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drawings/drawing4.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ml.chartshape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E:\GIT HUB\"/>
    </mc:Choice>
  </mc:AlternateContent>
  <xr:revisionPtr revIDLastSave="0" documentId="13_ncr:1_{76D1BA9A-953B-4924-A445-30734F71A087}" xr6:coauthVersionLast="47" xr6:coauthVersionMax="47" xr10:uidLastSave="{00000000-0000-0000-0000-000000000000}"/>
  <bookViews>
    <workbookView xWindow="-108" yWindow="-108" windowWidth="23256" windowHeight="12456" activeTab="2" xr2:uid="{00000000-000D-0000-FFFF-FFFF00000000}"/>
  </bookViews>
  <sheets>
    <sheet name="Cover" sheetId="25" r:id="rId1"/>
    <sheet name="Summary" sheetId="21" r:id="rId2"/>
    <sheet name="SUN P DCF" sheetId="19" r:id="rId3"/>
    <sheet name="COMPS" sheetId="22" r:id="rId4"/>
    <sheet name="WACC" sheetId="20" r:id="rId5"/>
    <sheet name="Sheet4" sheetId="23" state="hidden" r:id="rId6"/>
    <sheet name="Balance Sheet" sheetId="2" r:id="rId7"/>
    <sheet name="Profit &amp; Loss" sheetId="1" r:id="rId8"/>
    <sheet name="Cash Flow" sheetId="4" r:id="rId9"/>
    <sheet name="Key Ratios" sheetId="17" state="hidden" r:id="rId10"/>
    <sheet name="Charts" sheetId="18" state="hidden" r:id="rId11"/>
    <sheet name="Common Size Analysis" sheetId="13" r:id="rId12"/>
    <sheet name="Dhandho IV" sheetId="9" state="hidden" r:id="rId13"/>
    <sheet name="Ben Graham Formula" sheetId="8" state="hidden" r:id="rId14"/>
    <sheet name="DCF" sheetId="11" state="hidden" r:id="rId15"/>
    <sheet name="Expected Returns" sheetId="12" state="hidden" r:id="rId16"/>
    <sheet name="Intrinsic Values" sheetId="10" state="hidden" r:id="rId17"/>
    <sheet name="Quarters" sheetId="3" state="hidden" r:id="rId18"/>
    <sheet name="Data Sheet" sheetId="6" state="hidden" r:id="rId19"/>
    <sheet name="Customization" sheetId="5" state="hidden" r:id="rId20"/>
  </sheets>
  <externalReferences>
    <externalReference r:id="rId21"/>
    <externalReference r:id="rId22"/>
  </externalReferences>
  <definedNames>
    <definedName name="tgr">'SUN P DCF'!$D$21</definedName>
    <definedName name="UPDATE">'Data Sheet'!$E$1</definedName>
    <definedName name="wacc">'SUN P DCF'!$D$20</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22" l="1"/>
  <c r="E15" i="20"/>
  <c r="P65" i="19"/>
  <c r="P68" i="19"/>
  <c r="Q68" i="19"/>
  <c r="R68" i="19" s="1"/>
  <c r="S68" i="19" s="1"/>
  <c r="C5" i="19"/>
  <c r="Q71" i="19"/>
  <c r="R71" i="19" s="1"/>
  <c r="S71" i="19" s="1"/>
  <c r="Q29" i="19"/>
  <c r="P29" i="19"/>
  <c r="Q26" i="19"/>
  <c r="P26" i="19"/>
  <c r="P1" i="21"/>
  <c r="E7" i="23"/>
  <c r="T86" i="19"/>
  <c r="E42" i="23"/>
  <c r="E39" i="23"/>
  <c r="E38" i="23" s="1"/>
  <c r="E41" i="23" s="1"/>
  <c r="E12" i="23" s="1"/>
  <c r="E29" i="23"/>
  <c r="E28" i="23"/>
  <c r="E27" i="23"/>
  <c r="E26" i="23"/>
  <c r="E25" i="23"/>
  <c r="E24" i="23"/>
  <c r="E23" i="23"/>
  <c r="E22" i="23"/>
  <c r="E21" i="23"/>
  <c r="E20" i="23"/>
  <c r="O18" i="22"/>
  <c r="N18" i="22"/>
  <c r="M18" i="22"/>
  <c r="L18" i="22"/>
  <c r="K18" i="22"/>
  <c r="J18" i="22"/>
  <c r="I18" i="22"/>
  <c r="G18" i="22"/>
  <c r="F18" i="22"/>
  <c r="AA18" i="22" s="1"/>
  <c r="E18" i="22"/>
  <c r="D18" i="22"/>
  <c r="C18" i="22"/>
  <c r="O17" i="22"/>
  <c r="N17" i="22"/>
  <c r="M17" i="22"/>
  <c r="L17" i="22"/>
  <c r="K17" i="22"/>
  <c r="T17" i="22" s="1"/>
  <c r="J17" i="22"/>
  <c r="Q17" i="22" s="1"/>
  <c r="I17" i="22"/>
  <c r="G17" i="22"/>
  <c r="F17" i="22"/>
  <c r="E17" i="22"/>
  <c r="D17" i="22"/>
  <c r="C17" i="22"/>
  <c r="O16" i="22"/>
  <c r="N16" i="22"/>
  <c r="M16" i="22"/>
  <c r="L16" i="22"/>
  <c r="K16" i="22"/>
  <c r="J16" i="22"/>
  <c r="Q16" i="22" s="1"/>
  <c r="I16" i="22"/>
  <c r="G16" i="22"/>
  <c r="F16" i="22"/>
  <c r="Y16" i="22" s="1"/>
  <c r="E16" i="22"/>
  <c r="D16" i="22"/>
  <c r="C16" i="22"/>
  <c r="O15" i="22"/>
  <c r="N15" i="22"/>
  <c r="M15" i="22"/>
  <c r="L15" i="22"/>
  <c r="K15" i="22"/>
  <c r="J15" i="22"/>
  <c r="Q15" i="22" s="1"/>
  <c r="I15" i="22"/>
  <c r="G15" i="22"/>
  <c r="F15" i="22"/>
  <c r="E15" i="22"/>
  <c r="D15" i="22"/>
  <c r="C15" i="22"/>
  <c r="O14" i="22"/>
  <c r="N14" i="22"/>
  <c r="M14" i="22"/>
  <c r="L14" i="22"/>
  <c r="K14" i="22"/>
  <c r="J14" i="22"/>
  <c r="Q14" i="22" s="1"/>
  <c r="I14" i="22"/>
  <c r="G14" i="22"/>
  <c r="E24" i="20" s="1"/>
  <c r="H24" i="20" s="1"/>
  <c r="F14" i="22"/>
  <c r="AA14" i="22" s="1"/>
  <c r="E14" i="22"/>
  <c r="D14" i="22"/>
  <c r="C14" i="22"/>
  <c r="A14" i="22"/>
  <c r="A15" i="22" s="1"/>
  <c r="A16" i="22" s="1"/>
  <c r="A17" i="22" s="1"/>
  <c r="A18" i="22" s="1"/>
  <c r="O13" i="22"/>
  <c r="N13" i="22"/>
  <c r="M13" i="22"/>
  <c r="L13" i="22"/>
  <c r="K13" i="22"/>
  <c r="R13" i="22" s="1"/>
  <c r="J13" i="22"/>
  <c r="I13" i="22"/>
  <c r="G13" i="22"/>
  <c r="AB13" i="22" s="1"/>
  <c r="F13" i="22"/>
  <c r="X13" i="22" s="1"/>
  <c r="E13" i="22"/>
  <c r="D13" i="22"/>
  <c r="C13" i="22"/>
  <c r="O11" i="22"/>
  <c r="N11" i="22"/>
  <c r="M11" i="22"/>
  <c r="I27" i="22" s="1"/>
  <c r="L11" i="22"/>
  <c r="K11" i="22"/>
  <c r="H27" i="22" s="1"/>
  <c r="J11" i="22"/>
  <c r="I11" i="22"/>
  <c r="AB11" i="22"/>
  <c r="F11" i="22"/>
  <c r="X11" i="22" s="1"/>
  <c r="E11" i="22"/>
  <c r="C11" i="22"/>
  <c r="V9" i="22"/>
  <c r="U9" i="22"/>
  <c r="O9" i="22"/>
  <c r="N9" i="22"/>
  <c r="J9" i="22"/>
  <c r="K9" i="22" s="1"/>
  <c r="R15" i="22" l="1"/>
  <c r="X17" i="22"/>
  <c r="R18" i="22"/>
  <c r="AB17" i="22"/>
  <c r="R16" i="22"/>
  <c r="AC15" i="22"/>
  <c r="AC16" i="22"/>
  <c r="Q11" i="22"/>
  <c r="U11" i="22"/>
  <c r="Q13" i="22"/>
  <c r="U13" i="22"/>
  <c r="U16" i="22"/>
  <c r="U17" i="22"/>
  <c r="Z15" i="22"/>
  <c r="V15" i="22"/>
  <c r="V16" i="22"/>
  <c r="S13" i="22"/>
  <c r="AA15" i="22"/>
  <c r="AC17" i="22"/>
  <c r="AC11" i="22"/>
  <c r="U14" i="22"/>
  <c r="U23" i="22" s="1"/>
  <c r="U15" i="22"/>
  <c r="S16" i="22"/>
  <c r="S17" i="22"/>
  <c r="X18" i="22"/>
  <c r="U18" i="22"/>
  <c r="E9" i="23"/>
  <c r="E10" i="23" s="1"/>
  <c r="S11" i="22"/>
  <c r="R14" i="22"/>
  <c r="V14" i="22"/>
  <c r="T16" i="22"/>
  <c r="V18" i="22"/>
  <c r="E25" i="20"/>
  <c r="H25" i="20" s="1"/>
  <c r="V13" i="22"/>
  <c r="E26" i="20"/>
  <c r="H26" i="20" s="1"/>
  <c r="E31" i="23"/>
  <c r="E8" i="23" s="1"/>
  <c r="T13" i="22"/>
  <c r="Y13" i="22"/>
  <c r="AC13" i="22"/>
  <c r="S14" i="22"/>
  <c r="X14" i="22"/>
  <c r="AB14" i="22"/>
  <c r="Z16" i="22"/>
  <c r="S18" i="22"/>
  <c r="AB18" i="22"/>
  <c r="Z11" i="22"/>
  <c r="T14" i="22"/>
  <c r="Y14" i="22"/>
  <c r="AC14" i="22"/>
  <c r="S15" i="22"/>
  <c r="AB15" i="22"/>
  <c r="AC18" i="22"/>
  <c r="R11" i="22"/>
  <c r="V11" i="22"/>
  <c r="AA11" i="22"/>
  <c r="AA13" i="22"/>
  <c r="Z14" i="22"/>
  <c r="T15" i="22"/>
  <c r="Y15" i="22"/>
  <c r="X16" i="22"/>
  <c r="AB16" i="22"/>
  <c r="R17" i="22"/>
  <c r="V17" i="22"/>
  <c r="AA17" i="22"/>
  <c r="Q18" i="22"/>
  <c r="Q23" i="22" s="1"/>
  <c r="Z18" i="22"/>
  <c r="T11" i="22"/>
  <c r="Y11" i="22"/>
  <c r="Y17" i="22"/>
  <c r="Z13" i="22"/>
  <c r="X15" i="22"/>
  <c r="AA16" i="22"/>
  <c r="Z17" i="22"/>
  <c r="T18" i="22"/>
  <c r="Y18" i="22"/>
  <c r="U22" i="22" l="1"/>
  <c r="Q22" i="22"/>
  <c r="E11" i="23"/>
  <c r="E15" i="23" s="1"/>
  <c r="AB23" i="22"/>
  <c r="D28" i="20"/>
  <c r="X22" i="22"/>
  <c r="S22" i="22"/>
  <c r="AC22" i="22"/>
  <c r="F28" i="22" s="1"/>
  <c r="V28" i="22" s="1"/>
  <c r="Z28" i="22" s="1"/>
  <c r="AB22" i="22"/>
  <c r="X23" i="22"/>
  <c r="AA23" i="22"/>
  <c r="E29" i="22" s="1"/>
  <c r="M29" i="22" s="1"/>
  <c r="U29" i="22" s="1"/>
  <c r="Y29" i="22" s="1"/>
  <c r="AA22" i="22"/>
  <c r="E28" i="22" s="1"/>
  <c r="M28" i="22" s="1"/>
  <c r="U28" i="22" s="1"/>
  <c r="Y28" i="22" s="1"/>
  <c r="Y23" i="22"/>
  <c r="D29" i="22" s="1"/>
  <c r="L29" i="22" s="1"/>
  <c r="T29" i="22" s="1"/>
  <c r="X29" i="22" s="1"/>
  <c r="Y22" i="22"/>
  <c r="D28" i="22" s="1"/>
  <c r="L28" i="22" s="1"/>
  <c r="T28" i="22" s="1"/>
  <c r="X28" i="22" s="1"/>
  <c r="V23" i="22"/>
  <c r="V22" i="22"/>
  <c r="Z23" i="22"/>
  <c r="Z22" i="22"/>
  <c r="D27" i="22"/>
  <c r="L27" i="22" s="1"/>
  <c r="T27" i="22" s="1"/>
  <c r="X27" i="22" s="1"/>
  <c r="D30" i="22"/>
  <c r="L30" i="22" s="1"/>
  <c r="T30" i="22" s="1"/>
  <c r="X30" i="22" s="1"/>
  <c r="T23" i="22"/>
  <c r="T22" i="22"/>
  <c r="R23" i="22"/>
  <c r="R22" i="22"/>
  <c r="S23" i="22"/>
  <c r="F30" i="22"/>
  <c r="V30" i="22" s="1"/>
  <c r="Z30" i="22" s="1"/>
  <c r="F27" i="22"/>
  <c r="V27" i="22" s="1"/>
  <c r="Z27" i="22" s="1"/>
  <c r="E27" i="22"/>
  <c r="M27" i="22" s="1"/>
  <c r="U27" i="22" s="1"/>
  <c r="Y27" i="22" s="1"/>
  <c r="E30" i="22"/>
  <c r="M30" i="22" s="1"/>
  <c r="U30" i="22" s="1"/>
  <c r="Y30" i="22" s="1"/>
  <c r="AC23" i="22"/>
  <c r="F29" i="22" s="1"/>
  <c r="V29" i="22" s="1"/>
  <c r="Z29" i="22" s="1"/>
  <c r="C6" i="21" l="1"/>
  <c r="C5" i="21"/>
  <c r="R6" i="21"/>
  <c r="Q6" i="21"/>
  <c r="E6" i="21"/>
  <c r="B6" i="21"/>
  <c r="R5" i="21"/>
  <c r="Q5" i="21"/>
  <c r="M5" i="21"/>
  <c r="K5" i="21"/>
  <c r="J5" i="21"/>
  <c r="H5" i="21"/>
  <c r="E5" i="21"/>
  <c r="B5" i="21"/>
  <c r="R4" i="21"/>
  <c r="Q4" i="21"/>
  <c r="M4" i="21"/>
  <c r="K4" i="21"/>
  <c r="J4" i="21"/>
  <c r="E4" i="21"/>
  <c r="C4" i="21"/>
  <c r="B4" i="21"/>
  <c r="D21" i="19"/>
  <c r="E14" i="20"/>
  <c r="E13" i="20"/>
  <c r="C6" i="19"/>
  <c r="P76" i="19"/>
  <c r="P77" i="19" l="1"/>
  <c r="Q77" i="19"/>
  <c r="R77" i="19" s="1"/>
  <c r="S77" i="19" s="1"/>
  <c r="T77" i="19" s="1"/>
  <c r="E16" i="20" l="1"/>
  <c r="E7" i="20"/>
  <c r="E6" i="20"/>
  <c r="F48" i="19" l="1"/>
  <c r="F12" i="21" s="1"/>
  <c r="Q30" i="19"/>
  <c r="Q56" i="19" s="1"/>
  <c r="P30" i="19"/>
  <c r="Q27" i="19"/>
  <c r="Q50" i="19" s="1"/>
  <c r="O42" i="19"/>
  <c r="O70" i="19" s="1"/>
  <c r="N42" i="19"/>
  <c r="N70" i="19" s="1"/>
  <c r="M42" i="19"/>
  <c r="M70" i="19" s="1"/>
  <c r="L42" i="19"/>
  <c r="L70" i="19" s="1"/>
  <c r="K42" i="19"/>
  <c r="K70" i="19" s="1"/>
  <c r="J42" i="19"/>
  <c r="J70" i="19" s="1"/>
  <c r="I42" i="19"/>
  <c r="I70" i="19" s="1"/>
  <c r="H42" i="19"/>
  <c r="H70" i="19" s="1"/>
  <c r="G42" i="19"/>
  <c r="G70" i="19" s="1"/>
  <c r="F42" i="19"/>
  <c r="F70" i="19" s="1"/>
  <c r="L7" i="4"/>
  <c r="O39" i="19"/>
  <c r="O67" i="19" s="1"/>
  <c r="N39" i="19"/>
  <c r="N67" i="19" s="1"/>
  <c r="M39" i="19"/>
  <c r="M67" i="19" s="1"/>
  <c r="L39" i="19"/>
  <c r="L67" i="19" s="1"/>
  <c r="K39" i="19"/>
  <c r="K67" i="19" s="1"/>
  <c r="J39" i="19"/>
  <c r="J67" i="19" s="1"/>
  <c r="I39" i="19"/>
  <c r="I67" i="19" s="1"/>
  <c r="H39" i="19"/>
  <c r="H67" i="19" s="1"/>
  <c r="G39" i="19"/>
  <c r="G67" i="19" s="1"/>
  <c r="F39" i="19"/>
  <c r="F67" i="19" s="1"/>
  <c r="Q46" i="19"/>
  <c r="R46" i="19" s="1"/>
  <c r="S46" i="19" s="1"/>
  <c r="T46" i="19" s="1"/>
  <c r="G46" i="19"/>
  <c r="H46" i="19" s="1"/>
  <c r="I46" i="19" s="1"/>
  <c r="J46" i="19" s="1"/>
  <c r="K46" i="19" s="1"/>
  <c r="L46" i="19" s="1"/>
  <c r="M46" i="19" s="1"/>
  <c r="G35" i="19"/>
  <c r="H35" i="19" s="1"/>
  <c r="I35" i="19" s="1"/>
  <c r="J35" i="19" s="1"/>
  <c r="K35" i="19" s="1"/>
  <c r="L35" i="19" s="1"/>
  <c r="M35" i="19" s="1"/>
  <c r="P56" i="19" l="1"/>
  <c r="P54" i="19"/>
  <c r="P57" i="19"/>
  <c r="P55" i="19"/>
  <c r="Q57" i="19"/>
  <c r="Q55" i="19"/>
  <c r="Q54" i="19"/>
  <c r="Q51" i="19"/>
  <c r="Q49" i="19"/>
  <c r="G25" i="19"/>
  <c r="H25" i="19" s="1"/>
  <c r="I25" i="19" s="1"/>
  <c r="J25" i="19" s="1"/>
  <c r="K25" i="19" s="1"/>
  <c r="L25" i="19" s="1"/>
  <c r="M25" i="19" s="1"/>
  <c r="Q45" i="19"/>
  <c r="R45" i="19" s="1"/>
  <c r="S45" i="19" s="1"/>
  <c r="T45" i="19" s="1"/>
  <c r="Q25" i="19"/>
  <c r="R25" i="19" s="1"/>
  <c r="S25" i="19" s="1"/>
  <c r="T25" i="19" s="1"/>
  <c r="K19" i="2"/>
  <c r="J19" i="2"/>
  <c r="I19" i="2"/>
  <c r="H19" i="2"/>
  <c r="G19" i="2"/>
  <c r="F19" i="2"/>
  <c r="E19" i="2"/>
  <c r="D19" i="2"/>
  <c r="Q15" i="21" l="1"/>
  <c r="P15" i="21"/>
  <c r="K7" i="17"/>
  <c r="J7" i="17"/>
  <c r="I7" i="17"/>
  <c r="H7" i="17"/>
  <c r="G7" i="17"/>
  <c r="F7" i="17"/>
  <c r="E7" i="17"/>
  <c r="D7" i="17"/>
  <c r="C7" i="17"/>
  <c r="A53" i="18"/>
  <c r="A52" i="18"/>
  <c r="A51" i="18"/>
  <c r="B6" i="4"/>
  <c r="C6" i="4"/>
  <c r="D6" i="4"/>
  <c r="E6" i="4"/>
  <c r="F6" i="4"/>
  <c r="G6" i="4"/>
  <c r="H6" i="4"/>
  <c r="I6" i="4"/>
  <c r="J6" i="4"/>
  <c r="K6" i="4"/>
  <c r="L6" i="4" l="1"/>
  <c r="A22" i="17"/>
  <c r="A21" i="17"/>
  <c r="A17" i="17"/>
  <c r="A16" i="17"/>
  <c r="A15" i="17"/>
  <c r="B14" i="12" l="1"/>
  <c r="F4" i="13" l="1"/>
  <c r="K11" i="13" l="1"/>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l="1"/>
  <c r="B30" i="11"/>
  <c r="B16" i="12"/>
  <c r="B11" i="12"/>
  <c r="K4" i="12"/>
  <c r="B10" i="12" s="1"/>
  <c r="B13" i="12" s="1"/>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K5" i="12" l="1"/>
  <c r="B15" i="12"/>
  <c r="B7" i="10" s="1"/>
  <c r="M4" i="12"/>
  <c r="L4" i="12"/>
  <c r="E7" i="8" l="1"/>
  <c r="A2" i="10"/>
  <c r="B8" i="10"/>
  <c r="D7" i="9" l="1"/>
  <c r="K7" i="9" s="1"/>
  <c r="A4" i="9"/>
  <c r="H4" i="9" s="1"/>
  <c r="D20" i="9"/>
  <c r="K20" i="9" s="1"/>
  <c r="B11" i="8" l="1"/>
  <c r="E11" i="8" s="1"/>
  <c r="K11" i="1" l="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l="1"/>
  <c r="C14" i="3"/>
  <c r="D14" i="3"/>
  <c r="E14" i="3"/>
  <c r="F14" i="3"/>
  <c r="G14" i="3"/>
  <c r="H14" i="3"/>
  <c r="I14" i="3"/>
  <c r="J14" i="3"/>
  <c r="K14" i="3"/>
  <c r="C7" i="3" l="1"/>
  <c r="D7" i="3"/>
  <c r="E7" i="3"/>
  <c r="F7" i="3"/>
  <c r="G7" i="3"/>
  <c r="H7" i="3"/>
  <c r="I7" i="3"/>
  <c r="J7" i="3"/>
  <c r="K7" i="3"/>
  <c r="B7" i="3"/>
  <c r="C6" i="1"/>
  <c r="D6" i="1"/>
  <c r="E6" i="1"/>
  <c r="F6" i="1"/>
  <c r="G6" i="1"/>
  <c r="H6" i="1"/>
  <c r="I6" i="1"/>
  <c r="J6" i="1"/>
  <c r="K6" i="1"/>
  <c r="B6" i="1"/>
  <c r="B6" i="6" l="1"/>
  <c r="C17" i="2"/>
  <c r="D17" i="2"/>
  <c r="E17" i="2"/>
  <c r="F17" i="2"/>
  <c r="G17" i="2"/>
  <c r="H17" i="2"/>
  <c r="I17" i="2"/>
  <c r="J17" i="2"/>
  <c r="K17" i="2"/>
  <c r="C18" i="2"/>
  <c r="D18" i="2"/>
  <c r="E18" i="2"/>
  <c r="F18" i="2"/>
  <c r="G18" i="2"/>
  <c r="H18" i="2"/>
  <c r="I18" i="2"/>
  <c r="J18" i="2"/>
  <c r="K18" i="2"/>
  <c r="B17" i="2"/>
  <c r="C4" i="2"/>
  <c r="D4" i="2"/>
  <c r="E4" i="2"/>
  <c r="F4" i="2"/>
  <c r="G4" i="2"/>
  <c r="H4" i="2"/>
  <c r="I4" i="2"/>
  <c r="J4" i="2"/>
  <c r="K4" i="2"/>
  <c r="C5" i="2"/>
  <c r="D5" i="2"/>
  <c r="E5" i="2"/>
  <c r="F5" i="2"/>
  <c r="G5" i="2"/>
  <c r="H5" i="2"/>
  <c r="I5" i="2"/>
  <c r="J5" i="2"/>
  <c r="K5" i="2"/>
  <c r="C6" i="2"/>
  <c r="C19" i="17" s="1"/>
  <c r="D6" i="2"/>
  <c r="D19" i="17" s="1"/>
  <c r="E6" i="2"/>
  <c r="F6" i="2"/>
  <c r="G6" i="2"/>
  <c r="G19" i="17" s="1"/>
  <c r="H6" i="2"/>
  <c r="H19" i="17" s="1"/>
  <c r="I6" i="2"/>
  <c r="J6" i="2"/>
  <c r="K6" i="2"/>
  <c r="K19" i="17" s="1"/>
  <c r="C7" i="2"/>
  <c r="D7" i="2"/>
  <c r="E7" i="2"/>
  <c r="F7" i="2"/>
  <c r="G7" i="2"/>
  <c r="H7" i="2"/>
  <c r="I7" i="2"/>
  <c r="J7" i="2"/>
  <c r="K7" i="2"/>
  <c r="C8" i="2"/>
  <c r="D8" i="2"/>
  <c r="E8" i="2"/>
  <c r="F8" i="2"/>
  <c r="G8" i="2"/>
  <c r="H8" i="2"/>
  <c r="I8" i="2"/>
  <c r="J8" i="2"/>
  <c r="K8" i="2"/>
  <c r="C10" i="2"/>
  <c r="D10" i="2"/>
  <c r="E10" i="2"/>
  <c r="F10" i="2"/>
  <c r="G10" i="2"/>
  <c r="H10" i="2"/>
  <c r="I10" i="2"/>
  <c r="J10" i="2"/>
  <c r="K10" i="2"/>
  <c r="C11" i="2"/>
  <c r="D11" i="2"/>
  <c r="E11" i="2"/>
  <c r="F11" i="2"/>
  <c r="G11" i="2"/>
  <c r="H11" i="2"/>
  <c r="I11" i="2"/>
  <c r="J11" i="2"/>
  <c r="K11" i="2"/>
  <c r="C12" i="2"/>
  <c r="D12" i="2"/>
  <c r="E12" i="2"/>
  <c r="F12" i="2"/>
  <c r="G12" i="2"/>
  <c r="H12" i="2"/>
  <c r="I12" i="2"/>
  <c r="J12" i="2"/>
  <c r="K12" i="2"/>
  <c r="C13" i="2"/>
  <c r="D13" i="2"/>
  <c r="E13" i="2"/>
  <c r="F13" i="2"/>
  <c r="G13" i="2"/>
  <c r="H13" i="2"/>
  <c r="I13" i="2"/>
  <c r="J13" i="2"/>
  <c r="K13" i="2"/>
  <c r="C14" i="2"/>
  <c r="D14" i="2"/>
  <c r="E14" i="2"/>
  <c r="F14" i="2"/>
  <c r="G14" i="2"/>
  <c r="H14" i="2"/>
  <c r="I14" i="2"/>
  <c r="J14" i="2"/>
  <c r="K14" i="2"/>
  <c r="B14" i="2"/>
  <c r="B5" i="2"/>
  <c r="B4" i="2"/>
  <c r="C4" i="4"/>
  <c r="C74" i="18" s="1"/>
  <c r="D4" i="4"/>
  <c r="D74" i="18" s="1"/>
  <c r="E4" i="4"/>
  <c r="E74" i="18" s="1"/>
  <c r="F4" i="4"/>
  <c r="F74" i="18" s="1"/>
  <c r="G4" i="4"/>
  <c r="H4" i="4"/>
  <c r="H74" i="18" s="1"/>
  <c r="I4" i="4"/>
  <c r="I74" i="18" s="1"/>
  <c r="J4" i="4"/>
  <c r="J74" i="18" s="1"/>
  <c r="K4" i="4"/>
  <c r="C8" i="4"/>
  <c r="D8" i="4"/>
  <c r="E8" i="4"/>
  <c r="F8" i="4"/>
  <c r="G8" i="4"/>
  <c r="H8" i="4"/>
  <c r="I8" i="4"/>
  <c r="J8" i="4"/>
  <c r="K8" i="4"/>
  <c r="C9" i="4"/>
  <c r="D9" i="4"/>
  <c r="E9" i="4"/>
  <c r="F9" i="4"/>
  <c r="G9" i="4"/>
  <c r="H9" i="4"/>
  <c r="I9" i="4"/>
  <c r="J9" i="4"/>
  <c r="K9" i="4"/>
  <c r="C4" i="3"/>
  <c r="D4" i="3"/>
  <c r="E4" i="3"/>
  <c r="F4" i="3"/>
  <c r="G4" i="3"/>
  <c r="G5" i="3" s="1"/>
  <c r="H4" i="3"/>
  <c r="H5" i="3" s="1"/>
  <c r="I4" i="3"/>
  <c r="I5" i="3" s="1"/>
  <c r="J4" i="3"/>
  <c r="J5" i="3" s="1"/>
  <c r="K4" i="3"/>
  <c r="K5" i="3" s="1"/>
  <c r="C6" i="3"/>
  <c r="D6" i="3"/>
  <c r="E6" i="3"/>
  <c r="F6" i="3"/>
  <c r="G6" i="3"/>
  <c r="H6" i="3"/>
  <c r="I6" i="3"/>
  <c r="J6" i="3"/>
  <c r="K6" i="3"/>
  <c r="C8" i="3"/>
  <c r="D8" i="3"/>
  <c r="E8" i="3"/>
  <c r="F8" i="3"/>
  <c r="G8" i="3"/>
  <c r="H8" i="3"/>
  <c r="I8" i="3"/>
  <c r="J8" i="3"/>
  <c r="K8" i="3"/>
  <c r="C9" i="3"/>
  <c r="D9" i="3"/>
  <c r="E9" i="3"/>
  <c r="F9" i="3"/>
  <c r="G9" i="3"/>
  <c r="H9" i="3"/>
  <c r="I9" i="3"/>
  <c r="J9" i="3"/>
  <c r="K9" i="3"/>
  <c r="C10" i="3"/>
  <c r="D10" i="3"/>
  <c r="E10" i="3"/>
  <c r="F10" i="3"/>
  <c r="G10" i="3"/>
  <c r="H10" i="3"/>
  <c r="I10" i="3"/>
  <c r="J10" i="3"/>
  <c r="K10" i="3"/>
  <c r="C11" i="3"/>
  <c r="C12" i="3" s="1"/>
  <c r="D11" i="3"/>
  <c r="D12" i="3" s="1"/>
  <c r="E11" i="3"/>
  <c r="F11" i="3"/>
  <c r="G11" i="3"/>
  <c r="G12" i="3" s="1"/>
  <c r="H11" i="3"/>
  <c r="I11" i="3"/>
  <c r="J11" i="3"/>
  <c r="K11" i="3"/>
  <c r="C15" i="3"/>
  <c r="D15" i="3"/>
  <c r="E15" i="3"/>
  <c r="F15" i="3"/>
  <c r="G15" i="3"/>
  <c r="G16" i="3" s="1"/>
  <c r="H15" i="3"/>
  <c r="H16" i="3" s="1"/>
  <c r="I15" i="3"/>
  <c r="I16" i="3" s="1"/>
  <c r="J15" i="3"/>
  <c r="J16" i="3" s="1"/>
  <c r="K15" i="3"/>
  <c r="B6" i="3"/>
  <c r="C30" i="1"/>
  <c r="D30" i="1"/>
  <c r="E30" i="1"/>
  <c r="F30" i="1"/>
  <c r="G30" i="1"/>
  <c r="H30" i="1"/>
  <c r="I30" i="1"/>
  <c r="J30" i="1"/>
  <c r="K30" i="1"/>
  <c r="B30" i="1"/>
  <c r="C4" i="1"/>
  <c r="G26" i="19" s="1"/>
  <c r="D4" i="1"/>
  <c r="H26" i="19" s="1"/>
  <c r="E4" i="1"/>
  <c r="I26" i="19" s="1"/>
  <c r="F4" i="1"/>
  <c r="J26" i="19" s="1"/>
  <c r="G4" i="1"/>
  <c r="K26" i="19" s="1"/>
  <c r="H4" i="1"/>
  <c r="L26" i="19" s="1"/>
  <c r="I4" i="1"/>
  <c r="M26" i="19" s="1"/>
  <c r="J4" i="1"/>
  <c r="N26" i="19" s="1"/>
  <c r="K4" i="1"/>
  <c r="O26" i="19" s="1"/>
  <c r="C14" i="1"/>
  <c r="D14" i="1"/>
  <c r="E14" i="1"/>
  <c r="F14" i="1"/>
  <c r="F15" i="1" s="1"/>
  <c r="G14" i="1"/>
  <c r="H14" i="1"/>
  <c r="I14" i="1"/>
  <c r="J14" i="1"/>
  <c r="J15" i="1" s="1"/>
  <c r="K14" i="1"/>
  <c r="C16" i="1"/>
  <c r="G36" i="19" s="1"/>
  <c r="G64" i="19" s="1"/>
  <c r="D16" i="1"/>
  <c r="H36" i="19" s="1"/>
  <c r="H64" i="19" s="1"/>
  <c r="E16" i="1"/>
  <c r="I36" i="19" s="1"/>
  <c r="I64" i="19" s="1"/>
  <c r="F16" i="1"/>
  <c r="J36" i="19" s="1"/>
  <c r="J64" i="19" s="1"/>
  <c r="G16" i="1"/>
  <c r="K36" i="19" s="1"/>
  <c r="K64" i="19" s="1"/>
  <c r="H16" i="1"/>
  <c r="L36" i="19" s="1"/>
  <c r="L64" i="19" s="1"/>
  <c r="I16" i="1"/>
  <c r="M36" i="19" s="1"/>
  <c r="M64" i="19" s="1"/>
  <c r="J16" i="1"/>
  <c r="N36" i="19" s="1"/>
  <c r="N64" i="19" s="1"/>
  <c r="K16" i="1"/>
  <c r="O36" i="19" s="1"/>
  <c r="O64" i="19" s="1"/>
  <c r="C17" i="1"/>
  <c r="D17" i="1"/>
  <c r="E17" i="1"/>
  <c r="F17" i="1"/>
  <c r="G17" i="1"/>
  <c r="H17" i="1"/>
  <c r="I17" i="1"/>
  <c r="J17" i="1"/>
  <c r="K17" i="1"/>
  <c r="C22" i="1"/>
  <c r="D22" i="1"/>
  <c r="E22" i="1"/>
  <c r="F22" i="1"/>
  <c r="G22" i="1"/>
  <c r="H22" i="1"/>
  <c r="I22" i="1"/>
  <c r="J22" i="1"/>
  <c r="K22" i="1"/>
  <c r="C29" i="1"/>
  <c r="C31" i="1" s="1"/>
  <c r="D29" i="1"/>
  <c r="D31" i="1" s="1"/>
  <c r="E29" i="1"/>
  <c r="E31" i="1" s="1"/>
  <c r="F29" i="1"/>
  <c r="F31" i="1" s="1"/>
  <c r="G29" i="1"/>
  <c r="G31" i="1" s="1"/>
  <c r="H29" i="1"/>
  <c r="H31" i="1" s="1"/>
  <c r="I29" i="1"/>
  <c r="I31" i="1" s="1"/>
  <c r="J29" i="1"/>
  <c r="J31" i="1" s="1"/>
  <c r="K29" i="1"/>
  <c r="K31" i="1" s="1"/>
  <c r="B29" i="1"/>
  <c r="B31" i="1" s="1"/>
  <c r="B14" i="1"/>
  <c r="B4" i="1"/>
  <c r="F26" i="19" s="1"/>
  <c r="A2" i="1"/>
  <c r="E1" i="6"/>
  <c r="K16" i="3" l="1"/>
  <c r="L27" i="19"/>
  <c r="L48" i="19" s="1"/>
  <c r="L12" i="21" s="1"/>
  <c r="L47" i="19"/>
  <c r="L11" i="21" s="1"/>
  <c r="L40" i="19"/>
  <c r="L68" i="19" s="1"/>
  <c r="L44" i="19"/>
  <c r="L43" i="19"/>
  <c r="L71" i="19" s="1"/>
  <c r="L37" i="19"/>
  <c r="L65" i="19" s="1"/>
  <c r="F47" i="19"/>
  <c r="F11" i="21" s="1"/>
  <c r="F43" i="19"/>
  <c r="F71" i="19" s="1"/>
  <c r="F40" i="19"/>
  <c r="F68" i="19" s="1"/>
  <c r="K27" i="19"/>
  <c r="K48" i="19" s="1"/>
  <c r="K12" i="21" s="1"/>
  <c r="K40" i="19"/>
  <c r="K68" i="19" s="1"/>
  <c r="K44" i="19"/>
  <c r="K47" i="19"/>
  <c r="K11" i="21" s="1"/>
  <c r="K37" i="19"/>
  <c r="K65" i="19" s="1"/>
  <c r="K43" i="19"/>
  <c r="K71" i="19" s="1"/>
  <c r="N37" i="19"/>
  <c r="N65" i="19" s="1"/>
  <c r="N47" i="19"/>
  <c r="N11" i="21" s="1"/>
  <c r="N44" i="19"/>
  <c r="N43" i="19"/>
  <c r="N71" i="19" s="1"/>
  <c r="N40" i="19"/>
  <c r="N68" i="19" s="1"/>
  <c r="J27" i="19"/>
  <c r="J48" i="19" s="1"/>
  <c r="J12" i="21" s="1"/>
  <c r="J47" i="19"/>
  <c r="J11" i="21" s="1"/>
  <c r="J37" i="19"/>
  <c r="J65" i="19" s="1"/>
  <c r="J44" i="19"/>
  <c r="J43" i="19"/>
  <c r="J71" i="19" s="1"/>
  <c r="J40" i="19"/>
  <c r="J68" i="19" s="1"/>
  <c r="H27" i="19"/>
  <c r="H48" i="19" s="1"/>
  <c r="H12" i="21" s="1"/>
  <c r="H47" i="19"/>
  <c r="H11" i="21" s="1"/>
  <c r="H40" i="19"/>
  <c r="H68" i="19" s="1"/>
  <c r="H44" i="19"/>
  <c r="H37" i="19"/>
  <c r="H65" i="19" s="1"/>
  <c r="H43" i="19"/>
  <c r="H71" i="19" s="1"/>
  <c r="O27" i="19"/>
  <c r="O40" i="19"/>
  <c r="O68" i="19" s="1"/>
  <c r="O44" i="19"/>
  <c r="O47" i="19"/>
  <c r="O11" i="21" s="1"/>
  <c r="P27" i="19"/>
  <c r="O43" i="19"/>
  <c r="O71" i="19" s="1"/>
  <c r="O37" i="19"/>
  <c r="O65" i="19" s="1"/>
  <c r="G40" i="19"/>
  <c r="G68" i="19" s="1"/>
  <c r="G44" i="19"/>
  <c r="G47" i="19"/>
  <c r="G11" i="21" s="1"/>
  <c r="G37" i="19"/>
  <c r="G65" i="19" s="1"/>
  <c r="G43" i="19"/>
  <c r="G71" i="19" s="1"/>
  <c r="M37" i="19"/>
  <c r="M65" i="19" s="1"/>
  <c r="M47" i="19"/>
  <c r="M11" i="21" s="1"/>
  <c r="M44" i="19"/>
  <c r="M40" i="19"/>
  <c r="M68" i="19" s="1"/>
  <c r="M43" i="19"/>
  <c r="M71" i="19" s="1"/>
  <c r="I37" i="19"/>
  <c r="I65" i="19" s="1"/>
  <c r="I47" i="19"/>
  <c r="I11" i="21" s="1"/>
  <c r="I40" i="19"/>
  <c r="I68" i="19" s="1"/>
  <c r="I43" i="19"/>
  <c r="I71" i="19" s="1"/>
  <c r="I44" i="19"/>
  <c r="L32" i="19"/>
  <c r="L59" i="19" s="1"/>
  <c r="L17" i="21" s="1"/>
  <c r="H32" i="19"/>
  <c r="H59" i="19" s="1"/>
  <c r="H17" i="21" s="1"/>
  <c r="K32" i="19"/>
  <c r="K59" i="19" s="1"/>
  <c r="K17" i="21" s="1"/>
  <c r="G27" i="19"/>
  <c r="G48" i="19" s="1"/>
  <c r="G12" i="21" s="1"/>
  <c r="G32" i="19"/>
  <c r="G59" i="19" s="1"/>
  <c r="G17" i="21" s="1"/>
  <c r="N32" i="19"/>
  <c r="N59" i="19" s="1"/>
  <c r="N17" i="21" s="1"/>
  <c r="J32" i="19"/>
  <c r="J59" i="19" s="1"/>
  <c r="J17" i="21" s="1"/>
  <c r="V27" i="19"/>
  <c r="N27" i="19"/>
  <c r="O32" i="19"/>
  <c r="O59" i="19" s="1"/>
  <c r="O17" i="21" s="1"/>
  <c r="M32" i="19"/>
  <c r="M59" i="19" s="1"/>
  <c r="M17" i="21" s="1"/>
  <c r="I32" i="19"/>
  <c r="I59" i="19" s="1"/>
  <c r="I17" i="21" s="1"/>
  <c r="M27" i="19"/>
  <c r="I27" i="19"/>
  <c r="I48" i="19" s="1"/>
  <c r="I12" i="21" s="1"/>
  <c r="D12" i="1"/>
  <c r="D68" i="18"/>
  <c r="K12" i="1"/>
  <c r="O29" i="19" s="1"/>
  <c r="O53" i="19" s="1"/>
  <c r="K68" i="18"/>
  <c r="C12" i="1"/>
  <c r="C68" i="18"/>
  <c r="J12" i="1"/>
  <c r="J68" i="18"/>
  <c r="F12" i="1"/>
  <c r="F68" i="18"/>
  <c r="K5" i="4"/>
  <c r="K8" i="17" s="1"/>
  <c r="K74" i="18"/>
  <c r="G5" i="4"/>
  <c r="G8" i="17" s="1"/>
  <c r="G74" i="18"/>
  <c r="J19" i="17"/>
  <c r="F19" i="17"/>
  <c r="A2" i="2"/>
  <c r="A2" i="17"/>
  <c r="H12" i="1"/>
  <c r="L29" i="19" s="1"/>
  <c r="L53" i="19" s="1"/>
  <c r="L14" i="21" s="1"/>
  <c r="H68" i="18"/>
  <c r="B12" i="1"/>
  <c r="B68" i="18"/>
  <c r="G12" i="1"/>
  <c r="G68" i="18"/>
  <c r="H15" i="1"/>
  <c r="D15" i="1"/>
  <c r="I12" i="1"/>
  <c r="M29" i="19" s="1"/>
  <c r="M53" i="19" s="1"/>
  <c r="M14" i="21" s="1"/>
  <c r="I68" i="18"/>
  <c r="E12" i="1"/>
  <c r="E68" i="18"/>
  <c r="F12" i="3"/>
  <c r="I19" i="17"/>
  <c r="E19" i="17"/>
  <c r="C13" i="4"/>
  <c r="C75" i="18" s="1"/>
  <c r="J13" i="4"/>
  <c r="J75" i="18" s="1"/>
  <c r="J5" i="4"/>
  <c r="J8" i="17" s="1"/>
  <c r="F13" i="4"/>
  <c r="F75" i="18" s="1"/>
  <c r="F5" i="4"/>
  <c r="F8" i="17" s="1"/>
  <c r="I13" i="4"/>
  <c r="I75" i="18" s="1"/>
  <c r="I5" i="4"/>
  <c r="I8" i="17" s="1"/>
  <c r="E13" i="4"/>
  <c r="E75" i="18" s="1"/>
  <c r="E5" i="4"/>
  <c r="E8" i="17" s="1"/>
  <c r="H13" i="4"/>
  <c r="H75" i="18" s="1"/>
  <c r="H5" i="4"/>
  <c r="H8" i="17" s="1"/>
  <c r="D13" i="4"/>
  <c r="D75" i="18" s="1"/>
  <c r="D5" i="4"/>
  <c r="D8" i="17" s="1"/>
  <c r="K15" i="1"/>
  <c r="G15" i="1"/>
  <c r="C15" i="1"/>
  <c r="H25" i="2"/>
  <c r="H18" i="17" s="1"/>
  <c r="D25" i="2"/>
  <c r="D18" i="17" s="1"/>
  <c r="K25" i="2"/>
  <c r="K18" i="17" s="1"/>
  <c r="B11" i="11"/>
  <c r="G25" i="2"/>
  <c r="G18" i="17" s="1"/>
  <c r="C25" i="2"/>
  <c r="C18" i="17" s="1"/>
  <c r="B15" i="1"/>
  <c r="C19" i="1"/>
  <c r="G33" i="19" s="1"/>
  <c r="G60" i="19" s="1"/>
  <c r="G18" i="21" s="1"/>
  <c r="I15" i="1"/>
  <c r="E15" i="1"/>
  <c r="C37" i="1"/>
  <c r="D37" i="1"/>
  <c r="E37" i="1"/>
  <c r="B37" i="1"/>
  <c r="F13" i="9"/>
  <c r="K13" i="4"/>
  <c r="K13" i="3"/>
  <c r="K12" i="3"/>
  <c r="H13" i="3"/>
  <c r="H12" i="3"/>
  <c r="J13" i="3"/>
  <c r="J12" i="3"/>
  <c r="J25" i="2"/>
  <c r="J18" i="17" s="1"/>
  <c r="F25" i="2"/>
  <c r="F18" i="17" s="1"/>
  <c r="I13" i="3"/>
  <c r="I12" i="3"/>
  <c r="E12" i="3"/>
  <c r="I25" i="2"/>
  <c r="I18" i="17" s="1"/>
  <c r="E25" i="2"/>
  <c r="E18" i="17" s="1"/>
  <c r="G13" i="3"/>
  <c r="F5" i="1"/>
  <c r="F4" i="17" s="1"/>
  <c r="E62" i="18" s="1"/>
  <c r="F10" i="4"/>
  <c r="F24" i="2"/>
  <c r="F17" i="17" s="1"/>
  <c r="I24" i="2"/>
  <c r="I17" i="17" s="1"/>
  <c r="I10" i="4"/>
  <c r="E24" i="2"/>
  <c r="E17" i="17" s="1"/>
  <c r="E10" i="4"/>
  <c r="H24" i="2"/>
  <c r="H17" i="17" s="1"/>
  <c r="H10" i="4"/>
  <c r="D5" i="1"/>
  <c r="D4" i="17" s="1"/>
  <c r="C62" i="18" s="1"/>
  <c r="D24" i="2"/>
  <c r="D17" i="17" s="1"/>
  <c r="D10" i="4"/>
  <c r="J24" i="2"/>
  <c r="J17" i="17" s="1"/>
  <c r="J10" i="4"/>
  <c r="K24" i="2"/>
  <c r="K17" i="17" s="1"/>
  <c r="K10" i="4"/>
  <c r="G24" i="2"/>
  <c r="G17" i="17" s="1"/>
  <c r="G10" i="4"/>
  <c r="C24" i="2"/>
  <c r="C17" i="17" s="1"/>
  <c r="C10" i="4"/>
  <c r="E5" i="1"/>
  <c r="E4" i="17" s="1"/>
  <c r="D62" i="18" s="1"/>
  <c r="I5" i="1"/>
  <c r="I4" i="17" s="1"/>
  <c r="H62" i="18" s="1"/>
  <c r="H5" i="1"/>
  <c r="H4" i="17" s="1"/>
  <c r="G62" i="18" s="1"/>
  <c r="J5" i="1"/>
  <c r="J4" i="17" s="1"/>
  <c r="I62" i="18" s="1"/>
  <c r="K5" i="1"/>
  <c r="K4" i="17" s="1"/>
  <c r="J62" i="18" s="1"/>
  <c r="G5" i="1"/>
  <c r="G4" i="17" s="1"/>
  <c r="F62" i="18" s="1"/>
  <c r="C5" i="1"/>
  <c r="C4" i="17" s="1"/>
  <c r="B62" i="18" s="1"/>
  <c r="B3" i="8"/>
  <c r="E3" i="8" s="1"/>
  <c r="E1" i="3"/>
  <c r="H16" i="2"/>
  <c r="D16" i="2"/>
  <c r="G16" i="2"/>
  <c r="I16" i="2"/>
  <c r="E16" i="2"/>
  <c r="K16" i="2"/>
  <c r="C16" i="2"/>
  <c r="J16" i="2"/>
  <c r="F16" i="2"/>
  <c r="P71" i="19" l="1"/>
  <c r="Q65" i="19"/>
  <c r="R65" i="19" s="1"/>
  <c r="S65" i="19" s="1"/>
  <c r="P50" i="19"/>
  <c r="S27" i="19"/>
  <c r="T27" i="19" s="1"/>
  <c r="R27" i="19"/>
  <c r="G29" i="19"/>
  <c r="G53" i="19" s="1"/>
  <c r="G14" i="21" s="1"/>
  <c r="K29" i="19"/>
  <c r="K53" i="19" s="1"/>
  <c r="K14" i="21" s="1"/>
  <c r="N29" i="19"/>
  <c r="N53" i="19" s="1"/>
  <c r="N14" i="21" s="1"/>
  <c r="O14" i="21"/>
  <c r="I29" i="19"/>
  <c r="I53" i="19" s="1"/>
  <c r="I14" i="21" s="1"/>
  <c r="J29" i="19"/>
  <c r="J53" i="19" s="1"/>
  <c r="J14" i="21" s="1"/>
  <c r="H29" i="19"/>
  <c r="H53" i="19" s="1"/>
  <c r="H14" i="21" s="1"/>
  <c r="P51" i="19"/>
  <c r="P49" i="19"/>
  <c r="O48" i="19"/>
  <c r="O12" i="21" s="1"/>
  <c r="M48" i="19"/>
  <c r="M12" i="21" s="1"/>
  <c r="N48" i="19"/>
  <c r="N12" i="21" s="1"/>
  <c r="C17" i="4"/>
  <c r="D17" i="4"/>
  <c r="D19" i="1"/>
  <c r="D18" i="1" s="1"/>
  <c r="D20" i="17" s="1"/>
  <c r="E19" i="1"/>
  <c r="E23" i="1" s="1"/>
  <c r="F19" i="1"/>
  <c r="J33" i="19" s="1"/>
  <c r="J60" i="19" s="1"/>
  <c r="J18" i="21" s="1"/>
  <c r="J19" i="1"/>
  <c r="N33" i="19" s="1"/>
  <c r="G19" i="1"/>
  <c r="K33" i="19" s="1"/>
  <c r="H33" i="19"/>
  <c r="H60" i="19" s="1"/>
  <c r="H18" i="21" s="1"/>
  <c r="I19" i="1"/>
  <c r="M33" i="19" s="1"/>
  <c r="M30" i="19"/>
  <c r="H19" i="1"/>
  <c r="L33" i="19" s="1"/>
  <c r="L30" i="19"/>
  <c r="L54" i="19" s="1"/>
  <c r="L15" i="21" s="1"/>
  <c r="K19" i="1"/>
  <c r="O33" i="19" s="1"/>
  <c r="O30" i="19"/>
  <c r="C23" i="1"/>
  <c r="C32" i="1" s="1"/>
  <c r="C69" i="18"/>
  <c r="C27" i="2"/>
  <c r="C22" i="17" s="1"/>
  <c r="C58" i="18" s="1"/>
  <c r="G27" i="2"/>
  <c r="G22" i="17" s="1"/>
  <c r="G58" i="18" s="1"/>
  <c r="F23" i="1"/>
  <c r="F32" i="1" s="1"/>
  <c r="K23" i="17"/>
  <c r="K75" i="18"/>
  <c r="J23" i="1"/>
  <c r="D69" i="18"/>
  <c r="D27" i="2"/>
  <c r="D22" i="17" s="1"/>
  <c r="D58" i="18" s="1"/>
  <c r="C18" i="1"/>
  <c r="C20" i="17" s="1"/>
  <c r="H16" i="4"/>
  <c r="D23" i="17"/>
  <c r="D15" i="4"/>
  <c r="D9" i="17" s="1"/>
  <c r="E23" i="17"/>
  <c r="E15" i="4"/>
  <c r="E9" i="17" s="1"/>
  <c r="F23" i="17"/>
  <c r="F15" i="4"/>
  <c r="F9" i="17" s="1"/>
  <c r="F17" i="4"/>
  <c r="D16" i="4"/>
  <c r="E16" i="4"/>
  <c r="H23" i="17"/>
  <c r="I23" i="17"/>
  <c r="I15" i="4"/>
  <c r="I9" i="17" s="1"/>
  <c r="J23" i="17"/>
  <c r="K15" i="4"/>
  <c r="K9" i="17" s="1"/>
  <c r="J15" i="4"/>
  <c r="J9" i="17" s="1"/>
  <c r="C23" i="17"/>
  <c r="J17" i="4"/>
  <c r="J16" i="4"/>
  <c r="I16" i="4"/>
  <c r="F16" i="4"/>
  <c r="H17" i="4"/>
  <c r="C16" i="4"/>
  <c r="E17" i="4"/>
  <c r="I17" i="4"/>
  <c r="E18" i="1"/>
  <c r="E20" i="17" s="1"/>
  <c r="F15" i="9"/>
  <c r="K17" i="4"/>
  <c r="K16" i="4"/>
  <c r="B14" i="4"/>
  <c r="B4" i="11" s="1"/>
  <c r="B14" i="11" s="1"/>
  <c r="K21" i="1"/>
  <c r="K12" i="17" s="1"/>
  <c r="K52" i="18" s="1"/>
  <c r="D20" i="1"/>
  <c r="D5" i="17" s="1"/>
  <c r="C63" i="18" s="1"/>
  <c r="G21" i="1"/>
  <c r="G12" i="17" s="1"/>
  <c r="G52" i="18" s="1"/>
  <c r="D21" i="1"/>
  <c r="D12" i="17" s="1"/>
  <c r="D52" i="18" s="1"/>
  <c r="H20" i="1"/>
  <c r="H5" i="17" s="1"/>
  <c r="G63" i="18" s="1"/>
  <c r="D38" i="1"/>
  <c r="C21" i="1"/>
  <c r="C12" i="17" s="1"/>
  <c r="C52" i="18" s="1"/>
  <c r="F18" i="1"/>
  <c r="F20" i="17" s="1"/>
  <c r="G18" i="1"/>
  <c r="G20" i="17" s="1"/>
  <c r="B13" i="1"/>
  <c r="B11" i="17" s="1"/>
  <c r="B51" i="18" s="1"/>
  <c r="H13" i="1"/>
  <c r="H11" i="17" s="1"/>
  <c r="H51" i="18" s="1"/>
  <c r="C13" i="1"/>
  <c r="C11" i="17" s="1"/>
  <c r="C51" i="18" s="1"/>
  <c r="E13" i="1"/>
  <c r="E11" i="17" s="1"/>
  <c r="E51" i="18" s="1"/>
  <c r="I13" i="1"/>
  <c r="I11" i="17" s="1"/>
  <c r="I51" i="18" s="1"/>
  <c r="F13" i="1"/>
  <c r="F11" i="17" s="1"/>
  <c r="F51" i="18" s="1"/>
  <c r="J13" i="1"/>
  <c r="J11" i="17" s="1"/>
  <c r="J51" i="18" s="1"/>
  <c r="G13" i="1"/>
  <c r="G11" i="17" s="1"/>
  <c r="G51" i="18" s="1"/>
  <c r="D13" i="1"/>
  <c r="D11" i="17" s="1"/>
  <c r="D51" i="18" s="1"/>
  <c r="K13" i="1"/>
  <c r="K11" i="17" s="1"/>
  <c r="K51" i="18" s="1"/>
  <c r="C3" i="4"/>
  <c r="D3" i="4"/>
  <c r="E3" i="4"/>
  <c r="F3" i="4"/>
  <c r="G3" i="4"/>
  <c r="H3" i="4"/>
  <c r="I3" i="4"/>
  <c r="J3" i="4"/>
  <c r="K3" i="4"/>
  <c r="C3" i="2"/>
  <c r="D3" i="2"/>
  <c r="E3" i="2"/>
  <c r="F3" i="2"/>
  <c r="G3" i="2"/>
  <c r="H3" i="2"/>
  <c r="I3" i="2"/>
  <c r="J3" i="2"/>
  <c r="K3" i="2"/>
  <c r="C3" i="3"/>
  <c r="D3" i="3"/>
  <c r="E3" i="3"/>
  <c r="F3" i="3"/>
  <c r="G3" i="3"/>
  <c r="H3" i="3"/>
  <c r="I3" i="3"/>
  <c r="J3" i="3"/>
  <c r="K3" i="3"/>
  <c r="C3" i="1"/>
  <c r="C3" i="17" s="1"/>
  <c r="C50" i="18" s="1"/>
  <c r="C56" i="18" s="1"/>
  <c r="D3" i="1"/>
  <c r="D3" i="17" s="1"/>
  <c r="D50" i="18" s="1"/>
  <c r="D56" i="18" s="1"/>
  <c r="E3" i="1"/>
  <c r="E3" i="17" s="1"/>
  <c r="E50" i="18" s="1"/>
  <c r="E56" i="18" s="1"/>
  <c r="F3" i="1"/>
  <c r="F3" i="17" s="1"/>
  <c r="F50" i="18" s="1"/>
  <c r="F56" i="18" s="1"/>
  <c r="G3" i="1"/>
  <c r="G3" i="17" s="1"/>
  <c r="G50" i="18" s="1"/>
  <c r="G56" i="18" s="1"/>
  <c r="H3" i="1"/>
  <c r="H3" i="17" s="1"/>
  <c r="H50" i="18" s="1"/>
  <c r="H56" i="18" s="1"/>
  <c r="I3" i="1"/>
  <c r="I3" i="17" s="1"/>
  <c r="I50" i="18" s="1"/>
  <c r="I56" i="18" s="1"/>
  <c r="J3" i="1"/>
  <c r="J3" i="17" s="1"/>
  <c r="J50" i="18" s="1"/>
  <c r="J56" i="18" s="1"/>
  <c r="K3" i="1"/>
  <c r="K3" i="17" s="1"/>
  <c r="K50" i="18" s="1"/>
  <c r="K56" i="18" s="1"/>
  <c r="O54" i="19" l="1"/>
  <c r="O15" i="21" s="1"/>
  <c r="R30" i="19"/>
  <c r="S30" i="19" s="1"/>
  <c r="T30" i="19" s="1"/>
  <c r="Q33" i="19"/>
  <c r="R33" i="19"/>
  <c r="P33" i="19"/>
  <c r="S50" i="19"/>
  <c r="F14" i="9"/>
  <c r="K27" i="2"/>
  <c r="K22" i="17" s="1"/>
  <c r="K58" i="18" s="1"/>
  <c r="F21" i="1"/>
  <c r="F12" i="17" s="1"/>
  <c r="F52" i="18" s="1"/>
  <c r="J20" i="1"/>
  <c r="J5" i="17" s="1"/>
  <c r="I63" i="18" s="1"/>
  <c r="C38" i="1"/>
  <c r="K18" i="1"/>
  <c r="K20" i="17" s="1"/>
  <c r="F27" i="2"/>
  <c r="F22" i="17" s="1"/>
  <c r="F58" i="18" s="1"/>
  <c r="I18" i="1"/>
  <c r="I20" i="17" s="1"/>
  <c r="I20" i="1"/>
  <c r="I5" i="17" s="1"/>
  <c r="H63" i="18" s="1"/>
  <c r="F69" i="18"/>
  <c r="E69" i="18"/>
  <c r="H30" i="19"/>
  <c r="H54" i="19" s="1"/>
  <c r="H15" i="21" s="1"/>
  <c r="K30" i="19"/>
  <c r="K54" i="19" s="1"/>
  <c r="K15" i="21" s="1"/>
  <c r="F25" i="1"/>
  <c r="F13" i="17" s="1"/>
  <c r="F53" i="18" s="1"/>
  <c r="F26" i="1"/>
  <c r="F28" i="1" s="1"/>
  <c r="F26" i="2"/>
  <c r="H21" i="1"/>
  <c r="H12" i="17" s="1"/>
  <c r="H52" i="18" s="1"/>
  <c r="D23" i="1"/>
  <c r="D32" i="1" s="1"/>
  <c r="E27" i="2"/>
  <c r="E22" i="17" s="1"/>
  <c r="E58" i="18" s="1"/>
  <c r="F20" i="1"/>
  <c r="F5" i="17" s="1"/>
  <c r="E63" i="18" s="1"/>
  <c r="E20" i="1"/>
  <c r="E5" i="17" s="1"/>
  <c r="D63" i="18" s="1"/>
  <c r="J30" i="19"/>
  <c r="J54" i="19" s="1"/>
  <c r="J15" i="21" s="1"/>
  <c r="I30" i="19"/>
  <c r="I54" i="19" s="1"/>
  <c r="I15" i="21" s="1"/>
  <c r="N30" i="19"/>
  <c r="N54" i="19" s="1"/>
  <c r="N15" i="21" s="1"/>
  <c r="G30" i="19"/>
  <c r="G54" i="19" s="1"/>
  <c r="G15" i="21" s="1"/>
  <c r="O60" i="19"/>
  <c r="O18" i="21" s="1"/>
  <c r="T50" i="19"/>
  <c r="T49" i="19" s="1"/>
  <c r="K60" i="19"/>
  <c r="K18" i="21" s="1"/>
  <c r="M54" i="19"/>
  <c r="M15" i="21" s="1"/>
  <c r="N60" i="19"/>
  <c r="N18" i="21" s="1"/>
  <c r="L60" i="19"/>
  <c r="L18" i="21" s="1"/>
  <c r="S51" i="19"/>
  <c r="S49" i="19"/>
  <c r="M60" i="19"/>
  <c r="M18" i="21" s="1"/>
  <c r="R50" i="19"/>
  <c r="R26" i="19"/>
  <c r="S26" i="19" s="1"/>
  <c r="K20" i="1"/>
  <c r="K5" i="17" s="1"/>
  <c r="J63" i="18" s="1"/>
  <c r="J21" i="1"/>
  <c r="J12" i="17" s="1"/>
  <c r="J52" i="18" s="1"/>
  <c r="J18" i="1"/>
  <c r="J20" i="17" s="1"/>
  <c r="J27" i="2"/>
  <c r="J22" i="17" s="1"/>
  <c r="J58" i="18" s="1"/>
  <c r="H23" i="1"/>
  <c r="H32" i="1" s="1"/>
  <c r="I33" i="19"/>
  <c r="I60" i="19" s="1"/>
  <c r="I18" i="21" s="1"/>
  <c r="E21" i="1"/>
  <c r="E12" i="17" s="1"/>
  <c r="E52" i="18" s="1"/>
  <c r="J69" i="18"/>
  <c r="J26" i="1"/>
  <c r="J28" i="1" s="1"/>
  <c r="J32" i="1"/>
  <c r="E70" i="18"/>
  <c r="E32" i="1"/>
  <c r="H26" i="1"/>
  <c r="H28" i="1" s="1"/>
  <c r="F11" i="4"/>
  <c r="H18" i="1"/>
  <c r="H20" i="17" s="1"/>
  <c r="G69" i="18"/>
  <c r="G20" i="1"/>
  <c r="G5" i="17" s="1"/>
  <c r="F63" i="18" s="1"/>
  <c r="G23" i="1"/>
  <c r="E11" i="4"/>
  <c r="E26" i="2"/>
  <c r="F24" i="1"/>
  <c r="F6" i="17" s="1"/>
  <c r="E64" i="18" s="1"/>
  <c r="J26" i="2"/>
  <c r="J21" i="17" s="1"/>
  <c r="J57" i="18" s="1"/>
  <c r="E25" i="1"/>
  <c r="E13" i="17" s="1"/>
  <c r="E53" i="18" s="1"/>
  <c r="E26" i="1"/>
  <c r="E28" i="1" s="1"/>
  <c r="H27" i="2"/>
  <c r="H22" i="17" s="1"/>
  <c r="H58" i="18" s="1"/>
  <c r="H69" i="18"/>
  <c r="K69" i="18"/>
  <c r="I69" i="18"/>
  <c r="K23" i="1"/>
  <c r="I21" i="1"/>
  <c r="I12" i="17" s="1"/>
  <c r="I52" i="18" s="1"/>
  <c r="I27" i="2"/>
  <c r="I22" i="17" s="1"/>
  <c r="I58" i="18" s="1"/>
  <c r="E38" i="1"/>
  <c r="I23" i="1"/>
  <c r="I11" i="4" s="1"/>
  <c r="K67" i="18"/>
  <c r="K73" i="18" s="1"/>
  <c r="J61" i="18"/>
  <c r="C67" i="18"/>
  <c r="C73" i="18" s="1"/>
  <c r="B61" i="18"/>
  <c r="C25" i="1"/>
  <c r="C13" i="17" s="1"/>
  <c r="C53" i="18" s="1"/>
  <c r="C70" i="18"/>
  <c r="C26" i="1"/>
  <c r="C28" i="1" s="1"/>
  <c r="F67" i="18"/>
  <c r="F73" i="18" s="1"/>
  <c r="E61" i="18"/>
  <c r="I67" i="18"/>
  <c r="I73" i="18" s="1"/>
  <c r="H61" i="18"/>
  <c r="E67" i="18"/>
  <c r="E73" i="18" s="1"/>
  <c r="D61" i="18"/>
  <c r="C26" i="2"/>
  <c r="J70" i="18"/>
  <c r="J25" i="1"/>
  <c r="J13" i="17" s="1"/>
  <c r="J53" i="18" s="1"/>
  <c r="J11" i="4"/>
  <c r="G67" i="18"/>
  <c r="G73" i="18" s="1"/>
  <c r="F61" i="18"/>
  <c r="J67" i="18"/>
  <c r="J73" i="18" s="1"/>
  <c r="I61" i="18"/>
  <c r="G61" i="18"/>
  <c r="H67" i="18"/>
  <c r="H73" i="18" s="1"/>
  <c r="C61" i="18"/>
  <c r="D67" i="18"/>
  <c r="D73" i="18" s="1"/>
  <c r="F21" i="17"/>
  <c r="F57" i="18" s="1"/>
  <c r="F6" i="12"/>
  <c r="C11" i="4"/>
  <c r="E21" i="17"/>
  <c r="E57" i="18" s="1"/>
  <c r="E6" i="12"/>
  <c r="D70" i="18"/>
  <c r="F70" i="18"/>
  <c r="D14" i="11"/>
  <c r="B15" i="11"/>
  <c r="J8" i="9"/>
  <c r="C8" i="9"/>
  <c r="B4" i="8"/>
  <c r="E4" i="8" s="1"/>
  <c r="B9" i="4"/>
  <c r="L9" i="4" s="1"/>
  <c r="B8" i="4"/>
  <c r="L8" i="4" s="1"/>
  <c r="B4" i="4"/>
  <c r="B3" i="4"/>
  <c r="K23" i="2"/>
  <c r="K16" i="17" s="1"/>
  <c r="J23" i="2"/>
  <c r="J16" i="17" s="1"/>
  <c r="I23" i="2"/>
  <c r="I16" i="17" s="1"/>
  <c r="H23" i="2"/>
  <c r="H16" i="17" s="1"/>
  <c r="G23" i="2"/>
  <c r="G16" i="17" s="1"/>
  <c r="F23" i="2"/>
  <c r="F16" i="17" s="1"/>
  <c r="E23" i="2"/>
  <c r="E16" i="17" s="1"/>
  <c r="D23" i="2"/>
  <c r="D16" i="17" s="1"/>
  <c r="C23" i="2"/>
  <c r="C16" i="17" s="1"/>
  <c r="B18" i="2"/>
  <c r="B23" i="2" s="1"/>
  <c r="B16" i="17" s="1"/>
  <c r="B13" i="2"/>
  <c r="B12" i="2"/>
  <c r="B11" i="2"/>
  <c r="B10" i="2"/>
  <c r="B24" i="2" s="1"/>
  <c r="B17" i="17" s="1"/>
  <c r="B8" i="2"/>
  <c r="B7" i="2"/>
  <c r="B6" i="2"/>
  <c r="B3" i="2"/>
  <c r="J17" i="3"/>
  <c r="H17" i="3"/>
  <c r="F17" i="3"/>
  <c r="D17" i="3"/>
  <c r="B15" i="3"/>
  <c r="F16" i="3" s="1"/>
  <c r="B11" i="3"/>
  <c r="B10" i="3"/>
  <c r="B9" i="3"/>
  <c r="B8" i="3"/>
  <c r="B4" i="3"/>
  <c r="F5" i="3" s="1"/>
  <c r="B3" i="3"/>
  <c r="L29" i="1"/>
  <c r="B22" i="1"/>
  <c r="B17" i="1"/>
  <c r="B16" i="1"/>
  <c r="B22" i="2"/>
  <c r="B15" i="17" s="1"/>
  <c r="B3" i="1"/>
  <c r="B3" i="17" s="1"/>
  <c r="B50" i="18" s="1"/>
  <c r="B56" i="18" s="1"/>
  <c r="B67" i="18" s="1"/>
  <c r="B73" i="18" s="1"/>
  <c r="D11" i="4" l="1"/>
  <c r="H24" i="1"/>
  <c r="H6" i="17" s="1"/>
  <c r="G64" i="18" s="1"/>
  <c r="D26" i="2"/>
  <c r="H26" i="2"/>
  <c r="H6" i="12" s="1"/>
  <c r="E24" i="1"/>
  <c r="E6" i="17" s="1"/>
  <c r="D64" i="18" s="1"/>
  <c r="D25" i="1"/>
  <c r="D13" i="17" s="1"/>
  <c r="D53" i="18" s="1"/>
  <c r="D24" i="1"/>
  <c r="D6" i="17" s="1"/>
  <c r="C64" i="18" s="1"/>
  <c r="H25" i="1"/>
  <c r="H13" i="17" s="1"/>
  <c r="H53" i="18" s="1"/>
  <c r="D26" i="1"/>
  <c r="D28" i="1" s="1"/>
  <c r="S33" i="19"/>
  <c r="T33" i="19" s="1"/>
  <c r="G26" i="1"/>
  <c r="G28" i="1" s="1"/>
  <c r="T26" i="19"/>
  <c r="H70" i="18"/>
  <c r="H11" i="4"/>
  <c r="G26" i="2"/>
  <c r="G21" i="17" s="1"/>
  <c r="G57" i="18" s="1"/>
  <c r="F36" i="19"/>
  <c r="F29" i="19"/>
  <c r="G25" i="1"/>
  <c r="G13" i="17" s="1"/>
  <c r="G53" i="18" s="1"/>
  <c r="G70" i="18"/>
  <c r="T51" i="19"/>
  <c r="E18" i="20"/>
  <c r="N20" i="19" s="1"/>
  <c r="D20" i="19" s="1"/>
  <c r="D29" i="20"/>
  <c r="R51" i="19"/>
  <c r="R49" i="19"/>
  <c r="P60" i="19"/>
  <c r="P32" i="19"/>
  <c r="R56" i="19"/>
  <c r="R29" i="19"/>
  <c r="K25" i="1"/>
  <c r="K13" i="17" s="1"/>
  <c r="K53" i="18" s="1"/>
  <c r="K32" i="1"/>
  <c r="K33" i="1" s="1"/>
  <c r="I24" i="1"/>
  <c r="I6" i="17" s="1"/>
  <c r="H64" i="18" s="1"/>
  <c r="I32" i="1"/>
  <c r="E27" i="1"/>
  <c r="G32" i="1"/>
  <c r="D33" i="1" s="1"/>
  <c r="G11" i="4"/>
  <c r="G24" i="1"/>
  <c r="G6" i="17" s="1"/>
  <c r="F64" i="18" s="1"/>
  <c r="F27" i="1"/>
  <c r="J6" i="12"/>
  <c r="I26" i="2"/>
  <c r="I6" i="12" s="1"/>
  <c r="I26" i="1"/>
  <c r="I28" i="1" s="1"/>
  <c r="K70" i="18"/>
  <c r="I25" i="1"/>
  <c r="I13" i="17" s="1"/>
  <c r="I53" i="18" s="1"/>
  <c r="K26" i="1"/>
  <c r="K28" i="1" s="1"/>
  <c r="J24" i="1"/>
  <c r="J6" i="17" s="1"/>
  <c r="I64" i="18" s="1"/>
  <c r="B6" i="8"/>
  <c r="E6" i="8" s="1"/>
  <c r="I70" i="18"/>
  <c r="F32" i="19"/>
  <c r="F59" i="19" s="1"/>
  <c r="F17" i="21" s="1"/>
  <c r="E39" i="1"/>
  <c r="K24" i="1"/>
  <c r="K6" i="17" s="1"/>
  <c r="J64" i="18" s="1"/>
  <c r="B8" i="8"/>
  <c r="E8" i="8"/>
  <c r="K11" i="4"/>
  <c r="K26" i="2"/>
  <c r="C39" i="1"/>
  <c r="B19" i="1"/>
  <c r="B69" i="18" s="1"/>
  <c r="D39" i="1"/>
  <c r="C5" i="4"/>
  <c r="C8" i="17" s="1"/>
  <c r="B74" i="18"/>
  <c r="G27" i="1"/>
  <c r="B25" i="2"/>
  <c r="B18" i="17" s="1"/>
  <c r="B19" i="17"/>
  <c r="C21" i="17"/>
  <c r="C57" i="18" s="1"/>
  <c r="C6" i="12"/>
  <c r="D27" i="1"/>
  <c r="D6" i="12"/>
  <c r="D21" i="17"/>
  <c r="D57" i="18" s="1"/>
  <c r="B10" i="4"/>
  <c r="L4" i="4"/>
  <c r="B13" i="4"/>
  <c r="B75" i="18" s="1"/>
  <c r="D15" i="11"/>
  <c r="B16" i="11"/>
  <c r="C9" i="9"/>
  <c r="D9" i="9" s="1"/>
  <c r="D8" i="9"/>
  <c r="J9" i="9"/>
  <c r="K9" i="9" s="1"/>
  <c r="K8" i="9"/>
  <c r="F13" i="3"/>
  <c r="B12" i="3"/>
  <c r="B16" i="2"/>
  <c r="B17" i="3"/>
  <c r="E17" i="3"/>
  <c r="I17" i="3"/>
  <c r="C17" i="3"/>
  <c r="G17" i="3"/>
  <c r="K17" i="3"/>
  <c r="G22" i="2"/>
  <c r="G15" i="17" s="1"/>
  <c r="I22" i="2"/>
  <c r="I15" i="17" s="1"/>
  <c r="K22" i="2"/>
  <c r="K15" i="17" s="1"/>
  <c r="D22" i="2"/>
  <c r="D15" i="17" s="1"/>
  <c r="F22" i="2"/>
  <c r="F15" i="17" s="1"/>
  <c r="H22" i="2"/>
  <c r="H15" i="17" s="1"/>
  <c r="J22" i="2"/>
  <c r="J15" i="17" s="1"/>
  <c r="C22" i="2"/>
  <c r="C15" i="17" s="1"/>
  <c r="E22" i="2"/>
  <c r="E15" i="17" s="1"/>
  <c r="L22" i="1"/>
  <c r="L17" i="1"/>
  <c r="L16" i="1"/>
  <c r="L14" i="1"/>
  <c r="L4" i="1"/>
  <c r="A1" i="3"/>
  <c r="A2" i="4"/>
  <c r="H27" i="1" l="1"/>
  <c r="H21" i="17"/>
  <c r="H57" i="18" s="1"/>
  <c r="B38" i="1"/>
  <c r="P18" i="21"/>
  <c r="B21" i="1"/>
  <c r="B12" i="17" s="1"/>
  <c r="B52" i="18" s="1"/>
  <c r="I21" i="17"/>
  <c r="I57" i="18" s="1"/>
  <c r="G33" i="1"/>
  <c r="F33" i="1"/>
  <c r="C33" i="1"/>
  <c r="G6" i="12"/>
  <c r="F53" i="19"/>
  <c r="F14" i="21" s="1"/>
  <c r="F30" i="19"/>
  <c r="F54" i="19" s="1"/>
  <c r="F15" i="21" s="1"/>
  <c r="E33" i="1"/>
  <c r="B18" i="1"/>
  <c r="B20" i="17" s="1"/>
  <c r="B23" i="1"/>
  <c r="B25" i="1" s="1"/>
  <c r="B13" i="17" s="1"/>
  <c r="B53" i="18" s="1"/>
  <c r="K27" i="1"/>
  <c r="I33" i="1"/>
  <c r="J33" i="1"/>
  <c r="F64" i="19"/>
  <c r="F37" i="19"/>
  <c r="F65" i="19" s="1"/>
  <c r="H33" i="1"/>
  <c r="R32" i="19"/>
  <c r="R60" i="19"/>
  <c r="R18" i="21" s="1"/>
  <c r="R54" i="19"/>
  <c r="R55" i="19"/>
  <c r="R57" i="19"/>
  <c r="Q32" i="19"/>
  <c r="Q60" i="19"/>
  <c r="S60" i="19"/>
  <c r="S18" i="21" s="1"/>
  <c r="S56" i="19"/>
  <c r="S29" i="19"/>
  <c r="B10" i="8"/>
  <c r="B5" i="10" s="1"/>
  <c r="J27" i="1"/>
  <c r="I27" i="1"/>
  <c r="B11" i="4"/>
  <c r="B32" i="1"/>
  <c r="B33" i="1" s="1"/>
  <c r="E10" i="8"/>
  <c r="C5" i="10" s="1"/>
  <c r="B27" i="2"/>
  <c r="B22" i="17" s="1"/>
  <c r="B58" i="18" s="1"/>
  <c r="F33" i="19"/>
  <c r="F60" i="19" s="1"/>
  <c r="F18" i="21" s="1"/>
  <c r="K6" i="12"/>
  <c r="K21" i="17"/>
  <c r="K57" i="18" s="1"/>
  <c r="C20" i="1"/>
  <c r="C5" i="17" s="1"/>
  <c r="B63" i="18" s="1"/>
  <c r="C24" i="1"/>
  <c r="C6" i="17" s="1"/>
  <c r="B64" i="18" s="1"/>
  <c r="B26" i="1"/>
  <c r="C27" i="1" s="1"/>
  <c r="B39" i="1"/>
  <c r="B70" i="18"/>
  <c r="E40" i="1"/>
  <c r="C40" i="1"/>
  <c r="D40" i="1"/>
  <c r="B23" i="17"/>
  <c r="C15" i="4"/>
  <c r="C9" i="17" s="1"/>
  <c r="B17" i="4"/>
  <c r="B16" i="4"/>
  <c r="D16" i="11"/>
  <c r="B17" i="11"/>
  <c r="L15" i="1"/>
  <c r="J10" i="9"/>
  <c r="K10" i="9" s="1"/>
  <c r="C10" i="9"/>
  <c r="D10" i="9" s="1"/>
  <c r="L6" i="1"/>
  <c r="L12" i="1" s="1"/>
  <c r="B26" i="2" l="1"/>
  <c r="B28" i="1"/>
  <c r="B40" i="1" s="1"/>
  <c r="Q18" i="21"/>
  <c r="R15" i="21"/>
  <c r="S32" i="19"/>
  <c r="S57" i="19"/>
  <c r="S54" i="19"/>
  <c r="S55" i="19"/>
  <c r="T56" i="19"/>
  <c r="T29" i="19"/>
  <c r="B6" i="12"/>
  <c r="B21" i="17"/>
  <c r="B57" i="18" s="1"/>
  <c r="D17" i="11"/>
  <c r="B18" i="11"/>
  <c r="L19" i="1"/>
  <c r="L13" i="1"/>
  <c r="C11" i="9"/>
  <c r="D11" i="9" s="1"/>
  <c r="J11" i="9"/>
  <c r="K11" i="9" s="1"/>
  <c r="S15" i="21" l="1"/>
  <c r="T60" i="19"/>
  <c r="T18" i="21" s="1"/>
  <c r="T32" i="19"/>
  <c r="T57" i="19"/>
  <c r="T54" i="19"/>
  <c r="T55" i="19"/>
  <c r="B19" i="11"/>
  <c r="D18" i="11"/>
  <c r="L23" i="1"/>
  <c r="L18" i="1"/>
  <c r="L21" i="1"/>
  <c r="J12" i="9"/>
  <c r="K12" i="9" s="1"/>
  <c r="C12" i="9"/>
  <c r="D12" i="9" s="1"/>
  <c r="T15" i="21" l="1"/>
  <c r="D19" i="11"/>
  <c r="B20" i="11"/>
  <c r="L25" i="1"/>
  <c r="L26" i="1"/>
  <c r="L28" i="1" s="1"/>
  <c r="C13" i="9"/>
  <c r="D13" i="9" s="1"/>
  <c r="J13" i="9"/>
  <c r="K13" i="9" s="1"/>
  <c r="B21" i="11" l="1"/>
  <c r="D20" i="11"/>
  <c r="J14" i="9"/>
  <c r="K14" i="9" s="1"/>
  <c r="C14" i="9"/>
  <c r="D14" i="9" s="1"/>
  <c r="D21" i="11" l="1"/>
  <c r="B22" i="11"/>
  <c r="C15" i="9"/>
  <c r="D15" i="9" s="1"/>
  <c r="J15" i="9"/>
  <c r="K15" i="9" s="1"/>
  <c r="B23" i="11" l="1"/>
  <c r="D22" i="11"/>
  <c r="J16" i="9"/>
  <c r="K16" i="9" s="1"/>
  <c r="C16" i="9"/>
  <c r="D16" i="9" s="1"/>
  <c r="G13" i="4"/>
  <c r="G75" i="18" s="1"/>
  <c r="G23" i="17" l="1"/>
  <c r="G15" i="4"/>
  <c r="G9" i="17" s="1"/>
  <c r="H15" i="4"/>
  <c r="H9" i="17" s="1"/>
  <c r="G17" i="4"/>
  <c r="G16" i="4"/>
  <c r="L13" i="4"/>
  <c r="D23" i="11"/>
  <c r="B27" i="11" s="1"/>
  <c r="B26" i="11"/>
  <c r="B28" i="11" s="1"/>
  <c r="C17" i="9"/>
  <c r="D17" i="9" s="1"/>
  <c r="J17" i="9"/>
  <c r="K17" i="9" s="1"/>
  <c r="B29" i="11" l="1"/>
  <c r="E4" i="11" s="1"/>
  <c r="E6" i="11" s="1"/>
  <c r="B6" i="10"/>
  <c r="J18" i="9"/>
  <c r="K18" i="9" s="1"/>
  <c r="C18" i="9"/>
  <c r="D18" i="9" s="1"/>
  <c r="K19" i="9" l="1"/>
  <c r="D19" i="9"/>
  <c r="K21" i="9" l="1"/>
  <c r="C4" i="10"/>
  <c r="D21" i="9"/>
  <c r="B4" i="10"/>
  <c r="Q48" i="19"/>
  <c r="R48" i="19"/>
  <c r="T48" i="19"/>
  <c r="P48" i="19"/>
  <c r="S48" i="19"/>
  <c r="T12" i="21" l="1"/>
  <c r="R12" i="21"/>
  <c r="S12" i="21"/>
  <c r="Q12" i="21"/>
  <c r="P47" i="19"/>
  <c r="P12" i="21"/>
  <c r="P67" i="19" l="1"/>
  <c r="P53" i="19"/>
  <c r="P70" i="19"/>
  <c r="P64" i="19"/>
  <c r="P11" i="21"/>
  <c r="Q47" i="19"/>
  <c r="P14" i="21" l="1"/>
  <c r="P59" i="19"/>
  <c r="Q11" i="21"/>
  <c r="Q53" i="19"/>
  <c r="Q64" i="19"/>
  <c r="R47" i="19"/>
  <c r="P62" i="19" l="1"/>
  <c r="P73" i="19" s="1"/>
  <c r="P17" i="21"/>
  <c r="R11" i="21"/>
  <c r="R53" i="19"/>
  <c r="Q14" i="21"/>
  <c r="Q59" i="19"/>
  <c r="R64" i="19"/>
  <c r="S47" i="19"/>
  <c r="Q17" i="21" l="1"/>
  <c r="P74" i="19"/>
  <c r="S11" i="21"/>
  <c r="S53" i="19"/>
  <c r="Q62" i="19"/>
  <c r="R14" i="21"/>
  <c r="R59" i="19"/>
  <c r="S64" i="19"/>
  <c r="T47" i="19"/>
  <c r="R17" i="21" l="1"/>
  <c r="R62" i="19"/>
  <c r="T64" i="19"/>
  <c r="T53" i="19"/>
  <c r="S14" i="21"/>
  <c r="S59" i="19"/>
  <c r="T11" i="21"/>
  <c r="U11" i="21" s="1"/>
  <c r="S17" i="21" l="1"/>
  <c r="S62" i="19"/>
  <c r="T14" i="21"/>
  <c r="T59" i="19"/>
  <c r="T17" i="21" l="1"/>
  <c r="T62" i="19"/>
  <c r="Q70" i="19" l="1"/>
  <c r="S70" i="19" l="1"/>
  <c r="T70" i="19"/>
  <c r="R70" i="19"/>
  <c r="S67" i="19"/>
  <c r="R67" i="19"/>
  <c r="R73" i="19" l="1"/>
  <c r="R74" i="19" s="1"/>
  <c r="S73" i="19"/>
  <c r="S74" i="19" s="1"/>
  <c r="Q67" i="19"/>
  <c r="Q73" i="19" s="1"/>
  <c r="T67" i="19"/>
  <c r="T73" i="19" s="1"/>
  <c r="Q74" i="19" l="1"/>
  <c r="T74" i="19"/>
  <c r="T79" i="19"/>
  <c r="T80" i="19" l="1"/>
  <c r="F42" i="21"/>
  <c r="F43" i="21" l="1"/>
  <c r="T81" i="19"/>
  <c r="E94" i="19" l="1"/>
  <c r="F44" i="21"/>
  <c r="T84" i="19"/>
  <c r="F45" i="21" l="1"/>
  <c r="T87" i="19"/>
  <c r="F46" i="21" l="1"/>
  <c r="H4" i="19"/>
  <c r="E109" i="19"/>
  <c r="H6" i="19" l="1"/>
  <c r="H4" i="21"/>
  <c r="H6" i="2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Siddhant</author>
  </authors>
  <commentList>
    <comment ref="E7" authorId="0" shapeId="0" xr:uid="{B9A3B7F1-97A2-4913-AC6E-5C85488C1CB4}">
      <text>
        <r>
          <rPr>
            <b/>
            <sz val="9"/>
            <color indexed="81"/>
            <rFont val="Tahoma"/>
            <family val="2"/>
          </rPr>
          <t>Siddhant:</t>
        </r>
        <r>
          <rPr>
            <sz val="9"/>
            <color indexed="81"/>
            <rFont val="Tahoma"/>
            <family val="2"/>
          </rPr>
          <t xml:space="preserve">
2024 Q2 10Q</t>
        </r>
      </text>
    </comment>
    <comment ref="E12" authorId="0" shapeId="0" xr:uid="{0DA62AE2-34FF-49AC-B143-648D2ED578D6}">
      <text>
        <r>
          <rPr>
            <b/>
            <sz val="9"/>
            <color indexed="81"/>
            <rFont val="Tahoma"/>
            <family val="2"/>
          </rPr>
          <t>Siddhant:</t>
        </r>
        <r>
          <rPr>
            <sz val="9"/>
            <color indexed="81"/>
            <rFont val="Tahoma"/>
            <family val="2"/>
          </rPr>
          <t xml:space="preserve">
2024 Q2 10Q
Page 17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1AFEE0E1-F671-4A3B-9426-7DFF9F41FBD7}">
      <text>
        <r>
          <rPr>
            <b/>
            <sz val="9"/>
            <color indexed="81"/>
            <rFont val="Tahoma"/>
            <family val="2"/>
          </rPr>
          <t xml:space="preserve">Vishal: </t>
        </r>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124E5830-0821-466D-8A0F-39C5FC4E9F5F}">
      <text>
        <r>
          <rPr>
            <b/>
            <sz val="9"/>
            <color indexed="81"/>
            <rFont val="Tahoma"/>
            <family val="2"/>
          </rPr>
          <t>Vishal:</t>
        </r>
        <r>
          <rPr>
            <sz val="9"/>
            <color indexed="81"/>
            <rFont val="Tahoma"/>
            <family val="2"/>
          </rPr>
          <t xml:space="preserve"> 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58C8A5E7-D475-4913-9378-FB90949D463B}">
      <text>
        <r>
          <rPr>
            <b/>
            <sz val="9"/>
            <color indexed="81"/>
            <rFont val="Tahoma"/>
            <family val="2"/>
          </rPr>
          <t>Vishal:</t>
        </r>
        <r>
          <rPr>
            <sz val="9"/>
            <color indexed="81"/>
            <rFont val="Tahoma"/>
            <family val="2"/>
          </rPr>
          <t xml:space="preserve"> 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50460EC3-3F80-41B7-ACED-010575AF01DE}">
      <text>
        <r>
          <rPr>
            <b/>
            <sz val="9"/>
            <color indexed="81"/>
            <rFont val="Tahoma"/>
            <family val="2"/>
          </rPr>
          <t>Vishal:</t>
        </r>
        <r>
          <rPr>
            <sz val="9"/>
            <color indexed="81"/>
            <rFont val="Tahoma"/>
            <family val="2"/>
          </rPr>
          <t xml:space="preserve"> 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2B86F004-D2E7-414D-AEAA-B43CB8BF2DF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t>
        </r>
      </text>
    </comment>
    <comment ref="A18" authorId="0" shapeId="0" xr:uid="{01A3225E-3E5A-43FF-B83F-84DD88670B4A}">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CD4C2DF3-DDFD-4E40-85A1-AA2D4EA191EF}">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7" authorId="0" shapeId="0" xr:uid="{326EFA96-0A48-41A1-9BB5-FC5F20E47636}">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8" authorId="0" shapeId="0" xr:uid="{052726BD-CDAC-4AA8-838E-BF0BC24D9344}">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3" authorId="0" shapeId="0" xr:uid="{16417B2D-B9A9-44A5-AF86-1E209B196DB5}">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D21B8C9B-F7E8-4379-A173-B4B61E2A23EE}">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BD7EEABA-B977-44F3-A105-46F130EA0896}">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B907545C-986F-49A6-A2C9-9860B85A60A5}">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9E1306AB-D03D-4D37-8CD9-92204909AF28}">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830B5BF8-E529-4B7C-A950-6A1901A8CBBC}">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98F89FE9-CA13-4D67-84A5-09A8705D697E}">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2A61CD75-F089-448D-A31E-A1EC27D566CD}">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153D9C84-FF23-4046-82BB-D5D1F521FB3D}">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445DD87D-40E3-4943-AE1B-606432D446C4}">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6090F19E-73A6-4905-8C30-ED6C6970D606}">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8C074590-16ED-47F4-980B-AF5F987BFBD9}">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13632878-8864-4D6C-AC40-514621DB527C}">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14CB2B46-B17F-4448-80D1-0A7E0813F05D}">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<sst xmlns="http://schemas.openxmlformats.org/spreadsheetml/2006/main" count="775" uniqueCount="444">
  <si>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</si>
  <si>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</si>
  <si>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</si>
  <si>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</si>
  <si>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</si>
  <si>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</si>
  <si>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</si>
  <si>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</si>
  <si>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</si>
  <si>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</si>
  <si>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</si>
  <si>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</si>
  <si>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</si>
  <si>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</si>
  <si>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</si>
  <si>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</si>
  <si>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</si>
  <si>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</si>
  <si>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</si>
  <si>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</si>
  <si>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</si>
  <si>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</si>
  <si>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</si>
  <si>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</si>
  <si>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</si>
  <si>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</si>
  <si>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</si>
  <si>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</si>
  <si>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</si>
  <si>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</si>
  <si>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</si>
  <si>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</si>
  <si>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</si>
  <si>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</si>
  <si>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</si>
  <si>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</si>
  <si>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</si>
  <si>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</si>
  <si>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</si>
  <si>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</si>
  <si>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</si>
  <si>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</si>
  <si>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</si>
  <si>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</si>
  <si>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</si>
  <si>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</si>
  <si>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</si>
  <si>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</si>
  <si>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</si>
  <si>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</si>
  <si>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</si>
  <si>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</si>
  <si>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</si>
  <si>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</si>
  <si>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</si>
  <si>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</si>
  <si>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</si>
  <si>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</si>
  <si>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SUN PHARMACEUTICAL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</si>
  <si>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</si>
  <si>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</si>
  <si>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</si>
  <si>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</si>
  <si>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</si>
  <si>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</si>
  <si>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</si>
  <si>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</si>
  <si>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</si>
  <si>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</si>
  <si>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</si>
  <si>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</si>
  <si>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</si>
  <si>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</si>
  <si>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</si>
  <si>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</si>
  <si>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</si>
  <si>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</si>
  <si>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</si>
  <si>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</si>
  <si>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</si>
  <si>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</si>
  <si>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</si>
  <si>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</si>
  <si>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</si>
  <si>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</si>
  <si>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</si>
  <si>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 xml:space="preserve"> screener.feedback@dalal-street.in</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</si>
  <si>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</si>
  <si>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</si>
  <si>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</si>
  <si>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</si>
  <si>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</si>
  <si>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</si>
  <si>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</si>
  <si>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</si>
  <si>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</si>
  <si>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</si>
  <si>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</si>
  <si>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</si>
  <si>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</si>
  <si>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</si>
  <si>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</si>
  <si>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</si>
  <si>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</si>
  <si>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</si>
  <si>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</si>
  <si>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</si>
  <si>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</si>
  <si>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</si>
  <si>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</si>
  <si>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</si>
  <si>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</si>
  <si>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</si>
  <si>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</si>
  <si>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</si>
  <si>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</si>
  <si>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</si>
  <si>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</si>
  <si>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</si>
  <si>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</si>
  <si>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</si>
  <si>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</si>
  <si>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</si>
  <si>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</si>
  <si>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</si>
  <si>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</si>
  <si>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</si>
  <si>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</si>
  <si>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</si>
  <si>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</si>
  <si>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</si>
  <si>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</si>
  <si>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</si>
  <si>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</si>
  <si>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</si>
  <si>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</si>
  <si>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</si>
  <si>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</si>
  <si>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</si>
  <si>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</si>
  <si>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</si>
  <si>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</si>
  <si>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</si>
  <si>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</si>
  <si>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</si>
  <si>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</si>
  <si>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</si>
  <si>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</si>
  <si>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</si>
  <si>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</si>
  <si>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</si>
  <si>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</si>
  <si>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</si>
  <si>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</si>
  <si>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</si>
  <si>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</si>
  <si>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</si>
  <si>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</si>
  <si>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</si>
  <si>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</si>
  <si>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</si>
  <si>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</si>
  <si>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</si>
  <si>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</si>
  <si>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</si>
  <si>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</si>
  <si>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</si>
  <si>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</si>
  <si>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</si>
  <si>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</si>
  <si>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</si>
  <si>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</si>
  <si>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</si>
  <si>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</si>
  <si>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</si>
  <si>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</si>
  <si>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</si>
  <si>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</si>
  <si>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</si>
  <si>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</si>
  <si>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</si>
  <si>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</si>
  <si>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</si>
  <si>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</si>
  <si>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</si>
  <si>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</si>
  <si>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Cash &amp; Bank**</t>
  </si>
  <si>
    <t>Capex**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</si>
  <si>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</si>
  <si>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</si>
  <si>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</si>
  <si>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</si>
  <si>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</si>
  <si>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</si>
  <si>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</si>
  <si>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</si>
  <si>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</si>
  <si>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</si>
  <si>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</si>
  <si>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</si>
  <si>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</si>
  <si>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</si>
  <si>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t>** Manually enter this number; Convert to Rs Crore if not already done in the Annual Reports; Use Cash+Bank+Current Investments from Consolidated Balance Sheet in Annual Reports</t>
  </si>
  <si>
    <t>** Manually enter this number; Convert to Rs Crore if not already done in the Annual Reports; Use "Capital expenditure" number shown under "Cash Flow from Investing Activities" segment of Consolidated Cash Flow Statement available in the Annual Reports</t>
  </si>
  <si>
    <t>A common-size financial statement is displays line items as a percentage of one selected or common figure. Creating common-size financial statements makes it easier to analyze a company over time and compare it with its peers. Using common-size financial statements helps investors spot trends that a raw financial statement may not uncover.</t>
  </si>
  <si>
    <t>Last 5-Years' CAGR</t>
  </si>
  <si>
    <t>EXPLANATION</t>
  </si>
  <si>
    <t>Ben Graham Formula (Low Range)</t>
  </si>
  <si>
    <t>Ben Graham Formula (High Range)</t>
  </si>
  <si>
    <t>Balance Sheet</t>
  </si>
  <si>
    <t>Cash Flow Statement</t>
  </si>
  <si>
    <t>DCF as % of Current Mkt Cap</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</si>
  <si>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</si>
  <si>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</si>
  <si>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</si>
  <si>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</si>
  <si>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</si>
  <si>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</si>
  <si>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</si>
  <si>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</si>
  <si>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</si>
  <si>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</si>
  <si>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</si>
  <si>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</si>
  <si>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</si>
  <si>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</si>
  <si>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</si>
  <si>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</si>
  <si>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</si>
  <si>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</si>
  <si>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</si>
  <si>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</si>
  <si>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</si>
  <si>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</si>
  <si>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t>Higher is better, but also look for long term stability and consistency</t>
  </si>
  <si>
    <t>Higher isn't always better, esp. when the company is generating high ROE, which means the management is allocating capital efficiently</t>
  </si>
  <si>
    <r>
      <rPr>
        <b/>
        <sz val="10"/>
        <color theme="1"/>
        <rFont val="Arial"/>
        <family val="2"/>
      </rPr>
      <t xml:space="preserve">Note: </t>
    </r>
    <r>
      <rPr>
        <sz val="10"/>
        <color theme="1"/>
        <rFont val="Arial"/>
        <family val="2"/>
      </rPr>
      <t>Please ignore the dates on the X-axis. The figures are for/as on the year ending date, which for most Indian companies would be 31st March of that year</t>
    </r>
  </si>
  <si>
    <t>Cash Flows</t>
  </si>
  <si>
    <t>Operating Cash Flow</t>
  </si>
  <si>
    <t>Free Cash Flow</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</si>
  <si>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</si>
  <si>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</si>
  <si>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</si>
  <si>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</si>
  <si>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</si>
  <si>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</si>
  <si>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</si>
  <si>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</si>
  <si>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</si>
  <si>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</si>
  <si>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</si>
  <si>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What to look for?</t>
  </si>
  <si>
    <t xml:space="preserve">   </t>
  </si>
  <si>
    <t xml:space="preserve">    </t>
  </si>
  <si>
    <t>*</t>
  </si>
  <si>
    <t>Assumption</t>
  </si>
  <si>
    <t>NOTES</t>
  </si>
  <si>
    <t>Switches</t>
  </si>
  <si>
    <t xml:space="preserve">Conservative </t>
  </si>
  <si>
    <t>Base</t>
  </si>
  <si>
    <t>Optimistic</t>
  </si>
  <si>
    <t>Metric</t>
  </si>
  <si>
    <t>'25-'26</t>
  </si>
  <si>
    <t>'26</t>
  </si>
  <si>
    <t>EBIT</t>
  </si>
  <si>
    <t>WACC</t>
  </si>
  <si>
    <t>TGR</t>
  </si>
  <si>
    <t>Valuation</t>
  </si>
  <si>
    <t>2024A</t>
  </si>
  <si>
    <t>growth%</t>
  </si>
  <si>
    <t>Estimates of 2025 and 2026 are from Tikr and the rest are declining on a linear basis.</t>
  </si>
  <si>
    <t xml:space="preserve">% of Sale </t>
  </si>
  <si>
    <t>Taxes</t>
  </si>
  <si>
    <t>Tax rate</t>
  </si>
  <si>
    <t>D&amp;A</t>
  </si>
  <si>
    <t>D&amp;A (Depriciation &amp; Amortization)</t>
  </si>
  <si>
    <t>% of Sales</t>
  </si>
  <si>
    <t>CapEx</t>
  </si>
  <si>
    <t>CapEx (Capital Expenditure)</t>
  </si>
  <si>
    <t>% of Sale</t>
  </si>
  <si>
    <t>Change In NWC</t>
  </si>
  <si>
    <t>Change in NWC (Net Working Capital)</t>
  </si>
  <si>
    <t>% of change in sales</t>
  </si>
  <si>
    <t>Conservative case</t>
  </si>
  <si>
    <t>Base case</t>
  </si>
  <si>
    <t>Optimistic case</t>
  </si>
  <si>
    <t>EBIAT</t>
  </si>
  <si>
    <t>EBIAT (Earnings before Interest but after Tax) it is also known as NOPAT (Net Operating Profit after Tax)</t>
  </si>
  <si>
    <t>Unlevered FCF</t>
  </si>
  <si>
    <r>
      <rPr>
        <b/>
        <sz val="11"/>
        <color theme="1"/>
        <rFont val="Calibri"/>
        <family val="2"/>
        <scheme val="minor"/>
      </rPr>
      <t>Unlevered FCF</t>
    </r>
    <r>
      <rPr>
        <sz val="11"/>
        <color theme="1"/>
        <rFont val="Calibri"/>
        <family val="2"/>
        <scheme val="minor"/>
      </rPr>
      <t xml:space="preserve"> (Free Cash Flow)= EBITDA + D&amp;A - CapEx - Change inNWC</t>
    </r>
  </si>
  <si>
    <t>Present Value of FCF</t>
  </si>
  <si>
    <r>
      <rPr>
        <b/>
        <sz val="11"/>
        <color theme="1"/>
        <rFont val="Calibri"/>
        <family val="2"/>
        <scheme val="minor"/>
      </rPr>
      <t>Present Value of FCF</t>
    </r>
    <r>
      <rPr>
        <sz val="11"/>
        <color theme="1"/>
        <rFont val="Calibri"/>
        <family val="2"/>
        <scheme val="minor"/>
      </rPr>
      <t xml:space="preserve"> = Unlevered FCF/(1+WACC)^Discounted Period</t>
    </r>
  </si>
  <si>
    <t>Discounted Period</t>
  </si>
  <si>
    <r>
      <rPr>
        <b/>
        <sz val="11"/>
        <color theme="1"/>
        <rFont val="Calibri"/>
        <family val="2"/>
        <scheme val="minor"/>
      </rPr>
      <t>Terminal Value</t>
    </r>
    <r>
      <rPr>
        <sz val="11"/>
        <color theme="1"/>
        <rFont val="Calibri"/>
        <family val="2"/>
        <scheme val="minor"/>
      </rPr>
      <t xml:space="preserve"> = 2029E UFCF*(1+TGR)/(WACC-TGR)</t>
    </r>
  </si>
  <si>
    <t>Present Value of Terminal Value</t>
  </si>
  <si>
    <r>
      <rPr>
        <b/>
        <sz val="11"/>
        <color theme="1"/>
        <rFont val="Calibri"/>
        <family val="2"/>
        <scheme val="minor"/>
      </rPr>
      <t>Present Value of Terminal Value</t>
    </r>
    <r>
      <rPr>
        <sz val="11"/>
        <color theme="1"/>
        <rFont val="Calibri"/>
        <family val="2"/>
        <scheme val="minor"/>
      </rPr>
      <t xml:space="preserve"> = Terminal Value/(1+WACC)^2030E Dsicounted Period</t>
    </r>
  </si>
  <si>
    <t>Enterprise Value</t>
  </si>
  <si>
    <t>EV is calculated by adding Present Value of FCF from2025E to 2029E.</t>
  </si>
  <si>
    <t>(+) Cash</t>
  </si>
  <si>
    <t>(-) Debt</t>
  </si>
  <si>
    <t>Equity Value</t>
  </si>
  <si>
    <r>
      <rPr>
        <b/>
        <sz val="11"/>
        <color theme="1"/>
        <rFont val="Calibri"/>
        <family val="2"/>
        <scheme val="minor"/>
      </rPr>
      <t>Equity Value</t>
    </r>
    <r>
      <rPr>
        <sz val="11"/>
        <color theme="1"/>
        <rFont val="Calibri"/>
        <family val="2"/>
        <scheme val="minor"/>
      </rPr>
      <t xml:space="preserve"> = EV+Cash-Debt</t>
    </r>
  </si>
  <si>
    <t>Diluted Shares</t>
  </si>
  <si>
    <r>
      <rPr>
        <b/>
        <sz val="11"/>
        <color theme="1"/>
        <rFont val="Calibri"/>
        <family val="2"/>
        <scheme val="minor"/>
      </rPr>
      <t>Implied Share price</t>
    </r>
    <r>
      <rPr>
        <sz val="11"/>
        <color theme="1"/>
        <rFont val="Calibri"/>
        <family val="2"/>
        <scheme val="minor"/>
      </rPr>
      <t xml:space="preserve"> = Equity value/Diluted shares</t>
    </r>
  </si>
  <si>
    <t>--</t>
  </si>
  <si>
    <t>5 years CAGR</t>
  </si>
  <si>
    <t>2023A</t>
  </si>
  <si>
    <t>Working capital changes</t>
  </si>
  <si>
    <t>(MM $) From TIKR</t>
  </si>
  <si>
    <t xml:space="preserve">% of Equity </t>
  </si>
  <si>
    <r>
      <rPr>
        <b/>
        <sz val="11"/>
        <color theme="1"/>
        <rFont val="Calibri"/>
        <family val="2"/>
        <scheme val="minor"/>
      </rPr>
      <t>Percent of Equity</t>
    </r>
    <r>
      <rPr>
        <sz val="11"/>
        <color theme="1"/>
        <rFont val="Calibri"/>
        <family val="2"/>
        <scheme val="minor"/>
      </rPr>
      <t xml:space="preserve"> = Market Cap/Market Cap + Debt</t>
    </r>
  </si>
  <si>
    <t>Cost of equity</t>
  </si>
  <si>
    <r>
      <rPr>
        <b/>
        <sz val="11"/>
        <color theme="1"/>
        <rFont val="Calibri"/>
        <family val="2"/>
        <scheme val="minor"/>
      </rPr>
      <t>Cost of equity</t>
    </r>
    <r>
      <rPr>
        <sz val="11"/>
        <color theme="1"/>
        <rFont val="Calibri"/>
        <family val="2"/>
        <scheme val="minor"/>
      </rPr>
      <t xml:space="preserve"> = Risk free rate + ( Beta*Market Risk Premium)</t>
    </r>
  </si>
  <si>
    <t xml:space="preserve">Risk Free Rate </t>
  </si>
  <si>
    <t>CNBC U.S. 10 Year Treasury</t>
  </si>
  <si>
    <t>Beta</t>
  </si>
  <si>
    <t>TIKR</t>
  </si>
  <si>
    <t>Market  Risk Premium</t>
  </si>
  <si>
    <t>Implied ERP ON July, 2025 From Damodaram</t>
  </si>
  <si>
    <t>Debt</t>
  </si>
  <si>
    <t>Based on Q1 2025 B/S (MM, $)</t>
  </si>
  <si>
    <t>% of debt</t>
  </si>
  <si>
    <r>
      <rPr>
        <b/>
        <sz val="11"/>
        <color theme="1"/>
        <rFont val="Calibri"/>
        <family val="2"/>
        <scheme val="minor"/>
      </rPr>
      <t xml:space="preserve">Percent of Debt </t>
    </r>
    <r>
      <rPr>
        <sz val="11"/>
        <color theme="1"/>
        <rFont val="Calibri"/>
        <family val="2"/>
        <scheme val="minor"/>
      </rPr>
      <t>= Debt/Market Cap</t>
    </r>
  </si>
  <si>
    <t xml:space="preserve">Cost of Debt </t>
  </si>
  <si>
    <t>Average of Effective Interest Rate</t>
  </si>
  <si>
    <t>Based on Q1 Tax Rate</t>
  </si>
  <si>
    <t xml:space="preserve">Total </t>
  </si>
  <si>
    <t>Total = Market Cap + Debt ( MM, $)</t>
  </si>
  <si>
    <r>
      <rPr>
        <b/>
        <sz val="11"/>
        <color theme="1"/>
        <rFont val="Calibri"/>
        <family val="2"/>
        <scheme val="minor"/>
      </rPr>
      <t>WACC</t>
    </r>
    <r>
      <rPr>
        <sz val="11"/>
        <color theme="1"/>
        <rFont val="Calibri"/>
        <family val="2"/>
        <scheme val="minor"/>
      </rPr>
      <t xml:space="preserve"> = % of equity*cost of equity + %of debt *(1-Tax rate)</t>
    </r>
  </si>
  <si>
    <t>Ticker</t>
  </si>
  <si>
    <t>Implied Share Price</t>
  </si>
  <si>
    <t>Low-end</t>
  </si>
  <si>
    <t>Revenue (1), EBIT (1), WACC (1), TGR(1)</t>
  </si>
  <si>
    <t>Conservative</t>
  </si>
  <si>
    <t>Date</t>
  </si>
  <si>
    <t>High-end</t>
  </si>
  <si>
    <t>Revenue (3), EBIT(3),  WACC(3), TGR(3)</t>
  </si>
  <si>
    <t>Year end</t>
  </si>
  <si>
    <t>Implied Upside/Downside</t>
  </si>
  <si>
    <t>SUNPHARMA</t>
  </si>
  <si>
    <t>x</t>
  </si>
  <si>
    <t>'25</t>
  </si>
  <si>
    <t>'26-'29</t>
  </si>
  <si>
    <t xml:space="preserve">Summary of DCF Model on Sun Pharmaceutical Industries Ltd. (SUNPHARMA) </t>
  </si>
  <si>
    <t xml:space="preserve"> Comps Table</t>
  </si>
  <si>
    <t>Currency</t>
  </si>
  <si>
    <t>RUPEE</t>
  </si>
  <si>
    <t>Trading Multiples</t>
  </si>
  <si>
    <t>Current</t>
  </si>
  <si>
    <t>Share</t>
  </si>
  <si>
    <t>Enterprise</t>
  </si>
  <si>
    <t>Market</t>
  </si>
  <si>
    <t>EBITDA</t>
  </si>
  <si>
    <t>Net Income</t>
  </si>
  <si>
    <t>EBITDA Margin</t>
  </si>
  <si>
    <t>Profit Margin</t>
  </si>
  <si>
    <t>EV / Revenue</t>
  </si>
  <si>
    <t>EV / EBITDA</t>
  </si>
  <si>
    <t>P / E</t>
  </si>
  <si>
    <t>Count</t>
  </si>
  <si>
    <t>Value</t>
  </si>
  <si>
    <t>Cap</t>
  </si>
  <si>
    <t>24</t>
  </si>
  <si>
    <t>'24-'25</t>
  </si>
  <si>
    <t>DIVISLAB</t>
  </si>
  <si>
    <t>CIPLA</t>
  </si>
  <si>
    <t>TORNTPHARM</t>
  </si>
  <si>
    <t>DRREDDY</t>
  </si>
  <si>
    <t>MANKIND</t>
  </si>
  <si>
    <t>ZYDUSLIFE</t>
  </si>
  <si>
    <t>Mean</t>
  </si>
  <si>
    <t>Median</t>
  </si>
  <si>
    <t>2026 Trading Multiple</t>
  </si>
  <si>
    <t>2026 Financial Metric</t>
  </si>
  <si>
    <t>Calculating Implied Share Price</t>
  </si>
  <si>
    <t>P/E</t>
  </si>
  <si>
    <t>Cash</t>
  </si>
  <si>
    <t>Shares</t>
  </si>
  <si>
    <t>Minimum</t>
  </si>
  <si>
    <t>Maximum</t>
  </si>
  <si>
    <t>Leverad Beta</t>
  </si>
  <si>
    <t xml:space="preserve"> Market Cap</t>
  </si>
  <si>
    <t>Net Debt</t>
  </si>
  <si>
    <t>Unlevered Beta</t>
  </si>
  <si>
    <t>Levered beta / (1+ (1 - tax rate) * (Debt / Equity)</t>
  </si>
  <si>
    <t>Industry Average Unlevered Beta</t>
  </si>
  <si>
    <t>Amazon (AMZN) Levered Beta</t>
  </si>
  <si>
    <t>Unlevered Beta * (1 + (1 - tax rate) * (Debt/Equity))</t>
  </si>
  <si>
    <t>hfc</t>
  </si>
  <si>
    <t>Full Diluted Shares</t>
  </si>
  <si>
    <t>Current stock price</t>
  </si>
  <si>
    <t>Basic share Outstanding (latest fillings)</t>
  </si>
  <si>
    <t>In-the-money exercisable option</t>
  </si>
  <si>
    <t>Total proceeds ($ mm)</t>
  </si>
  <si>
    <t>Total shares repurchased (mm)</t>
  </si>
  <si>
    <t>Net dilutive option</t>
  </si>
  <si>
    <t>Dilutive impact of shares from other securities</t>
  </si>
  <si>
    <t>Net dilutive share outstanding</t>
  </si>
  <si>
    <t>Option outstanding</t>
  </si>
  <si>
    <t>Outstanding</t>
  </si>
  <si>
    <t>Exercise price</t>
  </si>
  <si>
    <t>Dilutive shares</t>
  </si>
  <si>
    <t>Tranche 1</t>
  </si>
  <si>
    <t>Tranche 2</t>
  </si>
  <si>
    <t>Tranche 3</t>
  </si>
  <si>
    <t>Tranche 4</t>
  </si>
  <si>
    <t>Tranche 5</t>
  </si>
  <si>
    <t>Tranche 6</t>
  </si>
  <si>
    <t>Tranche 7</t>
  </si>
  <si>
    <t>Tranche 8</t>
  </si>
  <si>
    <t>Tranche 9</t>
  </si>
  <si>
    <t>Tranche 10</t>
  </si>
  <si>
    <t>Convertible Bonds</t>
  </si>
  <si>
    <t>Principal Outstanding</t>
  </si>
  <si>
    <t>Conversion ratio</t>
  </si>
  <si>
    <t>Conversion Price</t>
  </si>
  <si>
    <t>Convertible Common Shares</t>
  </si>
  <si>
    <t>Dilutive Impact of convertible securities</t>
  </si>
  <si>
    <t>Elimination of  liability from net debt</t>
  </si>
  <si>
    <t>Stub</t>
  </si>
  <si>
    <t>EBIAT = EBIT - Tax</t>
  </si>
  <si>
    <t>Based on Annual report of 2025</t>
  </si>
  <si>
    <t>Based on Annual report 2025 Balance sheet.</t>
  </si>
  <si>
    <t xml:space="preserve">[xx] - Copied from another sheet </t>
  </si>
  <si>
    <t>[xx] - Hardcoded</t>
  </si>
  <si>
    <t>[xx] - Copied from same sheet</t>
  </si>
  <si>
    <t>[xx] - Calculations</t>
  </si>
  <si>
    <t xml:space="preserve">Terminal value </t>
  </si>
  <si>
    <t>Present value of Terminal value</t>
  </si>
  <si>
    <t>Enterpeise value</t>
  </si>
  <si>
    <t>Equity value</t>
  </si>
  <si>
    <t>Implied Share price</t>
  </si>
  <si>
    <t>A Positive change in NWC is the use of cash that reduces UFCF, while a Negative change in NWC is a source of cash that increases UFCF.</t>
  </si>
  <si>
    <t xml:space="preserve">* </t>
  </si>
  <si>
    <t>A negative Change in NWC occurs when the company decreases a/c receivable and increases a/c payable, i.e. delaying the payment of suppliers or creditors</t>
  </si>
  <si>
    <t>Estimates for 2025E and 2026E are from Tikr, and the averages for 2027E to 2029E are based on the last 3 Years.</t>
  </si>
  <si>
    <t>[xx] - Estimates</t>
  </si>
  <si>
    <t>Income Statement (Crore) (RS)</t>
  </si>
  <si>
    <t>Cash Flow  (Crore) (RS)</t>
  </si>
  <si>
    <t>DCF (Crore) (RS)</t>
  </si>
  <si>
    <t>Enterprise Value Sensitivty Table (Crore) (RS)</t>
  </si>
  <si>
    <t>Implied Share Price Sensitivity Table (Thousands) (Rs)</t>
  </si>
  <si>
    <t>Income Statement (Crores) (Rs)</t>
  </si>
  <si>
    <t>Other Important Metrics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</si>
</sst>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6" formatCode="&quot;$&quot;#,##0_);[Red]\(&quot;$&quot;#,##0\)"/>
    <numFmt numFmtId="44" formatCode="_(&quot;$&quot;* #,##0.00_);_(&quot;$&quot;* \(#,##0.00\);_(&quot;$&quot;* &quot;-&quot;??_);_(@_)"/>
    <numFmt numFmtId="43" formatCode="_(* #,##0.00_);_(* \(#,##0.00\);_(* &quot;-&quot;??_);_(@_)"/>
    <numFmt numFmtId="164" formatCode="_ * #,##0.00_ ;_ * \-#,##0.00_ ;_ * &quot;-&quot;??_ ;_ @_ "/>
    <numFmt numFmtId="165" formatCode="[$-409]mmm\-yy;@"/>
    <numFmt numFmtId="166" formatCode="_(* #,##0_);_(* \(#,##0\);_(* &quot;-&quot;??_);_(@_)"/>
    <numFmt numFmtId="167" formatCode="_(* #,##0.0_);_(* \(#,##0.0\);_(* &quot;-&quot;??_);_(@_)"/>
    <numFmt numFmtId="168" formatCode="[$-409]mmm/yy;@"/>
    <numFmt numFmtId="169" formatCode="_ * #,##0.0_ ;_ * \-#,##0.0_ ;_ * &quot;-&quot;??_ ;_ @_ "/>
    <numFmt numFmtId="170" formatCode="_ * #,##0_ ;_ * \-#,##0_ ;_ * &quot;-&quot;??_ ;_ @_ "/>
    <numFmt numFmtId="171" formatCode="0.0%"/>
    <numFmt numFmtId="172" formatCode="#,##0.000_);[Red]\(#,##0.000\)"/>
    <numFmt numFmtId="173" formatCode="0.0000%"/>
    <numFmt numFmtId="174" formatCode="0%;\(0%\)"/>
    <numFmt numFmtId="175" formatCode="0\A"/>
    <numFmt numFmtId="176" formatCode="0\E"/>
    <numFmt numFmtId="177" formatCode="0.000000%"/>
    <numFmt numFmtId="178" formatCode="0.000%"/>
    <numFmt numFmtId="179" formatCode="0.0"/>
    <numFmt numFmtId="180" formatCode="_([$$-409]* #,##0.00_);_([$$-409]* \(#,##0.00\);_([$$-409]* &quot;-&quot;??_);_(@_)"/>
    <numFmt numFmtId="181" formatCode="_ [$₹-4009]\ * #,##0.00_ ;_ [$₹-4009]\ * \-#,##0.00_ ;_ [$₹-4009]\ * &quot;-&quot;??_ ;_ @_ "/>
    <numFmt numFmtId="182" formatCode="_ [$₹-4009]\ * #,##0_ ;_ [$₹-4009]\ * \-#,##0_ ;_ [$₹-4009]\ * &quot;-&quot;??_ ;_ @_ "/>
    <numFmt numFmtId="183" formatCode="0.000"/>
    <numFmt numFmtId="184" formatCode="0.0\x"/>
    <numFmt numFmtId="185" formatCode="&quot;Tranche&quot;\ \'0"/>
  </numFmts>
  <fonts count="78"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b/>
      <sz val="12"/>
      <color theme="1"/>
      <name val="Arial"/>
      <family val="2"/>
    </font>
    <font>
      <sz val="10"/>
      <color rgb="FFC00000"/>
      <name val="Arial"/>
      <family val="2"/>
    </font>
    <font>
      <b/>
      <sz val="10"/>
      <color theme="1" tint="0.14999847407452621"/>
      <name val="Arial"/>
      <family val="2"/>
    </font>
    <font>
      <sz val="10"/>
      <color theme="1" tint="0.14999847407452621"/>
      <name val="Arial"/>
      <family val="2"/>
    </font>
    <font>
      <i/>
      <sz val="10"/>
      <color theme="0"/>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b/>
      <sz val="10"/>
      <color theme="1"/>
      <name val="Arial"/>
      <family val="2"/>
    </font>
    <font>
      <sz val="10"/>
      <color theme="1"/>
      <name val="Arial"/>
      <family val="2"/>
    </font>
    <font>
      <b/>
      <sz val="10"/>
      <color theme="0"/>
      <name val="Arial"/>
      <family val="2"/>
    </font>
    <font>
      <sz val="10"/>
      <color theme="0"/>
      <name val="Arial"/>
      <family val="2"/>
    </font>
    <font>
      <i/>
      <sz val="10"/>
      <color theme="1"/>
      <name val="Arial"/>
      <family val="2"/>
    </font>
    <font>
      <b/>
      <i/>
      <sz val="10"/>
      <color rgb="FFC00000"/>
      <name val="Arial"/>
      <family val="2"/>
    </font>
    <font>
      <i/>
      <sz val="11"/>
      <color theme="1"/>
      <name val="Calibri"/>
      <family val="2"/>
      <scheme val="minor"/>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b/>
      <sz val="18"/>
      <color theme="1"/>
      <name val="Calibri"/>
      <family val="2"/>
      <scheme val="minor"/>
    </font>
    <font>
      <sz val="14"/>
      <color theme="1"/>
      <name val="Calibri"/>
      <family val="2"/>
      <scheme val="minor"/>
    </font>
    <font>
      <b/>
      <u/>
      <sz val="11"/>
      <color theme="1"/>
      <name val="Calibri"/>
      <family val="2"/>
      <scheme val="minor"/>
    </font>
    <font>
      <sz val="11"/>
      <color rgb="FF7030A0"/>
      <name val="Calibri"/>
      <family val="2"/>
      <scheme val="minor"/>
    </font>
    <font>
      <b/>
      <sz val="11"/>
      <color theme="0" tint="-0.249977111117893"/>
      <name val="Calibri"/>
      <family val="2"/>
      <scheme val="minor"/>
    </font>
    <font>
      <sz val="11"/>
      <color rgb="FF92D050"/>
      <name val="Calibri"/>
      <family val="2"/>
      <scheme val="minor"/>
    </font>
    <font>
      <sz val="11"/>
      <color rgb="FF22222F"/>
      <name val="Arial"/>
      <family val="2"/>
    </font>
    <font>
      <sz val="11"/>
      <color rgb="FF002060"/>
      <name val="Calibri"/>
      <family val="2"/>
      <scheme val="minor"/>
    </font>
    <font>
      <sz val="11"/>
      <color rgb="FFC00000"/>
      <name val="Calibri"/>
      <family val="2"/>
      <scheme val="minor"/>
    </font>
    <font>
      <b/>
      <sz val="20"/>
      <color theme="1"/>
      <name val="Calibri"/>
      <family val="2"/>
      <scheme val="minor"/>
    </font>
    <font>
      <sz val="12"/>
      <color theme="1"/>
      <name val="Calibri"/>
      <family val="2"/>
      <scheme val="minor"/>
    </font>
    <font>
      <b/>
      <sz val="12"/>
      <color theme="0"/>
      <name val="Calibri"/>
      <family val="2"/>
      <scheme val="minor"/>
    </font>
    <font>
      <b/>
      <sz val="12"/>
      <color rgb="FFC00000"/>
      <name val="Calibri"/>
      <family val="2"/>
      <scheme val="minor"/>
    </font>
    <font>
      <b/>
      <sz val="12"/>
      <color theme="1"/>
      <name val="Calibri"/>
      <family val="2"/>
      <scheme val="minor"/>
    </font>
    <font>
      <b/>
      <u val="singleAccounting"/>
      <sz val="12"/>
      <color theme="1"/>
      <name val="Calibri"/>
      <family val="2"/>
      <scheme val="minor"/>
    </font>
    <font>
      <sz val="12"/>
      <color theme="4"/>
      <name val="Calibri"/>
      <family val="2"/>
      <scheme val="minor"/>
    </font>
    <font>
      <sz val="12"/>
      <color rgb="FF000000"/>
      <name val="Calibri"/>
      <family val="2"/>
      <scheme val="minor"/>
    </font>
    <font>
      <sz val="12"/>
      <color theme="0"/>
      <name val="Calibri"/>
      <family val="2"/>
      <scheme val="minor"/>
    </font>
    <font>
      <sz val="12"/>
      <color theme="2"/>
      <name val="Calibri"/>
      <family val="2"/>
      <scheme val="minor"/>
    </font>
    <font>
      <sz val="8"/>
      <color rgb="FF000000"/>
      <name val="Arial"/>
      <family val="2"/>
    </font>
    <font>
      <sz val="12"/>
      <color rgb="FF2F3033"/>
      <name val="Calibri"/>
      <family val="2"/>
      <scheme val="minor"/>
    </font>
    <font>
      <sz val="12"/>
      <color theme="7" tint="0.39997558519241921"/>
      <name val="Calibri"/>
      <family val="2"/>
      <scheme val="minor"/>
    </font>
    <font>
      <sz val="11"/>
      <color rgb="FF8B0000"/>
      <name val="Calibri"/>
      <family val="2"/>
      <scheme val="minor"/>
    </font>
    <font>
      <sz val="11"/>
      <color rgb="FF003366"/>
      <name val="Calibri"/>
      <family val="2"/>
      <scheme val="minor"/>
    </font>
    <font>
      <sz val="11"/>
      <color rgb="FF001B50"/>
      <name val="Calibri"/>
      <family val="2"/>
      <scheme val="minor"/>
    </font>
    <font>
      <b/>
      <sz val="11"/>
      <color rgb="FF7030A0"/>
      <name val="Calibri"/>
      <family val="2"/>
      <scheme val="minor"/>
    </font>
    <font>
      <sz val="12"/>
      <color theme="7" tint="-0.249977111117893"/>
      <name val="Calibri"/>
      <family val="2"/>
      <scheme val="minor"/>
    </font>
    <font>
      <b/>
      <sz val="11"/>
      <color rgb="FF92D050"/>
      <name val="Calibri"/>
      <family val="2"/>
      <scheme val="minor"/>
    </font>
  </fonts>
  <fills count="19">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bgColor indexed="64"/>
      </patternFill>
    </fill>
    <fill>
      <patternFill patternType="solid">
        <fgColor rgb="FFFFF2CC"/>
        <bgColor indexed="64"/>
      </patternFill>
    </fill>
    <fill>
      <patternFill patternType="solid">
        <fgColor theme="8" tint="-0.499984740745262"/>
        <bgColor indexed="64"/>
      </patternFill>
    </fill>
    <fill>
      <patternFill patternType="solid">
        <fgColor rgb="FFF8F8FC"/>
        <bgColor indexed="64"/>
      </patternFill>
    </fill>
    <fill>
      <patternFill patternType="solid">
        <fgColor rgb="FF002060"/>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theme="7" tint="-0.249977111117893"/>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style="medium">
        <color rgb="FFDBE4F0"/>
      </top>
      <bottom/>
      <diagonal/>
    </border>
    <border>
      <left style="hair">
        <color indexed="64"/>
      </left>
      <right style="hair">
        <color indexed="64"/>
      </right>
      <top style="hair">
        <color indexed="64"/>
      </top>
      <bottom style="hair">
        <color indexed="64"/>
      </bottom>
      <diagonal/>
    </border>
  </borders>
  <cellStyleXfs count="6">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cellStyleXfs>
  <cellXfs count="629">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5" fillId="0" borderId="0" xfId="2" applyFont="1" applyBorder="1" applyAlignment="1" applyProtection="1"/>
    <xf numFmtId="0" fontId="8" fillId="0" borderId="0" xfId="0" applyFont="1"/>
    <xf numFmtId="0" fontId="9" fillId="0" borderId="0" xfId="0" applyFont="1"/>
    <xf numFmtId="165" fontId="10" fillId="3" borderId="0" xfId="0" applyNumberFormat="1" applyFont="1" applyFill="1" applyAlignment="1">
      <alignment horizontal="center"/>
    </xf>
    <xf numFmtId="164" fontId="8" fillId="0" borderId="0" xfId="1" applyFont="1" applyBorder="1"/>
    <xf numFmtId="0" fontId="11" fillId="0" borderId="0" xfId="0" applyFont="1"/>
    <xf numFmtId="164" fontId="9" fillId="0" borderId="0" xfId="1" applyFont="1" applyBorder="1"/>
    <xf numFmtId="0" fontId="9" fillId="0" borderId="1" xfId="0" applyFont="1" applyBorder="1"/>
    <xf numFmtId="0" fontId="9" fillId="5" borderId="1" xfId="0" applyFont="1" applyFill="1" applyBorder="1" applyAlignment="1">
      <alignment horizontal="right"/>
    </xf>
    <xf numFmtId="168" fontId="9" fillId="5" borderId="1" xfId="0" applyNumberFormat="1" applyFont="1" applyFill="1" applyBorder="1" applyAlignment="1">
      <alignment horizontal="right"/>
    </xf>
    <xf numFmtId="0" fontId="9" fillId="5" borderId="0" xfId="0" applyFont="1" applyFill="1" applyAlignment="1">
      <alignment horizontal="right"/>
    </xf>
    <xf numFmtId="167" fontId="9" fillId="5" borderId="1" xfId="1" applyNumberFormat="1" applyFont="1" applyFill="1" applyBorder="1" applyAlignment="1">
      <alignment horizontal="right"/>
    </xf>
    <xf numFmtId="166"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5" fontId="10" fillId="3" borderId="0" xfId="1" applyNumberFormat="1" applyFont="1" applyFill="1" applyBorder="1"/>
    <xf numFmtId="165" fontId="13" fillId="0" borderId="0" xfId="1" applyNumberFormat="1" applyFont="1" applyFill="1" applyBorder="1"/>
    <xf numFmtId="43" fontId="9" fillId="0" borderId="0" xfId="1" applyNumberFormat="1" applyFont="1" applyBorder="1"/>
    <xf numFmtId="170" fontId="9" fillId="0" borderId="1" xfId="1" applyNumberFormat="1" applyFont="1" applyBorder="1"/>
    <xf numFmtId="166" fontId="9" fillId="7" borderId="1" xfId="1" applyNumberFormat="1" applyFont="1" applyFill="1" applyBorder="1" applyAlignment="1">
      <alignment horizontal="right"/>
    </xf>
    <xf numFmtId="167"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6" fontId="18" fillId="0" borderId="1" xfId="1" applyNumberFormat="1" applyFont="1" applyBorder="1" applyAlignment="1">
      <alignment horizontal="right"/>
    </xf>
    <xf numFmtId="166" fontId="9" fillId="0" borderId="1" xfId="1" applyNumberFormat="1" applyFont="1" applyBorder="1" applyAlignment="1">
      <alignment horizontal="right"/>
    </xf>
    <xf numFmtId="166" fontId="9" fillId="0" borderId="1" xfId="1" applyNumberFormat="1" applyFont="1" applyBorder="1"/>
    <xf numFmtId="9" fontId="9" fillId="0" borderId="1" xfId="4" applyFont="1" applyBorder="1"/>
    <xf numFmtId="0" fontId="19" fillId="8" borderId="1" xfId="0" applyFont="1" applyFill="1" applyBorder="1" applyAlignment="1">
      <alignment horizontal="center"/>
    </xf>
    <xf numFmtId="0" fontId="19" fillId="8" borderId="1" xfId="0" applyFont="1" applyFill="1" applyBorder="1"/>
    <xf numFmtId="0" fontId="19" fillId="8" borderId="1" xfId="0" applyFont="1" applyFill="1" applyBorder="1" applyAlignment="1">
      <alignment horizontal="right"/>
    </xf>
    <xf numFmtId="9" fontId="10" fillId="4" borderId="1" xfId="0" applyNumberFormat="1" applyFont="1" applyFill="1" applyBorder="1"/>
    <xf numFmtId="166" fontId="10" fillId="4" borderId="1" xfId="1" applyNumberFormat="1" applyFont="1" applyFill="1" applyBorder="1" applyAlignment="1">
      <alignment horizontal="right"/>
    </xf>
    <xf numFmtId="170" fontId="10" fillId="4" borderId="1" xfId="1" applyNumberFormat="1" applyFont="1" applyFill="1" applyBorder="1" applyAlignment="1">
      <alignment horizontal="right"/>
    </xf>
    <xf numFmtId="166" fontId="9" fillId="7" borderId="1" xfId="1" applyNumberFormat="1" applyFont="1" applyFill="1" applyBorder="1"/>
    <xf numFmtId="166" fontId="20" fillId="7" borderId="1" xfId="1" applyNumberFormat="1" applyFont="1" applyFill="1" applyBorder="1"/>
    <xf numFmtId="0" fontId="24" fillId="0" borderId="0" xfId="0" applyFont="1" applyAlignment="1">
      <alignment horizontal="center"/>
    </xf>
    <xf numFmtId="166" fontId="9" fillId="0" borderId="13" xfId="1" applyNumberFormat="1" applyFont="1" applyFill="1" applyBorder="1" applyAlignment="1">
      <alignment horizontal="center"/>
    </xf>
    <xf numFmtId="0" fontId="9" fillId="0" borderId="0" xfId="0" applyFont="1" applyAlignment="1">
      <alignment horizontal="left"/>
    </xf>
    <xf numFmtId="49" fontId="23" fillId="9" borderId="14" xfId="0" applyNumberFormat="1" applyFont="1" applyFill="1" applyBorder="1" applyAlignment="1">
      <alignment horizontal="center"/>
    </xf>
    <xf numFmtId="49" fontId="23"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5" fillId="0" borderId="0" xfId="0" applyFont="1"/>
    <xf numFmtId="9" fontId="9" fillId="0" borderId="0" xfId="0" applyNumberFormat="1" applyFont="1"/>
    <xf numFmtId="9" fontId="25" fillId="0" borderId="0" xfId="0" applyNumberFormat="1" applyFont="1" applyAlignment="1">
      <alignment horizontal="center"/>
    </xf>
    <xf numFmtId="0" fontId="23" fillId="9" borderId="7" xfId="0" applyFont="1" applyFill="1" applyBorder="1" applyAlignment="1">
      <alignment horizontal="center"/>
    </xf>
    <xf numFmtId="0" fontId="23" fillId="9" borderId="8" xfId="0" applyFont="1" applyFill="1" applyBorder="1" applyAlignment="1">
      <alignment horizontal="center"/>
    </xf>
    <xf numFmtId="0" fontId="23"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6" fontId="13" fillId="0" borderId="25" xfId="0" applyNumberFormat="1" applyFont="1" applyBorder="1" applyAlignment="1">
      <alignment horizontal="center"/>
    </xf>
    <xf numFmtId="166"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6" fontId="13" fillId="0" borderId="12" xfId="0" applyNumberFormat="1" applyFont="1" applyBorder="1" applyAlignment="1">
      <alignment horizontal="center"/>
    </xf>
    <xf numFmtId="0" fontId="13" fillId="0" borderId="0" xfId="0" applyFont="1" applyAlignment="1">
      <alignment horizontal="center"/>
    </xf>
    <xf numFmtId="172" fontId="13" fillId="0" borderId="0" xfId="0" applyNumberFormat="1" applyFont="1" applyAlignment="1">
      <alignment horizontal="center"/>
    </xf>
    <xf numFmtId="9" fontId="13" fillId="0" borderId="0" xfId="0" applyNumberFormat="1" applyFont="1" applyAlignment="1">
      <alignment horizontal="center"/>
    </xf>
    <xf numFmtId="6"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8"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6" fontId="9" fillId="0" borderId="0" xfId="1" applyNumberFormat="1" applyFont="1" applyAlignment="1">
      <alignment wrapText="1"/>
    </xf>
    <xf numFmtId="0" fontId="9" fillId="0" borderId="7" xfId="0" applyFont="1" applyBorder="1"/>
    <xf numFmtId="0" fontId="9" fillId="0" borderId="24" xfId="0" applyFont="1" applyBorder="1"/>
    <xf numFmtId="166" fontId="9" fillId="5" borderId="25" xfId="1" applyNumberFormat="1" applyFont="1" applyFill="1" applyBorder="1"/>
    <xf numFmtId="173" fontId="9" fillId="0" borderId="0" xfId="4" applyNumberFormat="1" applyFont="1"/>
    <xf numFmtId="0" fontId="27"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0"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7" fontId="9" fillId="5" borderId="25" xfId="1" applyNumberFormat="1" applyFont="1" applyFill="1" applyBorder="1"/>
    <xf numFmtId="9" fontId="12" fillId="4" borderId="9" xfId="0" applyNumberFormat="1" applyFont="1" applyFill="1" applyBorder="1"/>
    <xf numFmtId="167"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5"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9" fillId="9" borderId="1" xfId="4" applyFont="1" applyFill="1" applyBorder="1"/>
    <xf numFmtId="9" fontId="11" fillId="0" borderId="1" xfId="4" applyFont="1" applyBorder="1"/>
    <xf numFmtId="170" fontId="8" fillId="0" borderId="1" xfId="1" applyNumberFormat="1" applyFont="1" applyBorder="1"/>
    <xf numFmtId="170" fontId="21" fillId="4" borderId="1" xfId="1" applyNumberFormat="1" applyFont="1" applyFill="1" applyBorder="1"/>
    <xf numFmtId="170" fontId="11" fillId="0" borderId="1" xfId="0" applyNumberFormat="1" applyFont="1" applyBorder="1"/>
    <xf numFmtId="166" fontId="8" fillId="9" borderId="1" xfId="1" applyNumberFormat="1" applyFont="1" applyFill="1" applyBorder="1" applyAlignment="1">
      <alignment horizontal="right"/>
    </xf>
    <xf numFmtId="166" fontId="8" fillId="9" borderId="1" xfId="1" applyNumberFormat="1" applyFont="1" applyFill="1" applyBorder="1"/>
    <xf numFmtId="166" fontId="9" fillId="9" borderId="25" xfId="1" applyNumberFormat="1" applyFont="1" applyFill="1" applyBorder="1"/>
    <xf numFmtId="0" fontId="10" fillId="3" borderId="33" xfId="0" applyFont="1" applyFill="1" applyBorder="1"/>
    <xf numFmtId="165" fontId="10" fillId="3" borderId="30" xfId="0" applyNumberFormat="1" applyFont="1" applyFill="1" applyBorder="1" applyAlignment="1">
      <alignment horizontal="center"/>
    </xf>
    <xf numFmtId="165" fontId="10" fillId="3" borderId="2" xfId="0" applyNumberFormat="1" applyFont="1" applyFill="1" applyBorder="1" applyAlignment="1">
      <alignment horizontal="center"/>
    </xf>
    <xf numFmtId="0" fontId="8" fillId="0" borderId="6" xfId="0" applyFont="1" applyBorder="1"/>
    <xf numFmtId="170" fontId="8" fillId="0" borderId="4" xfId="1" applyNumberFormat="1" applyFont="1" applyBorder="1"/>
    <xf numFmtId="0" fontId="11" fillId="0" borderId="6" xfId="0" applyFont="1" applyBorder="1"/>
    <xf numFmtId="164" fontId="11" fillId="0" borderId="1" xfId="1" applyFont="1" applyBorder="1"/>
    <xf numFmtId="9" fontId="11" fillId="0" borderId="4" xfId="4" applyFont="1" applyBorder="1"/>
    <xf numFmtId="0" fontId="9" fillId="0" borderId="6" xfId="0" applyFont="1" applyBorder="1"/>
    <xf numFmtId="170"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28" fillId="0" borderId="0" xfId="2" applyFont="1" applyFill="1" applyBorder="1" applyAlignment="1" applyProtection="1"/>
    <xf numFmtId="0" fontId="28" fillId="0" borderId="0" xfId="2" applyFont="1" applyAlignment="1" applyProtection="1">
      <alignment horizontal="left"/>
    </xf>
    <xf numFmtId="0" fontId="31" fillId="0" borderId="0" xfId="0" applyFont="1"/>
    <xf numFmtId="0" fontId="32" fillId="0" borderId="0" xfId="0" applyFont="1"/>
    <xf numFmtId="0" fontId="33" fillId="3" borderId="7" xfId="0" applyFont="1" applyFill="1" applyBorder="1"/>
    <xf numFmtId="165" fontId="33" fillId="3" borderId="8" xfId="0" applyNumberFormat="1" applyFont="1" applyFill="1" applyBorder="1" applyAlignment="1">
      <alignment horizontal="center"/>
    </xf>
    <xf numFmtId="0" fontId="33" fillId="3" borderId="9" xfId="0" applyFont="1" applyFill="1" applyBorder="1" applyAlignment="1">
      <alignment horizontal="center"/>
    </xf>
    <xf numFmtId="0" fontId="32" fillId="0" borderId="24" xfId="0" applyFont="1" applyBorder="1"/>
    <xf numFmtId="170" fontId="32" fillId="0" borderId="1" xfId="1" applyNumberFormat="1" applyFont="1" applyBorder="1"/>
    <xf numFmtId="170" fontId="32" fillId="0" borderId="25" xfId="1" applyNumberFormat="1" applyFont="1" applyBorder="1"/>
    <xf numFmtId="0" fontId="34" fillId="9" borderId="24" xfId="0" applyFont="1" applyFill="1" applyBorder="1"/>
    <xf numFmtId="164" fontId="32" fillId="9" borderId="1" xfId="1" applyFont="1" applyFill="1" applyBorder="1"/>
    <xf numFmtId="9" fontId="34" fillId="9" borderId="1" xfId="4" applyFont="1" applyFill="1" applyBorder="1"/>
    <xf numFmtId="9" fontId="34" fillId="9" borderId="25" xfId="4" applyFont="1" applyFill="1" applyBorder="1"/>
    <xf numFmtId="0" fontId="31" fillId="0" borderId="24" xfId="0" applyFont="1" applyBorder="1"/>
    <xf numFmtId="170" fontId="31" fillId="0" borderId="1" xfId="1" applyNumberFormat="1" applyFont="1" applyBorder="1"/>
    <xf numFmtId="170" fontId="31" fillId="0" borderId="25" xfId="1" applyNumberFormat="1" applyFont="1" applyBorder="1"/>
    <xf numFmtId="164" fontId="34" fillId="0" borderId="24" xfId="1" applyFont="1" applyBorder="1" applyAlignment="1">
      <alignment horizontal="left" indent="1"/>
    </xf>
    <xf numFmtId="9" fontId="34" fillId="0" borderId="1" xfId="4" applyFont="1" applyBorder="1"/>
    <xf numFmtId="9" fontId="34" fillId="0" borderId="25" xfId="4" applyFont="1" applyBorder="1"/>
    <xf numFmtId="171" fontId="34" fillId="9" borderId="1" xfId="1" applyNumberFormat="1" applyFont="1" applyFill="1" applyBorder="1"/>
    <xf numFmtId="171" fontId="34" fillId="9" borderId="25" xfId="1" applyNumberFormat="1" applyFont="1" applyFill="1" applyBorder="1"/>
    <xf numFmtId="170" fontId="34" fillId="9" borderId="1" xfId="1" applyNumberFormat="1" applyFont="1" applyFill="1" applyBorder="1"/>
    <xf numFmtId="170" fontId="34" fillId="9" borderId="25" xfId="1" applyNumberFormat="1" applyFont="1" applyFill="1" applyBorder="1"/>
    <xf numFmtId="169" fontId="31" fillId="0" borderId="1" xfId="1" applyNumberFormat="1" applyFont="1" applyBorder="1"/>
    <xf numFmtId="169" fontId="31" fillId="0" borderId="25" xfId="1" applyNumberFormat="1" applyFont="1" applyBorder="1"/>
    <xf numFmtId="0" fontId="31" fillId="9" borderId="24" xfId="0" applyFont="1" applyFill="1" applyBorder="1"/>
    <xf numFmtId="169" fontId="31" fillId="9" borderId="1" xfId="1" applyNumberFormat="1" applyFont="1" applyFill="1" applyBorder="1"/>
    <xf numFmtId="169" fontId="31" fillId="9" borderId="25" xfId="1" applyNumberFormat="1" applyFont="1" applyFill="1" applyBorder="1"/>
    <xf numFmtId="171" fontId="31" fillId="0" borderId="1" xfId="0" applyNumberFormat="1" applyFont="1" applyBorder="1"/>
    <xf numFmtId="10" fontId="31" fillId="0" borderId="25" xfId="0" applyNumberFormat="1" applyFont="1" applyBorder="1"/>
    <xf numFmtId="0" fontId="31" fillId="0" borderId="10" xfId="0" applyFont="1" applyBorder="1"/>
    <xf numFmtId="169" fontId="31" fillId="0" borderId="11" xfId="1" applyNumberFormat="1" applyFont="1" applyBorder="1"/>
    <xf numFmtId="10" fontId="31" fillId="0" borderId="12" xfId="0" applyNumberFormat="1" applyFont="1" applyBorder="1"/>
    <xf numFmtId="170" fontId="31" fillId="0" borderId="0" xfId="0" applyNumberFormat="1" applyFont="1"/>
    <xf numFmtId="165" fontId="33" fillId="3" borderId="1" xfId="0" applyNumberFormat="1" applyFont="1" applyFill="1" applyBorder="1" applyAlignment="1">
      <alignment horizontal="center"/>
    </xf>
    <xf numFmtId="0" fontId="31" fillId="0" borderId="1" xfId="0" applyFont="1" applyBorder="1"/>
    <xf numFmtId="171" fontId="31" fillId="9" borderId="1" xfId="0" applyNumberFormat="1" applyFont="1" applyFill="1" applyBorder="1"/>
    <xf numFmtId="0" fontId="37" fillId="0" borderId="0" xfId="0" applyFont="1"/>
    <xf numFmtId="0" fontId="36" fillId="9" borderId="4" xfId="0" applyFont="1" applyFill="1" applyBorder="1" applyAlignment="1">
      <alignment horizontal="center"/>
    </xf>
    <xf numFmtId="0" fontId="36" fillId="9" borderId="5" xfId="0" applyFont="1" applyFill="1" applyBorder="1" applyAlignment="1">
      <alignment horizontal="center"/>
    </xf>
    <xf numFmtId="0" fontId="36" fillId="9" borderId="6" xfId="0" applyFont="1" applyFill="1" applyBorder="1" applyAlignment="1">
      <alignment horizontal="center"/>
    </xf>
    <xf numFmtId="170" fontId="37" fillId="0" borderId="1" xfId="1" applyNumberFormat="1" applyFont="1" applyBorder="1"/>
    <xf numFmtId="165" fontId="10" fillId="3" borderId="24" xfId="1" applyNumberFormat="1" applyFont="1" applyFill="1" applyBorder="1"/>
    <xf numFmtId="165"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8" fillId="9" borderId="24" xfId="4" applyFont="1" applyFill="1" applyBorder="1"/>
    <xf numFmtId="9" fontId="8" fillId="9" borderId="25" xfId="0" applyNumberFormat="1" applyFont="1" applyFill="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9" fontId="9" fillId="9" borderId="24" xfId="4" applyFont="1" applyFill="1" applyBorder="1"/>
    <xf numFmtId="9" fontId="9" fillId="9" borderId="25" xfId="4" applyFont="1" applyFill="1" applyBorder="1"/>
    <xf numFmtId="9" fontId="9" fillId="0" borderId="10" xfId="4" applyFont="1" applyBorder="1"/>
    <xf numFmtId="9" fontId="9" fillId="0" borderId="11" xfId="4" applyFont="1" applyBorder="1"/>
    <xf numFmtId="9" fontId="9" fillId="0" borderId="12" xfId="4" applyFont="1" applyBorder="1"/>
    <xf numFmtId="0" fontId="38" fillId="0" borderId="0" xfId="0" applyFont="1"/>
    <xf numFmtId="0" fontId="39" fillId="0" borderId="0" xfId="0" applyFont="1"/>
    <xf numFmtId="170" fontId="39" fillId="0" borderId="1" xfId="1" applyNumberFormat="1" applyFont="1" applyBorder="1" applyAlignment="1">
      <alignment horizontal="center"/>
    </xf>
    <xf numFmtId="170" fontId="38" fillId="0" borderId="1" xfId="1" applyNumberFormat="1" applyFont="1" applyBorder="1" applyAlignment="1">
      <alignment horizontal="center"/>
    </xf>
    <xf numFmtId="170" fontId="39" fillId="0" borderId="1" xfId="1" applyNumberFormat="1" applyFont="1" applyBorder="1"/>
    <xf numFmtId="170" fontId="39" fillId="0" borderId="0" xfId="1" applyNumberFormat="1" applyFont="1" applyBorder="1"/>
    <xf numFmtId="170" fontId="42" fillId="9" borderId="1" xfId="1" applyNumberFormat="1" applyFont="1" applyFill="1" applyBorder="1"/>
    <xf numFmtId="169" fontId="42" fillId="9" borderId="1" xfId="1" applyNumberFormat="1" applyFont="1" applyFill="1" applyBorder="1"/>
    <xf numFmtId="9" fontId="42" fillId="9" borderId="1" xfId="4" applyFont="1" applyFill="1" applyBorder="1"/>
    <xf numFmtId="0" fontId="43" fillId="0" borderId="0" xfId="0" applyFont="1"/>
    <xf numFmtId="0" fontId="43" fillId="0" borderId="0" xfId="0" applyFont="1" applyAlignment="1">
      <alignment wrapText="1"/>
    </xf>
    <xf numFmtId="165" fontId="40" fillId="3" borderId="30" xfId="0" applyNumberFormat="1" applyFont="1" applyFill="1" applyBorder="1" applyAlignment="1">
      <alignment horizontal="center"/>
    </xf>
    <xf numFmtId="0" fontId="40" fillId="3" borderId="29" xfId="0" applyFont="1" applyFill="1" applyBorder="1"/>
    <xf numFmtId="165" fontId="40" fillId="3" borderId="31" xfId="0" applyNumberFormat="1" applyFont="1" applyFill="1" applyBorder="1" applyAlignment="1">
      <alignment horizontal="center"/>
    </xf>
    <xf numFmtId="0" fontId="39" fillId="0" borderId="24" xfId="0" applyFont="1" applyBorder="1"/>
    <xf numFmtId="170" fontId="39" fillId="0" borderId="25" xfId="1" applyNumberFormat="1" applyFont="1" applyBorder="1" applyAlignment="1">
      <alignment horizontal="center"/>
    </xf>
    <xf numFmtId="0" fontId="38" fillId="0" borderId="24" xfId="0" applyFont="1" applyBorder="1"/>
    <xf numFmtId="170" fontId="38" fillId="0" borderId="25" xfId="1" applyNumberFormat="1" applyFont="1" applyBorder="1" applyAlignment="1">
      <alignment horizontal="center"/>
    </xf>
    <xf numFmtId="170" fontId="39" fillId="0" borderId="25" xfId="1" applyNumberFormat="1" applyFont="1" applyBorder="1"/>
    <xf numFmtId="0" fontId="41" fillId="4" borderId="10" xfId="0" applyFont="1" applyFill="1" applyBorder="1"/>
    <xf numFmtId="170" fontId="41" fillId="4" borderId="11" xfId="1" applyNumberFormat="1" applyFont="1" applyFill="1" applyBorder="1"/>
    <xf numFmtId="170" fontId="41" fillId="4" borderId="12" xfId="1" applyNumberFormat="1" applyFont="1" applyFill="1" applyBorder="1"/>
    <xf numFmtId="0" fontId="42" fillId="9" borderId="7" xfId="0" applyFont="1" applyFill="1" applyBorder="1"/>
    <xf numFmtId="170" fontId="42" fillId="9" borderId="8" xfId="1" applyNumberFormat="1" applyFont="1" applyFill="1" applyBorder="1"/>
    <xf numFmtId="170" fontId="42" fillId="9" borderId="9" xfId="1" applyNumberFormat="1" applyFont="1" applyFill="1" applyBorder="1"/>
    <xf numFmtId="0" fontId="42" fillId="9" borderId="24" xfId="0" applyFont="1" applyFill="1" applyBorder="1"/>
    <xf numFmtId="170" fontId="42" fillId="9" borderId="25" xfId="1" applyNumberFormat="1" applyFont="1" applyFill="1" applyBorder="1"/>
    <xf numFmtId="169" fontId="42" fillId="9" borderId="25" xfId="1" applyNumberFormat="1" applyFont="1" applyFill="1" applyBorder="1"/>
    <xf numFmtId="9" fontId="42" fillId="9" borderId="25" xfId="4" applyFont="1" applyFill="1" applyBorder="1"/>
    <xf numFmtId="0" fontId="42" fillId="9" borderId="10" xfId="0" applyFont="1" applyFill="1" applyBorder="1"/>
    <xf numFmtId="0" fontId="10" fillId="3" borderId="24" xfId="0" applyFont="1" applyFill="1" applyBorder="1"/>
    <xf numFmtId="0" fontId="8" fillId="0" borderId="24" xfId="0" applyFont="1" applyBorder="1"/>
    <xf numFmtId="170" fontId="8" fillId="0" borderId="23" xfId="1" applyNumberFormat="1" applyFont="1" applyBorder="1"/>
    <xf numFmtId="0" fontId="11" fillId="0" borderId="24" xfId="0" applyFont="1" applyBorder="1"/>
    <xf numFmtId="170" fontId="11" fillId="0" borderId="23" xfId="1" applyNumberFormat="1" applyFont="1" applyBorder="1"/>
    <xf numFmtId="0" fontId="21" fillId="4" borderId="24" xfId="0" applyFont="1" applyFill="1" applyBorder="1"/>
    <xf numFmtId="170" fontId="26" fillId="0" borderId="23" xfId="1" applyNumberFormat="1" applyFont="1" applyBorder="1"/>
    <xf numFmtId="170" fontId="9" fillId="0" borderId="23" xfId="1" applyNumberFormat="1" applyFont="1" applyBorder="1"/>
    <xf numFmtId="0" fontId="11" fillId="0" borderId="10" xfId="0" applyFont="1" applyBorder="1"/>
    <xf numFmtId="9" fontId="11" fillId="0" borderId="11" xfId="4" applyFont="1" applyBorder="1"/>
    <xf numFmtId="170" fontId="9" fillId="0" borderId="28" xfId="1" applyNumberFormat="1" applyFont="1" applyBorder="1"/>
    <xf numFmtId="170" fontId="11" fillId="0" borderId="4" xfId="0" applyNumberFormat="1" applyFont="1" applyBorder="1" applyAlignment="1">
      <alignment horizontal="center"/>
    </xf>
    <xf numFmtId="170" fontId="26" fillId="0" borderId="1" xfId="1" applyNumberFormat="1" applyFont="1" applyBorder="1"/>
    <xf numFmtId="0" fontId="26" fillId="0" borderId="0" xfId="0" applyFont="1"/>
    <xf numFmtId="9" fontId="11" fillId="0" borderId="5" xfId="4" applyFont="1" applyBorder="1" applyAlignment="1">
      <alignment horizontal="center"/>
    </xf>
    <xf numFmtId="9" fontId="39" fillId="9" borderId="11" xfId="4" applyFont="1" applyFill="1" applyBorder="1"/>
    <xf numFmtId="9" fontId="39" fillId="9" borderId="12" xfId="4" applyFont="1" applyFill="1" applyBorder="1"/>
    <xf numFmtId="168" fontId="10" fillId="3" borderId="1" xfId="0" applyNumberFormat="1" applyFont="1" applyFill="1" applyBorder="1"/>
    <xf numFmtId="171" fontId="9" fillId="0" borderId="1" xfId="4" applyNumberFormat="1" applyFont="1" applyBorder="1"/>
    <xf numFmtId="171" fontId="9" fillId="0" borderId="1" xfId="0" applyNumberFormat="1" applyFont="1" applyBorder="1"/>
    <xf numFmtId="169" fontId="9" fillId="0" borderId="1" xfId="1" applyNumberFormat="1" applyFont="1" applyBorder="1"/>
    <xf numFmtId="0" fontId="12" fillId="3" borderId="24" xfId="0" applyFont="1" applyFill="1" applyBorder="1"/>
    <xf numFmtId="168" fontId="10" fillId="3" borderId="25" xfId="0" applyNumberFormat="1" applyFont="1" applyFill="1" applyBorder="1"/>
    <xf numFmtId="171" fontId="9" fillId="0" borderId="25" xfId="4" applyNumberFormat="1" applyFont="1" applyBorder="1"/>
    <xf numFmtId="0" fontId="9" fillId="0" borderId="25" xfId="0" applyFont="1" applyBorder="1"/>
    <xf numFmtId="171" fontId="9" fillId="0" borderId="25" xfId="0" applyNumberFormat="1" applyFont="1" applyBorder="1"/>
    <xf numFmtId="169" fontId="9" fillId="0" borderId="25" xfId="1" applyNumberFormat="1" applyFont="1" applyBorder="1"/>
    <xf numFmtId="0" fontId="9" fillId="0" borderId="10" xfId="0" applyFont="1" applyBorder="1"/>
    <xf numFmtId="170" fontId="9" fillId="0" borderId="11" xfId="1" applyNumberFormat="1" applyFont="1" applyBorder="1"/>
    <xf numFmtId="170" fontId="9" fillId="0" borderId="12" xfId="1" applyNumberFormat="1" applyFont="1" applyBorder="1"/>
    <xf numFmtId="0" fontId="45" fillId="0" borderId="0" xfId="0" applyFont="1"/>
    <xf numFmtId="0" fontId="46" fillId="0" borderId="0" xfId="0" applyFont="1"/>
    <xf numFmtId="168" fontId="45" fillId="0" borderId="0" xfId="0" applyNumberFormat="1" applyFont="1"/>
    <xf numFmtId="168" fontId="46" fillId="0" borderId="0" xfId="0" applyNumberFormat="1" applyFont="1"/>
    <xf numFmtId="9" fontId="45" fillId="0" borderId="0" xfId="4" applyFont="1"/>
    <xf numFmtId="170" fontId="45" fillId="0" borderId="0" xfId="1" applyNumberFormat="1" applyFont="1"/>
    <xf numFmtId="0" fontId="47" fillId="0" borderId="1" xfId="2" applyFont="1" applyBorder="1" applyAlignment="1" applyProtection="1"/>
    <xf numFmtId="0" fontId="8" fillId="7" borderId="1" xfId="0" applyFont="1" applyFill="1" applyBorder="1"/>
    <xf numFmtId="0" fontId="48" fillId="0" borderId="0" xfId="0" applyFont="1"/>
    <xf numFmtId="0" fontId="0" fillId="5" borderId="0" xfId="0" applyFill="1"/>
    <xf numFmtId="0" fontId="50" fillId="5" borderId="3" xfId="0" applyFont="1" applyFill="1" applyBorder="1"/>
    <xf numFmtId="0" fontId="0" fillId="5" borderId="3" xfId="0" applyFill="1" applyBorder="1"/>
    <xf numFmtId="0" fontId="51" fillId="5" borderId="0" xfId="0" applyFont="1" applyFill="1"/>
    <xf numFmtId="0" fontId="1" fillId="5" borderId="0" xfId="0" applyFont="1" applyFill="1"/>
    <xf numFmtId="0" fontId="4" fillId="5" borderId="0" xfId="0" applyFont="1" applyFill="1"/>
    <xf numFmtId="0" fontId="4" fillId="5" borderId="0" xfId="0" applyFont="1" applyFill="1" applyAlignment="1">
      <alignment horizontal="right"/>
    </xf>
    <xf numFmtId="0" fontId="4" fillId="5" borderId="0" xfId="0" applyFont="1" applyFill="1" applyAlignment="1">
      <alignment horizontal="left"/>
    </xf>
    <xf numFmtId="0" fontId="52" fillId="5" borderId="0" xfId="0" applyFont="1" applyFill="1" applyAlignment="1">
      <alignment horizontal="left"/>
    </xf>
    <xf numFmtId="0" fontId="0" fillId="5" borderId="0" xfId="0" applyFill="1" applyAlignment="1">
      <alignment horizontal="center"/>
    </xf>
    <xf numFmtId="0" fontId="1" fillId="5" borderId="0" xfId="0" applyFont="1" applyFill="1" applyAlignment="1">
      <alignment horizontal="center"/>
    </xf>
    <xf numFmtId="0" fontId="52" fillId="5" borderId="0" xfId="0" applyFont="1" applyFill="1" applyAlignment="1">
      <alignment horizontal="center"/>
    </xf>
    <xf numFmtId="0" fontId="0" fillId="5" borderId="0" xfId="0" quotePrefix="1" applyFill="1" applyAlignment="1">
      <alignment horizontal="center"/>
    </xf>
    <xf numFmtId="9" fontId="0" fillId="5" borderId="0" xfId="4" applyFont="1" applyFill="1" applyAlignment="1">
      <alignment horizontal="center"/>
    </xf>
    <xf numFmtId="0" fontId="4" fillId="5" borderId="0" xfId="0" applyFont="1" applyFill="1" applyAlignment="1">
      <alignment horizontal="center"/>
    </xf>
    <xf numFmtId="171" fontId="0" fillId="5" borderId="0" xfId="4" applyNumberFormat="1" applyFont="1" applyFill="1" applyBorder="1" applyAlignment="1">
      <alignment horizontal="center"/>
    </xf>
    <xf numFmtId="0" fontId="0" fillId="5" borderId="0" xfId="0" applyFill="1" applyAlignment="1">
      <alignment horizontal="right"/>
    </xf>
    <xf numFmtId="0" fontId="0" fillId="5" borderId="0" xfId="0" applyFill="1" applyAlignment="1">
      <alignment horizontal="left"/>
    </xf>
    <xf numFmtId="10" fontId="0" fillId="5" borderId="0" xfId="4" applyNumberFormat="1" applyFont="1" applyFill="1" applyAlignment="1">
      <alignment horizontal="right"/>
    </xf>
    <xf numFmtId="0" fontId="44" fillId="5" borderId="0" xfId="0" applyFont="1" applyFill="1"/>
    <xf numFmtId="9" fontId="0" fillId="5" borderId="0" xfId="4" applyFont="1" applyFill="1" applyAlignment="1">
      <alignment horizontal="right"/>
    </xf>
    <xf numFmtId="0" fontId="53" fillId="5" borderId="0" xfId="0" applyFont="1" applyFill="1"/>
    <xf numFmtId="9" fontId="0" fillId="5" borderId="0" xfId="4" applyFont="1" applyFill="1"/>
    <xf numFmtId="170" fontId="53" fillId="5" borderId="0" xfId="0" applyNumberFormat="1" applyFont="1" applyFill="1" applyAlignment="1">
      <alignment horizontal="right"/>
    </xf>
    <xf numFmtId="170" fontId="0" fillId="5" borderId="0" xfId="1" applyNumberFormat="1" applyFont="1" applyFill="1" applyAlignment="1">
      <alignment horizontal="right"/>
    </xf>
    <xf numFmtId="171" fontId="53" fillId="5" borderId="0" xfId="4" applyNumberFormat="1" applyFont="1" applyFill="1"/>
    <xf numFmtId="171" fontId="53" fillId="5" borderId="0" xfId="4" applyNumberFormat="1" applyFont="1" applyFill="1" applyAlignment="1">
      <alignment horizontal="right"/>
    </xf>
    <xf numFmtId="171" fontId="0" fillId="5" borderId="0" xfId="4" applyNumberFormat="1" applyFont="1" applyFill="1"/>
    <xf numFmtId="9" fontId="0" fillId="5" borderId="0" xfId="0" applyNumberFormat="1" applyFill="1" applyAlignment="1">
      <alignment horizontal="right"/>
    </xf>
    <xf numFmtId="170" fontId="53" fillId="5" borderId="0" xfId="4" applyNumberFormat="1" applyFont="1" applyFill="1" applyAlignment="1">
      <alignment horizontal="right"/>
    </xf>
    <xf numFmtId="166" fontId="0" fillId="5" borderId="0" xfId="0" applyNumberFormat="1" applyFill="1" applyAlignment="1">
      <alignment horizontal="right"/>
    </xf>
    <xf numFmtId="9" fontId="53" fillId="5" borderId="0" xfId="4" applyFont="1" applyFill="1" applyAlignment="1">
      <alignment horizontal="right"/>
    </xf>
    <xf numFmtId="9" fontId="0" fillId="5" borderId="0" xfId="4" applyFont="1" applyFill="1" applyBorder="1" applyAlignment="1">
      <alignment horizontal="right"/>
    </xf>
    <xf numFmtId="0" fontId="53" fillId="5" borderId="0" xfId="0" applyFont="1" applyFill="1" applyAlignment="1">
      <alignment horizontal="right"/>
    </xf>
    <xf numFmtId="0" fontId="0" fillId="5" borderId="45" xfId="0" applyFill="1" applyBorder="1"/>
    <xf numFmtId="0" fontId="0" fillId="5" borderId="36" xfId="0" applyFill="1" applyBorder="1"/>
    <xf numFmtId="0" fontId="0" fillId="5" borderId="44" xfId="0" applyFill="1" applyBorder="1"/>
    <xf numFmtId="2" fontId="0" fillId="5" borderId="0" xfId="0" applyNumberFormat="1" applyFill="1" applyAlignment="1">
      <alignment horizontal="center"/>
    </xf>
    <xf numFmtId="0" fontId="0" fillId="5" borderId="0" xfId="0" applyFill="1" applyAlignment="1">
      <alignment vertical="top"/>
    </xf>
    <xf numFmtId="0" fontId="49" fillId="10" borderId="0" xfId="0" applyFont="1" applyFill="1" applyAlignment="1">
      <alignment horizontal="left" vertical="center"/>
    </xf>
    <xf numFmtId="0" fontId="4" fillId="10" borderId="0" xfId="0" applyFont="1" applyFill="1" applyAlignment="1">
      <alignment horizontal="right"/>
    </xf>
    <xf numFmtId="0" fontId="49" fillId="10" borderId="0" xfId="0" applyFont="1" applyFill="1" applyAlignment="1">
      <alignment horizontal="left"/>
    </xf>
    <xf numFmtId="0" fontId="4" fillId="10" borderId="0" xfId="0" applyFont="1" applyFill="1" applyAlignment="1">
      <alignment horizontal="left"/>
    </xf>
    <xf numFmtId="0" fontId="0" fillId="11" borderId="1" xfId="0" applyFill="1" applyBorder="1" applyAlignment="1">
      <alignment horizontal="center"/>
    </xf>
    <xf numFmtId="171" fontId="0" fillId="11" borderId="35" xfId="4" applyNumberFormat="1" applyFont="1" applyFill="1" applyBorder="1" applyAlignment="1">
      <alignment horizontal="center"/>
    </xf>
    <xf numFmtId="171" fontId="0" fillId="11" borderId="1" xfId="4" applyNumberFormat="1" applyFont="1" applyFill="1" applyBorder="1" applyAlignment="1">
      <alignment horizontal="center"/>
    </xf>
    <xf numFmtId="9" fontId="0" fillId="11" borderId="1" xfId="0" applyNumberFormat="1" applyFill="1" applyBorder="1" applyAlignment="1">
      <alignment horizontal="right"/>
    </xf>
    <xf numFmtId="0" fontId="49" fillId="12" borderId="0" xfId="0" applyFont="1" applyFill="1" applyAlignment="1">
      <alignment vertical="center"/>
    </xf>
    <xf numFmtId="0" fontId="0" fillId="12" borderId="0" xfId="0" applyFill="1" applyAlignment="1">
      <alignment horizontal="right"/>
    </xf>
    <xf numFmtId="0" fontId="0" fillId="12" borderId="0" xfId="0" applyFill="1" applyAlignment="1">
      <alignment horizontal="left"/>
    </xf>
    <xf numFmtId="0" fontId="49" fillId="12" borderId="0" xfId="0" applyFont="1" applyFill="1" applyAlignment="1">
      <alignment horizontal="left"/>
    </xf>
    <xf numFmtId="175" fontId="49" fillId="12" borderId="0" xfId="0" applyNumberFormat="1" applyFont="1" applyFill="1" applyAlignment="1">
      <alignment horizontal="right"/>
    </xf>
    <xf numFmtId="176" fontId="49" fillId="12" borderId="0" xfId="0" applyNumberFormat="1" applyFont="1" applyFill="1" applyAlignment="1">
      <alignment horizontal="right"/>
    </xf>
    <xf numFmtId="0" fontId="49" fillId="12" borderId="0" xfId="0" applyFont="1" applyFill="1"/>
    <xf numFmtId="0" fontId="49" fillId="12" borderId="0" xfId="0" applyFont="1" applyFill="1" applyAlignment="1">
      <alignment horizontal="right"/>
    </xf>
    <xf numFmtId="0" fontId="4" fillId="12" borderId="0" xfId="0" applyFont="1" applyFill="1"/>
    <xf numFmtId="0" fontId="0" fillId="12" borderId="0" xfId="0" applyFill="1"/>
    <xf numFmtId="9" fontId="2" fillId="5" borderId="0" xfId="4" applyFont="1" applyFill="1" applyAlignment="1">
      <alignment horizontal="right"/>
    </xf>
    <xf numFmtId="170" fontId="55" fillId="5" borderId="0" xfId="1" applyNumberFormat="1" applyFont="1" applyFill="1" applyAlignment="1">
      <alignment horizontal="right"/>
    </xf>
    <xf numFmtId="10" fontId="2" fillId="5" borderId="0" xfId="4" quotePrefix="1" applyNumberFormat="1" applyFont="1" applyFill="1" applyAlignment="1">
      <alignment horizontal="right"/>
    </xf>
    <xf numFmtId="0" fontId="55" fillId="5" borderId="0" xfId="0" applyFont="1" applyFill="1"/>
    <xf numFmtId="166" fontId="0" fillId="5" borderId="0" xfId="0" applyNumberFormat="1" applyFill="1"/>
    <xf numFmtId="1" fontId="55" fillId="5" borderId="0" xfId="0" applyNumberFormat="1" applyFont="1" applyFill="1" applyAlignment="1">
      <alignment horizontal="right"/>
    </xf>
    <xf numFmtId="0" fontId="0" fillId="0" borderId="44" xfId="0" applyBorder="1"/>
    <xf numFmtId="0" fontId="0" fillId="0" borderId="3" xfId="0" applyBorder="1"/>
    <xf numFmtId="10" fontId="9" fillId="0" borderId="0" xfId="0" applyNumberFormat="1" applyFont="1"/>
    <xf numFmtId="0" fontId="56" fillId="13" borderId="48" xfId="0" applyFont="1" applyFill="1" applyBorder="1" applyAlignment="1">
      <alignment horizontal="right" vertical="center" wrapText="1"/>
    </xf>
    <xf numFmtId="176" fontId="49" fillId="5" borderId="0" xfId="0" applyNumberFormat="1" applyFont="1" applyFill="1" applyAlignment="1">
      <alignment horizontal="right"/>
    </xf>
    <xf numFmtId="170" fontId="57" fillId="5" borderId="0" xfId="1" applyNumberFormat="1" applyFont="1" applyFill="1" applyAlignment="1">
      <alignment horizontal="right"/>
    </xf>
    <xf numFmtId="170" fontId="58" fillId="5" borderId="0" xfId="1" applyNumberFormat="1" applyFont="1" applyFill="1" applyAlignment="1">
      <alignment horizontal="right"/>
    </xf>
    <xf numFmtId="10" fontId="58" fillId="5" borderId="0" xfId="4" applyNumberFormat="1" applyFont="1" applyFill="1" applyAlignment="1">
      <alignment horizontal="right"/>
    </xf>
    <xf numFmtId="0" fontId="58" fillId="5" borderId="0" xfId="0" applyFont="1" applyFill="1" applyAlignment="1">
      <alignment horizontal="right"/>
    </xf>
    <xf numFmtId="9" fontId="58" fillId="5" borderId="0" xfId="4" applyFont="1" applyFill="1" applyAlignment="1">
      <alignment horizontal="right"/>
    </xf>
    <xf numFmtId="43" fontId="58" fillId="5" borderId="0" xfId="0" applyNumberFormat="1" applyFont="1" applyFill="1" applyAlignment="1">
      <alignment horizontal="right"/>
    </xf>
    <xf numFmtId="9" fontId="58" fillId="5" borderId="0" xfId="0" applyNumberFormat="1" applyFont="1" applyFill="1" applyAlignment="1">
      <alignment horizontal="right"/>
    </xf>
    <xf numFmtId="9" fontId="53" fillId="11" borderId="1" xfId="0" applyNumberFormat="1" applyFont="1" applyFill="1" applyBorder="1" applyAlignment="1">
      <alignment horizontal="right"/>
    </xf>
    <xf numFmtId="9" fontId="0" fillId="11" borderId="1" xfId="4" applyFont="1" applyFill="1" applyBorder="1" applyAlignment="1">
      <alignment horizontal="right"/>
    </xf>
    <xf numFmtId="166" fontId="55" fillId="5" borderId="0" xfId="1" applyNumberFormat="1" applyFont="1" applyFill="1" applyBorder="1" applyAlignment="1">
      <alignment horizontal="right"/>
    </xf>
    <xf numFmtId="174" fontId="0" fillId="5" borderId="0" xfId="4" applyNumberFormat="1" applyFont="1" applyFill="1" applyBorder="1" applyAlignment="1">
      <alignment horizontal="right"/>
    </xf>
    <xf numFmtId="0" fontId="54" fillId="5" borderId="0" xfId="0" applyFont="1" applyFill="1" applyAlignment="1">
      <alignment horizontal="right"/>
    </xf>
    <xf numFmtId="174" fontId="53" fillId="5" borderId="0" xfId="4" applyNumberFormat="1" applyFont="1" applyFill="1" applyBorder="1" applyAlignment="1">
      <alignment horizontal="right"/>
    </xf>
    <xf numFmtId="2" fontId="0" fillId="5" borderId="0" xfId="0" applyNumberFormat="1" applyFill="1" applyAlignment="1">
      <alignment horizontal="right"/>
    </xf>
    <xf numFmtId="166" fontId="1" fillId="5" borderId="0" xfId="0" applyNumberFormat="1" applyFont="1" applyFill="1" applyAlignment="1">
      <alignment horizontal="right"/>
    </xf>
    <xf numFmtId="166" fontId="0" fillId="5" borderId="0" xfId="1" applyNumberFormat="1" applyFont="1" applyFill="1" applyBorder="1" applyAlignment="1">
      <alignment horizontal="right"/>
    </xf>
    <xf numFmtId="174" fontId="0" fillId="11" borderId="1" xfId="0" applyNumberFormat="1" applyFill="1" applyBorder="1" applyAlignment="1">
      <alignment horizontal="right"/>
    </xf>
    <xf numFmtId="0" fontId="59" fillId="5" borderId="3" xfId="0" applyFont="1" applyFill="1" applyBorder="1"/>
    <xf numFmtId="0" fontId="49" fillId="14" borderId="0" xfId="0" applyFont="1" applyFill="1"/>
    <xf numFmtId="0" fontId="4" fillId="14" borderId="0" xfId="0" applyFont="1" applyFill="1"/>
    <xf numFmtId="0" fontId="52" fillId="5" borderId="0" xfId="0" applyFont="1" applyFill="1"/>
    <xf numFmtId="166" fontId="0" fillId="5" borderId="0" xfId="1" applyNumberFormat="1" applyFont="1" applyFill="1" applyAlignment="1">
      <alignment horizontal="center"/>
    </xf>
    <xf numFmtId="10" fontId="0" fillId="5" borderId="0" xfId="4" applyNumberFormat="1" applyFont="1" applyFill="1"/>
    <xf numFmtId="10" fontId="0" fillId="5" borderId="0" xfId="0" applyNumberFormat="1" applyFill="1"/>
    <xf numFmtId="170" fontId="53" fillId="5" borderId="0" xfId="1" applyNumberFormat="1" applyFont="1" applyFill="1" applyAlignment="1">
      <alignment horizontal="right"/>
    </xf>
    <xf numFmtId="169" fontId="0" fillId="5" borderId="0" xfId="1" applyNumberFormat="1" applyFont="1" applyFill="1"/>
    <xf numFmtId="170" fontId="0" fillId="5" borderId="0" xfId="1" applyNumberFormat="1" applyFont="1" applyFill="1"/>
    <xf numFmtId="0" fontId="50" fillId="5" borderId="0" xfId="0" applyFont="1" applyFill="1"/>
    <xf numFmtId="178" fontId="0" fillId="5" borderId="0" xfId="4" applyNumberFormat="1" applyFont="1" applyFill="1"/>
    <xf numFmtId="177" fontId="0" fillId="5" borderId="0" xfId="4" applyNumberFormat="1" applyFont="1" applyFill="1"/>
    <xf numFmtId="166" fontId="53" fillId="5" borderId="0" xfId="1" applyNumberFormat="1" applyFont="1" applyFill="1" applyBorder="1" applyAlignment="1">
      <alignment horizontal="right"/>
    </xf>
    <xf numFmtId="166" fontId="2" fillId="5" borderId="0" xfId="1" applyNumberFormat="1" applyFont="1" applyFill="1" applyBorder="1" applyAlignment="1">
      <alignment horizontal="right"/>
    </xf>
    <xf numFmtId="0" fontId="0" fillId="11" borderId="1" xfId="0" applyFill="1" applyBorder="1" applyAlignment="1">
      <alignment horizontal="center" vertical="center"/>
    </xf>
    <xf numFmtId="14" fontId="0" fillId="11" borderId="1" xfId="0" applyNumberFormat="1" applyFill="1" applyBorder="1" applyAlignment="1">
      <alignment horizontal="center"/>
    </xf>
    <xf numFmtId="181" fontId="0" fillId="5" borderId="0" xfId="5" applyNumberFormat="1" applyFont="1" applyFill="1" applyAlignment="1">
      <alignment horizontal="right"/>
    </xf>
    <xf numFmtId="181" fontId="0" fillId="5" borderId="0" xfId="0" applyNumberFormat="1" applyFill="1" applyAlignment="1">
      <alignment horizontal="right"/>
    </xf>
    <xf numFmtId="182" fontId="4" fillId="5" borderId="0" xfId="5" applyNumberFormat="1" applyFont="1" applyFill="1"/>
    <xf numFmtId="0" fontId="1" fillId="5" borderId="0" xfId="0" applyFont="1" applyFill="1" applyAlignment="1">
      <alignment horizontal="centerContinuous"/>
    </xf>
    <xf numFmtId="0" fontId="0" fillId="5" borderId="0" xfId="0" applyFill="1" applyAlignment="1">
      <alignment horizontal="centerContinuous"/>
    </xf>
    <xf numFmtId="171" fontId="0" fillId="5" borderId="27" xfId="4" applyNumberFormat="1" applyFont="1" applyFill="1" applyBorder="1"/>
    <xf numFmtId="171" fontId="0" fillId="5" borderId="0" xfId="4" applyNumberFormat="1" applyFont="1" applyFill="1" applyBorder="1"/>
    <xf numFmtId="170" fontId="0" fillId="5" borderId="18" xfId="1" applyNumberFormat="1" applyFont="1" applyFill="1" applyBorder="1"/>
    <xf numFmtId="170" fontId="0" fillId="5" borderId="22" xfId="1" applyNumberFormat="1" applyFont="1" applyFill="1" applyBorder="1"/>
    <xf numFmtId="0" fontId="1" fillId="5" borderId="0" xfId="0" applyFont="1" applyFill="1" applyAlignment="1">
      <alignment horizontal="right"/>
    </xf>
    <xf numFmtId="170" fontId="1" fillId="11" borderId="0" xfId="1" applyNumberFormat="1" applyFont="1" applyFill="1"/>
    <xf numFmtId="169" fontId="0" fillId="5" borderId="18" xfId="1" applyNumberFormat="1" applyFont="1" applyFill="1" applyBorder="1"/>
    <xf numFmtId="169" fontId="0" fillId="5" borderId="22" xfId="1" applyNumberFormat="1" applyFont="1" applyFill="1" applyBorder="1"/>
    <xf numFmtId="169" fontId="1" fillId="11" borderId="0" xfId="1" applyNumberFormat="1" applyFont="1" applyFill="1"/>
    <xf numFmtId="0" fontId="49" fillId="12" borderId="36" xfId="0" applyFont="1" applyFill="1" applyBorder="1" applyAlignment="1">
      <alignment horizontal="left"/>
    </xf>
    <xf numFmtId="0" fontId="0" fillId="12" borderId="44" xfId="0" applyFill="1" applyBorder="1" applyAlignment="1">
      <alignment horizontal="right"/>
    </xf>
    <xf numFmtId="175" fontId="49" fillId="12" borderId="44" xfId="0" applyNumberFormat="1" applyFont="1" applyFill="1" applyBorder="1" applyAlignment="1">
      <alignment horizontal="right"/>
    </xf>
    <xf numFmtId="176" fontId="49" fillId="12" borderId="44" xfId="0" applyNumberFormat="1" applyFont="1" applyFill="1" applyBorder="1" applyAlignment="1">
      <alignment horizontal="right"/>
    </xf>
    <xf numFmtId="176" fontId="49" fillId="12" borderId="34" xfId="0" applyNumberFormat="1" applyFont="1" applyFill="1" applyBorder="1" applyAlignment="1">
      <alignment horizontal="right"/>
    </xf>
    <xf numFmtId="0" fontId="44" fillId="5" borderId="45" xfId="0" applyFont="1" applyFill="1" applyBorder="1"/>
    <xf numFmtId="0" fontId="44" fillId="5" borderId="2" xfId="0" applyFont="1" applyFill="1" applyBorder="1"/>
    <xf numFmtId="179" fontId="0" fillId="0" borderId="0" xfId="0" applyNumberFormat="1"/>
    <xf numFmtId="164" fontId="0" fillId="11" borderId="1" xfId="1" applyFont="1" applyFill="1" applyBorder="1"/>
    <xf numFmtId="10" fontId="0" fillId="11" borderId="1" xfId="0" applyNumberFormat="1" applyFill="1" applyBorder="1"/>
    <xf numFmtId="167" fontId="0" fillId="11" borderId="1" xfId="1" applyNumberFormat="1" applyFont="1" applyFill="1" applyBorder="1"/>
    <xf numFmtId="9" fontId="0" fillId="11" borderId="1" xfId="0" applyNumberFormat="1" applyFill="1" applyBorder="1"/>
    <xf numFmtId="0" fontId="0" fillId="0" borderId="0" xfId="0" applyAlignment="1">
      <alignment horizontal="center"/>
    </xf>
    <xf numFmtId="0" fontId="0" fillId="0" borderId="3" xfId="0" applyBorder="1" applyAlignment="1">
      <alignment horizontal="center"/>
    </xf>
    <xf numFmtId="0" fontId="6" fillId="0" borderId="3" xfId="0" applyFont="1" applyBorder="1"/>
    <xf numFmtId="0" fontId="62" fillId="0" borderId="3" xfId="0" applyFont="1" applyBorder="1" applyAlignment="1">
      <alignment horizontal="center"/>
    </xf>
    <xf numFmtId="0" fontId="63" fillId="0" borderId="0" xfId="0" applyFont="1"/>
    <xf numFmtId="0" fontId="62" fillId="0" borderId="0" xfId="0" applyFont="1"/>
    <xf numFmtId="0" fontId="63" fillId="0" borderId="0" xfId="0" applyFont="1" applyAlignment="1">
      <alignment vertical="center"/>
    </xf>
    <xf numFmtId="0" fontId="63" fillId="0" borderId="0" xfId="0" applyFont="1" applyAlignment="1">
      <alignment horizontal="center" vertical="center"/>
    </xf>
    <xf numFmtId="0" fontId="63" fillId="0" borderId="0" xfId="0" quotePrefix="1" applyFont="1" applyAlignment="1">
      <alignment horizontal="center" vertical="center"/>
    </xf>
    <xf numFmtId="0" fontId="0" fillId="0" borderId="5" xfId="0" applyBorder="1"/>
    <xf numFmtId="174" fontId="0" fillId="0" borderId="5" xfId="4" applyNumberFormat="1" applyFont="1" applyBorder="1" applyAlignment="1">
      <alignment horizontal="center"/>
    </xf>
    <xf numFmtId="174" fontId="0" fillId="5" borderId="5" xfId="4" applyNumberFormat="1" applyFont="1" applyFill="1" applyBorder="1" applyAlignment="1">
      <alignment horizontal="center"/>
    </xf>
    <xf numFmtId="174" fontId="0" fillId="0" borderId="0" xfId="4" applyNumberFormat="1" applyFont="1" applyAlignment="1">
      <alignment horizontal="center"/>
    </xf>
    <xf numFmtId="184" fontId="0" fillId="5" borderId="5" xfId="0" applyNumberFormat="1" applyFill="1" applyBorder="1" applyAlignment="1">
      <alignment horizontal="center"/>
    </xf>
    <xf numFmtId="0" fontId="65" fillId="0" borderId="0" xfId="0" applyFont="1"/>
    <xf numFmtId="2" fontId="0" fillId="0" borderId="0" xfId="0" applyNumberFormat="1" applyAlignment="1">
      <alignment horizontal="center"/>
    </xf>
    <xf numFmtId="1" fontId="0" fillId="0" borderId="0" xfId="0" applyNumberFormat="1" applyAlignment="1">
      <alignment horizontal="center" vertical="center"/>
    </xf>
    <xf numFmtId="174" fontId="0" fillId="0" borderId="0" xfId="4" applyNumberFormat="1" applyFont="1" applyBorder="1" applyAlignment="1">
      <alignment horizontal="center"/>
    </xf>
    <xf numFmtId="184" fontId="0" fillId="0" borderId="0" xfId="0" applyNumberFormat="1" applyAlignment="1">
      <alignment horizontal="center"/>
    </xf>
    <xf numFmtId="0" fontId="65" fillId="5" borderId="0" xfId="0" applyFont="1" applyFill="1"/>
    <xf numFmtId="3" fontId="0" fillId="0" borderId="0" xfId="0" applyNumberFormat="1" applyAlignment="1">
      <alignment horizontal="center" vertical="center"/>
    </xf>
    <xf numFmtId="0" fontId="66" fillId="0" borderId="0" xfId="0" applyFont="1" applyAlignment="1">
      <alignment horizontal="center"/>
    </xf>
    <xf numFmtId="184" fontId="0" fillId="0" borderId="0" xfId="0" applyNumberFormat="1" applyAlignment="1">
      <alignment horizontal="center" vertical="center"/>
    </xf>
    <xf numFmtId="3" fontId="0" fillId="0" borderId="0" xfId="0" applyNumberFormat="1"/>
    <xf numFmtId="3" fontId="0" fillId="0" borderId="0" xfId="0" quotePrefix="1" applyNumberFormat="1" applyAlignment="1">
      <alignment horizontal="center" vertical="center"/>
    </xf>
    <xf numFmtId="180" fontId="0" fillId="0" borderId="0" xfId="0" quotePrefix="1" applyNumberFormat="1" applyAlignment="1">
      <alignment vertical="center"/>
    </xf>
    <xf numFmtId="1" fontId="0" fillId="0" borderId="0" xfId="0" quotePrefix="1" applyNumberFormat="1" applyAlignment="1">
      <alignment horizontal="center" vertical="center"/>
    </xf>
    <xf numFmtId="0" fontId="67" fillId="5" borderId="0" xfId="0" applyFont="1" applyFill="1" applyAlignment="1">
      <alignment horizontal="center"/>
    </xf>
    <xf numFmtId="0" fontId="61" fillId="5" borderId="0" xfId="0" applyFont="1" applyFill="1" applyAlignment="1">
      <alignment vertical="center"/>
    </xf>
    <xf numFmtId="184" fontId="67" fillId="5" borderId="0" xfId="0" applyNumberFormat="1" applyFont="1" applyFill="1" applyAlignment="1">
      <alignment horizontal="center" vertical="center"/>
    </xf>
    <xf numFmtId="0" fontId="61" fillId="5" borderId="0" xfId="0" applyFont="1" applyFill="1" applyAlignment="1">
      <alignment horizontal="center" vertical="center"/>
    </xf>
    <xf numFmtId="3" fontId="67" fillId="5" borderId="0" xfId="0" applyNumberFormat="1" applyFont="1" applyFill="1" applyAlignment="1">
      <alignment horizontal="center" vertical="center"/>
    </xf>
    <xf numFmtId="0" fontId="67" fillId="5" borderId="0" xfId="0" applyFont="1" applyFill="1"/>
    <xf numFmtId="1" fontId="67" fillId="5" borderId="0" xfId="0" quotePrefix="1" applyNumberFormat="1" applyFont="1" applyFill="1" applyAlignment="1">
      <alignment horizontal="center" vertical="center"/>
    </xf>
    <xf numFmtId="0" fontId="61" fillId="5" borderId="0" xfId="0" quotePrefix="1" applyFont="1" applyFill="1" applyAlignment="1">
      <alignment horizontal="center" vertical="center"/>
    </xf>
    <xf numFmtId="0" fontId="68" fillId="5" borderId="0" xfId="0" applyFont="1" applyFill="1" applyAlignment="1">
      <alignment horizontal="left"/>
    </xf>
    <xf numFmtId="0" fontId="68" fillId="5" borderId="0" xfId="0" applyFont="1" applyFill="1" applyAlignment="1">
      <alignment horizontal="center"/>
    </xf>
    <xf numFmtId="0" fontId="63" fillId="5" borderId="0" xfId="0" applyFont="1" applyFill="1" applyAlignment="1">
      <alignment horizontal="center" vertical="center"/>
    </xf>
    <xf numFmtId="0" fontId="63" fillId="5" borderId="0" xfId="0" quotePrefix="1" applyFont="1" applyFill="1" applyAlignment="1">
      <alignment horizontal="center" vertical="center"/>
    </xf>
    <xf numFmtId="0" fontId="63" fillId="5" borderId="0" xfId="0" applyFont="1" applyFill="1" applyAlignment="1">
      <alignment vertical="center"/>
    </xf>
    <xf numFmtId="0" fontId="0" fillId="5" borderId="0" xfId="0" applyFill="1" applyAlignment="1">
      <alignment horizontal="right" vertical="center"/>
    </xf>
    <xf numFmtId="0" fontId="64" fillId="5" borderId="0" xfId="0" applyFont="1" applyFill="1" applyAlignment="1">
      <alignment horizontal="centerContinuous" vertical="center"/>
    </xf>
    <xf numFmtId="0" fontId="64" fillId="5" borderId="0" xfId="0" applyFont="1" applyFill="1" applyAlignment="1">
      <alignment vertical="center"/>
    </xf>
    <xf numFmtId="2" fontId="0" fillId="5" borderId="0" xfId="0" applyNumberFormat="1" applyFill="1" applyAlignment="1">
      <alignment horizontal="center" vertical="center"/>
    </xf>
    <xf numFmtId="0" fontId="0" fillId="5" borderId="0" xfId="0" applyFill="1" applyAlignment="1">
      <alignment horizontal="center" vertical="center"/>
    </xf>
    <xf numFmtId="4" fontId="0" fillId="5" borderId="0" xfId="0" applyNumberFormat="1" applyFill="1" applyAlignment="1">
      <alignment horizontal="center" vertical="center"/>
    </xf>
    <xf numFmtId="4" fontId="66" fillId="5" borderId="0" xfId="0" applyNumberFormat="1" applyFont="1" applyFill="1" applyAlignment="1">
      <alignment vertical="center"/>
    </xf>
    <xf numFmtId="4" fontId="66" fillId="5" borderId="0" xfId="0" applyNumberFormat="1" applyFont="1" applyFill="1" applyAlignment="1">
      <alignment horizontal="right" vertical="center"/>
    </xf>
    <xf numFmtId="0" fontId="3" fillId="5" borderId="0" xfId="2" applyFill="1" applyAlignment="1" applyProtection="1">
      <alignment horizontal="right" vertical="center"/>
    </xf>
    <xf numFmtId="0" fontId="63" fillId="5" borderId="0" xfId="0" quotePrefix="1" applyFont="1" applyFill="1" applyAlignment="1">
      <alignment vertical="center"/>
    </xf>
    <xf numFmtId="4" fontId="66" fillId="5" borderId="0" xfId="0" applyNumberFormat="1" applyFont="1" applyFill="1" applyAlignment="1">
      <alignment horizontal="center" vertical="center"/>
    </xf>
    <xf numFmtId="0" fontId="66" fillId="5" borderId="0" xfId="0" applyFont="1" applyFill="1" applyAlignment="1">
      <alignment horizontal="center" vertical="center"/>
    </xf>
    <xf numFmtId="0" fontId="69" fillId="5" borderId="0" xfId="0" applyFont="1" applyFill="1" applyAlignment="1">
      <alignment horizontal="right" vertical="center"/>
    </xf>
    <xf numFmtId="2" fontId="66" fillId="5" borderId="0" xfId="0" applyNumberFormat="1" applyFont="1" applyFill="1" applyAlignment="1">
      <alignment horizontal="center" vertical="center"/>
    </xf>
    <xf numFmtId="164" fontId="0" fillId="5" borderId="0" xfId="1" applyFont="1" applyFill="1" applyAlignment="1">
      <alignment horizontal="center" vertical="center"/>
    </xf>
    <xf numFmtId="164" fontId="60" fillId="5" borderId="0" xfId="1" applyFont="1" applyFill="1" applyAlignment="1">
      <alignment horizontal="center" vertical="center"/>
    </xf>
    <xf numFmtId="3" fontId="0" fillId="5" borderId="0" xfId="0" applyNumberFormat="1" applyFill="1" applyAlignment="1">
      <alignment horizontal="center" vertical="center"/>
    </xf>
    <xf numFmtId="174" fontId="0" fillId="5" borderId="0" xfId="4" applyNumberFormat="1" applyFont="1" applyFill="1" applyAlignment="1">
      <alignment horizontal="center"/>
    </xf>
    <xf numFmtId="4" fontId="70" fillId="5" borderId="0" xfId="0" applyNumberFormat="1" applyFont="1" applyFill="1" applyAlignment="1">
      <alignment horizontal="center" vertical="center"/>
    </xf>
    <xf numFmtId="0" fontId="65" fillId="5" borderId="0" xfId="0" applyFont="1" applyFill="1" applyAlignment="1">
      <alignment horizontal="left"/>
    </xf>
    <xf numFmtId="184" fontId="0" fillId="5" borderId="0" xfId="0" applyNumberFormat="1" applyFill="1" applyAlignment="1">
      <alignment horizontal="center"/>
    </xf>
    <xf numFmtId="14" fontId="0" fillId="11" borderId="49" xfId="0" applyNumberFormat="1" applyFill="1" applyBorder="1" applyAlignment="1">
      <alignment horizontal="center"/>
    </xf>
    <xf numFmtId="0" fontId="0" fillId="11" borderId="49" xfId="0" applyFill="1" applyBorder="1" applyAlignment="1">
      <alignment horizontal="center"/>
    </xf>
    <xf numFmtId="0" fontId="63" fillId="15" borderId="0" xfId="0" applyFont="1" applyFill="1" applyAlignment="1">
      <alignment vertical="center"/>
    </xf>
    <xf numFmtId="0" fontId="0" fillId="15" borderId="0" xfId="0" applyFill="1" applyAlignment="1">
      <alignment horizontal="right" vertical="center"/>
    </xf>
    <xf numFmtId="0" fontId="63" fillId="15" borderId="0" xfId="0" applyFont="1" applyFill="1" applyAlignment="1">
      <alignment horizontal="center" vertical="center"/>
    </xf>
    <xf numFmtId="0" fontId="64" fillId="15" borderId="0" xfId="0" applyFont="1" applyFill="1" applyAlignment="1">
      <alignment horizontal="centerContinuous" vertical="center"/>
    </xf>
    <xf numFmtId="0" fontId="63" fillId="15" borderId="3" xfId="0" applyFont="1" applyFill="1" applyBorder="1" applyAlignment="1">
      <alignment vertical="center"/>
    </xf>
    <xf numFmtId="0" fontId="63" fillId="15" borderId="3" xfId="0" applyFont="1" applyFill="1" applyBorder="1" applyAlignment="1">
      <alignment horizontal="center" vertical="center"/>
    </xf>
    <xf numFmtId="0" fontId="63" fillId="15" borderId="3" xfId="0" quotePrefix="1" applyFont="1" applyFill="1" applyBorder="1" applyAlignment="1">
      <alignment horizontal="center" vertical="center"/>
    </xf>
    <xf numFmtId="0" fontId="71" fillId="0" borderId="4" xfId="0" applyFont="1" applyBorder="1"/>
    <xf numFmtId="0" fontId="71" fillId="0" borderId="0" xfId="0" applyFont="1"/>
    <xf numFmtId="0" fontId="71" fillId="5" borderId="0" xfId="0" applyFont="1" applyFill="1"/>
    <xf numFmtId="0" fontId="49" fillId="5" borderId="0" xfId="0" applyFont="1" applyFill="1"/>
    <xf numFmtId="183" fontId="4" fillId="5" borderId="0" xfId="0" applyNumberFormat="1" applyFont="1" applyFill="1" applyAlignment="1">
      <alignment wrapText="1"/>
    </xf>
    <xf numFmtId="183" fontId="49" fillId="5" borderId="0" xfId="0" applyNumberFormat="1" applyFont="1" applyFill="1" applyAlignment="1">
      <alignment wrapText="1"/>
    </xf>
    <xf numFmtId="1" fontId="4" fillId="5" borderId="0" xfId="0" applyNumberFormat="1" applyFont="1" applyFill="1"/>
    <xf numFmtId="171" fontId="4" fillId="5" borderId="0" xfId="4" applyNumberFormat="1" applyFont="1" applyFill="1" applyBorder="1"/>
    <xf numFmtId="183" fontId="4" fillId="5" borderId="0" xfId="0" applyNumberFormat="1" applyFont="1" applyFill="1"/>
    <xf numFmtId="0" fontId="6" fillId="5" borderId="3" xfId="0" applyFont="1" applyFill="1" applyBorder="1"/>
    <xf numFmtId="0" fontId="49" fillId="16" borderId="0" xfId="0" applyFont="1" applyFill="1"/>
    <xf numFmtId="43" fontId="1" fillId="5" borderId="0" xfId="0" applyNumberFormat="1" applyFont="1" applyFill="1" applyAlignment="1">
      <alignment horizontal="center"/>
    </xf>
    <xf numFmtId="185" fontId="0" fillId="5" borderId="0" xfId="0" applyNumberFormat="1" applyFill="1"/>
    <xf numFmtId="0" fontId="0" fillId="15" borderId="1" xfId="0" applyFill="1" applyBorder="1"/>
    <xf numFmtId="0" fontId="1" fillId="17" borderId="0" xfId="0" applyFont="1" applyFill="1"/>
    <xf numFmtId="0" fontId="0" fillId="17" borderId="0" xfId="0" applyFill="1"/>
    <xf numFmtId="166" fontId="0" fillId="15" borderId="1" xfId="1" applyNumberFormat="1" applyFont="1" applyFill="1" applyBorder="1"/>
    <xf numFmtId="2" fontId="1" fillId="5" borderId="0" xfId="0" applyNumberFormat="1" applyFont="1" applyFill="1"/>
    <xf numFmtId="0" fontId="49" fillId="18" borderId="0" xfId="0" applyFont="1" applyFill="1"/>
    <xf numFmtId="0" fontId="4" fillId="18" borderId="0" xfId="0" applyFont="1" applyFill="1"/>
    <xf numFmtId="0" fontId="0" fillId="11" borderId="1" xfId="0" applyFill="1" applyBorder="1"/>
    <xf numFmtId="0" fontId="0" fillId="11" borderId="1" xfId="0" applyFill="1" applyBorder="1" applyAlignment="1">
      <alignment horizontal="right"/>
    </xf>
    <xf numFmtId="167" fontId="0" fillId="11" borderId="1" xfId="1" applyNumberFormat="1" applyFont="1" applyFill="1" applyBorder="1" applyAlignment="1">
      <alignment horizontal="center"/>
    </xf>
    <xf numFmtId="2" fontId="0" fillId="11" borderId="1" xfId="0" applyNumberFormat="1" applyFill="1" applyBorder="1" applyAlignment="1">
      <alignment horizontal="right"/>
    </xf>
    <xf numFmtId="2" fontId="1" fillId="5" borderId="0" xfId="0" applyNumberFormat="1" applyFont="1" applyFill="1" applyAlignment="1">
      <alignment horizontal="right"/>
    </xf>
    <xf numFmtId="0" fontId="72" fillId="5" borderId="0" xfId="0" applyFont="1" applyFill="1"/>
    <xf numFmtId="0" fontId="73" fillId="5" borderId="0" xfId="0" applyFont="1" applyFill="1"/>
    <xf numFmtId="171" fontId="55" fillId="11" borderId="1" xfId="0" applyNumberFormat="1" applyFont="1" applyFill="1" applyBorder="1" applyAlignment="1">
      <alignment horizontal="center"/>
    </xf>
    <xf numFmtId="171" fontId="74" fillId="11" borderId="1" xfId="4" applyNumberFormat="1" applyFont="1" applyFill="1" applyBorder="1" applyAlignment="1">
      <alignment horizontal="center"/>
    </xf>
    <xf numFmtId="9" fontId="74" fillId="11" borderId="1" xfId="0" applyNumberFormat="1" applyFont="1" applyFill="1" applyBorder="1" applyAlignment="1">
      <alignment horizontal="center"/>
    </xf>
    <xf numFmtId="171" fontId="74" fillId="11" borderId="1" xfId="0" applyNumberFormat="1" applyFont="1" applyFill="1" applyBorder="1" applyAlignment="1">
      <alignment horizontal="center"/>
    </xf>
    <xf numFmtId="174" fontId="74" fillId="11" borderId="1" xfId="4" applyNumberFormat="1" applyFont="1" applyFill="1" applyBorder="1" applyAlignment="1">
      <alignment horizontal="center"/>
    </xf>
    <xf numFmtId="10" fontId="74" fillId="11" borderId="1" xfId="0" applyNumberFormat="1" applyFont="1" applyFill="1" applyBorder="1" applyAlignment="1">
      <alignment horizontal="center"/>
    </xf>
    <xf numFmtId="174" fontId="0" fillId="5" borderId="0" xfId="4" quotePrefix="1" applyNumberFormat="1" applyFont="1" applyFill="1" applyBorder="1" applyAlignment="1">
      <alignment horizontal="right"/>
    </xf>
    <xf numFmtId="170" fontId="2" fillId="5" borderId="0" xfId="1" applyNumberFormat="1" applyFont="1" applyFill="1" applyAlignment="1">
      <alignment horizontal="right"/>
    </xf>
    <xf numFmtId="0" fontId="0" fillId="5" borderId="2" xfId="0" applyFill="1" applyBorder="1"/>
    <xf numFmtId="174" fontId="74" fillId="11" borderId="1" xfId="0" applyNumberFormat="1" applyFont="1" applyFill="1" applyBorder="1" applyAlignment="1">
      <alignment horizontal="right"/>
    </xf>
    <xf numFmtId="9" fontId="74" fillId="11" borderId="1" xfId="0" applyNumberFormat="1" applyFont="1" applyFill="1" applyBorder="1" applyAlignment="1">
      <alignment horizontal="right"/>
    </xf>
    <xf numFmtId="0" fontId="7" fillId="9" borderId="18" xfId="0" applyFont="1" applyFill="1" applyBorder="1" applyAlignment="1">
      <alignment horizontal="center"/>
    </xf>
    <xf numFmtId="0" fontId="7" fillId="9" borderId="19" xfId="0" applyFont="1" applyFill="1" applyBorder="1" applyAlignment="1">
      <alignment horizontal="center"/>
    </xf>
    <xf numFmtId="0" fontId="7" fillId="9" borderId="20" xfId="0" applyFont="1" applyFill="1" applyBorder="1" applyAlignment="1">
      <alignment horizontal="center"/>
    </xf>
    <xf numFmtId="0" fontId="38" fillId="9" borderId="26" xfId="0" applyFont="1" applyFill="1" applyBorder="1" applyAlignment="1">
      <alignment horizontal="center"/>
    </xf>
    <xf numFmtId="0" fontId="38" fillId="9" borderId="27" xfId="0" applyFont="1" applyFill="1" applyBorder="1" applyAlignment="1">
      <alignment horizontal="center"/>
    </xf>
    <xf numFmtId="0" fontId="38" fillId="9" borderId="28" xfId="0" applyFont="1" applyFill="1" applyBorder="1" applyAlignment="1">
      <alignment horizontal="center"/>
    </xf>
    <xf numFmtId="0" fontId="31" fillId="9" borderId="0" xfId="0" applyFont="1" applyFill="1" applyAlignment="1">
      <alignment horizontal="center" vertical="center" wrapText="1"/>
    </xf>
    <xf numFmtId="0" fontId="31" fillId="9" borderId="1" xfId="0" applyFont="1" applyFill="1" applyBorder="1" applyAlignment="1">
      <alignment horizontal="center" vertical="center" wrapText="1"/>
    </xf>
    <xf numFmtId="0" fontId="8" fillId="9" borderId="26" xfId="0" applyFont="1" applyFill="1" applyBorder="1" applyAlignment="1">
      <alignment horizontal="center"/>
    </xf>
    <xf numFmtId="0" fontId="8" fillId="9" borderId="27" xfId="0" applyFont="1" applyFill="1" applyBorder="1" applyAlignment="1">
      <alignment horizontal="center"/>
    </xf>
    <xf numFmtId="0" fontId="8" fillId="9" borderId="28" xfId="0" applyFont="1" applyFill="1" applyBorder="1" applyAlignment="1">
      <alignment horizontal="center"/>
    </xf>
    <xf numFmtId="170" fontId="11" fillId="0" borderId="4" xfId="0" applyNumberFormat="1" applyFont="1" applyBorder="1" applyAlignment="1">
      <alignment horizontal="center"/>
    </xf>
    <xf numFmtId="170" fontId="11" fillId="0" borderId="5" xfId="0" applyNumberFormat="1" applyFont="1" applyBorder="1" applyAlignment="1">
      <alignment horizontal="center"/>
    </xf>
    <xf numFmtId="170" fontId="11" fillId="0" borderId="6" xfId="0" applyNumberFormat="1" applyFont="1" applyBorder="1" applyAlignment="1">
      <alignment horizontal="center"/>
    </xf>
    <xf numFmtId="0" fontId="8" fillId="9" borderId="39" xfId="0" applyFont="1" applyFill="1" applyBorder="1" applyAlignment="1">
      <alignment horizontal="center"/>
    </xf>
    <xf numFmtId="0" fontId="8" fillId="9" borderId="3" xfId="0" applyFont="1" applyFill="1" applyBorder="1" applyAlignment="1">
      <alignment horizontal="center"/>
    </xf>
    <xf numFmtId="0" fontId="8" fillId="9" borderId="40" xfId="0" applyFont="1" applyFill="1" applyBorder="1" applyAlignment="1">
      <alignment horizontal="center"/>
    </xf>
    <xf numFmtId="0" fontId="7" fillId="9" borderId="41" xfId="0" applyFont="1" applyFill="1" applyBorder="1" applyAlignment="1">
      <alignment horizontal="center"/>
    </xf>
    <xf numFmtId="0" fontId="7" fillId="9" borderId="42" xfId="0" applyFont="1" applyFill="1" applyBorder="1" applyAlignment="1">
      <alignment horizontal="center"/>
    </xf>
    <xf numFmtId="0" fontId="7" fillId="9" borderId="43" xfId="0" applyFont="1" applyFill="1" applyBorder="1" applyAlignment="1">
      <alignment horizontal="center"/>
    </xf>
    <xf numFmtId="0" fontId="10" fillId="3" borderId="24" xfId="0" applyFont="1" applyFill="1" applyBorder="1" applyAlignment="1">
      <alignment horizontal="center"/>
    </xf>
    <xf numFmtId="0" fontId="10" fillId="3" borderId="1" xfId="0" applyFont="1" applyFill="1" applyBorder="1" applyAlignment="1">
      <alignment horizontal="center"/>
    </xf>
    <xf numFmtId="0" fontId="10" fillId="3" borderId="25" xfId="0" applyFont="1" applyFill="1" applyBorder="1" applyAlignment="1">
      <alignment horizontal="center"/>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9" fontId="17" fillId="9" borderId="7" xfId="4" applyFont="1" applyFill="1" applyBorder="1" applyAlignment="1">
      <alignment horizontal="center"/>
    </xf>
    <xf numFmtId="9" fontId="17" fillId="9" borderId="8" xfId="4" applyFont="1" applyFill="1" applyBorder="1" applyAlignment="1">
      <alignment horizontal="center"/>
    </xf>
    <xf numFmtId="9" fontId="17" fillId="9" borderId="9" xfId="4" applyFont="1" applyFill="1" applyBorder="1" applyAlignment="1">
      <alignment horizontal="center"/>
    </xf>
    <xf numFmtId="0" fontId="9" fillId="8" borderId="19" xfId="0" applyFont="1" applyFill="1" applyBorder="1" applyAlignment="1">
      <alignment horizontal="center" vertical="center"/>
    </xf>
    <xf numFmtId="0" fontId="9" fillId="8" borderId="20" xfId="0" applyFont="1" applyFill="1" applyBorder="1" applyAlignment="1">
      <alignment horizontal="center" vertical="center"/>
    </xf>
    <xf numFmtId="0" fontId="9" fillId="8" borderId="22" xfId="0" applyFont="1" applyFill="1" applyBorder="1" applyAlignment="1">
      <alignment horizontal="center" vertical="center"/>
    </xf>
    <xf numFmtId="0" fontId="9" fillId="8" borderId="0" xfId="0" applyFont="1" applyFill="1" applyAlignment="1">
      <alignment horizontal="center" vertical="center"/>
    </xf>
    <xf numFmtId="0" fontId="9" fillId="8" borderId="23" xfId="0" applyFont="1" applyFill="1" applyBorder="1" applyAlignment="1">
      <alignment horizontal="center" vertical="center"/>
    </xf>
    <xf numFmtId="0" fontId="9" fillId="8" borderId="26" xfId="0" applyFont="1" applyFill="1" applyBorder="1" applyAlignment="1">
      <alignment horizontal="center" vertical="center"/>
    </xf>
    <xf numFmtId="0" fontId="9" fillId="8" borderId="27" xfId="0" applyFont="1" applyFill="1" applyBorder="1" applyAlignment="1">
      <alignment horizontal="center" vertical="center"/>
    </xf>
    <xf numFmtId="0" fontId="9" fillId="8" borderId="28" xfId="0" applyFont="1" applyFill="1" applyBorder="1" applyAlignment="1">
      <alignment horizontal="center" vertical="center"/>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8" fillId="6" borderId="26" xfId="2" applyFont="1" applyFill="1" applyBorder="1" applyAlignment="1" applyProtection="1">
      <alignment horizontal="center"/>
    </xf>
    <xf numFmtId="0" fontId="28" fillId="6" borderId="27" xfId="2" applyFont="1" applyFill="1" applyBorder="1" applyAlignment="1" applyProtection="1">
      <alignment horizontal="center"/>
    </xf>
    <xf numFmtId="0" fontId="28"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9" fillId="7" borderId="1" xfId="0" applyFont="1" applyFill="1" applyBorder="1" applyAlignment="1">
      <alignment horizontal="center"/>
    </xf>
    <xf numFmtId="0" fontId="26"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7" borderId="37" xfId="0" applyFont="1" applyFill="1" applyBorder="1" applyAlignment="1">
      <alignment horizontal="center"/>
    </xf>
    <xf numFmtId="0" fontId="7" fillId="7" borderId="38" xfId="0" applyFont="1" applyFill="1" applyBorder="1" applyAlignment="1">
      <alignment horizontal="center"/>
    </xf>
    <xf numFmtId="0" fontId="23" fillId="9" borderId="7" xfId="0" applyFont="1" applyFill="1" applyBorder="1" applyAlignment="1">
      <alignment horizontal="center"/>
    </xf>
    <xf numFmtId="0" fontId="23"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6" fillId="9" borderId="4" xfId="0" applyFont="1" applyFill="1" applyBorder="1" applyAlignment="1">
      <alignment horizontal="center"/>
    </xf>
    <xf numFmtId="0" fontId="36" fillId="9" borderId="5" xfId="0" applyFont="1" applyFill="1" applyBorder="1" applyAlignment="1">
      <alignment horizontal="center"/>
    </xf>
    <xf numFmtId="0" fontId="36" fillId="9" borderId="6" xfId="0" applyFont="1" applyFill="1" applyBorder="1" applyAlignment="1">
      <alignment horizontal="center"/>
    </xf>
    <xf numFmtId="170" fontId="8" fillId="7" borderId="4" xfId="1" applyNumberFormat="1" applyFont="1" applyFill="1" applyBorder="1" applyAlignment="1">
      <alignment horizontal="right"/>
    </xf>
    <xf numFmtId="170" fontId="8" fillId="7" borderId="6" xfId="1" applyNumberFormat="1" applyFont="1" applyFill="1" applyBorder="1" applyAlignment="1">
      <alignment horizontal="right"/>
    </xf>
    <xf numFmtId="0" fontId="8" fillId="9" borderId="18" xfId="0" applyFont="1" applyFill="1" applyBorder="1" applyAlignment="1">
      <alignment horizontal="center" vertical="center" wrapText="1"/>
    </xf>
    <xf numFmtId="0" fontId="36" fillId="9" borderId="19"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0" xfId="0" applyFont="1" applyFill="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7" xfId="0" applyFont="1" applyFill="1" applyBorder="1" applyAlignment="1">
      <alignment horizontal="center" vertical="center" wrapText="1"/>
    </xf>
    <xf numFmtId="0" fontId="36" fillId="9" borderId="28" xfId="0" applyFont="1" applyFill="1" applyBorder="1" applyAlignment="1">
      <alignment horizontal="center" vertical="center" wrapText="1"/>
    </xf>
    <xf numFmtId="164" fontId="14" fillId="0" borderId="0" xfId="2" applyNumberFormat="1" applyFont="1" applyBorder="1" applyAlignment="1" applyProtection="1">
      <alignment horizontal="center"/>
    </xf>
    <xf numFmtId="164" fontId="10" fillId="2" borderId="0" xfId="3" applyNumberFormat="1" applyFont="1" applyBorder="1" applyAlignment="1">
      <alignment horizontal="center"/>
    </xf>
    <xf numFmtId="0" fontId="1" fillId="5" borderId="36" xfId="0" applyFont="1" applyFill="1" applyBorder="1"/>
    <xf numFmtId="0" fontId="1" fillId="5" borderId="44" xfId="0" applyFont="1" applyFill="1" applyBorder="1"/>
    <xf numFmtId="0" fontId="1" fillId="5" borderId="44" xfId="0" applyFont="1" applyFill="1" applyBorder="1" applyAlignment="1">
      <alignment horizontal="right"/>
    </xf>
    <xf numFmtId="166" fontId="1" fillId="5" borderId="44" xfId="1" applyNumberFormat="1" applyFont="1" applyFill="1" applyBorder="1" applyAlignment="1">
      <alignment horizontal="right"/>
    </xf>
    <xf numFmtId="0" fontId="1" fillId="5" borderId="47" xfId="0" applyFont="1" applyFill="1" applyBorder="1"/>
    <xf numFmtId="0" fontId="1" fillId="5" borderId="27" xfId="0" applyFont="1" applyFill="1" applyBorder="1"/>
    <xf numFmtId="0" fontId="1" fillId="5" borderId="27" xfId="0" applyFont="1" applyFill="1" applyBorder="1" applyAlignment="1">
      <alignment horizontal="right"/>
    </xf>
    <xf numFmtId="166" fontId="1" fillId="5" borderId="27" xfId="0" applyNumberFormat="1" applyFont="1" applyFill="1" applyBorder="1" applyAlignment="1">
      <alignment horizontal="right"/>
    </xf>
    <xf numFmtId="0" fontId="1" fillId="5" borderId="4" xfId="0" applyFont="1" applyFill="1" applyBorder="1"/>
    <xf numFmtId="0" fontId="1" fillId="5" borderId="5" xfId="0" applyFont="1" applyFill="1" applyBorder="1"/>
    <xf numFmtId="0" fontId="1" fillId="5" borderId="5" xfId="0" applyFont="1" applyFill="1" applyBorder="1" applyAlignment="1">
      <alignment horizontal="right"/>
    </xf>
    <xf numFmtId="171" fontId="75" fillId="5" borderId="5" xfId="4" applyNumberFormat="1" applyFont="1" applyFill="1" applyBorder="1" applyAlignment="1">
      <alignment horizontal="right"/>
    </xf>
    <xf numFmtId="166" fontId="1" fillId="5" borderId="5" xfId="0" applyNumberFormat="1" applyFont="1" applyFill="1" applyBorder="1" applyAlignment="1">
      <alignment horizontal="right"/>
    </xf>
    <xf numFmtId="0" fontId="63" fillId="9" borderId="36" xfId="0" applyFont="1" applyFill="1" applyBorder="1"/>
    <xf numFmtId="0" fontId="0" fillId="9" borderId="44" xfId="0" applyFill="1" applyBorder="1"/>
    <xf numFmtId="174" fontId="63" fillId="9" borderId="44" xfId="0" applyNumberFormat="1" applyFont="1" applyFill="1" applyBorder="1" applyAlignment="1">
      <alignment horizontal="center"/>
    </xf>
    <xf numFmtId="184" fontId="63" fillId="9" borderId="44" xfId="0" applyNumberFormat="1" applyFont="1" applyFill="1" applyBorder="1" applyAlignment="1">
      <alignment horizontal="center"/>
    </xf>
    <xf numFmtId="184" fontId="63" fillId="9" borderId="34" xfId="0" applyNumberFormat="1" applyFont="1" applyFill="1" applyBorder="1" applyAlignment="1">
      <alignment horizontal="center"/>
    </xf>
    <xf numFmtId="0" fontId="63" fillId="9" borderId="2" xfId="0" applyFont="1" applyFill="1" applyBorder="1"/>
    <xf numFmtId="0" fontId="0" fillId="9" borderId="3" xfId="0" applyFill="1" applyBorder="1"/>
    <xf numFmtId="174" fontId="63" fillId="9" borderId="3" xfId="0" applyNumberFormat="1" applyFont="1" applyFill="1" applyBorder="1" applyAlignment="1">
      <alignment horizontal="center"/>
    </xf>
    <xf numFmtId="184" fontId="63" fillId="9" borderId="3" xfId="0" applyNumberFormat="1" applyFont="1" applyFill="1" applyBorder="1" applyAlignment="1">
      <alignment horizontal="center"/>
    </xf>
    <xf numFmtId="184" fontId="63" fillId="9" borderId="33" xfId="0" applyNumberFormat="1" applyFont="1" applyFill="1" applyBorder="1" applyAlignment="1">
      <alignment horizontal="center"/>
    </xf>
    <xf numFmtId="4" fontId="76" fillId="0" borderId="0" xfId="0" applyNumberFormat="1" applyFont="1" applyAlignment="1">
      <alignment horizontal="center" vertical="center"/>
    </xf>
    <xf numFmtId="3" fontId="76" fillId="0" borderId="0" xfId="0" applyNumberFormat="1" applyFont="1" applyAlignment="1">
      <alignment horizontal="center" vertical="center"/>
    </xf>
    <xf numFmtId="1" fontId="76" fillId="0" borderId="0" xfId="1" quotePrefix="1" applyNumberFormat="1" applyFont="1" applyAlignment="1">
      <alignment horizontal="center" vertical="center"/>
    </xf>
    <xf numFmtId="1" fontId="76" fillId="0" borderId="0" xfId="0" quotePrefix="1" applyNumberFormat="1" applyFont="1" applyAlignment="1">
      <alignment horizontal="center" vertical="center"/>
    </xf>
    <xf numFmtId="2" fontId="0" fillId="0" borderId="0" xfId="0" applyNumberFormat="1"/>
    <xf numFmtId="10" fontId="0" fillId="0" borderId="0" xfId="4" applyNumberFormat="1" applyFont="1"/>
    <xf numFmtId="170" fontId="55" fillId="0" borderId="44" xfId="1" applyNumberFormat="1" applyFont="1" applyBorder="1" applyAlignment="1">
      <alignment horizontal="right"/>
    </xf>
    <xf numFmtId="170" fontId="55" fillId="0" borderId="34" xfId="1" applyNumberFormat="1" applyFont="1" applyBorder="1" applyAlignment="1">
      <alignment horizontal="right"/>
    </xf>
    <xf numFmtId="9" fontId="55" fillId="0" borderId="0" xfId="4" applyFont="1" applyBorder="1" applyAlignment="1">
      <alignment horizontal="right"/>
    </xf>
    <xf numFmtId="9" fontId="55" fillId="0" borderId="46" xfId="4" applyFont="1" applyBorder="1" applyAlignment="1">
      <alignment horizontal="right"/>
    </xf>
    <xf numFmtId="0" fontId="55" fillId="0" borderId="0" xfId="0" applyFont="1"/>
    <xf numFmtId="0" fontId="55" fillId="0" borderId="46" xfId="0" applyFont="1" applyBorder="1"/>
    <xf numFmtId="170" fontId="55" fillId="0" borderId="0" xfId="1" applyNumberFormat="1" applyFont="1" applyBorder="1"/>
    <xf numFmtId="170" fontId="55" fillId="0" borderId="46" xfId="1" applyNumberFormat="1" applyFont="1" applyBorder="1"/>
    <xf numFmtId="9" fontId="55" fillId="0" borderId="0" xfId="4" applyFont="1" applyBorder="1"/>
    <xf numFmtId="9" fontId="55" fillId="0" borderId="46" xfId="4" applyFont="1" applyBorder="1"/>
    <xf numFmtId="9" fontId="55" fillId="0" borderId="3" xfId="4" applyFont="1" applyBorder="1"/>
    <xf numFmtId="9" fontId="55" fillId="0" borderId="33" xfId="4" applyFont="1" applyBorder="1"/>
    <xf numFmtId="166" fontId="77" fillId="5" borderId="34" xfId="0" applyNumberFormat="1" applyFont="1" applyFill="1" applyBorder="1"/>
    <xf numFmtId="166" fontId="77" fillId="5" borderId="46" xfId="0" applyNumberFormat="1" applyFont="1" applyFill="1" applyBorder="1"/>
    <xf numFmtId="2" fontId="77" fillId="5" borderId="33" xfId="0" applyNumberFormat="1" applyFont="1" applyFill="1" applyBorder="1"/>
    <xf numFmtId="164" fontId="0" fillId="5" borderId="5" xfId="1" applyNumberFormat="1" applyFont="1" applyFill="1" applyBorder="1" applyAlignment="1">
      <alignment horizontal="right"/>
    </xf>
    <xf numFmtId="0" fontId="0" fillId="0" borderId="1" xfId="0" applyBorder="1" applyAlignment="1">
      <alignment horizontal="center"/>
    </xf>
    <xf numFmtId="0" fontId="0" fillId="5" borderId="1" xfId="0" applyFill="1" applyBorder="1" applyAlignment="1">
      <alignment horizontal="center"/>
    </xf>
  </cellXfs>
  <cellStyles count="6">
    <cellStyle name="Accent6" xfId="3" builtinId="49"/>
    <cellStyle name="Comma" xfId="1" builtinId="3"/>
    <cellStyle name="Currency" xfId="5" builtinId="4"/>
    <cellStyle name="Hyperlink" xfId="2" builtinId="8"/>
    <cellStyle name="Normal" xfId="0" builtinId="0"/>
    <cellStyle name="Percent" xfId="4" builtinId="5"/>
  </cellStyles>
  <dxfs count="65">
    <dxf>
      <font>
        <b/>
        <i val="0"/>
        <color theme="0"/>
      </font>
      <fill>
        <patternFill>
          <bgColor theme="5"/>
        </patternFill>
      </fill>
    </dxf>
    <dxf>
      <font>
        <strike val="0"/>
        <outline val="0"/>
        <shadow val="0"/>
        <u val="none"/>
        <vertAlign val="baseline"/>
        <sz val="10"/>
        <name val="Arial"/>
        <family val="2"/>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165" formatCode="[$-409]mmm\-yy;@"/>
    </dxf>
    <dxf>
      <font>
        <b/>
        <i val="0"/>
        <strike val="0"/>
        <condense val="0"/>
        <extend val="0"/>
        <outline val="0"/>
        <shadow val="0"/>
        <u val="none"/>
        <vertAlign val="baseline"/>
        <sz val="10"/>
        <color theme="0"/>
        <name val="Arial"/>
        <family val="2"/>
        <scheme val="none"/>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family val="2"/>
        <scheme val="none"/>
      </font>
    </dxf>
    <dxf>
      <font>
        <b/>
        <i val="0"/>
        <strike val="0"/>
        <condense val="0"/>
        <extend val="0"/>
        <outline val="0"/>
        <shadow val="0"/>
        <u val="none"/>
        <vertAlign val="baseline"/>
        <sz val="10"/>
        <color theme="0"/>
        <name val="Arial"/>
        <family val="2"/>
        <scheme val="none"/>
      </font>
      <fill>
        <patternFill patternType="solid">
          <fgColor theme="4"/>
          <bgColor rgb="FF0275D8"/>
        </patternFill>
      </fill>
      <alignment horizontal="center" vertical="bottom" textRotation="0" wrapText="0" relativeIndent="0" justifyLastLine="0" shrinkToFit="0" readingOrder="0"/>
    </dxf>
  </dxfs>
  <tableStyles count="0" defaultTableStyle="TableStyleMedium9" defaultPivotStyle="PivotStyleLight16"/>
  <colors>
    <mruColors>
      <color rgb="FF001B50"/>
      <color rgb="FFFFF2CC"/>
      <color rgb="FF7A0000"/>
      <color rgb="FFE1DE60"/>
      <color rgb="FFF2F7CB"/>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Revenue and Growth%</a:t>
            </a:r>
          </a:p>
        </c:rich>
      </c:tx>
      <c:layout>
        <c:manualLayout>
          <c:xMode val="edge"/>
          <c:yMode val="edge"/>
          <c:x val="0.36513164926782338"/>
          <c:y val="2.9154636920384953E-2"/>
        </c:manualLayout>
      </c:layout>
      <c:overlay val="0"/>
      <c:spPr>
        <a:noFill/>
        <a:ln>
          <a:noFill/>
        </a:ln>
        <a:effectLst/>
      </c:spPr>
    </c:title>
    <c:autoTitleDeleted val="0"/>
    <c:plotArea>
      <c:layout>
        <c:manualLayout>
          <c:layoutTarget val="inner"/>
          <c:xMode val="edge"/>
          <c:yMode val="edge"/>
          <c:x val="0.11724759405074368"/>
          <c:y val="0.17634259259259263"/>
          <c:w val="0.78562970253718289"/>
          <c:h val="0.55311315252260129"/>
        </c:manualLayout>
      </c:layout>
      <c:barChart>
        <c:barDir val="col"/>
        <c:grouping val="clustered"/>
        <c:varyColors val="0"/>
        <c:ser>
          <c:idx val="0"/>
          <c:order val="0"/>
          <c:tx>
            <c:strRef>
              <c:f>Summary!$B$11</c:f>
              <c:strCache>
                <c:ptCount val="1"/>
                <c:pt idx="0">
                  <c:v>Revenue</c:v>
                </c:pt>
              </c:strCache>
            </c:strRef>
          </c:tx>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invertIfNegative val="1"/>
          <c:dPt>
            <c:idx val="5"/>
            <c:invertIfNegative val="1"/>
            <c:bubble3D val="0"/>
            <c:spPr>
              <a:solidFill>
                <a:srgbClr val="003366"/>
              </a:solidFill>
              <a:ln w="85725" cap="flat" cmpd="sng">
                <a:solidFill>
                  <a:srgbClr val="7A000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11-AB5A-4926-B67F-492C18F486FE}"/>
              </c:ext>
            </c:extLst>
          </c:dPt>
          <c:dPt>
            <c:idx val="7"/>
            <c:invertIfNegative val="1"/>
            <c:bubble3D val="0"/>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C-AB5A-4926-B67F-492C18F486FE}"/>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Summary!$C$11:$T$11</c:f>
              <c:numCache>
                <c:formatCode>General</c:formatCode>
                <c:ptCount val="18"/>
                <c:pt idx="3" formatCode="_ * #,##0_ ;_ * \-#,##0_ ;_ * &quot;-&quot;??_ ;_ @_ ">
                  <c:v>28487.03</c:v>
                </c:pt>
                <c:pt idx="4" formatCode="_ * #,##0_ ;_ * \-#,##0_ ;_ * &quot;-&quot;??_ ;_ @_ ">
                  <c:v>31578.44</c:v>
                </c:pt>
                <c:pt idx="5" formatCode="_ * #,##0_ ;_ * \-#,##0_ ;_ * &quot;-&quot;??_ ;_ @_ ">
                  <c:v>26489.46</c:v>
                </c:pt>
                <c:pt idx="6" formatCode="_ * #,##0_ ;_ * \-#,##0_ ;_ * &quot;-&quot;??_ ;_ @_ ">
                  <c:v>29065.91</c:v>
                </c:pt>
                <c:pt idx="7" formatCode="_ * #,##0_ ;_ * \-#,##0_ ;_ * &quot;-&quot;??_ ;_ @_ ">
                  <c:v>32837.5</c:v>
                </c:pt>
                <c:pt idx="8" formatCode="_ * #,##0_ ;_ * \-#,##0_ ;_ * &quot;-&quot;??_ ;_ @_ ">
                  <c:v>33498.14</c:v>
                </c:pt>
                <c:pt idx="9" formatCode="_ * #,##0_ ;_ * \-#,##0_ ;_ * &quot;-&quot;??_ ;_ @_ ">
                  <c:v>38654.49</c:v>
                </c:pt>
                <c:pt idx="10" formatCode="_ * #,##0_ ;_ * \-#,##0_ ;_ * &quot;-&quot;??_ ;_ @_ ">
                  <c:v>43885.68</c:v>
                </c:pt>
                <c:pt idx="11" formatCode="_ * #,##0_ ;_ * \-#,##0_ ;_ * &quot;-&quot;??_ ;_ @_ ">
                  <c:v>48496.85</c:v>
                </c:pt>
                <c:pt idx="12" formatCode="_ * #,##0_ ;_ * \-#,##0_ ;_ * &quot;-&quot;??_ ;_ @_ ">
                  <c:v>52578.44</c:v>
                </c:pt>
                <c:pt idx="13" formatCode="_ * #,##0_ ;_ * \-#,##0_ ;_ * &quot;-&quot;??_ ;_ @_ ">
                  <c:v>57273.100000000006</c:v>
                </c:pt>
                <c:pt idx="14" formatCode="_ * #,##0_ ;_ * \-#,##0_ ;_ * &quot;-&quot;??_ ;_ @_ ">
                  <c:v>63154.700000000012</c:v>
                </c:pt>
                <c:pt idx="15" formatCode="_ * #,##0_ ;_ * \-#,##0_ ;_ * &quot;-&quot;??_ ;_ @_ ">
                  <c:v>68967.976147418318</c:v>
                </c:pt>
                <c:pt idx="16" formatCode="_ * #,##0_ ;_ * \-#,##0_ ;_ * &quot;-&quot;??_ ;_ @_ ">
                  <c:v>75497.653072949965</c:v>
                </c:pt>
                <c:pt idx="17" formatCode="_ * #,##0_ ;_ * \-#,##0_ ;_ * &quot;-&quot;??_ ;_ @_ ">
                  <c:v>82781.139913174426</c:v>
                </c:pt>
              </c:numCache>
            </c:numRef>
          </c:val>
          <c:extLst>
            <c:ext xmlns:c14="http://schemas.microsoft.com/office/drawing/2007/8/2/chart" uri="{6F2FDCE9-48DA-4B69-8628-5D25D57E5C99}">
              <c14:invertSolidFillFmt>
                <c14:spPr xmlns:c14="http://schemas.microsoft.com/office/drawing/2007/8/2/chart">
                  <a:solidFill>
                    <a:srgbClr val="8B0000"/>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14:spPr>
              </c14:invertSolidFillFmt>
            </c:ext>
            <c:ext xmlns:c16="http://schemas.microsoft.com/office/drawing/2014/chart" uri="{C3380CC4-5D6E-409C-BE32-E72D297353CC}">
              <c16:uniqueId val="{0000000D-AB5A-4926-B67F-492C18F486FE}"/>
            </c:ext>
          </c:extLst>
        </c:ser>
        <c:dLbls>
          <c:showLegendKey val="0"/>
          <c:showVal val="0"/>
          <c:showCatName val="0"/>
          <c:showSerName val="0"/>
          <c:showPercent val="0"/>
          <c:showBubbleSize val="0"/>
        </c:dLbls>
        <c:gapWidth val="219"/>
        <c:overlap val="-27"/>
        <c:axId val="1236707055"/>
        <c:axId val="1236725775"/>
      </c:barChart>
      <c:lineChart>
        <c:grouping val="standard"/>
        <c:varyColors val="0"/>
        <c:ser>
          <c:idx val="1"/>
          <c:order val="1"/>
          <c:tx>
            <c:strRef>
              <c:f>Summary!$B$12</c:f>
              <c:strCache>
                <c:ptCount val="1"/>
                <c:pt idx="0">
                  <c:v>growth%</c:v>
                </c:pt>
              </c:strCache>
            </c:strRef>
          </c:tx>
          <c:spPr>
            <a:ln w="12700" cap="rnd" cmpd="sng">
              <a:solidFill>
                <a:srgbClr val="2E7D32">
                  <a:alpha val="75000"/>
                </a:srgbClr>
              </a:solidFill>
              <a:prstDash val="solid"/>
              <a:round/>
              <a:headEnd type="none"/>
            </a:ln>
            <a:effectLst>
              <a:outerShdw blurRad="63500" sx="102000" sy="102000" algn="ctr" rotWithShape="0">
                <a:srgbClr val="C00000">
                  <a:alpha val="40000"/>
                </a:srgbClr>
              </a:outerShdw>
            </a:effectLst>
          </c:spPr>
          <c:marker>
            <c:symbol val="circle"/>
            <c:size val="5"/>
            <c:spPr>
              <a:solidFill>
                <a:srgbClr val="2E7D32"/>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a:sp3d>
            </c:spPr>
          </c:marker>
          <c:dPt>
            <c:idx val="11"/>
            <c:marker>
              <c:spPr>
                <a:solidFill>
                  <a:srgbClr val="2E7D32"/>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w="25400" prst="hardEdge"/>
                  <a:bevelB/>
                </a:sp3d>
              </c:spPr>
            </c:marker>
            <c:bubble3D val="0"/>
            <c:extLst>
              <c:ext xmlns:c16="http://schemas.microsoft.com/office/drawing/2014/chart" uri="{C3380CC4-5D6E-409C-BE32-E72D297353CC}">
                <c16:uniqueId val="{0000000F-AB5A-4926-B67F-492C18F486FE}"/>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Summary!$C$12:$T$12</c:f>
              <c:numCache>
                <c:formatCode>General</c:formatCode>
                <c:ptCount val="18"/>
                <c:pt idx="3" formatCode="0%">
                  <c:v>0</c:v>
                </c:pt>
                <c:pt idx="4" formatCode="0%">
                  <c:v>0.10851991239521985</c:v>
                </c:pt>
                <c:pt idx="5" formatCode="0%">
                  <c:v>-0.16115362253486876</c:v>
                </c:pt>
                <c:pt idx="6" formatCode="0%">
                  <c:v>9.7263213368637969E-2</c:v>
                </c:pt>
                <c:pt idx="7" formatCode="0%">
                  <c:v>0.12975991462163061</c:v>
                </c:pt>
                <c:pt idx="8" formatCode="0%">
                  <c:v>2.0118462124095959E-2</c:v>
                </c:pt>
                <c:pt idx="9" formatCode="0%">
                  <c:v>0.15392944205260339</c:v>
                </c:pt>
                <c:pt idx="10" formatCode="0%">
                  <c:v>0.1353320144697292</c:v>
                </c:pt>
                <c:pt idx="11" formatCode="0%">
                  <c:v>0.10507231516066295</c:v>
                </c:pt>
                <c:pt idx="12" formatCode="0%">
                  <c:v>8.4161961034582733E-2</c:v>
                </c:pt>
                <c:pt idx="13" formatCode="0%">
                  <c:v>8.9288689432398538E-2</c:v>
                </c:pt>
                <c:pt idx="14" formatCode="0%">
                  <c:v>0.10269393484899547</c:v>
                </c:pt>
                <c:pt idx="15" formatCode="0%">
                  <c:v>9.2048195105325581E-2</c:v>
                </c:pt>
                <c:pt idx="16" formatCode="0%">
                  <c:v>9.4676939795573192E-2</c:v>
                </c:pt>
                <c:pt idx="17" formatCode="0%">
                  <c:v>9.6473023249964748E-2</c:v>
                </c:pt>
              </c:numCache>
            </c:numRef>
          </c:val>
          <c:smooth val="1"/>
          <c:extLst>
            <c:ext xmlns:c16="http://schemas.microsoft.com/office/drawing/2014/chart" uri="{C3380CC4-5D6E-409C-BE32-E72D297353CC}">
              <c16:uniqueId val="{00000010-AB5A-4926-B67F-492C18F486FE}"/>
            </c:ext>
          </c:extLst>
        </c:ser>
        <c:dLbls>
          <c:showLegendKey val="0"/>
          <c:showVal val="0"/>
          <c:showCatName val="0"/>
          <c:showSerName val="0"/>
          <c:showPercent val="0"/>
          <c:showBubbleSize val="0"/>
        </c:dLbls>
        <c:marker val="1"/>
        <c:smooth val="0"/>
        <c:axId val="1236712815"/>
        <c:axId val="1236709935"/>
      </c:lineChart>
      <c:dateAx>
        <c:axId val="123671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709935"/>
        <c:crosses val="autoZero"/>
        <c:auto val="0"/>
        <c:lblOffset val="100"/>
        <c:baseTimeUnit val="days"/>
      </c:dateAx>
      <c:valAx>
        <c:axId val="1236709935"/>
        <c:scaling>
          <c:orientation val="minMax"/>
          <c:max val="0.25"/>
          <c:min val="0"/>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712815"/>
        <c:crosses val="autoZero"/>
        <c:crossBetween val="between"/>
      </c:valAx>
      <c:valAx>
        <c:axId val="123672577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707055"/>
        <c:crosses val="max"/>
        <c:crossBetween val="between"/>
        <c:majorUnit val="10000"/>
      </c:valAx>
      <c:catAx>
        <c:axId val="1236707055"/>
        <c:scaling>
          <c:orientation val="minMax"/>
        </c:scaling>
        <c:delete val="1"/>
        <c:axPos val="b"/>
        <c:numFmt formatCode="General" sourceLinked="1"/>
        <c:majorTickMark val="out"/>
        <c:minorTickMark val="none"/>
        <c:tickLblPos val="nextTo"/>
        <c:crossAx val="1236725775"/>
        <c:crosses val="autoZero"/>
        <c:auto val="1"/>
        <c:lblAlgn val="ctr"/>
        <c:lblOffset val="100"/>
        <c:noMultiLvlLbl val="0"/>
      </c:cat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EBIT and % of Sale</a:t>
            </a:r>
          </a:p>
        </c:rich>
      </c:tx>
      <c:layout>
        <c:manualLayout>
          <c:xMode val="edge"/>
          <c:yMode val="edge"/>
          <c:x val="0.36513164926782338"/>
          <c:y val="2.9154636920384953E-2"/>
        </c:manualLayout>
      </c:layout>
      <c:overlay val="0"/>
      <c:spPr>
        <a:noFill/>
        <a:ln>
          <a:noFill/>
        </a:ln>
        <a:effectLst/>
      </c:spPr>
    </c:title>
    <c:autoTitleDeleted val="0"/>
    <c:plotArea>
      <c:layout>
        <c:manualLayout>
          <c:layoutTarget val="inner"/>
          <c:xMode val="edge"/>
          <c:yMode val="edge"/>
          <c:x val="0.11724759405074368"/>
          <c:y val="0.17634259259259263"/>
          <c:w val="0.78562970253718289"/>
          <c:h val="0.55311315252260129"/>
        </c:manualLayout>
      </c:layout>
      <c:barChart>
        <c:barDir val="col"/>
        <c:grouping val="clustered"/>
        <c:varyColors val="0"/>
        <c:ser>
          <c:idx val="0"/>
          <c:order val="0"/>
          <c:tx>
            <c:strRef>
              <c:f>Summary!$B$14</c:f>
              <c:strCache>
                <c:ptCount val="1"/>
                <c:pt idx="0">
                  <c:v>EBIT</c:v>
                </c:pt>
              </c:strCache>
            </c:strRef>
          </c:tx>
          <c:spPr>
            <a:solidFill>
              <a:srgbClr val="003366"/>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invertIfNegative val="1"/>
          <c:dPt>
            <c:idx val="5"/>
            <c:invertIfNegative val="1"/>
            <c:bubble3D val="0"/>
            <c:spPr>
              <a:solidFill>
                <a:srgbClr val="003366"/>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5-529D-4891-A53E-C6A4CA16C339}"/>
              </c:ext>
            </c:extLst>
          </c:dPt>
          <c:dPt>
            <c:idx val="7"/>
            <c:invertIfNegative val="1"/>
            <c:bubble3D val="0"/>
            <c:spPr>
              <a:solidFill>
                <a:srgbClr val="003366"/>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7-529D-4891-A53E-C6A4CA16C339}"/>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Summary!$C$14:$T$14</c:f>
              <c:numCache>
                <c:formatCode>General</c:formatCode>
                <c:ptCount val="18"/>
                <c:pt idx="3" formatCode="_ * #,##0_ ;_ * \-#,##0_ ;_ * &quot;-&quot;??_ ;_ @_ ">
                  <c:v>7136.3699999999981</c:v>
                </c:pt>
                <c:pt idx="4" formatCode="_ * #,##0_ ;_ * \-#,##0_ ;_ * &quot;-&quot;??_ ;_ @_ ">
                  <c:v>8837.2699999999968</c:v>
                </c:pt>
                <c:pt idx="5" formatCode="_ * #,##0_ ;_ * \-#,##0_ ;_ * &quot;-&quot;??_ ;_ @_ ">
                  <c:v>4131.5799999999981</c:v>
                </c:pt>
                <c:pt idx="6" formatCode="_ * #,##0_ ;_ * \-#,##0_ ;_ * &quot;-&quot;??_ ;_ @_ ">
                  <c:v>4623.7300000000032</c:v>
                </c:pt>
                <c:pt idx="7" formatCode="_ * #,##0_ ;_ * \-#,##0_ ;_ * &quot;-&quot;??_ ;_ @_ ">
                  <c:v>4930.0600000000031</c:v>
                </c:pt>
                <c:pt idx="8" formatCode="_ * #,##0_ ;_ * \-#,##0_ ;_ * &quot;-&quot;??_ ;_ @_ ">
                  <c:v>6390.0099999999993</c:v>
                </c:pt>
                <c:pt idx="9" formatCode="_ * #,##0_ ;_ * \-#,##0_ ;_ * &quot;-&quot;??_ ;_ @_ ">
                  <c:v>8113.8299999999963</c:v>
                </c:pt>
                <c:pt idx="10" formatCode="_ * #,##0_ ;_ * \-#,##0_ ;_ * &quot;-&quot;??_ ;_ @_ ">
                  <c:v>9121.0099999999984</c:v>
                </c:pt>
                <c:pt idx="11" formatCode="_ * #,##0_ ;_ * \-#,##0_ ;_ * &quot;-&quot;??_ ;_ @_ ">
                  <c:v>10461.129999999997</c:v>
                </c:pt>
                <c:pt idx="12" formatCode="_ * #,##0_ ;_ * \-#,##0_ ;_ * &quot;-&quot;??_ ;_ @_ ">
                  <c:v>12539.070000000007</c:v>
                </c:pt>
                <c:pt idx="13" formatCode="_ * #,##0_ ;_ * \-#,##0_ ;_ * &quot;-&quot;??_ ;_ @_ ">
                  <c:v>13445.400000000001</c:v>
                </c:pt>
                <c:pt idx="14" formatCode="_ * #,##0_ ;_ * \-#,##0_ ;_ * &quot;-&quot;??_ ;_ @_ ">
                  <c:v>15584.100000000002</c:v>
                </c:pt>
                <c:pt idx="15" formatCode="_ * #,##0_ ;_ * \-#,##0_ ;_ * &quot;-&quot;??_ ;_ @_ ">
                  <c:v>16552.389419465748</c:v>
                </c:pt>
                <c:pt idx="16" formatCode="_ * #,##0_ ;_ * \-#,##0_ ;_ * &quot;-&quot;??_ ;_ @_ ">
                  <c:v>18157.720241248968</c:v>
                </c:pt>
                <c:pt idx="17" formatCode="_ * #,##0_ ;_ * \-#,##0_ ;_ * &quot;-&quot;??_ ;_ @_ ">
                  <c:v>20068.049620259324</c:v>
                </c:pt>
              </c:numCache>
            </c:numRef>
          </c:val>
          <c:extLst>
            <c:ext xmlns:c14="http://schemas.microsoft.com/office/drawing/2007/8/2/chart" uri="{6F2FDCE9-48DA-4B69-8628-5D25D57E5C99}">
              <c14:invertSolidFillFmt>
                <c14:spPr xmlns:c14="http://schemas.microsoft.com/office/drawing/2007/8/2/chart">
                  <a:solidFill>
                    <a:srgbClr val="8B0000"/>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14:spPr>
              </c14:invertSolidFillFmt>
            </c:ext>
            <c:ext xmlns:c16="http://schemas.microsoft.com/office/drawing/2014/chart" uri="{C3380CC4-5D6E-409C-BE32-E72D297353CC}">
              <c16:uniqueId val="{00000008-529D-4891-A53E-C6A4CA16C339}"/>
            </c:ext>
          </c:extLst>
        </c:ser>
        <c:dLbls>
          <c:showLegendKey val="0"/>
          <c:showVal val="0"/>
          <c:showCatName val="0"/>
          <c:showSerName val="0"/>
          <c:showPercent val="0"/>
          <c:showBubbleSize val="0"/>
        </c:dLbls>
        <c:gapWidth val="219"/>
        <c:overlap val="-27"/>
        <c:axId val="1236707055"/>
        <c:axId val="1236725775"/>
      </c:barChart>
      <c:lineChart>
        <c:grouping val="standard"/>
        <c:varyColors val="0"/>
        <c:ser>
          <c:idx val="1"/>
          <c:order val="1"/>
          <c:tx>
            <c:strRef>
              <c:f>Summary!$B$15</c:f>
              <c:strCache>
                <c:ptCount val="1"/>
                <c:pt idx="0">
                  <c:v>% of Sale </c:v>
                </c:pt>
              </c:strCache>
            </c:strRef>
          </c:tx>
          <c:spPr>
            <a:ln w="12700" cap="rnd" cmpd="sng">
              <a:solidFill>
                <a:srgbClr val="2E7D32">
                  <a:alpha val="75000"/>
                </a:srgbClr>
              </a:solidFill>
              <a:prstDash val="solid"/>
              <a:round/>
              <a:headEnd type="none"/>
            </a:ln>
            <a:effectLst>
              <a:outerShdw blurRad="63500" sx="102000" sy="102000" algn="ctr" rotWithShape="0">
                <a:srgbClr val="C00000">
                  <a:alpha val="40000"/>
                </a:srgbClr>
              </a:outerShdw>
            </a:effectLst>
          </c:spPr>
          <c:marker>
            <c:symbol val="circle"/>
            <c:size val="5"/>
            <c:spPr>
              <a:solidFill>
                <a:srgbClr val="2E7D32"/>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a:sp3d>
            </c:spPr>
          </c:marker>
          <c:dPt>
            <c:idx val="11"/>
            <c:marker>
              <c:spPr>
                <a:solidFill>
                  <a:srgbClr val="2E7D32"/>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w="25400" prst="hardEdge"/>
                  <a:bevelB/>
                </a:sp3d>
              </c:spPr>
            </c:marker>
            <c:bubble3D val="0"/>
            <c:extLst>
              <c:ext xmlns:c16="http://schemas.microsoft.com/office/drawing/2014/chart" uri="{C3380CC4-5D6E-409C-BE32-E72D297353CC}">
                <c16:uniqueId val="{0000000A-529D-4891-A53E-C6A4CA16C339}"/>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Summary!$C$15:$T$15</c:f>
              <c:numCache>
                <c:formatCode>General</c:formatCode>
                <c:ptCount val="18"/>
                <c:pt idx="3" formatCode="0%">
                  <c:v>0.25051295273673663</c:v>
                </c:pt>
                <c:pt idx="4" formatCode="0%">
                  <c:v>0.27985137961216566</c:v>
                </c:pt>
                <c:pt idx="5" formatCode="0%">
                  <c:v>0.15597071438979873</c:v>
                </c:pt>
                <c:pt idx="6" formatCode="0%">
                  <c:v>0.15907742093744884</c:v>
                </c:pt>
                <c:pt idx="7" formatCode="0%">
                  <c:v>0.15013505900266474</c:v>
                </c:pt>
                <c:pt idx="8" formatCode="0%">
                  <c:v>0.1907571584571561</c:v>
                </c:pt>
                <c:pt idx="9" formatCode="0%">
                  <c:v>0.20990653349714344</c:v>
                </c:pt>
                <c:pt idx="10" formatCode="0%">
                  <c:v>0.20783567669453903</c:v>
                </c:pt>
                <c:pt idx="11" formatCode="0%">
                  <c:v>0.21570741192469198</c:v>
                </c:pt>
                <c:pt idx="12" formatCode="0%">
                  <c:v>0.23848311208928996</c:v>
                </c:pt>
                <c:pt idx="13" formatCode="0%">
                  <c:v>0.23475942458152257</c:v>
                </c:pt>
                <c:pt idx="14" formatCode="0%">
                  <c:v>0.24676073198035933</c:v>
                </c:pt>
                <c:pt idx="15" formatCode="0%">
                  <c:v>0.24000108955039059</c:v>
                </c:pt>
                <c:pt idx="16" formatCode="0%">
                  <c:v>0.24050708203742419</c:v>
                </c:pt>
                <c:pt idx="17" formatCode="0%">
                  <c:v>0.24242296785605802</c:v>
                </c:pt>
              </c:numCache>
            </c:numRef>
          </c:val>
          <c:smooth val="1"/>
          <c:extLst>
            <c:ext xmlns:c16="http://schemas.microsoft.com/office/drawing/2014/chart" uri="{C3380CC4-5D6E-409C-BE32-E72D297353CC}">
              <c16:uniqueId val="{0000000B-529D-4891-A53E-C6A4CA16C339}"/>
            </c:ext>
          </c:extLst>
        </c:ser>
        <c:dLbls>
          <c:showLegendKey val="0"/>
          <c:showVal val="0"/>
          <c:showCatName val="0"/>
          <c:showSerName val="0"/>
          <c:showPercent val="0"/>
          <c:showBubbleSize val="0"/>
        </c:dLbls>
        <c:marker val="1"/>
        <c:smooth val="0"/>
        <c:axId val="1236712815"/>
        <c:axId val="1236709935"/>
      </c:lineChart>
      <c:dateAx>
        <c:axId val="123671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709935"/>
        <c:crosses val="autoZero"/>
        <c:auto val="0"/>
        <c:lblOffset val="100"/>
        <c:baseTimeUnit val="days"/>
      </c:dateAx>
      <c:valAx>
        <c:axId val="1236709935"/>
        <c:scaling>
          <c:orientation val="minMax"/>
          <c:max val="0.4"/>
          <c:min val="0"/>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712815"/>
        <c:crosses val="autoZero"/>
        <c:crossBetween val="between"/>
      </c:valAx>
      <c:valAx>
        <c:axId val="123672577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707055"/>
        <c:crosses val="max"/>
        <c:crossBetween val="between"/>
        <c:majorUnit val="10000"/>
      </c:valAx>
      <c:catAx>
        <c:axId val="1236707055"/>
        <c:scaling>
          <c:orientation val="minMax"/>
        </c:scaling>
        <c:delete val="1"/>
        <c:axPos val="b"/>
        <c:numFmt formatCode="General" sourceLinked="1"/>
        <c:majorTickMark val="out"/>
        <c:minorTickMark val="none"/>
        <c:tickLblPos val="nextTo"/>
        <c:crossAx val="1236725775"/>
        <c:crosses val="autoZero"/>
        <c:auto val="1"/>
        <c:lblAlgn val="ctr"/>
        <c:lblOffset val="100"/>
        <c:noMultiLvlLbl val="0"/>
      </c:cat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Profit Margin</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0642162893700788"/>
          <c:y val="0.12063354983852827"/>
          <c:w val="0.86493253772965883"/>
          <c:h val="0.52987481403534231"/>
        </c:manualLayout>
      </c:layout>
      <c:lineChart>
        <c:grouping val="standard"/>
        <c:varyColors val="0"/>
        <c:ser>
          <c:idx val="0"/>
          <c:order val="0"/>
          <c:tx>
            <c:strRef>
              <c:f>Charts!$A$51</c:f>
              <c:strCache>
                <c:ptCount val="1"/>
                <c:pt idx="0">
                  <c:v>Operating Margin</c:v>
                </c:pt>
              </c:strCache>
            </c:strRef>
          </c:tx>
          <c:spPr>
            <a:ln w="28575" cap="rnd">
              <a:solidFill>
                <a:schemeClr val="accent1"/>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Charts!$B$51:$K$51</c:f>
              <c:numCache>
                <c:formatCode>0%</c:formatCode>
                <c:ptCount val="10"/>
                <c:pt idx="0">
                  <c:v>0.28693408895205985</c:v>
                </c:pt>
                <c:pt idx="1">
                  <c:v>0.31990243976586547</c:v>
                </c:pt>
                <c:pt idx="2">
                  <c:v>0.21259097014435169</c:v>
                </c:pt>
                <c:pt idx="3">
                  <c:v>0.21939722513418652</c:v>
                </c:pt>
                <c:pt idx="4">
                  <c:v>0.21264834411876676</c:v>
                </c:pt>
                <c:pt idx="5">
                  <c:v>0.25284866562740499</c:v>
                </c:pt>
                <c:pt idx="6">
                  <c:v>0.26536555003053969</c:v>
                </c:pt>
                <c:pt idx="7">
                  <c:v>0.26547247302536953</c:v>
                </c:pt>
                <c:pt idx="8">
                  <c:v>0.26842506265870869</c:v>
                </c:pt>
                <c:pt idx="9">
                  <c:v>0.28746497613850858</c:v>
                </c:pt>
              </c:numCache>
            </c:numRef>
          </c:val>
          <c:smooth val="0"/>
          <c:extLst>
            <c:ext xmlns:c16="http://schemas.microsoft.com/office/drawing/2014/chart" uri="{C3380CC4-5D6E-409C-BE32-E72D297353CC}">
              <c16:uniqueId val="{00000000-26E1-4347-B20E-A510AB943424}"/>
            </c:ext>
          </c:extLst>
        </c:ser>
        <c:ser>
          <c:idx val="1"/>
          <c:order val="1"/>
          <c:tx>
            <c:strRef>
              <c:f>Charts!$A$52</c:f>
              <c:strCache>
                <c:ptCount val="1"/>
                <c:pt idx="0">
                  <c:v>PBT Margin</c:v>
                </c:pt>
              </c:strCache>
            </c:strRef>
          </c:tx>
          <c:spPr>
            <a:ln w="28575" cap="rnd">
              <a:solidFill>
                <a:schemeClr val="accent2"/>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Charts!$B$52:$K$52</c:f>
              <c:numCache>
                <c:formatCode>0%</c:formatCode>
                <c:ptCount val="10"/>
                <c:pt idx="0">
                  <c:v>0.23065338857718753</c:v>
                </c:pt>
                <c:pt idx="1">
                  <c:v>0.28652048676248726</c:v>
                </c:pt>
                <c:pt idx="2">
                  <c:v>0.13133450059004595</c:v>
                </c:pt>
                <c:pt idx="3">
                  <c:v>0.13108827488972488</c:v>
                </c:pt>
                <c:pt idx="4">
                  <c:v>0.15255698515416838</c:v>
                </c:pt>
                <c:pt idx="5">
                  <c:v>8.356792347276594E-2</c:v>
                </c:pt>
                <c:pt idx="6">
                  <c:v>0.11593271570779995</c:v>
                </c:pt>
                <c:pt idx="7">
                  <c:v>0.21438496566533771</c:v>
                </c:pt>
                <c:pt idx="8">
                  <c:v>0.22863113789864697</c:v>
                </c:pt>
                <c:pt idx="9">
                  <c:v>0.26155454593175459</c:v>
                </c:pt>
              </c:numCache>
            </c:numRef>
          </c:val>
          <c:smooth val="0"/>
          <c:extLst>
            <c:ext xmlns:c16="http://schemas.microsoft.com/office/drawing/2014/chart" uri="{C3380CC4-5D6E-409C-BE32-E72D297353CC}">
              <c16:uniqueId val="{00000001-26E1-4347-B20E-A510AB943424}"/>
            </c:ext>
          </c:extLst>
        </c:ser>
        <c:ser>
          <c:idx val="2"/>
          <c:order val="2"/>
          <c:tx>
            <c:strRef>
              <c:f>Charts!$A$53</c:f>
              <c:strCache>
                <c:ptCount val="1"/>
                <c:pt idx="0">
                  <c:v>Net Margin</c:v>
                </c:pt>
              </c:strCache>
            </c:strRef>
          </c:tx>
          <c:spPr>
            <a:ln w="28575" cap="rnd">
              <a:solidFill>
                <a:schemeClr val="accent3"/>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Charts!$B$53:$K$53</c:f>
              <c:numCache>
                <c:formatCode>0%</c:formatCode>
                <c:ptCount val="10"/>
                <c:pt idx="0">
                  <c:v>0.19857668560042935</c:v>
                </c:pt>
                <c:pt idx="1">
                  <c:v>0.24815348699935771</c:v>
                </c:pt>
                <c:pt idx="2">
                  <c:v>9.6941953516606158E-2</c:v>
                </c:pt>
                <c:pt idx="3">
                  <c:v>0.11041525966329639</c:v>
                </c:pt>
                <c:pt idx="4">
                  <c:v>0.12750026646364684</c:v>
                </c:pt>
                <c:pt idx="5">
                  <c:v>6.820318978904498E-2</c:v>
                </c:pt>
                <c:pt idx="6">
                  <c:v>8.8109298557554283E-2</c:v>
                </c:pt>
                <c:pt idx="7">
                  <c:v>0.19507137635784608</c:v>
                </c:pt>
                <c:pt idx="8">
                  <c:v>0.19894982870021449</c:v>
                </c:pt>
                <c:pt idx="9">
                  <c:v>0.20883274589356404</c:v>
                </c:pt>
              </c:numCache>
            </c:numRef>
          </c:val>
          <c:smooth val="0"/>
          <c:extLst>
            <c:ext xmlns:c16="http://schemas.microsoft.com/office/drawing/2014/chart" uri="{C3380CC4-5D6E-409C-BE32-E72D297353CC}">
              <c16:uniqueId val="{00000002-26E1-4347-B20E-A510AB943424}"/>
            </c:ext>
          </c:extLst>
        </c:ser>
        <c:dLbls>
          <c:showLegendKey val="0"/>
          <c:showVal val="0"/>
          <c:showCatName val="0"/>
          <c:showSerName val="0"/>
          <c:showPercent val="0"/>
          <c:showBubbleSize val="0"/>
        </c:dLbls>
        <c:smooth val="0"/>
        <c:axId val="744897600"/>
        <c:axId val="744897272"/>
      </c:lineChart>
      <c:dateAx>
        <c:axId val="74489760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7272"/>
        <c:crosses val="autoZero"/>
        <c:auto val="1"/>
        <c:lblOffset val="100"/>
        <c:baseTimeUnit val="years"/>
      </c:dateAx>
      <c:valAx>
        <c:axId val="744897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7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Capital Allocation Quality</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2415144915396213"/>
          <c:y val="0.12524184476940384"/>
          <c:w val="0.84659323169710166"/>
          <c:h val="0.52526651910446676"/>
        </c:manualLayout>
      </c:layout>
      <c:barChart>
        <c:barDir val="col"/>
        <c:grouping val="clustered"/>
        <c:varyColors val="0"/>
        <c:ser>
          <c:idx val="0"/>
          <c:order val="0"/>
          <c:tx>
            <c:strRef>
              <c:f>Charts!$A$57</c:f>
              <c:strCache>
                <c:ptCount val="1"/>
                <c:pt idx="0">
                  <c:v>ROE</c:v>
                </c:pt>
              </c:strCache>
            </c:strRef>
          </c:tx>
          <c:spPr>
            <a:solidFill>
              <a:schemeClr val="accent1"/>
            </a:solidFill>
            <a:ln>
              <a:noFill/>
            </a:ln>
            <a:effectLst/>
          </c:spPr>
          <c:invertIfNegative val="0"/>
          <c:cat>
            <c:numRef>
              <c:f>Charts!$B$56:$K$56</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Charts!$B$57:$K$57</c:f>
              <c:numCache>
                <c:formatCode>0%</c:formatCode>
                <c:ptCount val="10"/>
                <c:pt idx="0">
                  <c:v>0.17151105677923548</c:v>
                </c:pt>
                <c:pt idx="1">
                  <c:v>0.21387474286749847</c:v>
                </c:pt>
                <c:pt idx="2">
                  <c:v>6.7023349883371899E-2</c:v>
                </c:pt>
                <c:pt idx="3">
                  <c:v>7.7502845995538264E-2</c:v>
                </c:pt>
                <c:pt idx="4">
                  <c:v>9.2496208393120963E-2</c:v>
                </c:pt>
                <c:pt idx="5">
                  <c:v>4.9172262184914453E-2</c:v>
                </c:pt>
                <c:pt idx="6">
                  <c:v>7.0938001575464982E-2</c:v>
                </c:pt>
                <c:pt idx="7">
                  <c:v>0.15288475584950043</c:v>
                </c:pt>
                <c:pt idx="8">
                  <c:v>0.15154597965185904</c:v>
                </c:pt>
                <c:pt idx="9">
                  <c:v>0.15204100029327869</c:v>
                </c:pt>
              </c:numCache>
            </c:numRef>
          </c:val>
          <c:extLst>
            <c:ext xmlns:c16="http://schemas.microsoft.com/office/drawing/2014/chart" uri="{C3380CC4-5D6E-409C-BE32-E72D297353CC}">
              <c16:uniqueId val="{00000000-6118-4ABA-9339-77EEC81DC73E}"/>
            </c:ext>
          </c:extLst>
        </c:ser>
        <c:ser>
          <c:idx val="1"/>
          <c:order val="1"/>
          <c:tx>
            <c:strRef>
              <c:f>Charts!$A$58</c:f>
              <c:strCache>
                <c:ptCount val="1"/>
                <c:pt idx="0">
                  <c:v>ROCE</c:v>
                </c:pt>
              </c:strCache>
            </c:strRef>
          </c:tx>
          <c:spPr>
            <a:solidFill>
              <a:schemeClr val="accent2"/>
            </a:solidFill>
            <a:ln>
              <a:noFill/>
            </a:ln>
            <a:effectLst/>
          </c:spPr>
          <c:invertIfNegative val="0"/>
          <c:cat>
            <c:numRef>
              <c:f>Charts!$B$56:$K$56</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Charts!$B$58:$K$58</c:f>
              <c:numCache>
                <c:formatCode>0%</c:formatCode>
                <c:ptCount val="10"/>
                <c:pt idx="0">
                  <c:v>0.1710221788055904</c:v>
                </c:pt>
                <c:pt idx="1">
                  <c:v>0.20330056482002701</c:v>
                </c:pt>
                <c:pt idx="2">
                  <c:v>8.2065726504115616E-2</c:v>
                </c:pt>
                <c:pt idx="3">
                  <c:v>8.4074777817023674E-2</c:v>
                </c:pt>
                <c:pt idx="4">
                  <c:v>9.9148682896930657E-2</c:v>
                </c:pt>
                <c:pt idx="5">
                  <c:v>5.8428780783988339E-2</c:v>
                </c:pt>
                <c:pt idx="6">
                  <c:v>9.3479267982001291E-2</c:v>
                </c:pt>
                <c:pt idx="7">
                  <c:v>0.15235749925454722</c:v>
                </c:pt>
                <c:pt idx="8">
                  <c:v>0.16920061152887891</c:v>
                </c:pt>
                <c:pt idx="9">
                  <c:v>0.18749598586541935</c:v>
                </c:pt>
              </c:numCache>
            </c:numRef>
          </c:val>
          <c:extLst>
            <c:ext xmlns:c16="http://schemas.microsoft.com/office/drawing/2014/chart" uri="{C3380CC4-5D6E-409C-BE32-E72D297353CC}">
              <c16:uniqueId val="{00000001-6118-4ABA-9339-77EEC81DC73E}"/>
            </c:ext>
          </c:extLst>
        </c:ser>
        <c:dLbls>
          <c:showLegendKey val="0"/>
          <c:showVal val="0"/>
          <c:showCatName val="0"/>
          <c:showSerName val="0"/>
          <c:showPercent val="0"/>
          <c:showBubbleSize val="0"/>
        </c:dLbls>
        <c:gapWidth val="219"/>
        <c:overlap val="-27"/>
        <c:axId val="683252768"/>
        <c:axId val="683254736"/>
      </c:barChart>
      <c:dateAx>
        <c:axId val="68325276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54736"/>
        <c:crosses val="autoZero"/>
        <c:auto val="1"/>
        <c:lblOffset val="100"/>
        <c:baseTimeUnit val="years"/>
      </c:dateAx>
      <c:valAx>
        <c:axId val="683254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52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Revenue and Profit Growth (YoY)</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2062740827609315"/>
          <c:y val="0.11656240886555849"/>
          <c:w val="0.85011727257497072"/>
          <c:h val="0.66610199766695832"/>
        </c:manualLayout>
      </c:layout>
      <c:lineChart>
        <c:grouping val="standard"/>
        <c:varyColors val="0"/>
        <c:ser>
          <c:idx val="0"/>
          <c:order val="0"/>
          <c:tx>
            <c:strRef>
              <c:f>Charts!$A$62</c:f>
              <c:strCache>
                <c:ptCount val="1"/>
                <c:pt idx="0">
                  <c:v>Revenue Growth</c:v>
                </c:pt>
              </c:strCache>
            </c:strRef>
          </c:tx>
          <c:spPr>
            <a:ln w="28575" cap="rnd">
              <a:solidFill>
                <a:schemeClr val="accent1"/>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Charts!$B$62:$J$62</c:f>
              <c:numCache>
                <c:formatCode>0%</c:formatCode>
                <c:ptCount val="9"/>
                <c:pt idx="0">
                  <c:v>0.10851991239521985</c:v>
                </c:pt>
                <c:pt idx="1">
                  <c:v>-0.16115362253486876</c:v>
                </c:pt>
                <c:pt idx="2">
                  <c:v>9.7263213368637969E-2</c:v>
                </c:pt>
                <c:pt idx="3">
                  <c:v>0.12975991462163061</c:v>
                </c:pt>
                <c:pt idx="4">
                  <c:v>2.0118462124095959E-2</c:v>
                </c:pt>
                <c:pt idx="5">
                  <c:v>0.15392944205260339</c:v>
                </c:pt>
                <c:pt idx="6">
                  <c:v>0.1353320144697292</c:v>
                </c:pt>
                <c:pt idx="7">
                  <c:v>0.10507231516066295</c:v>
                </c:pt>
                <c:pt idx="8">
                  <c:v>8.4161961034582733E-2</c:v>
                </c:pt>
              </c:numCache>
            </c:numRef>
          </c:val>
          <c:smooth val="0"/>
          <c:extLst>
            <c:ext xmlns:c16="http://schemas.microsoft.com/office/drawing/2014/chart" uri="{C3380CC4-5D6E-409C-BE32-E72D297353CC}">
              <c16:uniqueId val="{00000000-BED8-4D86-91BD-1B6873BA3D65}"/>
            </c:ext>
          </c:extLst>
        </c:ser>
        <c:ser>
          <c:idx val="1"/>
          <c:order val="1"/>
          <c:tx>
            <c:strRef>
              <c:f>Charts!$A$63</c:f>
              <c:strCache>
                <c:ptCount val="1"/>
                <c:pt idx="0">
                  <c:v>PBT Growth</c:v>
                </c:pt>
              </c:strCache>
            </c:strRef>
          </c:tx>
          <c:spPr>
            <a:ln w="28575" cap="rnd">
              <a:solidFill>
                <a:schemeClr val="accent2"/>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Charts!$B$63:$J$63</c:f>
              <c:numCache>
                <c:formatCode>0%</c:formatCode>
                <c:ptCount val="9"/>
                <c:pt idx="0">
                  <c:v>0.37701712012394539</c:v>
                </c:pt>
                <c:pt idx="1">
                  <c:v>-0.61549182293733229</c:v>
                </c:pt>
                <c:pt idx="2">
                  <c:v>9.5206066145825829E-2</c:v>
                </c:pt>
                <c:pt idx="3">
                  <c:v>0.31478400083985081</c:v>
                </c:pt>
                <c:pt idx="4">
                  <c:v>-0.44119778265287235</c:v>
                </c:pt>
                <c:pt idx="5">
                  <c:v>0.60083161568495669</c:v>
                </c:pt>
                <c:pt idx="6">
                  <c:v>1.0994773861273033</c:v>
                </c:pt>
                <c:pt idx="7">
                  <c:v>0.17850587186172384</c:v>
                </c:pt>
                <c:pt idx="8">
                  <c:v>0.24028376904893611</c:v>
                </c:pt>
              </c:numCache>
            </c:numRef>
          </c:val>
          <c:smooth val="0"/>
          <c:extLst>
            <c:ext xmlns:c16="http://schemas.microsoft.com/office/drawing/2014/chart" uri="{C3380CC4-5D6E-409C-BE32-E72D297353CC}">
              <c16:uniqueId val="{00000001-BED8-4D86-91BD-1B6873BA3D65}"/>
            </c:ext>
          </c:extLst>
        </c:ser>
        <c:ser>
          <c:idx val="2"/>
          <c:order val="2"/>
          <c:tx>
            <c:strRef>
              <c:f>Charts!$A$64</c:f>
              <c:strCache>
                <c:ptCount val="1"/>
                <c:pt idx="0">
                  <c:v>Net Profit Growth</c:v>
                </c:pt>
              </c:strCache>
            </c:strRef>
          </c:tx>
          <c:spPr>
            <a:ln w="28575" cap="rnd">
              <a:solidFill>
                <a:schemeClr val="accent3"/>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Charts!$B$64:$J$64</c:f>
              <c:numCache>
                <c:formatCode>0%</c:formatCode>
                <c:ptCount val="9"/>
                <c:pt idx="0">
                  <c:v>0.38527380914500253</c:v>
                </c:pt>
                <c:pt idx="1">
                  <c:v>-0.67230197925041169</c:v>
                </c:pt>
                <c:pt idx="2">
                  <c:v>0.24976440259507826</c:v>
                </c:pt>
                <c:pt idx="3">
                  <c:v>0.30457230815250558</c:v>
                </c:pt>
                <c:pt idx="4">
                  <c:v>-0.45431225354030236</c:v>
                </c:pt>
                <c:pt idx="5">
                  <c:v>0.49072080116252481</c:v>
                </c:pt>
                <c:pt idx="6">
                  <c:v>1.5135914405341468</c:v>
                </c:pt>
                <c:pt idx="7">
                  <c:v>0.12704360787025548</c:v>
                </c:pt>
                <c:pt idx="8">
                  <c:v>0.13801816666735833</c:v>
                </c:pt>
              </c:numCache>
            </c:numRef>
          </c:val>
          <c:smooth val="0"/>
          <c:extLst>
            <c:ext xmlns:c16="http://schemas.microsoft.com/office/drawing/2014/chart" uri="{C3380CC4-5D6E-409C-BE32-E72D297353CC}">
              <c16:uniqueId val="{00000002-BED8-4D86-91BD-1B6873BA3D65}"/>
            </c:ext>
          </c:extLst>
        </c:ser>
        <c:dLbls>
          <c:showLegendKey val="0"/>
          <c:showVal val="0"/>
          <c:showCatName val="0"/>
          <c:showSerName val="0"/>
          <c:showPercent val="0"/>
          <c:showBubbleSize val="0"/>
        </c:dLbls>
        <c:smooth val="0"/>
        <c:axId val="683222432"/>
        <c:axId val="744898256"/>
      </c:lineChart>
      <c:dateAx>
        <c:axId val="683222432"/>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8256"/>
        <c:crosses val="autoZero"/>
        <c:auto val="1"/>
        <c:lblOffset val="100"/>
        <c:baseTimeUnit val="years"/>
      </c:dateAx>
      <c:valAx>
        <c:axId val="744898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Revenue</a:t>
            </a:r>
          </a:p>
        </c:rich>
      </c:tx>
      <c:layout>
        <c:manualLayout>
          <c:xMode val="edge"/>
          <c:yMode val="edge"/>
          <c:x val="0.42964833497375327"/>
          <c:y val="2.7777777777777776E-2"/>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6169557906824147"/>
          <c:y val="0.11656240886555849"/>
          <c:w val="0.80965858759842524"/>
          <c:h val="0.65037693205016045"/>
        </c:manualLayout>
      </c:layout>
      <c:barChart>
        <c:barDir val="col"/>
        <c:grouping val="clustered"/>
        <c:varyColors val="0"/>
        <c:ser>
          <c:idx val="0"/>
          <c:order val="0"/>
          <c:tx>
            <c:strRef>
              <c:f>Charts!$A$68</c:f>
              <c:strCache>
                <c:ptCount val="1"/>
                <c:pt idx="0">
                  <c:v>Revenue</c:v>
                </c:pt>
              </c:strCache>
            </c:strRef>
          </c:tx>
          <c:spPr>
            <a:solidFill>
              <a:schemeClr val="accent1"/>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Charts!$B$68:$K$68</c:f>
              <c:numCache>
                <c:formatCode>_ * #,##0_ ;_ * \-#,##0_ ;_ * "-"??_ ;_ @_ </c:formatCode>
                <c:ptCount val="10"/>
                <c:pt idx="0">
                  <c:v>28487.03</c:v>
                </c:pt>
                <c:pt idx="1">
                  <c:v>31578.44</c:v>
                </c:pt>
                <c:pt idx="2">
                  <c:v>26489.46</c:v>
                </c:pt>
                <c:pt idx="3">
                  <c:v>29065.91</c:v>
                </c:pt>
                <c:pt idx="4">
                  <c:v>32837.5</c:v>
                </c:pt>
                <c:pt idx="5">
                  <c:v>33498.14</c:v>
                </c:pt>
                <c:pt idx="6">
                  <c:v>38654.49</c:v>
                </c:pt>
                <c:pt idx="7">
                  <c:v>43885.68</c:v>
                </c:pt>
                <c:pt idx="8">
                  <c:v>48496.85</c:v>
                </c:pt>
                <c:pt idx="9">
                  <c:v>52578.44</c:v>
                </c:pt>
              </c:numCache>
            </c:numRef>
          </c:val>
          <c:extLst>
            <c:ext xmlns:c16="http://schemas.microsoft.com/office/drawing/2014/chart" uri="{C3380CC4-5D6E-409C-BE32-E72D297353CC}">
              <c16:uniqueId val="{00000000-5CBF-4601-96D0-0E949031A41A}"/>
            </c:ext>
          </c:extLst>
        </c:ser>
        <c:dLbls>
          <c:showLegendKey val="0"/>
          <c:showVal val="0"/>
          <c:showCatName val="0"/>
          <c:showSerName val="0"/>
          <c:showPercent val="0"/>
          <c:showBubbleSize val="0"/>
        </c:dLbls>
        <c:gapWidth val="219"/>
        <c:overlap val="-27"/>
        <c:axId val="683224728"/>
        <c:axId val="683225056"/>
      </c:barChart>
      <c:dateAx>
        <c:axId val="68322472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5056"/>
        <c:crosses val="autoZero"/>
        <c:auto val="1"/>
        <c:lblOffset val="100"/>
        <c:baseTimeUnit val="years"/>
      </c:dateAx>
      <c:valAx>
        <c:axId val="68322505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4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Profit Over Time</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4295849737532809"/>
          <c:y val="0.11656240886555849"/>
          <c:w val="0.82839566929133857"/>
          <c:h val="0.53232793817439483"/>
        </c:manualLayout>
      </c:layout>
      <c:barChart>
        <c:barDir val="col"/>
        <c:grouping val="clustered"/>
        <c:varyColors val="0"/>
        <c:ser>
          <c:idx val="0"/>
          <c:order val="0"/>
          <c:tx>
            <c:strRef>
              <c:f>Charts!$A$69</c:f>
              <c:strCache>
                <c:ptCount val="1"/>
                <c:pt idx="0">
                  <c:v>PBT</c:v>
                </c:pt>
              </c:strCache>
            </c:strRef>
          </c:tx>
          <c:spPr>
            <a:solidFill>
              <a:schemeClr val="accent1"/>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Charts!$B$69:$K$69</c:f>
              <c:numCache>
                <c:formatCode>_ * #,##0_ ;_ * \-#,##0_ ;_ * "-"??_ ;_ @_ </c:formatCode>
                <c:ptCount val="10"/>
                <c:pt idx="0">
                  <c:v>6570.6299999999983</c:v>
                </c:pt>
                <c:pt idx="1">
                  <c:v>9047.8699999999972</c:v>
                </c:pt>
                <c:pt idx="2">
                  <c:v>3478.9799999999982</c:v>
                </c:pt>
                <c:pt idx="3">
                  <c:v>3810.2000000000035</c:v>
                </c:pt>
                <c:pt idx="4">
                  <c:v>5009.5900000000038</c:v>
                </c:pt>
                <c:pt idx="5">
                  <c:v>2799.3699999999994</c:v>
                </c:pt>
                <c:pt idx="6">
                  <c:v>4481.3199999999961</c:v>
                </c:pt>
                <c:pt idx="7">
                  <c:v>9408.4299999999985</c:v>
                </c:pt>
                <c:pt idx="8">
                  <c:v>11087.889999999998</c:v>
                </c:pt>
                <c:pt idx="9">
                  <c:v>13752.130000000005</c:v>
                </c:pt>
              </c:numCache>
            </c:numRef>
          </c:val>
          <c:extLst>
            <c:ext xmlns:c16="http://schemas.microsoft.com/office/drawing/2014/chart" uri="{C3380CC4-5D6E-409C-BE32-E72D297353CC}">
              <c16:uniqueId val="{00000000-2C56-4BEE-93A3-2E2983257535}"/>
            </c:ext>
          </c:extLst>
        </c:ser>
        <c:ser>
          <c:idx val="1"/>
          <c:order val="1"/>
          <c:tx>
            <c:strRef>
              <c:f>Charts!$A$70</c:f>
              <c:strCache>
                <c:ptCount val="1"/>
                <c:pt idx="0">
                  <c:v>Net Profit</c:v>
                </c:pt>
              </c:strCache>
            </c:strRef>
          </c:tx>
          <c:spPr>
            <a:solidFill>
              <a:schemeClr val="accent2"/>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Charts!$B$70:$K$70</c:f>
              <c:numCache>
                <c:formatCode>_ * #,##0_ ;_ * \-#,##0_ ;_ * "-"??_ ;_ @_ </c:formatCode>
                <c:ptCount val="10"/>
                <c:pt idx="0">
                  <c:v>5656.8599999999988</c:v>
                </c:pt>
                <c:pt idx="1">
                  <c:v>7836.2999999999975</c:v>
                </c:pt>
                <c:pt idx="2">
                  <c:v>2567.9399999999982</c:v>
                </c:pt>
                <c:pt idx="3">
                  <c:v>3209.3200000000033</c:v>
                </c:pt>
                <c:pt idx="4">
                  <c:v>4186.7900000000036</c:v>
                </c:pt>
                <c:pt idx="5">
                  <c:v>2284.6799999999994</c:v>
                </c:pt>
                <c:pt idx="6">
                  <c:v>3405.8199999999961</c:v>
                </c:pt>
                <c:pt idx="7">
                  <c:v>8560.8399999999983</c:v>
                </c:pt>
                <c:pt idx="8">
                  <c:v>9648.4399999999969</c:v>
                </c:pt>
                <c:pt idx="9">
                  <c:v>10980.100000000004</c:v>
                </c:pt>
              </c:numCache>
            </c:numRef>
          </c:val>
          <c:extLst>
            <c:ext xmlns:c16="http://schemas.microsoft.com/office/drawing/2014/chart" uri="{C3380CC4-5D6E-409C-BE32-E72D297353CC}">
              <c16:uniqueId val="{00000001-2C56-4BEE-93A3-2E2983257535}"/>
            </c:ext>
          </c:extLst>
        </c:ser>
        <c:dLbls>
          <c:showLegendKey val="0"/>
          <c:showVal val="0"/>
          <c:showCatName val="0"/>
          <c:showSerName val="0"/>
          <c:showPercent val="0"/>
          <c:showBubbleSize val="0"/>
        </c:dLbls>
        <c:gapWidth val="219"/>
        <c:overlap val="-27"/>
        <c:axId val="745524456"/>
        <c:axId val="745517240"/>
      </c:barChart>
      <c:dateAx>
        <c:axId val="74552445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5517240"/>
        <c:crosses val="autoZero"/>
        <c:auto val="1"/>
        <c:lblOffset val="100"/>
        <c:baseTimeUnit val="years"/>
      </c:dateAx>
      <c:valAx>
        <c:axId val="7455172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5524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Operating and Free Cash Flow</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4597357178756912"/>
          <c:y val="0.11656240886555849"/>
          <c:w val="0.82477110906349471"/>
          <c:h val="0.53232793817439483"/>
        </c:manualLayout>
      </c:layout>
      <c:barChart>
        <c:barDir val="col"/>
        <c:grouping val="clustered"/>
        <c:varyColors val="0"/>
        <c:ser>
          <c:idx val="0"/>
          <c:order val="0"/>
          <c:tx>
            <c:strRef>
              <c:f>Charts!$A$74</c:f>
              <c:strCache>
                <c:ptCount val="1"/>
                <c:pt idx="0">
                  <c:v>Operating Cash Flow</c:v>
                </c:pt>
              </c:strCache>
            </c:strRef>
          </c:tx>
          <c:spPr>
            <a:solidFill>
              <a:schemeClr val="accent1"/>
            </a:solidFill>
            <a:ln>
              <a:noFill/>
            </a:ln>
            <a:effectLst/>
          </c:spPr>
          <c:invertIfNegative val="0"/>
          <c:cat>
            <c:numRef>
              <c:f>Charts!$B$73:$K$73</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Charts!$B$74:$K$74</c:f>
              <c:numCache>
                <c:formatCode>_ * #,##0_ ;_ * \-#,##0_ ;_ * "-"??_ ;_ @_ </c:formatCode>
                <c:ptCount val="10"/>
                <c:pt idx="0">
                  <c:v>6685.86</c:v>
                </c:pt>
                <c:pt idx="1">
                  <c:v>7082.21</c:v>
                </c:pt>
                <c:pt idx="2">
                  <c:v>3907.15</c:v>
                </c:pt>
                <c:pt idx="3">
                  <c:v>2196.4499999999998</c:v>
                </c:pt>
                <c:pt idx="4">
                  <c:v>6554.77</c:v>
                </c:pt>
                <c:pt idx="5">
                  <c:v>6170.37</c:v>
                </c:pt>
                <c:pt idx="6">
                  <c:v>8984.5400000000009</c:v>
                </c:pt>
                <c:pt idx="7">
                  <c:v>4959.33</c:v>
                </c:pt>
                <c:pt idx="8">
                  <c:v>12134.98</c:v>
                </c:pt>
                <c:pt idx="9">
                  <c:v>14072.09</c:v>
                </c:pt>
              </c:numCache>
            </c:numRef>
          </c:val>
          <c:extLst>
            <c:ext xmlns:c16="http://schemas.microsoft.com/office/drawing/2014/chart" uri="{C3380CC4-5D6E-409C-BE32-E72D297353CC}">
              <c16:uniqueId val="{00000000-10E8-4AF9-9F83-7D71D7A3DA33}"/>
            </c:ext>
          </c:extLst>
        </c:ser>
        <c:ser>
          <c:idx val="1"/>
          <c:order val="1"/>
          <c:tx>
            <c:strRef>
              <c:f>Charts!$A$75</c:f>
              <c:strCache>
                <c:ptCount val="1"/>
                <c:pt idx="0">
                  <c:v>Free Cash Flow</c:v>
                </c:pt>
              </c:strCache>
            </c:strRef>
          </c:tx>
          <c:spPr>
            <a:solidFill>
              <a:schemeClr val="accent2"/>
            </a:solidFill>
            <a:ln>
              <a:noFill/>
            </a:ln>
            <a:effectLst/>
          </c:spPr>
          <c:invertIfNegative val="0"/>
          <c:cat>
            <c:numRef>
              <c:f>Charts!$B$73:$K$73</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Charts!$B$75:$K$75</c:f>
              <c:numCache>
                <c:formatCode>_ * #,##0_ ;_ * \-#,##0_ ;_ * "-"??_ ;_ @_ </c:formatCode>
                <c:ptCount val="10"/>
                <c:pt idx="0">
                  <c:v>6370.78</c:v>
                </c:pt>
                <c:pt idx="1">
                  <c:v>6870.64</c:v>
                </c:pt>
                <c:pt idx="2">
                  <c:v>3543.03</c:v>
                </c:pt>
                <c:pt idx="3">
                  <c:v>1631.4499999999998</c:v>
                </c:pt>
                <c:pt idx="4">
                  <c:v>5947.77</c:v>
                </c:pt>
                <c:pt idx="5">
                  <c:v>5233.37</c:v>
                </c:pt>
                <c:pt idx="6">
                  <c:v>7828.5400000000009</c:v>
                </c:pt>
                <c:pt idx="7">
                  <c:v>3321.33</c:v>
                </c:pt>
                <c:pt idx="8">
                  <c:v>10896.98</c:v>
                </c:pt>
                <c:pt idx="9">
                  <c:v>13247.93</c:v>
                </c:pt>
              </c:numCache>
            </c:numRef>
          </c:val>
          <c:extLst>
            <c:ext xmlns:c16="http://schemas.microsoft.com/office/drawing/2014/chart" uri="{C3380CC4-5D6E-409C-BE32-E72D297353CC}">
              <c16:uniqueId val="{00000001-10E8-4AF9-9F83-7D71D7A3DA33}"/>
            </c:ext>
          </c:extLst>
        </c:ser>
        <c:dLbls>
          <c:showLegendKey val="0"/>
          <c:showVal val="0"/>
          <c:showCatName val="0"/>
          <c:showSerName val="0"/>
          <c:showPercent val="0"/>
          <c:showBubbleSize val="0"/>
        </c:dLbls>
        <c:gapWidth val="219"/>
        <c:overlap val="-27"/>
        <c:axId val="750653480"/>
        <c:axId val="750654792"/>
      </c:barChart>
      <c:dateAx>
        <c:axId val="75065348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50654792"/>
        <c:crosses val="autoZero"/>
        <c:auto val="1"/>
        <c:lblOffset val="100"/>
        <c:baseTimeUnit val="years"/>
      </c:dateAx>
      <c:valAx>
        <c:axId val="750654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50653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ustomXml" Target="../ink/ink1.xm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customXml" Target="../ink/ink2.xml"/><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137160</xdr:colOff>
      <xdr:row>11</xdr:row>
      <xdr:rowOff>15240</xdr:rowOff>
    </xdr:from>
    <xdr:to>
      <xdr:col>10</xdr:col>
      <xdr:colOff>449580</xdr:colOff>
      <xdr:row>46</xdr:row>
      <xdr:rowOff>22860</xdr:rowOff>
    </xdr:to>
    <xdr:sp macro="" textlink="">
      <xdr:nvSpPr>
        <xdr:cNvPr id="2" name="Rectangle 1">
          <a:extLst>
            <a:ext uri="{FF2B5EF4-FFF2-40B4-BE49-F238E27FC236}">
              <a16:creationId xmlns:a16="http://schemas.microsoft.com/office/drawing/2014/main" id="{9C0979C5-9C1F-44A9-9F32-983BA1EDD2B1}"/>
            </a:ext>
          </a:extLst>
        </xdr:cNvPr>
        <xdr:cNvSpPr/>
      </xdr:nvSpPr>
      <xdr:spPr>
        <a:xfrm>
          <a:off x="137160" y="2026920"/>
          <a:ext cx="6408420" cy="640842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b="1" u="sng"/>
            <a:t>Company</a:t>
          </a:r>
          <a:r>
            <a:rPr lang="en-IN" sz="1100" b="1" u="sng" baseline="0"/>
            <a:t> Overview: </a:t>
          </a:r>
          <a:endParaRPr lang="en-IN" sz="1100" b="1" u="sng"/>
        </a:p>
        <a:p>
          <a:pPr algn="l"/>
          <a:r>
            <a:rPr lang="en-IN" sz="1100" b="0"/>
            <a:t>Company Name: </a:t>
          </a:r>
          <a:r>
            <a:rPr lang="en-IN" sz="1100" b="0" baseline="0"/>
            <a:t>Sun Pharmaceutical Industries Ltd.</a:t>
          </a:r>
        </a:p>
        <a:p>
          <a:pPr algn="l"/>
          <a:r>
            <a:rPr lang="en-IN" sz="1100" baseline="0"/>
            <a:t>Ticker: SUNPHARMA</a:t>
          </a:r>
        </a:p>
        <a:p>
          <a:pPr algn="l"/>
          <a:r>
            <a:rPr lang="en-IN" sz="1100" baseline="0"/>
            <a:t>Exchange: NSE</a:t>
          </a:r>
        </a:p>
        <a:p>
          <a:pPr algn="l"/>
          <a:r>
            <a:rPr lang="en-IN" sz="1100" baseline="0"/>
            <a:t>Founder: Dilip Shanghavi</a:t>
          </a:r>
        </a:p>
        <a:p>
          <a:pPr algn="l"/>
          <a:r>
            <a:rPr lang="en-IN" sz="1100" baseline="0"/>
            <a:t>Ceo: Kirti Ganorkar</a:t>
          </a:r>
        </a:p>
        <a:p>
          <a:pPr algn="l"/>
          <a:r>
            <a:rPr lang="en-IN" sz="1100" baseline="0"/>
            <a:t>Sector: Pharmaceutical</a:t>
          </a:r>
        </a:p>
        <a:p>
          <a:pPr algn="l"/>
          <a:r>
            <a:rPr lang="en-IN" sz="1100" baseline="0"/>
            <a:t>Business Segment: </a:t>
          </a:r>
          <a:r>
            <a:rPr lang="en-IN"/>
            <a:t>Generics, Branded Generics, Complex Products, Consumer Healthcare, APIs &amp; Intermediates, ARVs</a:t>
          </a:r>
          <a:endParaRPr lang="en-IN" sz="1100" baseline="0"/>
        </a:p>
        <a:p>
          <a:pPr algn="l"/>
          <a:endParaRPr lang="en-IN" sz="1100"/>
        </a:p>
        <a:p>
          <a:pPr algn="l"/>
          <a:r>
            <a:rPr lang="en-IN" sz="1100" b="1" u="sng"/>
            <a:t>Valuation Summary:</a:t>
          </a:r>
          <a:r>
            <a:rPr lang="en-IN" sz="1100" u="sng"/>
            <a:t> </a:t>
          </a:r>
        </a:p>
        <a:p>
          <a:pPr algn="l"/>
          <a:r>
            <a:rPr lang="en-IN" sz="1100"/>
            <a:t>DCF Implied Share Price: </a:t>
          </a:r>
          <a:r>
            <a:rPr lang="en-IN" sz="1100" baseline="0">
              <a:solidFill>
                <a:schemeClr val="dk1"/>
              </a:solidFill>
              <a:effectLst/>
              <a:latin typeface="+mn-lt"/>
              <a:ea typeface="+mn-ea"/>
              <a:cs typeface="+mn-cs"/>
            </a:rPr>
            <a:t>Rs 1510.72</a:t>
          </a:r>
          <a:endParaRPr lang="en-IN" sz="1100"/>
        </a:p>
        <a:p>
          <a:pPr algn="l"/>
          <a:r>
            <a:rPr lang="en-IN" sz="1100"/>
            <a:t>Current</a:t>
          </a:r>
          <a:r>
            <a:rPr lang="en-IN" sz="1100" baseline="0"/>
            <a:t> Market Price (CMP): Rs 1553.30</a:t>
          </a:r>
        </a:p>
        <a:p>
          <a:pPr algn="l"/>
          <a:r>
            <a:rPr lang="en-IN" sz="1100" baseline="0"/>
            <a:t>Upside / Downside (%): </a:t>
          </a:r>
          <a:r>
            <a:rPr lang="en-IN" sz="1100" b="0" i="0" u="none" strike="noStrike" baseline="0">
              <a:solidFill>
                <a:schemeClr val="dk1"/>
              </a:solidFill>
              <a:effectLst/>
              <a:latin typeface="+mn-lt"/>
              <a:ea typeface="+mn-ea"/>
              <a:cs typeface="+mn-cs"/>
            </a:rPr>
            <a:t>(3.34</a:t>
          </a:r>
          <a:r>
            <a:rPr lang="en-IN" sz="1100" b="0" i="0" u="none" strike="noStrike">
              <a:solidFill>
                <a:schemeClr val="dk1"/>
              </a:solidFill>
              <a:effectLst/>
              <a:latin typeface="+mn-lt"/>
              <a:ea typeface="+mn-ea"/>
              <a:cs typeface="+mn-cs"/>
            </a:rPr>
            <a:t>%)</a:t>
          </a:r>
          <a:r>
            <a:rPr lang="en-IN"/>
            <a:t> </a:t>
          </a:r>
          <a:endParaRPr lang="en-IN" sz="1100" baseline="0"/>
        </a:p>
        <a:p>
          <a:pPr algn="l"/>
          <a:r>
            <a:rPr lang="en-IN" sz="1100"/>
            <a:t>Recommendation:</a:t>
          </a:r>
          <a:r>
            <a:rPr lang="en-IN" sz="1100" baseline="0"/>
            <a:t> Buy/Hold (for long-term investors) and Sell (for short-term investors).</a:t>
          </a:r>
        </a:p>
        <a:p>
          <a:pPr algn="l"/>
          <a:endParaRPr lang="en-IN" sz="1100"/>
        </a:p>
        <a:p>
          <a:pPr algn="l"/>
          <a:r>
            <a:rPr lang="en-IN" sz="1100" b="1" u="sng"/>
            <a:t>Financial Highlights:</a:t>
          </a:r>
          <a:r>
            <a:rPr lang="en-IN" sz="1100" b="1" u="sng" baseline="0"/>
            <a:t> </a:t>
          </a:r>
        </a:p>
        <a:p>
          <a:pPr algn="l"/>
          <a:r>
            <a:rPr lang="en-IN" sz="1100" b="0" baseline="0"/>
            <a:t>Revenue (2024A): Rs </a:t>
          </a:r>
          <a:r>
            <a:rPr lang="en-IN" sz="1100" b="0" i="0" u="none" strike="noStrike">
              <a:solidFill>
                <a:schemeClr val="dk1"/>
              </a:solidFill>
              <a:effectLst/>
              <a:latin typeface="+mn-lt"/>
              <a:ea typeface="+mn-ea"/>
              <a:cs typeface="+mn-cs"/>
            </a:rPr>
            <a:t>52,578 </a:t>
          </a:r>
        </a:p>
        <a:p>
          <a:pPr algn="l"/>
          <a:r>
            <a:rPr lang="en-IN" sz="1100" b="0" i="0" u="none" strike="noStrike">
              <a:solidFill>
                <a:schemeClr val="dk1"/>
              </a:solidFill>
              <a:effectLst/>
              <a:latin typeface="+mn-lt"/>
              <a:ea typeface="+mn-ea"/>
              <a:cs typeface="+mn-cs"/>
            </a:rPr>
            <a:t>EBIT (2024A):</a:t>
          </a:r>
          <a:r>
            <a:rPr lang="en-IN" sz="1100" b="0" i="0" u="none" strike="noStrike" baseline="0">
              <a:solidFill>
                <a:schemeClr val="dk1"/>
              </a:solidFill>
              <a:effectLst/>
              <a:latin typeface="+mn-lt"/>
              <a:ea typeface="+mn-ea"/>
              <a:cs typeface="+mn-cs"/>
            </a:rPr>
            <a:t> Rs </a:t>
          </a:r>
          <a:r>
            <a:rPr lang="en-IN" sz="1100" b="0" i="0" u="none" strike="noStrike">
              <a:solidFill>
                <a:schemeClr val="dk1"/>
              </a:solidFill>
              <a:effectLst/>
              <a:latin typeface="+mn-lt"/>
              <a:ea typeface="+mn-ea"/>
              <a:cs typeface="+mn-cs"/>
            </a:rPr>
            <a:t>12,539 </a:t>
          </a:r>
          <a:endParaRPr lang="en-IN" sz="1100" b="0"/>
        </a:p>
        <a:p>
          <a:pPr algn="l"/>
          <a:r>
            <a:rPr lang="en-IN" sz="1100" b="0"/>
            <a:t>UFCF</a:t>
          </a:r>
          <a:r>
            <a:rPr lang="en-IN" sz="1100" b="0" baseline="0"/>
            <a:t> (2024A): Rs 13,248</a:t>
          </a:r>
        </a:p>
        <a:p>
          <a:r>
            <a:rPr lang="en-IN" sz="1100" b="0" baseline="0">
              <a:solidFill>
                <a:schemeClr val="dk1"/>
              </a:solidFill>
              <a:effectLst/>
              <a:latin typeface="+mn-lt"/>
              <a:ea typeface="+mn-ea"/>
              <a:cs typeface="+mn-cs"/>
            </a:rPr>
            <a:t>Revenue (2025E): </a:t>
          </a:r>
          <a:r>
            <a:rPr lang="en-IN" sz="1100" b="0" i="0" u="none" strike="noStrike">
              <a:solidFill>
                <a:schemeClr val="dk1"/>
              </a:solidFill>
              <a:effectLst/>
              <a:latin typeface="+mn-lt"/>
              <a:ea typeface="+mn-ea"/>
              <a:cs typeface="+mn-cs"/>
            </a:rPr>
            <a:t>Rs</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57,273 </a:t>
          </a:r>
          <a:endParaRPr lang="en-IN" b="0">
            <a:effectLst/>
          </a:endParaRPr>
        </a:p>
        <a:p>
          <a:r>
            <a:rPr lang="en-IN" sz="1100" b="0" i="0">
              <a:solidFill>
                <a:schemeClr val="dk1"/>
              </a:solidFill>
              <a:effectLst/>
              <a:latin typeface="+mn-lt"/>
              <a:ea typeface="+mn-ea"/>
              <a:cs typeface="+mn-cs"/>
            </a:rPr>
            <a:t>EBIT (2025E):</a:t>
          </a:r>
          <a:r>
            <a:rPr lang="en-IN" sz="1100" b="0" i="0" baseline="0">
              <a:solidFill>
                <a:schemeClr val="dk1"/>
              </a:solidFill>
              <a:effectLst/>
              <a:latin typeface="+mn-lt"/>
              <a:ea typeface="+mn-ea"/>
              <a:cs typeface="+mn-cs"/>
            </a:rPr>
            <a:t> Rs </a:t>
          </a:r>
          <a:r>
            <a:rPr lang="en-IN" sz="1100" b="0" i="0" u="none" strike="noStrike">
              <a:solidFill>
                <a:schemeClr val="dk1"/>
              </a:solidFill>
              <a:effectLst/>
              <a:latin typeface="+mn-lt"/>
              <a:ea typeface="+mn-ea"/>
              <a:cs typeface="+mn-cs"/>
            </a:rPr>
            <a:t>13,445 </a:t>
          </a:r>
        </a:p>
        <a:p>
          <a:r>
            <a:rPr lang="en-IN" sz="1100" b="0" i="0" u="none" strike="noStrike">
              <a:solidFill>
                <a:schemeClr val="dk1"/>
              </a:solidFill>
              <a:effectLst/>
              <a:latin typeface="+mn-lt"/>
              <a:ea typeface="+mn-ea"/>
              <a:cs typeface="+mn-cs"/>
            </a:rPr>
            <a:t>UFCF (2025E): Rs 15,262 </a:t>
          </a:r>
        </a:p>
        <a:p>
          <a:endParaRPr lang="en-IN" sz="1100" b="0"/>
        </a:p>
        <a:p>
          <a:pPr algn="l"/>
          <a:r>
            <a:rPr lang="en-IN" sz="1100" b="1" u="sng"/>
            <a:t>Key Assumtions:</a:t>
          </a:r>
        </a:p>
        <a:p>
          <a:pPr algn="l"/>
          <a:r>
            <a:rPr lang="en-IN" sz="1100" b="0"/>
            <a:t>Revenue</a:t>
          </a:r>
          <a:r>
            <a:rPr lang="en-IN" sz="1100" b="0" baseline="0"/>
            <a:t> Growth CAGR: </a:t>
          </a:r>
          <a:r>
            <a:rPr lang="en-IN" sz="1100" b="0" i="0" u="none" strike="noStrike">
              <a:solidFill>
                <a:schemeClr val="dk1"/>
              </a:solidFill>
              <a:effectLst/>
              <a:latin typeface="+mn-lt"/>
              <a:ea typeface="+mn-ea"/>
              <a:cs typeface="+mn-cs"/>
            </a:rPr>
            <a:t>9.65%</a:t>
          </a:r>
          <a:r>
            <a:rPr lang="en-IN"/>
            <a:t> (2025E - 2029E)</a:t>
          </a:r>
          <a:endParaRPr lang="en-IN" sz="1100" b="0" i="0" u="none" strike="noStrike">
            <a:solidFill>
              <a:schemeClr val="dk1"/>
            </a:solidFill>
            <a:effectLst/>
            <a:latin typeface="+mn-lt"/>
            <a:ea typeface="+mn-ea"/>
            <a:cs typeface="+mn-cs"/>
          </a:endParaRPr>
        </a:p>
        <a:p>
          <a:pPr algn="l"/>
          <a:r>
            <a:rPr lang="en-IN" sz="1100" b="0" i="0" u="none" strike="noStrike">
              <a:solidFill>
                <a:schemeClr val="dk1"/>
              </a:solidFill>
              <a:effectLst/>
              <a:latin typeface="+mn-lt"/>
              <a:ea typeface="+mn-ea"/>
              <a:cs typeface="+mn-cs"/>
            </a:rPr>
            <a:t>Terminal</a:t>
          </a:r>
          <a:r>
            <a:rPr lang="en-IN" sz="1100" b="0" i="0" u="none" strike="noStrike" baseline="0">
              <a:solidFill>
                <a:schemeClr val="dk1"/>
              </a:solidFill>
              <a:effectLst/>
              <a:latin typeface="+mn-lt"/>
              <a:ea typeface="+mn-ea"/>
              <a:cs typeface="+mn-cs"/>
            </a:rPr>
            <a:t> Growth Rtae: 3%</a:t>
          </a:r>
        </a:p>
        <a:p>
          <a:pPr algn="l"/>
          <a:r>
            <a:rPr lang="en-IN" sz="1100" b="0" i="0" u="none" strike="noStrike" baseline="0">
              <a:solidFill>
                <a:schemeClr val="dk1"/>
              </a:solidFill>
              <a:effectLst/>
              <a:latin typeface="+mn-lt"/>
              <a:ea typeface="+mn-ea"/>
              <a:cs typeface="+mn-cs"/>
            </a:rPr>
            <a:t>WACC: </a:t>
          </a:r>
          <a:r>
            <a:rPr lang="en-IN" sz="1100" b="0" i="0" u="none" strike="noStrike">
              <a:solidFill>
                <a:schemeClr val="dk1"/>
              </a:solidFill>
              <a:effectLst/>
              <a:latin typeface="+mn-lt"/>
              <a:ea typeface="+mn-ea"/>
              <a:cs typeface="+mn-cs"/>
            </a:rPr>
            <a:t>9.29%</a:t>
          </a:r>
          <a:r>
            <a:rPr lang="en-IN"/>
            <a:t> </a:t>
          </a:r>
          <a:endParaRPr lang="en-IN" sz="1100" b="0" i="0" u="none" strike="noStrike">
            <a:solidFill>
              <a:schemeClr val="dk1"/>
            </a:solidFill>
            <a:effectLst/>
            <a:latin typeface="+mn-lt"/>
            <a:ea typeface="+mn-ea"/>
            <a:cs typeface="+mn-cs"/>
          </a:endParaRPr>
        </a:p>
        <a:p>
          <a:pPr algn="l"/>
          <a:r>
            <a:rPr lang="en-IN" sz="1100" b="0" i="0" u="none" strike="noStrike">
              <a:solidFill>
                <a:schemeClr val="dk1"/>
              </a:solidFill>
              <a:effectLst/>
              <a:latin typeface="+mn-lt"/>
              <a:ea typeface="+mn-ea"/>
              <a:cs typeface="+mn-cs"/>
            </a:rPr>
            <a:t>Fore</a:t>
          </a:r>
          <a:r>
            <a:rPr lang="en-IN" sz="1100" b="0" i="0" u="none" strike="noStrike" baseline="0">
              <a:solidFill>
                <a:schemeClr val="dk1"/>
              </a:solidFill>
              <a:effectLst/>
              <a:latin typeface="+mn-lt"/>
              <a:ea typeface="+mn-ea"/>
              <a:cs typeface="+mn-cs"/>
            </a:rPr>
            <a:t>cast Horizon: (2025E - 2029E)</a:t>
          </a:r>
        </a:p>
        <a:p>
          <a:pPr algn="l"/>
          <a:endParaRPr lang="en-IN" sz="1100" b="0" i="0" u="none" strike="noStrike" baseline="0">
            <a:solidFill>
              <a:schemeClr val="dk1"/>
            </a:solidFill>
            <a:effectLst/>
            <a:latin typeface="+mn-lt"/>
            <a:ea typeface="+mn-ea"/>
            <a:cs typeface="+mn-cs"/>
          </a:endParaRPr>
        </a:p>
        <a:p>
          <a:pPr algn="l"/>
          <a:r>
            <a:rPr lang="en-IN" sz="1100" b="1" i="0" u="none" strike="noStrike" baseline="0">
              <a:solidFill>
                <a:schemeClr val="dk1"/>
              </a:solidFill>
              <a:effectLst/>
              <a:latin typeface="+mn-lt"/>
              <a:ea typeface="+mn-ea"/>
              <a:cs typeface="+mn-cs"/>
            </a:rPr>
            <a:t>Analyst Name: Siddhant Bhardwaj</a:t>
          </a:r>
        </a:p>
        <a:p>
          <a:pPr algn="l"/>
          <a:r>
            <a:rPr lang="en-IN" sz="1100" b="1" i="0" u="none" strike="noStrike" baseline="0">
              <a:solidFill>
                <a:schemeClr val="dk1"/>
              </a:solidFill>
              <a:effectLst/>
              <a:latin typeface="+mn-lt"/>
              <a:ea typeface="+mn-ea"/>
              <a:cs typeface="+mn-cs"/>
            </a:rPr>
            <a:t>Date of Valuation: 09/01/2025</a:t>
          </a:r>
        </a:p>
        <a:p>
          <a:pPr algn="l"/>
          <a:r>
            <a:rPr lang="en-IN" sz="1100" b="0" i="0" u="none" strike="noStrike" baseline="0">
              <a:solidFill>
                <a:schemeClr val="dk1"/>
              </a:solidFill>
              <a:effectLst/>
              <a:latin typeface="+mn-lt"/>
              <a:ea typeface="+mn-ea"/>
              <a:cs typeface="+mn-cs"/>
            </a:rPr>
            <a:t>Data Source: Tikr.com, Koyfin.com, Screener.in, Chatgpt, etc.</a:t>
          </a:r>
        </a:p>
        <a:p>
          <a:pPr algn="l"/>
          <a:r>
            <a:rPr lang="en-IN"/>
            <a:t> </a:t>
          </a:r>
          <a:endParaRPr lang="en-IN" sz="1100" b="0"/>
        </a:p>
      </xdr:txBody>
    </xdr:sp>
    <xdr:clientData/>
  </xdr:twoCellAnchor>
  <xdr:twoCellAnchor editAs="oneCell">
    <xdr:from>
      <xdr:col>0</xdr:col>
      <xdr:colOff>0</xdr:colOff>
      <xdr:row>0</xdr:row>
      <xdr:rowOff>1</xdr:rowOff>
    </xdr:from>
    <xdr:to>
      <xdr:col>5</xdr:col>
      <xdr:colOff>289560</xdr:colOff>
      <xdr:row>9</xdr:row>
      <xdr:rowOff>175261</xdr:rowOff>
    </xdr:to>
    <xdr:pic>
      <xdr:nvPicPr>
        <xdr:cNvPr id="6" name="Picture 5">
          <a:extLst>
            <a:ext uri="{FF2B5EF4-FFF2-40B4-BE49-F238E27FC236}">
              <a16:creationId xmlns:a16="http://schemas.microsoft.com/office/drawing/2014/main" id="{1F298AC3-108A-5171-BD4F-9C602003D9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3337560" cy="1821180"/>
        </a:xfrm>
        <a:prstGeom prst="rect">
          <a:avLst/>
        </a:prstGeom>
      </xdr:spPr>
    </xdr:pic>
    <xdr:clientData/>
  </xdr:twoCellAnchor>
  <xdr:twoCellAnchor editAs="oneCell">
    <xdr:from>
      <xdr:col>11</xdr:col>
      <xdr:colOff>548641</xdr:colOff>
      <xdr:row>16</xdr:row>
      <xdr:rowOff>24092</xdr:rowOff>
    </xdr:from>
    <xdr:to>
      <xdr:col>20</xdr:col>
      <xdr:colOff>312421</xdr:colOff>
      <xdr:row>25</xdr:row>
      <xdr:rowOff>114581</xdr:rowOff>
    </xdr:to>
    <xdr:pic>
      <xdr:nvPicPr>
        <xdr:cNvPr id="8" name="Picture 7">
          <a:extLst>
            <a:ext uri="{FF2B5EF4-FFF2-40B4-BE49-F238E27FC236}">
              <a16:creationId xmlns:a16="http://schemas.microsoft.com/office/drawing/2014/main" id="{10937860-373A-F250-32E1-5439E3FC0A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54241" y="2950172"/>
          <a:ext cx="5250180" cy="1736409"/>
        </a:xfrm>
        <a:prstGeom prst="rect">
          <a:avLst/>
        </a:prstGeom>
      </xdr:spPr>
    </xdr:pic>
    <xdr:clientData/>
  </xdr:twoCellAnchor>
  <xdr:twoCellAnchor editAs="oneCell">
    <xdr:from>
      <xdr:col>12</xdr:col>
      <xdr:colOff>393480</xdr:colOff>
      <xdr:row>16</xdr:row>
      <xdr:rowOff>75960</xdr:rowOff>
    </xdr:from>
    <xdr:to>
      <xdr:col>14</xdr:col>
      <xdr:colOff>60240</xdr:colOff>
      <xdr:row>17</xdr:row>
      <xdr:rowOff>97200</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4" name="Ink 13">
              <a:extLst>
                <a:ext uri="{FF2B5EF4-FFF2-40B4-BE49-F238E27FC236}">
                  <a16:creationId xmlns:a16="http://schemas.microsoft.com/office/drawing/2014/main" id="{47498044-31E7-63C7-563D-D583298207AC}"/>
                </a:ext>
              </a:extLst>
            </xdr14:cNvPr>
            <xdr14:cNvContentPartPr/>
          </xdr14:nvContentPartPr>
          <xdr14:nvPr macro=""/>
          <xdr14:xfrm>
            <a:off x="7708680" y="3002040"/>
            <a:ext cx="885960" cy="204120"/>
          </xdr14:xfrm>
        </xdr:contentPart>
      </mc:Choice>
      <mc:Fallback>
        <xdr:pic>
          <xdr:nvPicPr>
            <xdr:cNvPr id="14" name="Ink 13">
              <a:extLst>
                <a:ext uri="{FF2B5EF4-FFF2-40B4-BE49-F238E27FC236}">
                  <a16:creationId xmlns:a16="http://schemas.microsoft.com/office/drawing/2014/main" id="{47498044-31E7-63C7-563D-D583298207AC}"/>
                </a:ext>
              </a:extLst>
            </xdr:cNvPr>
            <xdr:cNvPicPr/>
          </xdr:nvPicPr>
          <xdr:blipFill>
            <a:blip xmlns:r="http://schemas.openxmlformats.org/officeDocument/2006/relationships" r:embed="rId4"/>
            <a:stretch>
              <a:fillRect/>
            </a:stretch>
          </xdr:blipFill>
          <xdr:spPr>
            <a:xfrm>
              <a:off x="7645680" y="2939040"/>
              <a:ext cx="1011600" cy="329760"/>
            </a:xfrm>
            <a:prstGeom prst="rect">
              <a:avLst/>
            </a:prstGeom>
          </xdr:spPr>
        </xdr:pic>
      </mc:Fallback>
    </mc:AlternateContent>
    <xdr:clientData/>
  </xdr:twoCellAnchor>
  <xdr:twoCellAnchor editAs="oneCell">
    <xdr:from>
      <xdr:col>12</xdr:col>
      <xdr:colOff>326160</xdr:colOff>
      <xdr:row>15</xdr:row>
      <xdr:rowOff>120600</xdr:rowOff>
    </xdr:from>
    <xdr:to>
      <xdr:col>14</xdr:col>
      <xdr:colOff>320160</xdr:colOff>
      <xdr:row>17</xdr:row>
      <xdr:rowOff>169560</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6" name="Ink 15">
              <a:extLst>
                <a:ext uri="{FF2B5EF4-FFF2-40B4-BE49-F238E27FC236}">
                  <a16:creationId xmlns:a16="http://schemas.microsoft.com/office/drawing/2014/main" id="{1AC5DF3F-6D42-4470-72BA-2BD771E399A6}"/>
                </a:ext>
              </a:extLst>
            </xdr14:cNvPr>
            <xdr14:cNvContentPartPr/>
          </xdr14:nvContentPartPr>
          <xdr14:nvPr macro=""/>
          <xdr14:xfrm>
            <a:off x="7641360" y="2863800"/>
            <a:ext cx="1213200" cy="414720"/>
          </xdr14:xfrm>
        </xdr:contentPart>
      </mc:Choice>
      <mc:Fallback>
        <xdr:pic>
          <xdr:nvPicPr>
            <xdr:cNvPr id="16" name="Ink 15">
              <a:extLst>
                <a:ext uri="{FF2B5EF4-FFF2-40B4-BE49-F238E27FC236}">
                  <a16:creationId xmlns:a16="http://schemas.microsoft.com/office/drawing/2014/main" id="{1AC5DF3F-6D42-4470-72BA-2BD771E399A6}"/>
                </a:ext>
              </a:extLst>
            </xdr:cNvPr>
            <xdr:cNvPicPr/>
          </xdr:nvPicPr>
          <xdr:blipFill>
            <a:blip xmlns:r="http://schemas.openxmlformats.org/officeDocument/2006/relationships" r:embed="rId6"/>
            <a:stretch>
              <a:fillRect/>
            </a:stretch>
          </xdr:blipFill>
          <xdr:spPr>
            <a:xfrm>
              <a:off x="7578720" y="2801160"/>
              <a:ext cx="1338840" cy="540360"/>
            </a:xfrm>
            <a:prstGeom prst="rect">
              <a:avLst/>
            </a:prstGeom>
          </xdr:spPr>
        </xdr:pic>
      </mc:Fallback>
    </mc:AlternateContent>
    <xdr:clientData/>
  </xdr:twoCellAnchor>
  <xdr:twoCellAnchor>
    <xdr:from>
      <xdr:col>12</xdr:col>
      <xdr:colOff>556260</xdr:colOff>
      <xdr:row>13</xdr:row>
      <xdr:rowOff>83820</xdr:rowOff>
    </xdr:from>
    <xdr:to>
      <xdr:col>19</xdr:col>
      <xdr:colOff>396240</xdr:colOff>
      <xdr:row>15</xdr:row>
      <xdr:rowOff>160020</xdr:rowOff>
    </xdr:to>
    <xdr:sp macro="" textlink="">
      <xdr:nvSpPr>
        <xdr:cNvPr id="17" name="Rectangle 16">
          <a:extLst>
            <a:ext uri="{FF2B5EF4-FFF2-40B4-BE49-F238E27FC236}">
              <a16:creationId xmlns:a16="http://schemas.microsoft.com/office/drawing/2014/main" id="{435EC3E8-B3A2-4A97-0E34-7DEDBE1EC32A}"/>
            </a:ext>
          </a:extLst>
        </xdr:cNvPr>
        <xdr:cNvSpPr/>
      </xdr:nvSpPr>
      <xdr:spPr>
        <a:xfrm>
          <a:off x="7871460" y="2461260"/>
          <a:ext cx="4107180" cy="44196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200"/>
            <a:t>             </a:t>
          </a:r>
          <a:r>
            <a:rPr lang="en-IN" sz="1600"/>
            <a:t> </a:t>
          </a:r>
          <a:r>
            <a:rPr lang="en-IN" sz="1600" b="1"/>
            <a:t>Implied Share Price Sensitivity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434340</xdr:colOff>
      <xdr:row>21</xdr:row>
      <xdr:rowOff>110490</xdr:rowOff>
    </xdr:from>
    <xdr:to>
      <xdr:col>9</xdr:col>
      <xdr:colOff>335280</xdr:colOff>
      <xdr:row>36</xdr:row>
      <xdr:rowOff>110490</xdr:rowOff>
    </xdr:to>
    <xdr:graphicFrame macro="">
      <xdr:nvGraphicFramePr>
        <xdr:cNvPr id="4" name="Chart 3">
          <a:extLst>
            <a:ext uri="{FF2B5EF4-FFF2-40B4-BE49-F238E27FC236}">
              <a16:creationId xmlns:a16="http://schemas.microsoft.com/office/drawing/2014/main" id="{DA21D9C1-B558-4AC7-CBCE-78CEA9D99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426720</xdr:colOff>
      <xdr:row>20</xdr:row>
      <xdr:rowOff>140970</xdr:rowOff>
    </xdr:from>
    <xdr:to>
      <xdr:col>18</xdr:col>
      <xdr:colOff>251460</xdr:colOff>
      <xdr:row>35</xdr:row>
      <xdr:rowOff>140970</xdr:rowOff>
    </xdr:to>
    <xdr:graphicFrame macro="">
      <xdr:nvGraphicFramePr>
        <xdr:cNvPr id="5" name="Chart 4">
          <a:extLst>
            <a:ext uri="{FF2B5EF4-FFF2-40B4-BE49-F238E27FC236}">
              <a16:creationId xmlns:a16="http://schemas.microsoft.com/office/drawing/2014/main" id="{3F912B7C-E5A0-7F59-4E4C-E372943760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53340</xdr:colOff>
      <xdr:row>3</xdr:row>
      <xdr:rowOff>106680</xdr:rowOff>
    </xdr:from>
    <xdr:to>
      <xdr:col>11</xdr:col>
      <xdr:colOff>373380</xdr:colOff>
      <xdr:row>3</xdr:row>
      <xdr:rowOff>106680</xdr:rowOff>
    </xdr:to>
    <xdr:cxnSp macro="">
      <xdr:nvCxnSpPr>
        <xdr:cNvPr id="2" name="Straight Arrow Connector 1">
          <a:extLst>
            <a:ext uri="{FF2B5EF4-FFF2-40B4-BE49-F238E27FC236}">
              <a16:creationId xmlns:a16="http://schemas.microsoft.com/office/drawing/2014/main" id="{AD14510C-38C6-498E-9525-B3A51B9CC073}"/>
            </a:ext>
          </a:extLst>
        </xdr:cNvPr>
        <xdr:cNvCxnSpPr/>
      </xdr:nvCxnSpPr>
      <xdr:spPr>
        <a:xfrm>
          <a:off x="7078980" y="617220"/>
          <a:ext cx="32004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60960</xdr:colOff>
      <xdr:row>4</xdr:row>
      <xdr:rowOff>99060</xdr:rowOff>
    </xdr:from>
    <xdr:to>
      <xdr:col>11</xdr:col>
      <xdr:colOff>381000</xdr:colOff>
      <xdr:row>4</xdr:row>
      <xdr:rowOff>99060</xdr:rowOff>
    </xdr:to>
    <xdr:cxnSp macro="">
      <xdr:nvCxnSpPr>
        <xdr:cNvPr id="3" name="Straight Arrow Connector 2">
          <a:extLst>
            <a:ext uri="{FF2B5EF4-FFF2-40B4-BE49-F238E27FC236}">
              <a16:creationId xmlns:a16="http://schemas.microsoft.com/office/drawing/2014/main" id="{5C5D2866-0578-4A2D-98AA-1AE428038694}"/>
            </a:ext>
          </a:extLst>
        </xdr:cNvPr>
        <xdr:cNvCxnSpPr/>
      </xdr:nvCxnSpPr>
      <xdr:spPr>
        <a:xfrm>
          <a:off x="7086600" y="792480"/>
          <a:ext cx="32004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15875</xdr:colOff>
      <xdr:row>0</xdr:row>
      <xdr:rowOff>6350</xdr:rowOff>
    </xdr:from>
    <xdr:to>
      <xdr:col>7</xdr:col>
      <xdr:colOff>460375</xdr:colOff>
      <xdr:row>14</xdr:row>
      <xdr:rowOff>171450</xdr:rowOff>
    </xdr:to>
    <xdr:graphicFrame macro="">
      <xdr:nvGraphicFramePr>
        <xdr:cNvPr id="5" name="Chart 4">
          <a:extLst>
            <a:ext uri="{FF2B5EF4-FFF2-40B4-BE49-F238E27FC236}">
              <a16:creationId xmlns:a16="http://schemas.microsoft.com/office/drawing/2014/main" id="{39619E8A-D22F-490B-B95E-81C73B5AFA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466725</xdr:colOff>
      <xdr:row>0</xdr:row>
      <xdr:rowOff>12700</xdr:rowOff>
    </xdr:from>
    <xdr:to>
      <xdr:col>15</xdr:col>
      <xdr:colOff>593725</xdr:colOff>
      <xdr:row>14</xdr:row>
      <xdr:rowOff>177800</xdr:rowOff>
    </xdr:to>
    <xdr:graphicFrame macro="">
      <xdr:nvGraphicFramePr>
        <xdr:cNvPr id="6" name="Chart 5">
          <a:extLst>
            <a:ext uri="{FF2B5EF4-FFF2-40B4-BE49-F238E27FC236}">
              <a16:creationId xmlns:a16="http://schemas.microsoft.com/office/drawing/2014/main" id="{5816AD59-8925-4B5F-9121-5221FEEC4D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466725</xdr:colOff>
      <xdr:row>15</xdr:row>
      <xdr:rowOff>0</xdr:rowOff>
    </xdr:from>
    <xdr:to>
      <xdr:col>15</xdr:col>
      <xdr:colOff>593725</xdr:colOff>
      <xdr:row>29</xdr:row>
      <xdr:rowOff>165100</xdr:rowOff>
    </xdr:to>
    <xdr:graphicFrame macro="">
      <xdr:nvGraphicFramePr>
        <xdr:cNvPr id="7" name="Chart 6">
          <a:extLst>
            <a:ext uri="{FF2B5EF4-FFF2-40B4-BE49-F238E27FC236}">
              <a16:creationId xmlns:a16="http://schemas.microsoft.com/office/drawing/2014/main" id="{1BB77CB2-6C1C-411A-89AA-DC501FF82B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15875</xdr:colOff>
      <xdr:row>14</xdr:row>
      <xdr:rowOff>177800</xdr:rowOff>
    </xdr:from>
    <xdr:to>
      <xdr:col>7</xdr:col>
      <xdr:colOff>460375</xdr:colOff>
      <xdr:row>29</xdr:row>
      <xdr:rowOff>158750</xdr:rowOff>
    </xdr:to>
    <xdr:graphicFrame macro="">
      <xdr:nvGraphicFramePr>
        <xdr:cNvPr id="9" name="Chart 8">
          <a:extLst>
            <a:ext uri="{FF2B5EF4-FFF2-40B4-BE49-F238E27FC236}">
              <a16:creationId xmlns:a16="http://schemas.microsoft.com/office/drawing/2014/main" id="{67DE20ED-17D6-4573-A827-3BB479739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15875</xdr:colOff>
      <xdr:row>29</xdr:row>
      <xdr:rowOff>171450</xdr:rowOff>
    </xdr:from>
    <xdr:to>
      <xdr:col>7</xdr:col>
      <xdr:colOff>460375</xdr:colOff>
      <xdr:row>44</xdr:row>
      <xdr:rowOff>152400</xdr:rowOff>
    </xdr:to>
    <xdr:graphicFrame macro="">
      <xdr:nvGraphicFramePr>
        <xdr:cNvPr id="10" name="Chart 9">
          <a:extLst>
            <a:ext uri="{FF2B5EF4-FFF2-40B4-BE49-F238E27FC236}">
              <a16:creationId xmlns:a16="http://schemas.microsoft.com/office/drawing/2014/main" id="{8688299A-9C5F-4875-9EFD-FDF0F4EAF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466725</xdr:colOff>
      <xdr:row>29</xdr:row>
      <xdr:rowOff>171450</xdr:rowOff>
    </xdr:from>
    <xdr:to>
      <xdr:col>15</xdr:col>
      <xdr:colOff>593725</xdr:colOff>
      <xdr:row>44</xdr:row>
      <xdr:rowOff>152400</xdr:rowOff>
    </xdr:to>
    <xdr:graphicFrame macro="">
      <xdr:nvGraphicFramePr>
        <xdr:cNvPr id="2" name="Chart 1">
          <a:extLst>
            <a:ext uri="{FF2B5EF4-FFF2-40B4-BE49-F238E27FC236}">
              <a16:creationId xmlns:a16="http://schemas.microsoft.com/office/drawing/2014/main" id="{74B582DB-DE89-44DD-8E60-F9313AD59E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0</xdr:col>
      <xdr:colOff>495301</xdr:colOff>
      <xdr:row>7</xdr:row>
      <xdr:rowOff>120650</xdr:rowOff>
    </xdr:from>
    <xdr:ext cx="3289300" cy="383695"/>
    <xdr:sp macro="" textlink="">
      <xdr:nvSpPr>
        <xdr:cNvPr id="3" name="TextBox 2">
          <a:extLst>
            <a:ext uri="{FF2B5EF4-FFF2-40B4-BE49-F238E27FC236}">
              <a16:creationId xmlns:a16="http://schemas.microsoft.com/office/drawing/2014/main" id="{CAD7CBD9-FAAE-4526-98DC-8BFD32416B78}"/>
            </a:ext>
          </a:extLst>
        </xdr:cNvPr>
        <xdr:cNvSpPr txBox="1"/>
      </xdr:nvSpPr>
      <xdr:spPr>
        <a:xfrm>
          <a:off x="495301" y="1416050"/>
          <a:ext cx="3289300" cy="3836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1">
              <a:solidFill>
                <a:srgbClr val="C00000"/>
              </a:solidFill>
              <a:latin typeface="Georgia" panose="02040502050405020303" pitchFamily="18" charset="0"/>
            </a:rPr>
            <a:t>Check for a rising trend and/or consistency. Compare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xdr:txBody>
    </xdr:sp>
    <xdr:clientData/>
  </xdr:oneCellAnchor>
</xdr:wsDr>
</file>

<file path=xl/drawings/drawing5.xml><?xml version="1.0" encoding="utf-8"?>
<c:userShapes xmlns:c="http://schemas.openxmlformats.org/drawingml/2006/chart">
  <cdr:relSizeAnchor xmlns:cdr="http://schemas.openxmlformats.org/drawingml/2006/chartDrawing">
    <cdr:from>
      <cdr:x>0.10613</cdr:x>
      <cdr:y>0.12212</cdr:y>
    </cdr:from>
    <cdr:to>
      <cdr:x>0.99988</cdr:x>
      <cdr:y>0.36707</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506801" y="336550"/>
          <a:ext cx="4267835" cy="67505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 and/or consistency. </a:t>
          </a:r>
        </a:p>
        <a:p xmlns:a="http://schemas.openxmlformats.org/drawingml/2006/main">
          <a:pPr algn="l"/>
          <a:r>
            <a:rPr lang="en-US" sz="1000" b="1">
              <a:solidFill>
                <a:srgbClr val="C00000"/>
              </a:solidFill>
              <a:latin typeface="Georgia" panose="02040502050405020303" pitchFamily="18" charset="0"/>
            </a:rPr>
            <a:t>Numbers &gt; 20%</a:t>
          </a:r>
          <a:r>
            <a:rPr lang="en-US" sz="1000" b="1" baseline="0">
              <a:solidFill>
                <a:srgbClr val="C00000"/>
              </a:solidFill>
              <a:latin typeface="Georgia" panose="02040502050405020303" pitchFamily="18" charset="0"/>
            </a:rPr>
            <a:t> long term are good. Also check if the company has zero/marginal debt. </a:t>
          </a:r>
          <a:r>
            <a:rPr lang="en-US" sz="1000" b="1">
              <a:solidFill>
                <a:srgbClr val="C00000"/>
              </a:solidFill>
              <a:latin typeface="Georgia" panose="02040502050405020303" pitchFamily="18" charset="0"/>
            </a:rPr>
            <a:t>Compare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0.27657</cdr:x>
      <cdr:y>0.11574</cdr:y>
    </cdr:from>
    <cdr:to>
      <cdr:x>0.99601</cdr:x>
      <cdr:y>0.25561</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1320659" y="317500"/>
          <a:ext cx="3435491" cy="38369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 and/or low volatility. Compare growth rates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0.15304</cdr:x>
      <cdr:y>0.125</cdr:y>
    </cdr:from>
    <cdr:to>
      <cdr:x>0.87248</cdr:x>
      <cdr:y>0.21177</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746337" y="342900"/>
          <a:ext cx="3508586" cy="23801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a:t>
          </a:r>
        </a:p>
      </cdr:txBody>
    </cdr:sp>
  </cdr:relSizeAnchor>
</c:userShapes>
</file>

<file path=xl/drawings/drawing8.xml><?xml version="1.0" encoding="utf-8"?>
<c:userShapes xmlns:c="http://schemas.openxmlformats.org/drawingml/2006/chart">
  <cdr:relSizeAnchor xmlns:cdr="http://schemas.openxmlformats.org/drawingml/2006/chartDrawing">
    <cdr:from>
      <cdr:x>0.1283</cdr:x>
      <cdr:y>0.12037</cdr:y>
    </cdr:from>
    <cdr:to>
      <cdr:x>0.84774</cdr:x>
      <cdr:y>0.20714</cdr:y>
    </cdr:to>
    <cdr:sp macro="" textlink="">
      <cdr:nvSpPr>
        <cdr:cNvPr id="2" name="TextBox 2">
          <a:extLst xmlns:a="http://schemas.openxmlformats.org/drawingml/2006/main">
            <a:ext uri="{FF2B5EF4-FFF2-40B4-BE49-F238E27FC236}">
              <a16:creationId xmlns:a16="http://schemas.microsoft.com/office/drawing/2014/main" id="{FD1D2F6C-2E78-470F-BF39-36F5D02A34E8}"/>
            </a:ext>
          </a:extLst>
        </cdr:cNvPr>
        <cdr:cNvSpPr txBox="1"/>
      </cdr:nvSpPr>
      <cdr:spPr>
        <a:xfrm xmlns:a="http://schemas.openxmlformats.org/drawingml/2006/main">
          <a:off x="625687" y="330200"/>
          <a:ext cx="3508586" cy="23801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a:t>
          </a:r>
        </a:p>
      </cdr:txBody>
    </cdr:sp>
  </cdr:relSizeAnchor>
</c:userShapes>
</file>

<file path=xl/drawings/drawing9.xml><?xml version="1.0" encoding="utf-8"?>
<c:userShapes xmlns:c="http://schemas.openxmlformats.org/drawingml/2006/chart">
  <cdr:relSizeAnchor xmlns:cdr="http://schemas.openxmlformats.org/drawingml/2006/chartDrawing">
    <cdr:from>
      <cdr:x>0.13265</cdr:x>
      <cdr:y>0.09954</cdr:y>
    </cdr:from>
    <cdr:to>
      <cdr:x>0.62224</cdr:x>
      <cdr:y>0.23941</cdr:y>
    </cdr:to>
    <cdr:sp macro="" textlink="">
      <cdr:nvSpPr>
        <cdr:cNvPr id="2" name="TextBox 2">
          <a:extLst xmlns:a="http://schemas.openxmlformats.org/drawingml/2006/main">
            <a:ext uri="{FF2B5EF4-FFF2-40B4-BE49-F238E27FC236}">
              <a16:creationId xmlns:a16="http://schemas.microsoft.com/office/drawing/2014/main" id="{FD1D2F6C-2E78-470F-BF39-36F5D02A34E8}"/>
            </a:ext>
          </a:extLst>
        </cdr:cNvPr>
        <cdr:cNvSpPr txBox="1"/>
      </cdr:nvSpPr>
      <cdr:spPr>
        <a:xfrm xmlns:a="http://schemas.openxmlformats.org/drawingml/2006/main">
          <a:off x="633448" y="273050"/>
          <a:ext cx="2337858" cy="38369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positive</a:t>
          </a:r>
          <a:r>
            <a:rPr lang="en-US" sz="1000" b="1" baseline="0">
              <a:solidFill>
                <a:srgbClr val="C00000"/>
              </a:solidFill>
              <a:latin typeface="Georgia" panose="02040502050405020303" pitchFamily="18" charset="0"/>
            </a:rPr>
            <a:t> numbers and which are rising over time.</a:t>
          </a:r>
          <a:endParaRPr lang="en-US" sz="1000" b="1">
            <a:solidFill>
              <a:srgbClr val="C00000"/>
            </a:solidFill>
            <a:latin typeface="Georgia" panose="02040502050405020303" pitchFamily="18" charset="0"/>
          </a:endParaRPr>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E:\GIT%20HUB\Trading%20Comps%20of%20SUNPHARMA%20GIT.xlsx" TargetMode="External"/><Relationship Id="rId1" Type="http://schemas.openxmlformats.org/officeDocument/2006/relationships/externalLinkPath" Target="Trading%20Comps%20of%20SUNPHARMA%20GI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E:\GIT%20HUB\Amazon%20SOPT%20DCF%20Model.xlsx" TargetMode="External"/><Relationship Id="rId1" Type="http://schemas.openxmlformats.org/officeDocument/2006/relationships/externalLinkPath" Target="Amazon%20SOPT%20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__FDSCACHE__"/>
      <sheetName val="Trading Comps"/>
      <sheetName val="Database"/>
      <sheetName val="XLinkMeta"/>
    </sheetNames>
    <sheetDataSet>
      <sheetData sheetId="0"/>
      <sheetData sheetId="1"/>
      <sheetData sheetId="2">
        <row r="4">
          <cell r="C4">
            <v>2</v>
          </cell>
          <cell r="D4">
            <v>3</v>
          </cell>
          <cell r="E4">
            <v>4</v>
          </cell>
          <cell r="F4">
            <v>5</v>
          </cell>
          <cell r="G4">
            <v>6</v>
          </cell>
          <cell r="I4">
            <v>8</v>
          </cell>
          <cell r="J4">
            <v>9</v>
          </cell>
          <cell r="K4">
            <v>10</v>
          </cell>
          <cell r="L4">
            <v>11</v>
          </cell>
          <cell r="M4">
            <v>12</v>
          </cell>
          <cell r="N4">
            <v>13</v>
          </cell>
          <cell r="O4">
            <v>14</v>
          </cell>
        </row>
        <row r="8">
          <cell r="B8" t="str">
            <v>NVDA</v>
          </cell>
          <cell r="C8" t="str">
            <v>NVIDIA Corporation</v>
          </cell>
          <cell r="D8">
            <v>173.5</v>
          </cell>
          <cell r="E8">
            <v>24611</v>
          </cell>
          <cell r="F8">
            <v>4189994</v>
          </cell>
          <cell r="G8">
            <v>4233400</v>
          </cell>
          <cell r="I8">
            <v>130497</v>
          </cell>
          <cell r="J8">
            <v>199809.65</v>
          </cell>
          <cell r="K8">
            <v>250795.05</v>
          </cell>
          <cell r="L8">
            <v>118236.88</v>
          </cell>
          <cell r="M8">
            <v>149501.66</v>
          </cell>
          <cell r="N8">
            <v>105175.35</v>
          </cell>
          <cell r="O8">
            <v>138863.49</v>
          </cell>
        </row>
        <row r="9">
          <cell r="B9" t="str">
            <v>QCOM</v>
          </cell>
          <cell r="C9" t="str">
            <v>Qualcomm Incorporated</v>
          </cell>
          <cell r="D9">
            <v>160.38</v>
          </cell>
          <cell r="E9">
            <v>1115</v>
          </cell>
          <cell r="F9">
            <v>172121.85</v>
          </cell>
          <cell r="G9">
            <v>171344.85</v>
          </cell>
          <cell r="I9">
            <v>38944</v>
          </cell>
          <cell r="J9">
            <v>43508.68</v>
          </cell>
          <cell r="K9">
            <v>44169.48</v>
          </cell>
          <cell r="L9">
            <v>16790.82</v>
          </cell>
          <cell r="M9">
            <v>16593.650000000001</v>
          </cell>
          <cell r="N9">
            <v>13091.58</v>
          </cell>
          <cell r="O9">
            <v>12995.31</v>
          </cell>
        </row>
        <row r="10">
          <cell r="B10" t="str">
            <v>AVGO</v>
          </cell>
          <cell r="C10" t="str">
            <v>Broadcom Inc.</v>
          </cell>
          <cell r="D10">
            <v>291.67</v>
          </cell>
          <cell r="E10">
            <v>4826</v>
          </cell>
          <cell r="F10">
            <v>1422663.21</v>
          </cell>
          <cell r="G10">
            <v>1364853.21</v>
          </cell>
          <cell r="I10">
            <v>51574</v>
          </cell>
          <cell r="J10">
            <v>62752.82</v>
          </cell>
          <cell r="K10">
            <v>75433.98</v>
          </cell>
          <cell r="L10">
            <v>41755.24</v>
          </cell>
          <cell r="M10">
            <v>50455.37</v>
          </cell>
          <cell r="N10">
            <v>32629.27</v>
          </cell>
          <cell r="O10">
            <v>40174.43</v>
          </cell>
        </row>
        <row r="11">
          <cell r="B11" t="str">
            <v>INTC</v>
          </cell>
          <cell r="C11" t="str">
            <v>Intel Corporation</v>
          </cell>
          <cell r="D11">
            <v>20.7</v>
          </cell>
          <cell r="E11">
            <v>4369</v>
          </cell>
          <cell r="F11">
            <v>127555.9</v>
          </cell>
          <cell r="G11">
            <v>90603.9</v>
          </cell>
          <cell r="I11">
            <v>53101</v>
          </cell>
          <cell r="J11">
            <v>50399.11</v>
          </cell>
          <cell r="K11">
            <v>53053.120000000003</v>
          </cell>
          <cell r="L11">
            <v>13092.22</v>
          </cell>
          <cell r="M11">
            <v>17249.32</v>
          </cell>
          <cell r="N11">
            <v>1361.24</v>
          </cell>
          <cell r="O11">
            <v>3601.38</v>
          </cell>
        </row>
        <row r="12">
          <cell r="B12" t="str">
            <v>AMD</v>
          </cell>
          <cell r="C12" t="str">
            <v>Advanced Micro Devices, Inc.</v>
          </cell>
          <cell r="D12">
            <v>166.47</v>
          </cell>
          <cell r="E12">
            <v>1626</v>
          </cell>
          <cell r="F12">
            <v>267336.15999999997</v>
          </cell>
          <cell r="G12">
            <v>269915.15999999997</v>
          </cell>
          <cell r="I12">
            <v>25785</v>
          </cell>
          <cell r="J12">
            <v>31747.81</v>
          </cell>
          <cell r="K12">
            <v>37438.129999999997</v>
          </cell>
          <cell r="L12">
            <v>6675.37</v>
          </cell>
          <cell r="M12">
            <v>9772.98</v>
          </cell>
          <cell r="N12">
            <v>6338.78</v>
          </cell>
          <cell r="O12">
            <v>9265.7999999999993</v>
          </cell>
        </row>
        <row r="13">
          <cell r="B13" t="str">
            <v>MRVL</v>
          </cell>
          <cell r="C13" t="str">
            <v>Marvell Technology</v>
          </cell>
          <cell r="D13">
            <v>74.209999999999994</v>
          </cell>
          <cell r="E13">
            <v>875</v>
          </cell>
          <cell r="F13">
            <v>67609.960000000006</v>
          </cell>
          <cell r="G13">
            <v>63983.86</v>
          </cell>
          <cell r="I13">
            <v>5767.3</v>
          </cell>
          <cell r="J13">
            <v>8248.64</v>
          </cell>
          <cell r="K13">
            <v>9782.81</v>
          </cell>
          <cell r="L13">
            <v>3247.4</v>
          </cell>
          <cell r="M13">
            <v>3949.05</v>
          </cell>
          <cell r="N13">
            <v>2442.37</v>
          </cell>
          <cell r="O13">
            <v>3097.35</v>
          </cell>
        </row>
        <row r="14">
          <cell r="B14" t="str">
            <v>ARM</v>
          </cell>
          <cell r="C14" t="str">
            <v>Arm Holdings</v>
          </cell>
          <cell r="D14">
            <v>163.16999999999999</v>
          </cell>
          <cell r="E14">
            <v>1065</v>
          </cell>
          <cell r="F14">
            <v>169922.35</v>
          </cell>
          <cell r="G14">
            <v>172391.35</v>
          </cell>
          <cell r="I14">
            <v>4007</v>
          </cell>
          <cell r="J14">
            <v>4777.62</v>
          </cell>
          <cell r="K14">
            <v>5814.68</v>
          </cell>
          <cell r="L14">
            <v>2319.52</v>
          </cell>
          <cell r="M14">
            <v>3113.42</v>
          </cell>
          <cell r="N14">
            <v>1909.28</v>
          </cell>
          <cell r="O14">
            <v>2549.67</v>
          </cell>
        </row>
        <row r="15">
          <cell r="B15" t="str">
            <v>TXN</v>
          </cell>
          <cell r="C15" t="str">
            <v>Texas Instruments Incorporated</v>
          </cell>
          <cell r="D15">
            <v>184.99</v>
          </cell>
          <cell r="E15">
            <v>912</v>
          </cell>
          <cell r="F15">
            <v>176042.25</v>
          </cell>
          <cell r="G15">
            <v>168058.25</v>
          </cell>
          <cell r="I15">
            <v>15641</v>
          </cell>
          <cell r="J15">
            <v>17255.27</v>
          </cell>
          <cell r="K15">
            <v>18960.689999999999</v>
          </cell>
          <cell r="L15">
            <v>7942.24</v>
          </cell>
          <cell r="M15">
            <v>9267.01</v>
          </cell>
          <cell r="N15">
            <v>5097</v>
          </cell>
          <cell r="O15">
            <v>5865.74</v>
          </cell>
        </row>
        <row r="16">
          <cell r="B16" t="str">
            <v>APPL</v>
          </cell>
          <cell r="C16" t="str">
            <v>Apple Inc.</v>
          </cell>
          <cell r="D16">
            <v>232.14</v>
          </cell>
          <cell r="E16">
            <v>14948.18</v>
          </cell>
          <cell r="F16">
            <v>3413760.13</v>
          </cell>
          <cell r="G16">
            <v>3445048.13</v>
          </cell>
          <cell r="I16">
            <v>391035</v>
          </cell>
          <cell r="J16">
            <v>407341.31</v>
          </cell>
          <cell r="K16">
            <v>431340.79</v>
          </cell>
          <cell r="L16">
            <v>139515.15</v>
          </cell>
          <cell r="M16">
            <v>147838.18</v>
          </cell>
          <cell r="N16">
            <v>107818.29</v>
          </cell>
          <cell r="O16">
            <v>114634.61</v>
          </cell>
        </row>
        <row r="17">
          <cell r="B17" t="str">
            <v>MSFT</v>
          </cell>
          <cell r="C17" t="str">
            <v>Microsoft Corporation</v>
          </cell>
          <cell r="D17">
            <v>506.59</v>
          </cell>
          <cell r="E17">
            <v>7461</v>
          </cell>
          <cell r="F17">
            <v>3783930.07</v>
          </cell>
          <cell r="G17">
            <v>3766311.07</v>
          </cell>
          <cell r="I17">
            <v>245122</v>
          </cell>
          <cell r="J17">
            <v>279029.28000000003</v>
          </cell>
          <cell r="K17">
            <v>316492.86</v>
          </cell>
          <cell r="L17">
            <v>55721.51</v>
          </cell>
          <cell r="M17">
            <v>178744.69</v>
          </cell>
          <cell r="N17">
            <v>99973.45</v>
          </cell>
          <cell r="O17">
            <v>113022.48</v>
          </cell>
        </row>
        <row r="18">
          <cell r="B18" t="str">
            <v>GOOGL</v>
          </cell>
          <cell r="C18" t="str">
            <v>Alphabet Inc. Class A</v>
          </cell>
          <cell r="D18">
            <v>212.91</v>
          </cell>
          <cell r="E18">
            <v>12198</v>
          </cell>
          <cell r="F18">
            <v>2524820.14</v>
          </cell>
          <cell r="G18">
            <v>2578300.14</v>
          </cell>
          <cell r="I18">
            <v>350018</v>
          </cell>
          <cell r="J18">
            <v>387817.32</v>
          </cell>
          <cell r="K18">
            <v>428897.93</v>
          </cell>
          <cell r="L18">
            <v>172681.77</v>
          </cell>
          <cell r="M18">
            <v>195965.74</v>
          </cell>
          <cell r="N18">
            <v>116876.3</v>
          </cell>
          <cell r="O18">
            <v>122718.11</v>
          </cell>
        </row>
        <row r="19">
          <cell r="B19" t="str">
            <v>AMZN</v>
          </cell>
          <cell r="C19" t="str">
            <v>Amazon.com, Inc.</v>
          </cell>
          <cell r="D19">
            <v>229</v>
          </cell>
          <cell r="E19">
            <v>10806</v>
          </cell>
          <cell r="F19">
            <v>2508654.87</v>
          </cell>
          <cell r="G19">
            <v>2442264.87</v>
          </cell>
          <cell r="I19">
            <v>637959</v>
          </cell>
          <cell r="J19">
            <v>695217.39</v>
          </cell>
          <cell r="K19">
            <v>762821.81</v>
          </cell>
          <cell r="L19">
            <v>161644.92000000001</v>
          </cell>
          <cell r="M19">
            <v>191295.24</v>
          </cell>
          <cell r="N19">
            <v>67124.19</v>
          </cell>
          <cell r="O19">
            <v>79700.67</v>
          </cell>
        </row>
        <row r="20">
          <cell r="B20" t="str">
            <v>A005930</v>
          </cell>
          <cell r="C20" t="str">
            <v>Samsung Electronics CO., Ltd.</v>
          </cell>
          <cell r="D20">
            <v>37.89</v>
          </cell>
          <cell r="E20">
            <v>6778.6</v>
          </cell>
          <cell r="F20">
            <v>252514.89</v>
          </cell>
          <cell r="G20">
            <v>3012900.73</v>
          </cell>
          <cell r="I20">
            <v>206589</v>
          </cell>
          <cell r="J20">
            <v>237162</v>
          </cell>
          <cell r="K20">
            <v>250458</v>
          </cell>
          <cell r="L20">
            <v>57380</v>
          </cell>
          <cell r="M20">
            <v>65833</v>
          </cell>
          <cell r="N20">
            <v>22806</v>
          </cell>
          <cell r="O20">
            <v>28444</v>
          </cell>
        </row>
        <row r="21">
          <cell r="B21" t="str">
            <v>TSMC</v>
          </cell>
          <cell r="C21" t="str">
            <v>Taiwan Semiconductor Manufacturing</v>
          </cell>
          <cell r="D21">
            <v>245.6</v>
          </cell>
          <cell r="E21">
            <v>25929.4</v>
          </cell>
          <cell r="F21">
            <v>950397.38</v>
          </cell>
          <cell r="G21">
            <v>1006537.11</v>
          </cell>
          <cell r="I21">
            <v>87885</v>
          </cell>
          <cell r="J21">
            <v>126263</v>
          </cell>
          <cell r="K21">
            <v>146894</v>
          </cell>
          <cell r="L21">
            <v>85302</v>
          </cell>
          <cell r="M21">
            <v>98724</v>
          </cell>
          <cell r="N21">
            <v>52765</v>
          </cell>
          <cell r="O21">
            <v>60785</v>
          </cell>
        </row>
        <row r="22">
          <cell r="B22" t="str">
            <v>MU</v>
          </cell>
          <cell r="C22" t="str">
            <v>Micron Technology</v>
          </cell>
          <cell r="D22">
            <v>111.26</v>
          </cell>
          <cell r="E22">
            <v>1125</v>
          </cell>
          <cell r="F22">
            <v>128513.86</v>
          </cell>
          <cell r="G22">
            <v>124513.86</v>
          </cell>
          <cell r="I22">
            <v>25111</v>
          </cell>
          <cell r="J22">
            <v>36797.78</v>
          </cell>
          <cell r="K22">
            <v>47135.58</v>
          </cell>
          <cell r="L22">
            <v>17877.099999999999</v>
          </cell>
          <cell r="M22">
            <v>24833.21</v>
          </cell>
          <cell r="N22">
            <v>8862.82</v>
          </cell>
          <cell r="O22">
            <v>13632.91</v>
          </cell>
        </row>
        <row r="23">
          <cell r="B23" t="str">
            <v>A000660</v>
          </cell>
          <cell r="C23" t="str">
            <v>SK hynix Inc.</v>
          </cell>
          <cell r="D23">
            <v>191.62</v>
          </cell>
          <cell r="E23">
            <v>715.3</v>
          </cell>
          <cell r="F23">
            <v>136759.49</v>
          </cell>
          <cell r="G23">
            <v>133219.9</v>
          </cell>
          <cell r="I23">
            <v>46089</v>
          </cell>
          <cell r="J23">
            <v>63143</v>
          </cell>
          <cell r="K23">
            <v>73495</v>
          </cell>
          <cell r="L23">
            <v>38139</v>
          </cell>
          <cell r="M23">
            <v>43705</v>
          </cell>
          <cell r="N23">
            <v>22467</v>
          </cell>
          <cell r="O23">
            <v>24705</v>
          </cell>
        </row>
        <row r="24">
          <cell r="B24" t="str">
            <v>META</v>
          </cell>
          <cell r="C24" t="str">
            <v xml:space="preserve">META Platforms, Inc. </v>
          </cell>
          <cell r="D24">
            <v>738.7</v>
          </cell>
          <cell r="E24">
            <v>2570</v>
          </cell>
          <cell r="F24">
            <v>1858207.91</v>
          </cell>
          <cell r="G24">
            <v>1855718.91</v>
          </cell>
          <cell r="I24">
            <v>164501</v>
          </cell>
          <cell r="J24">
            <v>196001.85</v>
          </cell>
          <cell r="K24">
            <v>227655.15</v>
          </cell>
          <cell r="L24">
            <v>119791.72</v>
          </cell>
          <cell r="M24">
            <v>137842.76</v>
          </cell>
          <cell r="N24">
            <v>71334.179999999993</v>
          </cell>
          <cell r="O24">
            <v>76079.899999999994</v>
          </cell>
        </row>
        <row r="25">
          <cell r="B25" t="str">
            <v>WMT</v>
          </cell>
          <cell r="C25" t="str">
            <v>Walmart Inc.</v>
          </cell>
          <cell r="D25">
            <v>96.83</v>
          </cell>
          <cell r="E25">
            <v>8016</v>
          </cell>
          <cell r="F25">
            <v>835073.89</v>
          </cell>
          <cell r="G25">
            <v>772743.89</v>
          </cell>
          <cell r="I25">
            <v>674538</v>
          </cell>
          <cell r="J25">
            <v>704388.23</v>
          </cell>
          <cell r="K25">
            <v>739556.37</v>
          </cell>
          <cell r="L25">
            <v>44488.45</v>
          </cell>
          <cell r="M25">
            <v>48676.84</v>
          </cell>
          <cell r="N25">
            <v>21026.63</v>
          </cell>
          <cell r="O25">
            <v>23459.88</v>
          </cell>
        </row>
        <row r="26">
          <cell r="B26" t="str">
            <v>SUNPHARMA</v>
          </cell>
          <cell r="C26" t="str">
            <v>Sun Pharmaceutical Industries Ltd.</v>
          </cell>
          <cell r="D26">
            <v>1600.3</v>
          </cell>
          <cell r="E26">
            <v>2399.33</v>
          </cell>
          <cell r="F26">
            <v>3604729.75</v>
          </cell>
          <cell r="G26">
            <v>3839655.75</v>
          </cell>
          <cell r="I26">
            <v>525784</v>
          </cell>
          <cell r="J26">
            <v>572731</v>
          </cell>
          <cell r="K26">
            <v>631547</v>
          </cell>
          <cell r="L26">
            <v>161517</v>
          </cell>
          <cell r="M26">
            <v>184479</v>
          </cell>
          <cell r="N26">
            <v>117125</v>
          </cell>
          <cell r="O26">
            <v>135843</v>
          </cell>
        </row>
        <row r="27">
          <cell r="B27" t="str">
            <v>DIVISLAB</v>
          </cell>
          <cell r="C27" t="str">
            <v>Divi's Laboratories Limited </v>
          </cell>
          <cell r="D27">
            <v>6190.5</v>
          </cell>
          <cell r="E27">
            <v>265.47000000000003</v>
          </cell>
          <cell r="F27">
            <v>1608153.24</v>
          </cell>
          <cell r="G27">
            <v>1643383.24</v>
          </cell>
          <cell r="I27">
            <v>93600</v>
          </cell>
          <cell r="J27">
            <v>106997</v>
          </cell>
          <cell r="K27">
            <v>126951</v>
          </cell>
          <cell r="L27">
            <v>35230</v>
          </cell>
          <cell r="M27">
            <v>44255</v>
          </cell>
          <cell r="N27">
            <v>25345</v>
          </cell>
          <cell r="O27">
            <v>32236</v>
          </cell>
        </row>
        <row r="28">
          <cell r="B28" t="str">
            <v>CIPLA</v>
          </cell>
          <cell r="C28" t="str">
            <v>Cipla Ltd.</v>
          </cell>
          <cell r="D28">
            <v>1579.8</v>
          </cell>
          <cell r="E28">
            <v>807.75</v>
          </cell>
          <cell r="F28">
            <v>1175270.19</v>
          </cell>
          <cell r="G28">
            <v>1276089.8899999999</v>
          </cell>
          <cell r="I28">
            <v>275476</v>
          </cell>
          <cell r="J28">
            <v>293410</v>
          </cell>
          <cell r="K28">
            <v>316896</v>
          </cell>
          <cell r="L28">
            <v>71201</v>
          </cell>
          <cell r="M28">
            <v>74830</v>
          </cell>
          <cell r="N28">
            <v>49889</v>
          </cell>
          <cell r="O28">
            <v>52679</v>
          </cell>
        </row>
        <row r="29">
          <cell r="B29" t="str">
            <v>TORNTPHARM</v>
          </cell>
          <cell r="C29" t="str">
            <v>Torrent Pharma</v>
          </cell>
          <cell r="D29">
            <v>3604.8</v>
          </cell>
          <cell r="E29">
            <v>338.45</v>
          </cell>
          <cell r="F29">
            <v>1244849.18</v>
          </cell>
          <cell r="G29">
            <v>1219232.78</v>
          </cell>
          <cell r="I29">
            <v>115160</v>
          </cell>
          <cell r="J29">
            <v>130457</v>
          </cell>
          <cell r="K29">
            <v>146051</v>
          </cell>
          <cell r="L29">
            <v>43080</v>
          </cell>
          <cell r="M29">
            <v>49402</v>
          </cell>
          <cell r="N29">
            <v>24778</v>
          </cell>
          <cell r="O29">
            <v>30257</v>
          </cell>
        </row>
        <row r="30">
          <cell r="B30" t="str">
            <v>DRREDDY</v>
          </cell>
          <cell r="C30" t="str">
            <v>Dr. Reddy's Laboratories Limited</v>
          </cell>
          <cell r="D30">
            <v>1263.2</v>
          </cell>
          <cell r="E30">
            <v>832.88</v>
          </cell>
          <cell r="F30">
            <v>1037232.97</v>
          </cell>
          <cell r="G30">
            <v>1051580.97</v>
          </cell>
          <cell r="I30">
            <v>325535</v>
          </cell>
          <cell r="J30">
            <v>344261</v>
          </cell>
          <cell r="K30">
            <v>348656</v>
          </cell>
          <cell r="L30">
            <v>85548</v>
          </cell>
          <cell r="M30">
            <v>77053</v>
          </cell>
          <cell r="N30">
            <v>54123</v>
          </cell>
          <cell r="O30">
            <v>47252</v>
          </cell>
        </row>
        <row r="31">
          <cell r="B31" t="str">
            <v>MANKIND</v>
          </cell>
          <cell r="C31" t="str">
            <v>Mankind Pharma Limited</v>
          </cell>
          <cell r="D31">
            <v>2502</v>
          </cell>
          <cell r="E31">
            <v>412.73</v>
          </cell>
          <cell r="F31">
            <v>1094871.73</v>
          </cell>
          <cell r="G31">
            <v>1032647.33</v>
          </cell>
          <cell r="I31">
            <v>122074</v>
          </cell>
          <cell r="J31">
            <v>147733</v>
          </cell>
          <cell r="K31">
            <v>166018</v>
          </cell>
          <cell r="L31">
            <v>38140</v>
          </cell>
          <cell r="M31">
            <v>44655</v>
          </cell>
          <cell r="N31">
            <v>20972</v>
          </cell>
          <cell r="O31">
            <v>26997</v>
          </cell>
        </row>
        <row r="32">
          <cell r="B32" t="str">
            <v>ZYDUSLIFE</v>
          </cell>
          <cell r="C32" t="str">
            <v>Zydus Lifescience Ltd.</v>
          </cell>
          <cell r="D32">
            <v>987.85</v>
          </cell>
          <cell r="E32">
            <v>1006.23</v>
          </cell>
          <cell r="F32">
            <v>993869.25</v>
          </cell>
          <cell r="G32">
            <v>994008.25</v>
          </cell>
          <cell r="I32">
            <v>232415</v>
          </cell>
          <cell r="J32">
            <v>251879</v>
          </cell>
          <cell r="K32">
            <v>260541</v>
          </cell>
          <cell r="L32">
            <v>68171</v>
          </cell>
          <cell r="M32">
            <v>63820</v>
          </cell>
          <cell r="N32">
            <v>45171</v>
          </cell>
          <cell r="O32">
            <v>41610</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Operating Model"/>
      <sheetName val="DCF&gt;&gt;&gt;"/>
      <sheetName val="Consolidated DCF"/>
      <sheetName val="North America"/>
      <sheetName val="International"/>
      <sheetName val="AWS"/>
      <sheetName val="WACC"/>
      <sheetName val="COMPS"/>
      <sheetName val="Shares"/>
      <sheetName val="FS&gt;&gt;"/>
      <sheetName val="Segment data"/>
      <sheetName val="CSF"/>
      <sheetName val="IS"/>
    </sheetNames>
    <sheetDataSet>
      <sheetData sheetId="0"/>
      <sheetData sheetId="1"/>
      <sheetData sheetId="2"/>
      <sheetData sheetId="3">
        <row r="41">
          <cell r="T41">
            <v>93180</v>
          </cell>
        </row>
        <row r="42">
          <cell r="T42">
            <v>50718</v>
          </cell>
        </row>
      </sheetData>
      <sheetData sheetId="4"/>
      <sheetData sheetId="5"/>
      <sheetData sheetId="6"/>
      <sheetData sheetId="7"/>
      <sheetData sheetId="8"/>
      <sheetData sheetId="9"/>
      <sheetData sheetId="10"/>
      <sheetData sheetId="11"/>
      <sheetData sheetId="12"/>
      <sheetData sheetId="13"/>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1T21:42:05.407"/>
    </inkml:context>
    <inkml:brush xml:id="br0">
      <inkml:brushProperty name="width" value="0.35" units="cm"/>
      <inkml:brushProperty name="height" value="0.35" units="cm"/>
      <inkml:brushProperty name="color" value="#E71224"/>
    </inkml:brush>
  </inkml:definitions>
  <inkml:trace contextRef="#ctx0" brushRef="#br0">114 0 24575,'-2'0'0,"1"1"0,-1-1 0,1 0 0,-1 1 0,1-1 0,-1 0 0,1 1 0,0 0 0,-1-1 0,1 1 0,0 0 0,-1 0 0,1 0 0,0-1 0,0 1 0,0 0 0,0 1 0,0-1 0,0 0 0,0 0 0,0 0 0,1 1 0,-2 1 0,-12 36 0,11-28 0,-18 58 0,-13 82 0,29-120 0,2-1 0,0 1 0,2 0 0,2 0 0,5 42 0,-5-71 0,0 0 0,-1 0 0,1 0 0,0 0 0,0 0 0,0 0 0,0 0 0,0 0 0,0 0 0,1-1 0,-1 1 0,1 0 0,-1-1 0,1 1 0,0-1 0,-1 0 0,1 0 0,0 1 0,0-1 0,0 0 0,0-1 0,0 1 0,0 0 0,3 0 0,6 2 0,-1-1 0,1 0 0,17 0 0,-21-2 0,63 1 0,0-3 0,81-14 0,74-3 0,865 19 0,-497 1 0,-581 0 0,1-2 0,-1 0 0,1 0 0,-1-1 0,24-7 0,-33 8 0,0 0 0,0 0 0,0 0 0,-1-1 0,1 1 0,0-1 0,-1 1 0,1-1 0,-1 0 0,0 0 0,0 0 0,0-1 0,0 1 0,0 0 0,0-1 0,0 1 0,-1-1 0,1 0 0,-1 1 0,0-1 0,0 0 0,0 0 0,0 0 0,0 0 0,-1 0 0,0 0 0,1 0 0,-1 0 0,0 0 0,-1-5 0,1 2 0,0 1 0,-1 0 0,0-1 0,0 1 0,-1 0 0,0 0 0,1 0 0,-2 0 0,1 0 0,0 0 0,-1 0 0,0 1 0,0 0 0,-1-1 0,1 1 0,-1 0 0,0 0 0,-8-6 0,5 6 0,-1 0 0,0 0 0,0 0 0,-1 1 0,1 0 0,-1 1 0,1 0 0,-1 0 0,0 1 0,-17-1 0,-24 3 0,1 1 0,-91 18 0,-38 4 0,-286-21 0,238-6 0,-695 3 0,916 1 0,0-1 0,1 0 0,-1-1 0,0 1 0,0-1 0,1 0 0,-1 0 0,0 0 0,1-1 0,-1 0 0,-4-2 0,8 3 0,0 0 0,0 1 0,1-1 0,-1 0 0,0 0 0,0 0 0,0 0 0,1 0 0,-1 0 0,1 0 0,-1 0 0,1 0 0,-1 0 0,1 0 0,-1 0 0,1 0 0,0 0 0,0-1 0,0 0 0,0-1 0,0 0 0,0 0 0,1 0 0,-1 0 0,1 0 0,0 0 0,0 0 0,0 1 0,0-1 0,3-4 0,3-3 0,0-1 0,1 1 0,0 1 0,1 0 0,0 0 0,0 0 0,1 1 0,0 0 0,0 1 0,1 1 0,15-8 0,13-5 0,81-26 0,-91 37 0,1 1 0,-1 1 0,1 2 0,0 1 0,49 1 0,151 23 0,14 0 0,721-23-1365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1T21:41:22.928"/>
    </inkml:context>
    <inkml:brush xml:id="br0">
      <inkml:brushProperty name="width" value="0.35" units="cm"/>
      <inkml:brushProperty name="height" value="0.35" units="cm"/>
      <inkml:brushProperty name="color" value="#FFFFFF"/>
    </inkml:brush>
  </inkml:definitions>
  <inkml:trace contextRef="#ctx0" brushRef="#br0">365 67 24575,'1361'0'0,"-1338"-1"0,-1-2 0,1 0 0,-1-2 0,44-14 0,-41 10 0,2 2 0,-1 1 0,32-3 0,339 5 0,-207 6 0,346-2-1365,-472 0-5461</inkml:trace>
  <inkml:trace contextRef="#ctx0" brushRef="#br0" timeOffset="2453.43">3370 130 24575,'-1'8'0,"1"5"0,0 8 0,0 4 0,0 5 0,0 8 0,0 2 0,0-3 0,0-1 0,0-2 0,0 0 0,0-2 0,0 0 0,0-1 0,0-3 0</inkml:trace>
  <inkml:trace contextRef="#ctx0" brushRef="#br0" timeOffset="4312.34">3370 617 24575,'-2230'0'0,"2197"2"0,0 2 0,0 1 0,1 1 0,-60 20 0,11-3 0,26-13-77,1-2 0,-1-3 0,-1-2-1,-63-5 1,60 0-902</inkml:trace>
  <inkml:trace contextRef="#ctx0" brushRef="#br0" timeOffset="5562.08">343 702 24575,'0'-3'0,"0"-6"0,0-11 0,0-10 0,0-10 0,0-2 0,0-2 0,0 4 0,0-2 0,0 2 0,0 1 0</inkml:trace>
  <inkml:trace contextRef="#ctx0" brushRef="#br0" timeOffset="64516.36">259 257 24575,'2'101'0,"0"-36"0,-8 84 0,2-126 0,-1 0 0,-12 34 0,2-10 0,11-36 0,0 0 0,0 0 0,-1 0 0,-1-1 0,0 1 0,0-1 0,-1-1 0,0 0 0,-1 0 0,0 0 0,-1-1 0,1 0 0,-16 11 0,23-19 0,1 1 0,-1-1 0,0 0 0,0 1 0,0-1 0,0 0 0,1 1 0,-1-1 0,0 0 0,0 0 0,0 0 0,0 0 0,0 1 0,0-1 0,0-1 0,0 1 0,1 0 0,-1 0 0,0 0 0,0 0 0,0-1 0,0 1 0,0 0 0,1-1 0,-1 1 0,0-1 0,0 1 0,0-1 0,1 1 0,-1-1 0,0 1 0,1-1 0,-1 0 0,1 1 0,-1-1 0,0 0 0,1 0 0,0 1 0,-1-1 0,1 0 0,-1 0 0,1 0 0,0 0 0,0 0 0,-1 1 0,1-1 0,0-1 0,-2-8 0,-1 1 0,2-1 0,-2-13 0,3 17 0,-4-81 0,16-170 0,1 58 0,-13 83 0,-1 182 0,2 256 0,0-303 0,0 1 0,9 38 0,-8-50 0,0-1 0,0 1 0,1-1 0,1 1 0,-1-1 0,1 0 0,0-1 0,1 1 0,-1-1 0,8 8 0,-2-4 0,8 9 0,1-1 0,33 25 0,-45-38 0,1-1 0,-1 0 0,1 0 0,0 0 0,0-1 0,0 0 0,0-1 0,0 0 0,1 0 0,-1-1 0,1 0 0,9 0 0,24-2 0,0-1 0,0-3 0,0-1 0,54-16 0,-30-8 0,-66 30 0,1 0 0,-1 0 0,1 0 0,-1-1 0,0 1 0,1 0 0,-1 0 0,1 0 0,-1 0 0,1 0 0,-1 0 0,1 0 0,-1 0 0,1 1 0,-1-1 0,1 0 0,-1 0 0,1 0 0,-1 0 0,1 1 0,-1-1 0,1 0 0,-1 0 0,0 1 0,1-1 0,-1 0 0,0 1 0,1-1 0,-1 0 0,1 1 0,2 17 0,-9 20 0,-1-21 0,0 1 0,-1-1 0,-1 0 0,0-1 0,-2 0 0,0-1 0,0 0 0,-1-1 0,-23 22 0,13-17 0,-1 0 0,0-2 0,-1 0 0,-1-2 0,-41 20 0,57-31 0,0 0 0,0-1 0,0 0 0,-1 0 0,1-1 0,-1 0 0,0-1 0,1 0 0,-1-1 0,0 0 0,0 0 0,0-1 0,1 0 0,-1-1 0,0 0 0,1 0 0,-1-1 0,-16-8 0,-27-6 0,39 14 0,1-1 0,-24-11 0,32 13 0,1-1 0,0 0 0,-1 0 0,1 0 0,0 0 0,1-1 0,-1 1 0,0-1 0,1 0 0,0 0 0,-4-7 0,2 0 0,0 1 0,1-1 0,0 0 0,1 0 0,0 0 0,0 0 0,-1-22 0,4-84 0,0 98 0,1 10 0,-1 0 0,1 0 0,0 1 0,1-1 0,0 0 0,1 1 0,0 0 0,3-9 0,-4 13 0,0 1 0,0 0 0,1-1 0,-1 1 0,0 0 0,1 0 0,0 1 0,0-1 0,0 0 0,0 1 0,0 0 0,0 0 0,1 0 0,-1 0 0,1 0 0,-1 1 0,1-1 0,0 1 0,0 0 0,5-1 0,0 1 0,0 0 0,0 1 0,0 0 0,0 0 0,0 1 0,0 0 0,0 0 0,12 5 0,3 2 0,38 19 0,-34-14 0,-15-8 0,-1 0 0,1 0 0,0-1 0,0-1 0,1-1 0,-1 0 0,25 1 0,-28-3 0,-1-1 0,1 0 0,-1 0 0,0-1 0,1 0 0,-1 0 0,0-1 0,0-1 0,0 1 0,-1-2 0,16-8 0,-6-2 0,1-1 0,-2-1 0,0 0 0,-1-2 0,-1 1 0,22-37 0,11-13 0,-32 50 0,1 1 0,0 0 0,1 2 0,1 0 0,33-20 0,-5 3 0,-43 26 0,-16 7 0,-19 6 0,-41 17 0,30-10 0,-68 14 0,99-26 0,0 0 0,0-1 0,0 0 0,0-1 0,0 0 0,0-1 0,0 0 0,0-1 0,1 0 0,-1-1 0,-16-6 0,26 9 0,-1-1 0,1 1 0,0-1 0,-1 1 0,1-1 0,0 0 0,0 0 0,0 1 0,-1-1 0,1 0 0,0 0 0,0 0 0,0 0 0,1 0 0,-1 0 0,0 0 0,0-1 0,1 1 0,-1 0 0,0 0 0,1-1 0,-1 1 0,1 0 0,0-1 0,-1 1 0,1 0 0,0-1 0,0 1 0,0-1 0,0 1 0,0 0 0,0-1 0,0 1 0,0-1 0,1 1 0,0-2 0,1-2 0,0 0 0,1 0 0,0 1 0,0-1 0,0 1 0,1 0 0,-1 0 0,8-6 0,12-9 0,-1 2 0,2 1 0,0 1 0,1 1 0,39-16 0,-28 15 0,0 3 0,1 1 0,63-11 0,-85 20 0,1 0 0,-1 1 0,0 1 0,21 2 0,-28-1 0,-1 1 0,1-1 0,-1 1 0,1 1 0,-1-1 0,0 1 0,0 1 0,0-1 0,-1 1 0,10 7 0,-3-2 0,1 0 0,0-1 0,0 0 0,1-1 0,0-1 0,0 0 0,1-1 0,-1-1 0,1 0 0,28 2 0,13-2 0,100-6 0,-55-1 0,520 3 0,-598 0 0,-1 1 0,0 1 0,25 6 0,-39-6 0,1 0 0,-1 1 0,-1 0 0,1 1 0,0 0 0,-1 1 0,0-1 0,0 1 0,0 1 0,9 8 0,14 18 0,37 47 0,-67-78 0,16 18 0,1 0 0,1-2 0,1-1 0,22 16 0,-18-16 0,-2 1 0,-1 2 0,22 22 0,-16-13 0,-18-20 0,0 0 0,-1 1 0,-1-1 0,12 19 0,-17-24 0,-1 0 0,1 0 0,-1 0 0,0 1 0,0-1 0,0 0 0,0 1 0,-1-1 0,1 1 0,-1-1 0,0 1 0,0-1 0,0 1 0,0-1 0,-1 1 0,1-1 0,-1 1 0,0-1 0,0 0 0,-3 6 0,-1 0 0,0-1 0,0 0 0,-1 0 0,-1 0 0,1 0 0,-1-1 0,0 0 0,-1-1 0,0 0 0,0 0 0,0 0 0,-15 6 0,2-1 0,0-2 0,0 0 0,-1-2 0,-32 8 0,-246 26 0,-2-26 0,201-11 0,-244 26 0,53-3 0,140-7 0,100-11 0,-81 3 0,128-12 0,0 0 0,0 0 0,0-1 0,0 1 0,0-1 0,1 0 0,-8-3 0,12 4 0,-1-1 0,0 1 0,0-1 0,0 1 0,0-1 0,1 0 0,-1 1 0,0-1 0,0 0 0,1 1 0,-1-1 0,1 0 0,-1 0 0,1 0 0,-1 0 0,1 0 0,-1 0 0,1 1 0,0-1 0,-1 0 0,1 0 0,0 0 0,0 0 0,0 0 0,0 0 0,0 0 0,0 0 0,0 0 0,0 0 0,0 0 0,0 0 0,1 0 0,-1 0 0,0 0 0,1 0 0,-1 0 0,1 0 0,-1 0 0,1 0 0,-1 1 0,1-1 0,1-1 0,4-8 0,1 0 0,1 1 0,0 0 0,0 0 0,1 1 0,0 0 0,16-11 0,80-44 0,-4 18 0,-71 34 0,-1-1 0,30-18 0,-57 29 0,0 0 0,0-1 0,0 1 0,0 0 0,0-1 0,0 0 0,0 1 0,-1-1 0,1 0 0,-1 0 0,1 0 0,-1 0 0,0 0 0,0 0 0,1 0 0,0-3 0,-2 3 0,0 1 0,0-1 0,-1 0 0,1 1 0,0-1 0,0 0 0,-1 1 0,1-1 0,-1 1 0,0-1 0,1 1 0,-1-1 0,0 1 0,0-1 0,0 1 0,0 0 0,0-1 0,0 1 0,0 0 0,0 0 0,-1 0 0,1 0 0,0 0 0,-4-2 0,-25-16 0,-2 1 0,-44-19 0,4 2 0,72 35 0,-1 0 0,1 0 0,-1-1 0,1 1 0,-1 0 0,1 0 0,-1 0 0,1-1 0,-1 1 0,1 0 0,-1-1 0,1 1 0,-1 0 0,1-1 0,0 1 0,-1-1 0,1 1 0,0-1 0,-1 1 0,1 0 0,0-1 0,0 1 0,0-1 0,-1 1 0,1-1 0,0 0 0,0 1 0,0-1 0,0 1 0,0-1 0,0 1 0,0-1 0,0 1 0,0-1 0,0 1 0,0-1 0,0 1 0,0-1 0,1 0 0,-1 1 0,0-1 0,20-17 0,-2 7 0,0 1 0,1 1 0,0 1 0,21-6 0,87-22 0,-69 21 0,-50 13 0,134-31 0,-122 29 0,1 2 0,0 0 0,1 2 0,39 4 0,15 2 0,92-2 0,4-1 0,-171-3 0,1 0 0,-1 0 0,1 0 0,-1 1 0,1-1 0,-1 0 0,1 1 0,-1-1 0,0 1 0,1 0 0,-1-1 0,0 1 0,1 0 0,-1 0 0,0 0 0,0 0 0,0 0 0,0 0 0,0 0 0,0 0 0,0 0 0,0 1 0,1 1 0,-1 0 0,0-1 0,0 1 0,-1 0 0,1 0 0,-1 0 0,1 0 0,-1 0 0,0 0 0,0-1 0,0 1 0,-2 6 0,1-4 0,0 1 0,0 0 0,-1-1 0,0 1 0,0-1 0,-1 0 0,0 0 0,1 0 0,-2 0 0,1 0 0,-1 0 0,1-1 0,-7 6 0,-9 3 0,-2-1 0,1 0 0,-2-1 0,1-1 0,-25 6 0,-5 0 0,-61 11 0,88-22 0,1-2 0,-1-1 0,0 0 0,1-2 0,-1-1 0,-26-4 0,26-2 0,24 7 0,0 0 0,0-1 0,0 1 0,0 0 0,0 0 0,0-1 0,0 1 0,0 0 0,0 0 0,0-1 0,0 1 0,0 0 0,0 0 0,0-1 0,0 1 0,0 0 0,0 0 0,0 0 0,0-1 0,0 1 0,1 0 0,-1 0 0,0 0 0,0-1 0,0 1 0,0 0 0,0 0 0,1 0 0,-1 0 0,0-1 0,0 1 0,0 0 0,1 0 0,-1 0 0,0 0 0,0 0 0,1 0 0,-1 0 0,0 0 0,0-1 0,0 1 0,1 0 0,-1 0 0,0 0 0,1 0 0,51-14 0,-51 14 0,76-17 0,476-85 0,-511 101 0,-37 4 0,-12 3 0,-19 6 0,0-1 0,-1-1 0,-38 9 0,-36 13 0,83-22 0,18-10 0,0 0 0,0 0 0,0 0 0,-1 0 0,1 0 0,0 1 0,0-1 0,0 0 0,0 0 0,0 0 0,0 0 0,0 0 0,-1 1 0,1-1 0,0 0 0,0 0 0,0 0 0,0 0 0,0 1 0,0-1 0,0 0 0,0 0 0,0 0 0,0 1 0,0-1 0,0 0 0,0 0 0,0 0 0,0 0 0,0 1 0,0-1 0,0 0 0,0 0 0,0 0 0,0 0 0,1 1 0,-1-1 0,0 0 0,0 0 0,0 0 0,0 0 0,0 1 0,3 0 0,0 0 0,0 0 0,0 1 0,0-2 0,0 1 0,0 0 0,7 0 0,37 4 0,52-1 0,-153 10-1365</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ual" displayName="Annual" ref="A3:L34" headerRowCount="0" totalsRowCount="1" headerRowDxfId="64" dataDxfId="63">
  <tableColumns count="12">
    <tableColumn id="1" xr3:uid="{00000000-0010-0000-0000-000001000000}" name="Column1" headerRowDxfId="62" dataDxfId="61" totalsRowDxfId="60"/>
    <tableColumn id="2" xr3:uid="{00000000-0010-0000-0000-000002000000}" name="Column2" headerRowDxfId="59" dataDxfId="58" totalsRowDxfId="57"/>
    <tableColumn id="3" xr3:uid="{00000000-0010-0000-0000-000003000000}" name="Column3" headerRowDxfId="56" dataDxfId="55" totalsRowDxfId="54"/>
    <tableColumn id="4" xr3:uid="{00000000-0010-0000-0000-000004000000}" name="Column4" headerRowDxfId="53" dataDxfId="52" totalsRowDxfId="51"/>
    <tableColumn id="5" xr3:uid="{00000000-0010-0000-0000-000005000000}" name="Column5" headerRowDxfId="50" dataDxfId="49" totalsRowDxfId="48"/>
    <tableColumn id="6" xr3:uid="{00000000-0010-0000-0000-000006000000}" name="Column6" headerRowDxfId="47" dataDxfId="46" totalsRowDxfId="45"/>
    <tableColumn id="7" xr3:uid="{00000000-0010-0000-0000-000007000000}" name="Column7" headerRowDxfId="44" dataDxfId="43" totalsRowDxfId="42"/>
    <tableColumn id="8" xr3:uid="{00000000-0010-0000-0000-000008000000}" name="Column8" headerRowDxfId="41" dataDxfId="40" totalsRowDxfId="39"/>
    <tableColumn id="9" xr3:uid="{00000000-0010-0000-0000-000009000000}" name="Column9" headerRowDxfId="38" dataDxfId="37" totalsRowDxfId="36"/>
    <tableColumn id="10" xr3:uid="{00000000-0010-0000-0000-00000A000000}" name="Column10" headerRowDxfId="35" dataDxfId="34" totalsRowDxfId="33"/>
    <tableColumn id="11" xr3:uid="{00000000-0010-0000-0000-00000B000000}" name="Column11" headerRowDxfId="32" dataDxfId="31" totalsRowDxfId="30"/>
    <tableColumn id="12" xr3:uid="{00000000-0010-0000-0000-00000C000000}" name="Column12" headerRowDxfId="29" dataDxfId="28" totalsRowDxfId="27"/>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arters" displayName="Quarters" ref="A3:K17" headerRowCount="0" totalsRowShown="0" headerRowDxfId="26" dataDxfId="25" tableBorderDxfId="24" totalsRowBorderDxfId="23">
  <tableColumns count="11">
    <tableColumn id="1" xr3:uid="{00000000-0010-0000-0100-000001000000}" name="Column1" headerRowDxfId="22" dataDxfId="21"/>
    <tableColumn id="2" xr3:uid="{00000000-0010-0000-0100-000002000000}" name="Column2" headerRowDxfId="20" dataDxfId="19"/>
    <tableColumn id="3" xr3:uid="{00000000-0010-0000-0100-000003000000}" name="Column3" headerRowDxfId="18" dataDxfId="17"/>
    <tableColumn id="4" xr3:uid="{00000000-0010-0000-0100-000004000000}" name="Column4" headerRowDxfId="16" dataDxfId="15"/>
    <tableColumn id="5" xr3:uid="{00000000-0010-0000-0100-000005000000}" name="Column5" headerRowDxfId="14" dataDxfId="13"/>
    <tableColumn id="6" xr3:uid="{00000000-0010-0000-0100-000006000000}" name="Column6" headerRowDxfId="12" dataDxfId="11"/>
    <tableColumn id="7" xr3:uid="{00000000-0010-0000-0100-000007000000}" name="Column7" headerRowDxfId="10" dataDxfId="9"/>
    <tableColumn id="8" xr3:uid="{00000000-0010-0000-0100-000008000000}" name="Column8" headerRowDxfId="8" dataDxfId="7"/>
    <tableColumn id="9" xr3:uid="{00000000-0010-0000-0100-000009000000}" name="Column9" headerRowDxfId="6" dataDxfId="5"/>
    <tableColumn id="10" xr3:uid="{00000000-0010-0000-0100-00000A000000}" name="Column10" headerRowDxfId="4" dataDxfId="3"/>
    <tableColumn id="11" xr3:uid="{00000000-0010-0000-0100-00000B000000}" name="Column11" headerRowDxfId="2" dataDxfId="1"/>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www.safalniveshak.com/value-stocks-using-dcf/" TargetMode="External"/><Relationship Id="rId4" Type="http://schemas.openxmlformats.org/officeDocument/2006/relationships/comments" Target="../comments6.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goo.gl/F4PjL7"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8.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screener.in/exce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0FD8D-8C9C-4D21-98DF-F61E0FD40D2A}">
  <dimension ref="A1"/>
  <sheetViews>
    <sheetView showGridLines="0" workbookViewId="0">
      <selection activeCell="R7" sqref="R7"/>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9D54-F777-4C44-8DA5-3317C7BCB798}">
  <dimension ref="A1:V46"/>
  <sheetViews>
    <sheetView showGridLines="0" workbookViewId="0">
      <selection activeCell="Q5" sqref="Q5"/>
    </sheetView>
  </sheetViews>
  <sheetFormatPr defaultRowHeight="14.4" x14ac:dyDescent="0.3"/>
  <cols>
    <col min="1" max="1" width="3.77734375" customWidth="1"/>
    <col min="3" max="3" width="11.77734375" bestFit="1" customWidth="1"/>
    <col min="6" max="20" width="9.88671875" bestFit="1" customWidth="1"/>
  </cols>
  <sheetData>
    <row r="1" spans="1:22" x14ac:dyDescent="0.3">
      <c r="P1" s="1" t="str">
        <f ca="1">"Active case : "&amp;OFFSET('SUN P DCF'!R3,'SUN P DCF'!D13,0)</f>
        <v>Active case : Base</v>
      </c>
    </row>
    <row r="2" spans="1:22" ht="23.4" x14ac:dyDescent="0.45">
      <c r="B2" s="349" t="s">
        <v>343</v>
      </c>
    </row>
    <row r="3" spans="1:22" x14ac:dyDescent="0.3">
      <c r="A3" s="317"/>
      <c r="B3" s="317"/>
      <c r="C3" s="317"/>
      <c r="D3" s="317"/>
      <c r="E3" s="317"/>
      <c r="F3" s="317"/>
      <c r="G3" s="317"/>
      <c r="H3" s="317"/>
      <c r="I3" s="317"/>
      <c r="J3" s="317"/>
      <c r="K3" s="317"/>
      <c r="L3" s="317"/>
      <c r="M3" s="317"/>
      <c r="N3" s="317"/>
      <c r="O3" s="317"/>
      <c r="P3" s="317"/>
      <c r="Q3" s="317"/>
      <c r="R3" s="317"/>
      <c r="S3" s="317"/>
      <c r="T3" s="317"/>
      <c r="U3" s="317"/>
      <c r="V3" s="317"/>
    </row>
    <row r="4" spans="1:22" x14ac:dyDescent="0.3">
      <c r="B4" t="str">
        <f>'SUN P DCF'!B4</f>
        <v>Ticker</v>
      </c>
      <c r="C4" s="355" t="str">
        <f>'SUN P DCF'!C4</f>
        <v>SUNPHARMA</v>
      </c>
      <c r="E4" t="str">
        <f>'SUN P DCF'!E4</f>
        <v>Implied Share Price</v>
      </c>
      <c r="H4" s="609">
        <f ca="1">'SUN P DCF'!H4</f>
        <v>1510.720621287903</v>
      </c>
      <c r="J4" t="str">
        <f>'SUN P DCF'!J4</f>
        <v>Low-end</v>
      </c>
      <c r="K4" s="377">
        <f>'SUN P DCF'!K4</f>
        <v>965.49977036766529</v>
      </c>
      <c r="M4" t="str">
        <f>'SUN P DCF'!M4</f>
        <v>Revenue (1), EBIT (1), WACC (1), TGR(1)</v>
      </c>
      <c r="Q4" s="627">
        <f>'SUN P DCF'!Q4</f>
        <v>1</v>
      </c>
      <c r="R4" t="str">
        <f>'SUN P DCF'!R4</f>
        <v>Conservative</v>
      </c>
    </row>
    <row r="5" spans="1:22" x14ac:dyDescent="0.3">
      <c r="B5" t="str">
        <f>'SUN P DCF'!B5</f>
        <v>Date</v>
      </c>
      <c r="C5" s="355">
        <f>DATE(2025,8,26)</f>
        <v>45895</v>
      </c>
      <c r="E5" t="str">
        <f>'SUN P DCF'!E5</f>
        <v>Current Price</v>
      </c>
      <c r="H5" s="377">
        <f>'SUN P DCF'!H5</f>
        <v>1563</v>
      </c>
      <c r="J5" t="str">
        <f>'SUN P DCF'!J5</f>
        <v>High-end</v>
      </c>
      <c r="K5" s="377">
        <f>'SUN P DCF'!K5</f>
        <v>2113.6332068925381</v>
      </c>
      <c r="M5" t="str">
        <f>'SUN P DCF'!M5</f>
        <v>Revenue (3), EBIT(3),  WACC(3), TGR(3)</v>
      </c>
      <c r="Q5" s="627">
        <f>'SUN P DCF'!Q5</f>
        <v>2</v>
      </c>
      <c r="R5" t="str">
        <f>'SUN P DCF'!R5</f>
        <v>Base</v>
      </c>
    </row>
    <row r="6" spans="1:22" x14ac:dyDescent="0.3">
      <c r="B6" t="str">
        <f>'SUN P DCF'!B6</f>
        <v>Year end</v>
      </c>
      <c r="C6" s="355">
        <f>DATE(2026,3,31)</f>
        <v>46112</v>
      </c>
      <c r="E6" t="str">
        <f>'SUN P DCF'!E6</f>
        <v>Implied Upside/Downside</v>
      </c>
      <c r="H6" s="610">
        <f ca="1">'SUN P DCF'!H6</f>
        <v>-3.3448098984067198E-2</v>
      </c>
      <c r="Q6" s="627">
        <f>'SUN P DCF'!Q6</f>
        <v>3</v>
      </c>
      <c r="R6" t="str">
        <f>'SUN P DCF'!R6</f>
        <v>Optimistic</v>
      </c>
    </row>
    <row r="10" spans="1:22" x14ac:dyDescent="0.3">
      <c r="B10" s="370" t="s">
        <v>442</v>
      </c>
      <c r="C10" s="371"/>
      <c r="D10" s="371"/>
      <c r="E10" s="372"/>
      <c r="F10" s="372">
        <v>2015</v>
      </c>
      <c r="G10" s="372">
        <v>2016</v>
      </c>
      <c r="H10" s="372">
        <v>2017</v>
      </c>
      <c r="I10" s="372">
        <v>2018</v>
      </c>
      <c r="J10" s="372">
        <v>2019</v>
      </c>
      <c r="K10" s="372">
        <v>2020</v>
      </c>
      <c r="L10" s="372">
        <v>2021</v>
      </c>
      <c r="M10" s="372">
        <v>2022</v>
      </c>
      <c r="N10" s="372">
        <v>2023</v>
      </c>
      <c r="O10" s="373" t="s">
        <v>268</v>
      </c>
      <c r="P10" s="373">
        <v>2025</v>
      </c>
      <c r="Q10" s="373">
        <v>2026</v>
      </c>
      <c r="R10" s="373">
        <v>2027</v>
      </c>
      <c r="S10" s="373">
        <v>2028</v>
      </c>
      <c r="T10" s="374">
        <v>2029</v>
      </c>
    </row>
    <row r="11" spans="1:22" x14ac:dyDescent="0.3">
      <c r="B11" s="289" t="s">
        <v>233</v>
      </c>
      <c r="C11" s="317"/>
      <c r="D11" s="317"/>
      <c r="E11" s="317"/>
      <c r="F11" s="611">
        <f>'SUN P DCF'!F47</f>
        <v>28487.03</v>
      </c>
      <c r="G11" s="611">
        <f>'SUN P DCF'!G47</f>
        <v>31578.44</v>
      </c>
      <c r="H11" s="611">
        <f>'SUN P DCF'!H47</f>
        <v>26489.46</v>
      </c>
      <c r="I11" s="611">
        <f>'SUN P DCF'!I47</f>
        <v>29065.91</v>
      </c>
      <c r="J11" s="611">
        <f>'SUN P DCF'!J47</f>
        <v>32837.5</v>
      </c>
      <c r="K11" s="611">
        <f>'SUN P DCF'!K47</f>
        <v>33498.14</v>
      </c>
      <c r="L11" s="611">
        <f>'SUN P DCF'!L47</f>
        <v>38654.49</v>
      </c>
      <c r="M11" s="611">
        <f>'SUN P DCF'!M47</f>
        <v>43885.68</v>
      </c>
      <c r="N11" s="611">
        <f>'SUN P DCF'!N47</f>
        <v>48496.85</v>
      </c>
      <c r="O11" s="612">
        <f>'SUN P DCF'!O47</f>
        <v>52578.44</v>
      </c>
      <c r="P11" s="611">
        <f ca="1">'SUN P DCF'!P47</f>
        <v>57273.100000000006</v>
      </c>
      <c r="Q11" s="611">
        <f ca="1">'SUN P DCF'!Q47</f>
        <v>63154.700000000012</v>
      </c>
      <c r="R11" s="611">
        <f ca="1">'SUN P DCF'!R47</f>
        <v>68967.976147418318</v>
      </c>
      <c r="S11" s="611">
        <f ca="1">'SUN P DCF'!S47</f>
        <v>75497.653072949965</v>
      </c>
      <c r="T11" s="612">
        <f ca="1">'SUN P DCF'!T47</f>
        <v>82781.139913174426</v>
      </c>
      <c r="U11" s="610">
        <f ca="1">(T11/P11)^(1/4)-1</f>
        <v>9.6466021804397561E-2</v>
      </c>
    </row>
    <row r="12" spans="1:22" x14ac:dyDescent="0.3">
      <c r="B12" s="288" t="s">
        <v>269</v>
      </c>
      <c r="F12" s="613" t="str">
        <f>'SUN P DCF'!F48</f>
        <v>--</v>
      </c>
      <c r="G12" s="613">
        <f>'SUN P DCF'!G48</f>
        <v>0.10851991239521985</v>
      </c>
      <c r="H12" s="613">
        <f>'SUN P DCF'!H48</f>
        <v>-0.16115362253486876</v>
      </c>
      <c r="I12" s="613">
        <f>'SUN P DCF'!I48</f>
        <v>9.7263213368637969E-2</v>
      </c>
      <c r="J12" s="613">
        <f>'SUN P DCF'!J48</f>
        <v>0.12975991462163061</v>
      </c>
      <c r="K12" s="613">
        <f>'SUN P DCF'!K48</f>
        <v>2.0118462124095959E-2</v>
      </c>
      <c r="L12" s="613">
        <f>'SUN P DCF'!L48</f>
        <v>0.15392944205260339</v>
      </c>
      <c r="M12" s="613">
        <f>'SUN P DCF'!M48</f>
        <v>0.1353320144697292</v>
      </c>
      <c r="N12" s="613">
        <f>'SUN P DCF'!N48</f>
        <v>0.10507231516066295</v>
      </c>
      <c r="O12" s="614">
        <f>'SUN P DCF'!O48</f>
        <v>8.4161961034582733E-2</v>
      </c>
      <c r="P12" s="613">
        <f ca="1">'SUN P DCF'!P48</f>
        <v>8.9288689432398538E-2</v>
      </c>
      <c r="Q12" s="613">
        <f ca="1">'SUN P DCF'!Q48</f>
        <v>0.10269393484899547</v>
      </c>
      <c r="R12" s="613">
        <f ca="1">'SUN P DCF'!R48</f>
        <v>9.2048195105325581E-2</v>
      </c>
      <c r="S12" s="613">
        <f ca="1">'SUN P DCF'!S48</f>
        <v>9.4676939795573192E-2</v>
      </c>
      <c r="T12" s="614">
        <f ca="1">'SUN P DCF'!T48</f>
        <v>9.6473023249964748E-2</v>
      </c>
    </row>
    <row r="13" spans="1:22" x14ac:dyDescent="0.3">
      <c r="B13" s="375"/>
      <c r="F13" s="615"/>
      <c r="G13" s="615"/>
      <c r="H13" s="615"/>
      <c r="I13" s="615"/>
      <c r="J13" s="615"/>
      <c r="K13" s="615"/>
      <c r="L13" s="615"/>
      <c r="M13" s="615"/>
      <c r="N13" s="615"/>
      <c r="O13" s="616"/>
      <c r="P13" s="615"/>
      <c r="Q13" s="615"/>
      <c r="R13" s="615"/>
      <c r="S13" s="615"/>
      <c r="T13" s="616"/>
    </row>
    <row r="14" spans="1:22" x14ac:dyDescent="0.3">
      <c r="B14" s="288" t="s">
        <v>264</v>
      </c>
      <c r="F14" s="617">
        <f>'SUN P DCF'!F53</f>
        <v>7136.3699999999981</v>
      </c>
      <c r="G14" s="617">
        <f>'SUN P DCF'!G53</f>
        <v>8837.2699999999968</v>
      </c>
      <c r="H14" s="617">
        <f>'SUN P DCF'!H53</f>
        <v>4131.5799999999981</v>
      </c>
      <c r="I14" s="617">
        <f>'SUN P DCF'!I53</f>
        <v>4623.7300000000032</v>
      </c>
      <c r="J14" s="617">
        <f>'SUN P DCF'!J53</f>
        <v>4930.0600000000031</v>
      </c>
      <c r="K14" s="617">
        <f>'SUN P DCF'!K53</f>
        <v>6390.0099999999993</v>
      </c>
      <c r="L14" s="617">
        <f>'SUN P DCF'!L53</f>
        <v>8113.8299999999963</v>
      </c>
      <c r="M14" s="617">
        <f>'SUN P DCF'!M53</f>
        <v>9121.0099999999984</v>
      </c>
      <c r="N14" s="617">
        <f>'SUN P DCF'!N53</f>
        <v>10461.129999999997</v>
      </c>
      <c r="O14" s="618">
        <f>'SUN P DCF'!O53</f>
        <v>12539.070000000007</v>
      </c>
      <c r="P14" s="617">
        <f ca="1">'SUN P DCF'!P53</f>
        <v>13445.400000000001</v>
      </c>
      <c r="Q14" s="617">
        <f ca="1">'SUN P DCF'!Q53</f>
        <v>15584.100000000002</v>
      </c>
      <c r="R14" s="617">
        <f ca="1">'SUN P DCF'!R53</f>
        <v>16552.389419465748</v>
      </c>
      <c r="S14" s="617">
        <f ca="1">'SUN P DCF'!S53</f>
        <v>18157.720241248968</v>
      </c>
      <c r="T14" s="618">
        <f ca="1">'SUN P DCF'!T53</f>
        <v>20068.049620259324</v>
      </c>
    </row>
    <row r="15" spans="1:22" x14ac:dyDescent="0.3">
      <c r="B15" s="375" t="s">
        <v>271</v>
      </c>
      <c r="F15" s="619">
        <f>'SUN P DCF'!F54</f>
        <v>0.25051295273673663</v>
      </c>
      <c r="G15" s="619">
        <f>'SUN P DCF'!G54</f>
        <v>0.27985137961216566</v>
      </c>
      <c r="H15" s="619">
        <f>'SUN P DCF'!H54</f>
        <v>0.15597071438979873</v>
      </c>
      <c r="I15" s="619">
        <f>'SUN P DCF'!I54</f>
        <v>0.15907742093744884</v>
      </c>
      <c r="J15" s="619">
        <f>'SUN P DCF'!J54</f>
        <v>0.15013505900266474</v>
      </c>
      <c r="K15" s="619">
        <f>'SUN P DCF'!K54</f>
        <v>0.1907571584571561</v>
      </c>
      <c r="L15" s="619">
        <f>'SUN P DCF'!L54</f>
        <v>0.20990653349714344</v>
      </c>
      <c r="M15" s="619">
        <f>'SUN P DCF'!M54</f>
        <v>0.20783567669453903</v>
      </c>
      <c r="N15" s="619">
        <f>'SUN P DCF'!N54</f>
        <v>0.21570741192469198</v>
      </c>
      <c r="O15" s="620">
        <f>'SUN P DCF'!O54</f>
        <v>0.23848311208928996</v>
      </c>
      <c r="P15" s="619">
        <f ca="1">'SUN P DCF'!P54</f>
        <v>0.23475942458152257</v>
      </c>
      <c r="Q15" s="619">
        <f ca="1">'SUN P DCF'!Q54</f>
        <v>0.24676073198035933</v>
      </c>
      <c r="R15" s="619">
        <f ca="1">'SUN P DCF'!R54</f>
        <v>0.24000108955039059</v>
      </c>
      <c r="S15" s="619">
        <f ca="1">'SUN P DCF'!S54</f>
        <v>0.24050708203742419</v>
      </c>
      <c r="T15" s="620">
        <f ca="1">'SUN P DCF'!T54</f>
        <v>0.24242296785605802</v>
      </c>
    </row>
    <row r="16" spans="1:22" x14ac:dyDescent="0.3">
      <c r="B16" s="288"/>
      <c r="F16" s="615"/>
      <c r="G16" s="615"/>
      <c r="H16" s="615"/>
      <c r="I16" s="615"/>
      <c r="J16" s="615"/>
      <c r="K16" s="615"/>
      <c r="L16" s="615"/>
      <c r="M16" s="615"/>
      <c r="N16" s="615"/>
      <c r="O16" s="616"/>
      <c r="P16" s="615"/>
      <c r="Q16" s="615"/>
      <c r="R16" s="615"/>
      <c r="S16" s="615"/>
      <c r="T16" s="616"/>
    </row>
    <row r="17" spans="2:20" x14ac:dyDescent="0.3">
      <c r="B17" s="288" t="s">
        <v>272</v>
      </c>
      <c r="F17" s="617">
        <f>'SUN P DCF'!F59</f>
        <v>913.77</v>
      </c>
      <c r="G17" s="617">
        <f>'SUN P DCF'!G59</f>
        <v>1211.57</v>
      </c>
      <c r="H17" s="617">
        <f>'SUN P DCF'!H59</f>
        <v>911.04</v>
      </c>
      <c r="I17" s="617">
        <f>'SUN P DCF'!I59</f>
        <v>600.88</v>
      </c>
      <c r="J17" s="617">
        <f>'SUN P DCF'!J59</f>
        <v>822.8</v>
      </c>
      <c r="K17" s="617">
        <f>'SUN P DCF'!K59</f>
        <v>514.69000000000005</v>
      </c>
      <c r="L17" s="617">
        <f>'SUN P DCF'!L59</f>
        <v>1075.5</v>
      </c>
      <c r="M17" s="617">
        <f>'SUN P DCF'!M59</f>
        <v>847.59</v>
      </c>
      <c r="N17" s="617">
        <f>'SUN P DCF'!N59</f>
        <v>1439.45</v>
      </c>
      <c r="O17" s="618">
        <f>'SUN P DCF'!O59</f>
        <v>2772.03</v>
      </c>
      <c r="P17" s="617">
        <f ca="1">'SUN P DCF'!P59</f>
        <v>1888.9941203033586</v>
      </c>
      <c r="Q17" s="617">
        <f ca="1">'SUN P DCF'!Q59</f>
        <v>2451.3087010334543</v>
      </c>
      <c r="R17" s="617">
        <f ca="1">'SUN P DCF'!R59</f>
        <v>2755.2012740327327</v>
      </c>
      <c r="S17" s="617">
        <f ca="1">'SUN P DCF'!S59</f>
        <v>2809.8623545885025</v>
      </c>
      <c r="T17" s="618">
        <f ca="1">'SUN P DCF'!T59</f>
        <v>3200.8298990306098</v>
      </c>
    </row>
    <row r="18" spans="2:20" x14ac:dyDescent="0.3">
      <c r="B18" s="376" t="s">
        <v>273</v>
      </c>
      <c r="C18" s="318"/>
      <c r="D18" s="318"/>
      <c r="E18" s="318"/>
      <c r="F18" s="621">
        <f>'SUN P DCF'!F60</f>
        <v>0.13906885641102912</v>
      </c>
      <c r="G18" s="621">
        <f>'SUN P DCF'!G60</f>
        <v>0.13390665427332624</v>
      </c>
      <c r="H18" s="621">
        <f>'SUN P DCF'!H60</f>
        <v>0.26186985840677451</v>
      </c>
      <c r="I18" s="621">
        <f>'SUN P DCF'!I60</f>
        <v>0.15770300771613024</v>
      </c>
      <c r="J18" s="621">
        <f>'SUN P DCF'!J60</f>
        <v>0.1642449781319428</v>
      </c>
      <c r="K18" s="621">
        <f>'SUN P DCF'!K60</f>
        <v>0.18385922546858763</v>
      </c>
      <c r="L18" s="621">
        <f>'SUN P DCF'!L60</f>
        <v>0.23999625110458547</v>
      </c>
      <c r="M18" s="621">
        <f>'SUN P DCF'!M60</f>
        <v>9.0088356930965119E-2</v>
      </c>
      <c r="N18" s="621">
        <f>'SUN P DCF'!N60</f>
        <v>0.12982181461035422</v>
      </c>
      <c r="O18" s="622">
        <f>'SUN P DCF'!O60</f>
        <v>0.20157095664453428</v>
      </c>
      <c r="P18" s="621">
        <f>'SUN P DCF'!P60</f>
        <v>0.14049370939528452</v>
      </c>
      <c r="Q18" s="621">
        <f>'SUN P DCF'!Q60</f>
        <v>0.15729549355005767</v>
      </c>
      <c r="R18" s="621">
        <f>'SUN P DCF'!R60</f>
        <v>0.16645338652995881</v>
      </c>
      <c r="S18" s="621">
        <f>'SUN P DCF'!S60</f>
        <v>0.15474752982510032</v>
      </c>
      <c r="T18" s="622">
        <f>'SUN P DCF'!T60</f>
        <v>0.1594988033017056</v>
      </c>
    </row>
    <row r="41" spans="2:6" x14ac:dyDescent="0.3">
      <c r="B41" s="307" t="s">
        <v>443</v>
      </c>
      <c r="C41" s="310"/>
      <c r="D41" s="310"/>
      <c r="E41" s="310"/>
      <c r="F41" s="310"/>
    </row>
    <row r="42" spans="2:6" x14ac:dyDescent="0.3">
      <c r="B42" s="289" t="s">
        <v>427</v>
      </c>
      <c r="C42" s="290"/>
      <c r="D42" s="290"/>
      <c r="E42" s="290"/>
      <c r="F42" s="623">
        <f ca="1">'SUN P DCF'!T79</f>
        <v>398317.32687794726</v>
      </c>
    </row>
    <row r="43" spans="2:6" x14ac:dyDescent="0.3">
      <c r="B43" s="288" t="s">
        <v>428</v>
      </c>
      <c r="C43" s="254"/>
      <c r="D43" s="254"/>
      <c r="E43" s="254"/>
      <c r="F43" s="624">
        <f ca="1">'SUN P DCF'!T80</f>
        <v>277176.34681637702</v>
      </c>
    </row>
    <row r="44" spans="2:6" x14ac:dyDescent="0.3">
      <c r="B44" s="288" t="s">
        <v>429</v>
      </c>
      <c r="C44" s="254"/>
      <c r="D44" s="254"/>
      <c r="E44" s="254"/>
      <c r="F44" s="624">
        <f ca="1">'SUN P DCF'!T81</f>
        <v>351137.71866560663</v>
      </c>
    </row>
    <row r="45" spans="2:6" x14ac:dyDescent="0.3">
      <c r="B45" s="288" t="s">
        <v>430</v>
      </c>
      <c r="C45" s="254"/>
      <c r="D45" s="254"/>
      <c r="E45" s="254"/>
      <c r="F45" s="624">
        <f ca="1">'SUN P DCF'!T84</f>
        <v>362467.19866560661</v>
      </c>
    </row>
    <row r="46" spans="2:6" x14ac:dyDescent="0.3">
      <c r="B46" s="487" t="s">
        <v>431</v>
      </c>
      <c r="C46" s="256"/>
      <c r="D46" s="256"/>
      <c r="E46" s="256"/>
      <c r="F46" s="625">
        <f ca="1">'SUN P DCF'!T87</f>
        <v>1510.720621287903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7B6E8-3E5C-4AC6-84D7-6FD2F2BEE0D9}">
  <dimension ref="A2:Y114"/>
  <sheetViews>
    <sheetView tabSelected="1" zoomScaleNormal="100" workbookViewId="0">
      <selection activeCell="A9" sqref="A9"/>
    </sheetView>
  </sheetViews>
  <sheetFormatPr defaultRowHeight="14.4" x14ac:dyDescent="0.3"/>
  <cols>
    <col min="1" max="1" width="3.88671875" style="254" customWidth="1"/>
    <col min="2" max="2" width="8.88671875" style="254"/>
    <col min="3" max="3" width="11.77734375" style="254" bestFit="1" customWidth="1"/>
    <col min="4" max="4" width="8.88671875" style="254"/>
    <col min="5" max="5" width="12.33203125" style="254" bestFit="1" customWidth="1"/>
    <col min="6" max="6" width="9.77734375" style="254" bestFit="1" customWidth="1"/>
    <col min="7" max="7" width="9.109375" style="254" bestFit="1" customWidth="1"/>
    <col min="8" max="8" width="10.44140625" style="254" bestFit="1" customWidth="1"/>
    <col min="9" max="9" width="9.6640625" style="254" bestFit="1" customWidth="1"/>
    <col min="10" max="10" width="9.109375" style="254" bestFit="1" customWidth="1"/>
    <col min="11" max="11" width="10.33203125" style="254" bestFit="1" customWidth="1"/>
    <col min="12" max="12" width="9" style="254" bestFit="1" customWidth="1"/>
    <col min="13" max="13" width="9.5546875" style="254" bestFit="1" customWidth="1"/>
    <col min="14" max="15" width="9" style="254" bestFit="1" customWidth="1"/>
    <col min="16" max="16" width="9.5546875" style="254" bestFit="1" customWidth="1"/>
    <col min="17" max="17" width="9" style="254" bestFit="1" customWidth="1"/>
    <col min="18" max="18" width="9.5546875" style="254" bestFit="1" customWidth="1"/>
    <col min="19" max="20" width="9.21875" style="254" bestFit="1" customWidth="1"/>
    <col min="21" max="21" width="2.88671875" style="254" customWidth="1"/>
    <col min="22" max="22" width="8.88671875" style="254" customWidth="1"/>
    <col min="23" max="16384" width="8.88671875" style="254"/>
  </cols>
  <sheetData>
    <row r="2" spans="1:25" ht="23.4" x14ac:dyDescent="0.45">
      <c r="A2" s="256"/>
      <c r="B2" s="255" t="s">
        <v>164</v>
      </c>
      <c r="C2" s="256"/>
      <c r="D2" s="256" t="s">
        <v>253</v>
      </c>
      <c r="E2" s="256" t="s">
        <v>253</v>
      </c>
      <c r="F2" s="256" t="s">
        <v>253</v>
      </c>
      <c r="G2" s="256" t="s">
        <v>253</v>
      </c>
      <c r="H2" s="256" t="s">
        <v>253</v>
      </c>
      <c r="I2" s="256" t="s">
        <v>253</v>
      </c>
      <c r="J2" s="256" t="s">
        <v>253</v>
      </c>
      <c r="K2" s="256" t="s">
        <v>253</v>
      </c>
      <c r="L2" s="256" t="s">
        <v>253</v>
      </c>
      <c r="M2" s="256" t="s">
        <v>253</v>
      </c>
      <c r="N2" s="256" t="s">
        <v>253</v>
      </c>
      <c r="O2" s="256" t="s">
        <v>253</v>
      </c>
      <c r="P2" s="256" t="s">
        <v>253</v>
      </c>
      <c r="Q2" s="256" t="s">
        <v>253</v>
      </c>
      <c r="R2" s="256" t="s">
        <v>253</v>
      </c>
      <c r="S2" s="256" t="s">
        <v>253</v>
      </c>
      <c r="T2" s="256"/>
      <c r="U2" s="256" t="s">
        <v>253</v>
      </c>
      <c r="V2" s="256" t="s">
        <v>253</v>
      </c>
      <c r="W2" s="256" t="s">
        <v>253</v>
      </c>
      <c r="X2" s="256" t="s">
        <v>253</v>
      </c>
      <c r="Y2" s="256" t="s">
        <v>253</v>
      </c>
    </row>
    <row r="3" spans="1:25" x14ac:dyDescent="0.3">
      <c r="B3" s="264"/>
    </row>
    <row r="4" spans="1:25" x14ac:dyDescent="0.3">
      <c r="B4" s="254" t="s">
        <v>329</v>
      </c>
      <c r="C4" s="354" t="s">
        <v>339</v>
      </c>
      <c r="D4" s="270"/>
      <c r="E4" s="271" t="s">
        <v>330</v>
      </c>
      <c r="F4" s="270"/>
      <c r="G4" s="271"/>
      <c r="H4" s="356">
        <f ca="1">T87</f>
        <v>1510.720621287903</v>
      </c>
      <c r="J4" s="271" t="s">
        <v>331</v>
      </c>
      <c r="K4" s="356">
        <v>965.49977036766529</v>
      </c>
      <c r="M4" s="254" t="s">
        <v>332</v>
      </c>
      <c r="N4" s="270"/>
      <c r="O4" s="270"/>
      <c r="P4" s="271"/>
      <c r="Q4" s="628">
        <v>1</v>
      </c>
      <c r="R4" s="271" t="s">
        <v>333</v>
      </c>
    </row>
    <row r="5" spans="1:25" x14ac:dyDescent="0.3">
      <c r="B5" s="254" t="s">
        <v>334</v>
      </c>
      <c r="C5" s="355">
        <f>DATE(2025,9,1)</f>
        <v>45901</v>
      </c>
      <c r="D5" s="270"/>
      <c r="E5" s="271" t="s">
        <v>38</v>
      </c>
      <c r="F5" s="270"/>
      <c r="G5" s="271"/>
      <c r="H5" s="357">
        <v>1563</v>
      </c>
      <c r="J5" s="271" t="s">
        <v>335</v>
      </c>
      <c r="K5" s="356">
        <v>2113.6332068925381</v>
      </c>
      <c r="M5" s="271" t="s">
        <v>336</v>
      </c>
      <c r="N5" s="270"/>
      <c r="O5" s="270"/>
      <c r="P5" s="271"/>
      <c r="Q5" s="628">
        <v>2</v>
      </c>
      <c r="R5" s="271" t="s">
        <v>259</v>
      </c>
    </row>
    <row r="6" spans="1:25" x14ac:dyDescent="0.3">
      <c r="B6" s="254" t="s">
        <v>337</v>
      </c>
      <c r="C6" s="355">
        <f>DATE(2026,3,31)</f>
        <v>46112</v>
      </c>
      <c r="D6" s="270"/>
      <c r="E6" s="271" t="s">
        <v>338</v>
      </c>
      <c r="F6" s="270"/>
      <c r="G6" s="271"/>
      <c r="H6" s="274">
        <f ca="1">H4/H5-1</f>
        <v>-3.3448098984067198E-2</v>
      </c>
      <c r="J6" s="270"/>
      <c r="K6" s="271"/>
      <c r="L6" s="271"/>
      <c r="M6" s="270"/>
      <c r="N6" s="271"/>
      <c r="O6" s="270"/>
      <c r="P6" s="270"/>
      <c r="Q6" s="628">
        <v>3</v>
      </c>
      <c r="R6" s="271" t="s">
        <v>260</v>
      </c>
    </row>
    <row r="7" spans="1:25" x14ac:dyDescent="0.3">
      <c r="B7" s="264"/>
    </row>
    <row r="8" spans="1:25" x14ac:dyDescent="0.3">
      <c r="B8" s="264"/>
    </row>
    <row r="9" spans="1:25" ht="18" x14ac:dyDescent="0.35">
      <c r="A9" s="257" t="s">
        <v>340</v>
      </c>
      <c r="B9" s="301" t="s">
        <v>255</v>
      </c>
      <c r="C9" s="302"/>
      <c r="D9" s="302"/>
      <c r="E9" s="302"/>
      <c r="F9" s="302"/>
      <c r="G9" s="302"/>
      <c r="H9" s="303"/>
      <c r="I9" s="302"/>
      <c r="J9" s="302"/>
      <c r="K9" s="303"/>
      <c r="L9" s="303"/>
      <c r="M9" s="302"/>
      <c r="N9" s="303"/>
      <c r="O9" s="302"/>
      <c r="P9" s="302"/>
      <c r="Q9" s="303"/>
      <c r="R9" s="303"/>
      <c r="S9" s="302"/>
      <c r="T9" s="302"/>
      <c r="U9" s="254" t="s">
        <v>254</v>
      </c>
      <c r="V9" s="258" t="s">
        <v>256</v>
      </c>
    </row>
    <row r="10" spans="1:25" ht="3" customHeight="1" x14ac:dyDescent="0.3">
      <c r="B10" s="259"/>
      <c r="C10" s="260"/>
      <c r="D10" s="260"/>
      <c r="E10" s="260"/>
      <c r="F10" s="260"/>
      <c r="G10" s="260"/>
      <c r="H10" s="261"/>
      <c r="I10" s="260"/>
      <c r="J10" s="260"/>
      <c r="K10" s="261"/>
      <c r="L10" s="261"/>
      <c r="M10" s="260"/>
      <c r="N10" s="261"/>
      <c r="O10" s="260"/>
      <c r="P10" s="260"/>
      <c r="Q10" s="261"/>
      <c r="R10" s="261"/>
      <c r="S10" s="260"/>
      <c r="T10" s="260"/>
      <c r="U10" s="261"/>
    </row>
    <row r="11" spans="1:25" x14ac:dyDescent="0.3">
      <c r="B11" s="293" t="s">
        <v>257</v>
      </c>
      <c r="C11" s="294"/>
      <c r="D11" s="294"/>
      <c r="E11" s="264"/>
      <c r="F11" s="295" t="s">
        <v>258</v>
      </c>
      <c r="G11" s="294"/>
      <c r="H11" s="294"/>
      <c r="I11" s="296"/>
      <c r="J11" s="264"/>
      <c r="K11" s="295" t="s">
        <v>259</v>
      </c>
      <c r="L11" s="296"/>
      <c r="M11" s="296"/>
      <c r="N11" s="296"/>
      <c r="O11" s="264"/>
      <c r="P11" s="295" t="s">
        <v>260</v>
      </c>
      <c r="Q11" s="294"/>
      <c r="R11" s="294"/>
      <c r="S11" s="296"/>
      <c r="T11" s="296"/>
    </row>
    <row r="12" spans="1:25" x14ac:dyDescent="0.3">
      <c r="B12" s="262" t="s">
        <v>255</v>
      </c>
      <c r="C12" s="263"/>
      <c r="D12" s="264"/>
      <c r="E12" s="264"/>
      <c r="F12" s="262" t="s">
        <v>255</v>
      </c>
      <c r="G12" s="263"/>
      <c r="H12" s="265" t="s">
        <v>109</v>
      </c>
      <c r="I12" s="265" t="s">
        <v>261</v>
      </c>
      <c r="K12" s="262"/>
      <c r="L12" s="263"/>
      <c r="M12" s="265"/>
      <c r="N12" s="265"/>
      <c r="P12" s="262" t="s">
        <v>255</v>
      </c>
      <c r="Q12" s="263"/>
      <c r="R12" s="265" t="s">
        <v>109</v>
      </c>
      <c r="S12" s="265" t="s">
        <v>261</v>
      </c>
      <c r="T12" s="265"/>
    </row>
    <row r="13" spans="1:25" x14ac:dyDescent="0.3">
      <c r="B13" s="263" t="s">
        <v>233</v>
      </c>
      <c r="C13" s="263"/>
      <c r="D13" s="297">
        <v>2</v>
      </c>
      <c r="E13" s="263"/>
      <c r="F13" s="263" t="s">
        <v>233</v>
      </c>
      <c r="G13" s="263"/>
      <c r="H13" s="266" t="s">
        <v>341</v>
      </c>
      <c r="I13" s="483">
        <v>-0.1</v>
      </c>
      <c r="K13" s="263"/>
      <c r="L13" s="263"/>
      <c r="M13" s="266"/>
      <c r="N13" s="266"/>
      <c r="P13" s="263" t="s">
        <v>233</v>
      </c>
      <c r="Q13" s="263"/>
      <c r="R13" s="266" t="s">
        <v>341</v>
      </c>
      <c r="S13" s="481">
        <v>0.2</v>
      </c>
      <c r="U13" s="254" t="s">
        <v>254</v>
      </c>
      <c r="V13" s="314" t="s">
        <v>423</v>
      </c>
    </row>
    <row r="14" spans="1:25" x14ac:dyDescent="0.3">
      <c r="B14" s="263" t="s">
        <v>264</v>
      </c>
      <c r="C14" s="263"/>
      <c r="D14" s="297">
        <v>2</v>
      </c>
      <c r="E14" s="263"/>
      <c r="F14" s="263" t="s">
        <v>233</v>
      </c>
      <c r="G14" s="263"/>
      <c r="H14" s="266" t="s">
        <v>342</v>
      </c>
      <c r="I14" s="483">
        <v>-0.25</v>
      </c>
      <c r="K14" s="263"/>
      <c r="L14" s="263"/>
      <c r="M14" s="266"/>
      <c r="N14" s="266"/>
      <c r="P14" s="263" t="s">
        <v>233</v>
      </c>
      <c r="Q14" s="263"/>
      <c r="R14" s="266" t="s">
        <v>342</v>
      </c>
      <c r="S14" s="481">
        <v>0.05</v>
      </c>
      <c r="U14" s="254" t="s">
        <v>254</v>
      </c>
      <c r="V14" s="477" t="s">
        <v>436</v>
      </c>
    </row>
    <row r="15" spans="1:25" x14ac:dyDescent="0.3">
      <c r="B15" s="263" t="s">
        <v>265</v>
      </c>
      <c r="C15" s="263"/>
      <c r="D15" s="297">
        <v>2</v>
      </c>
      <c r="E15" s="263"/>
      <c r="F15" s="263" t="s">
        <v>264</v>
      </c>
      <c r="G15" s="263"/>
      <c r="H15" s="266" t="s">
        <v>341</v>
      </c>
      <c r="I15" s="483">
        <v>-0.1</v>
      </c>
      <c r="K15" s="263"/>
      <c r="L15" s="263"/>
      <c r="M15" s="266"/>
      <c r="N15" s="266"/>
      <c r="P15" s="263" t="s">
        <v>264</v>
      </c>
      <c r="Q15" s="263"/>
      <c r="R15" s="266" t="s">
        <v>341</v>
      </c>
      <c r="S15" s="481">
        <v>0.2</v>
      </c>
      <c r="U15" s="254" t="s">
        <v>254</v>
      </c>
      <c r="V15" s="478" t="s">
        <v>424</v>
      </c>
    </row>
    <row r="16" spans="1:25" x14ac:dyDescent="0.3">
      <c r="B16" s="263" t="s">
        <v>266</v>
      </c>
      <c r="C16" s="263"/>
      <c r="D16" s="297">
        <v>2</v>
      </c>
      <c r="E16" s="267"/>
      <c r="F16" s="263" t="s">
        <v>264</v>
      </c>
      <c r="G16" s="263"/>
      <c r="H16" s="266" t="s">
        <v>342</v>
      </c>
      <c r="I16" s="483">
        <v>-0.25</v>
      </c>
      <c r="K16" s="268" t="s">
        <v>264</v>
      </c>
      <c r="L16" s="263"/>
      <c r="M16" s="263"/>
      <c r="N16" s="263"/>
      <c r="P16" s="263" t="s">
        <v>264</v>
      </c>
      <c r="Q16" s="263"/>
      <c r="R16" s="266" t="s">
        <v>342</v>
      </c>
      <c r="S16" s="481">
        <v>0.1</v>
      </c>
      <c r="U16" s="254" t="s">
        <v>254</v>
      </c>
      <c r="V16" s="275" t="s">
        <v>425</v>
      </c>
    </row>
    <row r="17" spans="1:23" x14ac:dyDescent="0.3">
      <c r="B17" s="263"/>
      <c r="C17" s="263"/>
      <c r="D17" s="263"/>
      <c r="E17" s="263"/>
      <c r="F17" s="265"/>
      <c r="G17" s="263"/>
      <c r="H17" s="263"/>
      <c r="I17" s="265"/>
      <c r="K17" s="265"/>
      <c r="L17" s="263"/>
      <c r="M17" s="263"/>
      <c r="N17" s="265"/>
      <c r="P17" s="265"/>
      <c r="Q17" s="263"/>
      <c r="R17" s="263"/>
      <c r="S17" s="265"/>
      <c r="U17" s="254" t="s">
        <v>254</v>
      </c>
      <c r="V17" s="254" t="s">
        <v>426</v>
      </c>
    </row>
    <row r="18" spans="1:23" x14ac:dyDescent="0.3">
      <c r="B18" s="263"/>
      <c r="C18" s="263"/>
      <c r="D18" s="263"/>
      <c r="E18" s="263"/>
      <c r="F18" s="265"/>
      <c r="G18" s="263"/>
      <c r="H18" s="263"/>
      <c r="I18" s="265"/>
      <c r="K18" s="265"/>
      <c r="L18" s="263"/>
      <c r="M18" s="263"/>
      <c r="N18" s="265"/>
      <c r="P18" s="265"/>
      <c r="Q18" s="263"/>
      <c r="R18" s="263"/>
      <c r="S18" s="265"/>
    </row>
    <row r="19" spans="1:23" x14ac:dyDescent="0.3">
      <c r="B19" s="265" t="s">
        <v>267</v>
      </c>
      <c r="C19" s="263"/>
      <c r="D19" s="265" t="s">
        <v>261</v>
      </c>
      <c r="E19" s="265"/>
      <c r="F19" s="265" t="s">
        <v>267</v>
      </c>
      <c r="G19" s="263"/>
      <c r="H19" s="263"/>
      <c r="I19" s="265" t="s">
        <v>261</v>
      </c>
      <c r="K19" s="265" t="s">
        <v>267</v>
      </c>
      <c r="L19" s="263"/>
      <c r="M19" s="263"/>
      <c r="N19" s="265" t="s">
        <v>261</v>
      </c>
      <c r="P19" s="265" t="s">
        <v>267</v>
      </c>
      <c r="Q19" s="263"/>
      <c r="R19" s="263"/>
      <c r="S19" s="265" t="s">
        <v>261</v>
      </c>
    </row>
    <row r="20" spans="1:23" x14ac:dyDescent="0.3">
      <c r="B20" s="263" t="s">
        <v>265</v>
      </c>
      <c r="C20" s="263"/>
      <c r="D20" s="298">
        <f>CHOOSE(D15,I20,N20,S20)</f>
        <v>9.2860739003397946E-2</v>
      </c>
      <c r="E20" s="269"/>
      <c r="F20" s="263" t="s">
        <v>265</v>
      </c>
      <c r="G20" s="263"/>
      <c r="H20" s="263"/>
      <c r="I20" s="480">
        <v>9.8000000000000004E-2</v>
      </c>
      <c r="K20" s="263" t="s">
        <v>265</v>
      </c>
      <c r="L20" s="263"/>
      <c r="M20" s="263"/>
      <c r="N20" s="479">
        <f>WACC!E18</f>
        <v>9.2860739003397946E-2</v>
      </c>
      <c r="P20" s="263" t="s">
        <v>265</v>
      </c>
      <c r="Q20" s="263"/>
      <c r="R20" s="263"/>
      <c r="S20" s="482">
        <v>8.7999999999999995E-2</v>
      </c>
    </row>
    <row r="21" spans="1:23" x14ac:dyDescent="0.3">
      <c r="B21" s="263" t="s">
        <v>266</v>
      </c>
      <c r="C21" s="263"/>
      <c r="D21" s="299">
        <f>CHOOSE(D16,I21,N21,S21)</f>
        <v>0.03</v>
      </c>
      <c r="E21" s="269"/>
      <c r="F21" s="263" t="s">
        <v>266</v>
      </c>
      <c r="G21" s="263"/>
      <c r="H21" s="263"/>
      <c r="I21" s="481">
        <v>0.02</v>
      </c>
      <c r="K21" s="263" t="s">
        <v>266</v>
      </c>
      <c r="L21" s="263"/>
      <c r="M21" s="263"/>
      <c r="N21" s="484">
        <v>0.03</v>
      </c>
      <c r="P21" s="263" t="s">
        <v>266</v>
      </c>
      <c r="Q21" s="263"/>
      <c r="R21" s="263"/>
      <c r="S21" s="481">
        <v>0.04</v>
      </c>
    </row>
    <row r="22" spans="1:23" x14ac:dyDescent="0.3">
      <c r="C22" s="270"/>
      <c r="D22" s="270"/>
      <c r="E22" s="270"/>
      <c r="F22" s="270"/>
      <c r="G22" s="270"/>
      <c r="H22" s="271"/>
      <c r="I22" s="270"/>
      <c r="J22" s="270"/>
      <c r="K22" s="271"/>
      <c r="L22" s="271"/>
      <c r="M22" s="270"/>
      <c r="N22" s="271"/>
      <c r="O22" s="270"/>
      <c r="P22" s="270"/>
      <c r="Q22" s="271"/>
      <c r="R22" s="271"/>
      <c r="S22" s="270"/>
      <c r="T22" s="270"/>
      <c r="U22" s="271"/>
    </row>
    <row r="25" spans="1:23" ht="18" x14ac:dyDescent="0.35">
      <c r="A25" s="257" t="s">
        <v>340</v>
      </c>
      <c r="B25" s="304" t="s">
        <v>437</v>
      </c>
      <c r="C25" s="302"/>
      <c r="D25" s="302"/>
      <c r="E25" s="302"/>
      <c r="F25" s="305">
        <v>2015</v>
      </c>
      <c r="G25" s="305">
        <f>F25+1</f>
        <v>2016</v>
      </c>
      <c r="H25" s="305">
        <f t="shared" ref="H25:M25" si="0">G25+1</f>
        <v>2017</v>
      </c>
      <c r="I25" s="305">
        <f t="shared" si="0"/>
        <v>2018</v>
      </c>
      <c r="J25" s="305">
        <f t="shared" si="0"/>
        <v>2019</v>
      </c>
      <c r="K25" s="305">
        <f t="shared" si="0"/>
        <v>2020</v>
      </c>
      <c r="L25" s="305">
        <f t="shared" si="0"/>
        <v>2021</v>
      </c>
      <c r="M25" s="305">
        <f t="shared" si="0"/>
        <v>2022</v>
      </c>
      <c r="N25" s="306" t="s">
        <v>306</v>
      </c>
      <c r="O25" s="306" t="s">
        <v>268</v>
      </c>
      <c r="P25" s="306">
        <v>2025</v>
      </c>
      <c r="Q25" s="306">
        <f>P25+1</f>
        <v>2026</v>
      </c>
      <c r="R25" s="306">
        <f>Q25+1</f>
        <v>2027</v>
      </c>
      <c r="S25" s="306">
        <f>R25+1</f>
        <v>2028</v>
      </c>
      <c r="T25" s="306">
        <f t="shared" ref="T25" si="1">S25+1</f>
        <v>2029</v>
      </c>
    </row>
    <row r="26" spans="1:23" x14ac:dyDescent="0.3">
      <c r="B26" s="254" t="s">
        <v>233</v>
      </c>
      <c r="C26" s="270"/>
      <c r="D26" s="270"/>
      <c r="E26" s="270"/>
      <c r="F26" s="312">
        <f>'Profit &amp; Loss'!B4</f>
        <v>28487.03</v>
      </c>
      <c r="G26" s="312">
        <f>'Profit &amp; Loss'!C4</f>
        <v>31578.44</v>
      </c>
      <c r="H26" s="312">
        <f>'Profit &amp; Loss'!D4</f>
        <v>26489.46</v>
      </c>
      <c r="I26" s="312">
        <f>'Profit &amp; Loss'!E4</f>
        <v>29065.91</v>
      </c>
      <c r="J26" s="312">
        <f>'Profit &amp; Loss'!F4</f>
        <v>32837.5</v>
      </c>
      <c r="K26" s="312">
        <f>'Profit &amp; Loss'!G4</f>
        <v>33498.14</v>
      </c>
      <c r="L26" s="312">
        <f>'Profit &amp; Loss'!H4</f>
        <v>38654.49</v>
      </c>
      <c r="M26" s="312">
        <f>'Profit &amp; Loss'!I4</f>
        <v>43885.68</v>
      </c>
      <c r="N26" s="312">
        <f>'Profit &amp; Loss'!J4</f>
        <v>48496.85</v>
      </c>
      <c r="O26" s="312">
        <f>'Profit &amp; Loss'!K4</f>
        <v>52578.44</v>
      </c>
      <c r="P26" s="322">
        <f>572731*0.1</f>
        <v>57273.100000000006</v>
      </c>
      <c r="Q26" s="322">
        <f>631547*0.1</f>
        <v>63154.700000000004</v>
      </c>
      <c r="R26" s="323">
        <f>Q26*(1+R27)</f>
        <v>68967.976147418303</v>
      </c>
      <c r="S26" s="323">
        <f t="shared" ref="S26:T26" si="2">R26*(1+S27)</f>
        <v>75497.65307294995</v>
      </c>
      <c r="T26" s="323">
        <f t="shared" si="2"/>
        <v>82781.139913174411</v>
      </c>
      <c r="U26" s="254" t="s">
        <v>254</v>
      </c>
      <c r="V26" s="254" t="s">
        <v>435</v>
      </c>
    </row>
    <row r="27" spans="1:23" x14ac:dyDescent="0.3">
      <c r="B27" s="254" t="s">
        <v>269</v>
      </c>
      <c r="C27" s="270"/>
      <c r="D27" s="270"/>
      <c r="E27" s="270"/>
      <c r="F27" s="313" t="s">
        <v>304</v>
      </c>
      <c r="G27" s="272">
        <f>G26/F26-1</f>
        <v>0.10851991239521985</v>
      </c>
      <c r="H27" s="332">
        <f t="shared" ref="H27:O27" si="3">H26/G26-1</f>
        <v>-0.16115362253486876</v>
      </c>
      <c r="I27" s="272">
        <f t="shared" si="3"/>
        <v>9.7263213368637969E-2</v>
      </c>
      <c r="J27" s="272">
        <f t="shared" si="3"/>
        <v>0.12975991462163061</v>
      </c>
      <c r="K27" s="272">
        <f t="shared" si="3"/>
        <v>2.0118462124095959E-2</v>
      </c>
      <c r="L27" s="272">
        <f t="shared" si="3"/>
        <v>0.15392944205260339</v>
      </c>
      <c r="M27" s="272">
        <f t="shared" si="3"/>
        <v>0.1353320144697292</v>
      </c>
      <c r="N27" s="272">
        <f t="shared" si="3"/>
        <v>0.10507231516066295</v>
      </c>
      <c r="O27" s="272">
        <f t="shared" si="3"/>
        <v>8.4161961034582733E-2</v>
      </c>
      <c r="P27" s="272">
        <f t="shared" ref="P27" si="4">P26/O26-1</f>
        <v>8.9288689432398538E-2</v>
      </c>
      <c r="Q27" s="272">
        <f t="shared" ref="Q27" si="5">Q26/P26-1</f>
        <v>0.10269393484899547</v>
      </c>
      <c r="R27" s="324">
        <f>AVERAGE(O27:Q27)</f>
        <v>9.2048195105325581E-2</v>
      </c>
      <c r="S27" s="324">
        <f t="shared" ref="S27:T27" si="6">AVERAGE(P27:R27)</f>
        <v>9.4676939795573192E-2</v>
      </c>
      <c r="T27" s="324">
        <f t="shared" si="6"/>
        <v>9.6473023249964748E-2</v>
      </c>
      <c r="U27" s="254" t="s">
        <v>254</v>
      </c>
      <c r="V27" s="267">
        <f>(N26/I26)^(1/5)-1</f>
        <v>0.10781163295773566</v>
      </c>
      <c r="W27" s="254" t="s">
        <v>305</v>
      </c>
    </row>
    <row r="28" spans="1:23" x14ac:dyDescent="0.3">
      <c r="C28" s="270"/>
      <c r="D28" s="270"/>
      <c r="E28" s="270"/>
      <c r="F28" s="270"/>
      <c r="G28" s="270"/>
      <c r="H28" s="270"/>
      <c r="I28" s="270"/>
      <c r="J28" s="270"/>
      <c r="K28" s="270"/>
      <c r="L28" s="270"/>
      <c r="M28" s="270"/>
      <c r="N28" s="270"/>
      <c r="O28" s="274"/>
      <c r="P28" s="270"/>
      <c r="Q28" s="270"/>
      <c r="R28" s="325"/>
      <c r="S28" s="325"/>
      <c r="T28" s="325"/>
    </row>
    <row r="29" spans="1:23" x14ac:dyDescent="0.3">
      <c r="B29" s="254" t="s">
        <v>264</v>
      </c>
      <c r="C29" s="270"/>
      <c r="D29" s="270"/>
      <c r="E29" s="270"/>
      <c r="F29" s="312">
        <f>'Profit &amp; Loss'!B12-'Profit &amp; Loss'!B16</f>
        <v>7136.3699999999981</v>
      </c>
      <c r="G29" s="312">
        <f>'Profit &amp; Loss'!C12-'Profit &amp; Loss'!C16</f>
        <v>8837.2699999999968</v>
      </c>
      <c r="H29" s="312">
        <f>'Profit &amp; Loss'!D12-'Profit &amp; Loss'!D16</f>
        <v>4131.5799999999981</v>
      </c>
      <c r="I29" s="312">
        <f>'Profit &amp; Loss'!E12-'Profit &amp; Loss'!E16</f>
        <v>4623.7300000000032</v>
      </c>
      <c r="J29" s="312">
        <f>'Profit &amp; Loss'!F12-'Profit &amp; Loss'!F16</f>
        <v>4930.0600000000031</v>
      </c>
      <c r="K29" s="312">
        <f>'Profit &amp; Loss'!G12-'Profit &amp; Loss'!G16</f>
        <v>6390.0099999999993</v>
      </c>
      <c r="L29" s="312">
        <f>'Profit &amp; Loss'!H12-'Profit &amp; Loss'!H16</f>
        <v>8113.8299999999963</v>
      </c>
      <c r="M29" s="312">
        <f>'Profit &amp; Loss'!I12-'Profit &amp; Loss'!I16</f>
        <v>9121.0099999999984</v>
      </c>
      <c r="N29" s="312">
        <f>'Profit &amp; Loss'!J12-'Profit &amp; Loss'!J16</f>
        <v>10461.129999999997</v>
      </c>
      <c r="O29" s="312">
        <f>'Profit &amp; Loss'!K12-'Profit &amp; Loss'!K16</f>
        <v>12539.070000000007</v>
      </c>
      <c r="P29" s="322">
        <f>134454*0.1</f>
        <v>13445.400000000001</v>
      </c>
      <c r="Q29" s="322">
        <f>155841*0.1</f>
        <v>15584.1</v>
      </c>
      <c r="R29" s="323">
        <f>R30*R26</f>
        <v>16552.389419465744</v>
      </c>
      <c r="S29" s="323">
        <f t="shared" ref="S29:T29" si="7">S30*S26</f>
        <v>18157.720241248964</v>
      </c>
      <c r="T29" s="323">
        <f t="shared" si="7"/>
        <v>20068.04962025932</v>
      </c>
      <c r="U29" s="254" t="s">
        <v>254</v>
      </c>
      <c r="V29" s="254" t="s">
        <v>270</v>
      </c>
    </row>
    <row r="30" spans="1:23" x14ac:dyDescent="0.3">
      <c r="B30" s="273" t="s">
        <v>271</v>
      </c>
      <c r="C30" s="270"/>
      <c r="D30" s="270"/>
      <c r="E30" s="270"/>
      <c r="F30" s="274">
        <f>F29/F26</f>
        <v>0.25051295273673663</v>
      </c>
      <c r="G30" s="274">
        <f t="shared" ref="G30:Q30" si="8">G29/G26</f>
        <v>0.27985137961216566</v>
      </c>
      <c r="H30" s="274">
        <f t="shared" si="8"/>
        <v>0.15597071438979873</v>
      </c>
      <c r="I30" s="274">
        <f t="shared" si="8"/>
        <v>0.15907742093744884</v>
      </c>
      <c r="J30" s="274">
        <f t="shared" si="8"/>
        <v>0.15013505900266474</v>
      </c>
      <c r="K30" s="274">
        <f t="shared" si="8"/>
        <v>0.1907571584571561</v>
      </c>
      <c r="L30" s="274">
        <f t="shared" si="8"/>
        <v>0.20990653349714344</v>
      </c>
      <c r="M30" s="274">
        <f t="shared" si="8"/>
        <v>0.20783567669453903</v>
      </c>
      <c r="N30" s="274">
        <f t="shared" si="8"/>
        <v>0.21570741192469198</v>
      </c>
      <c r="O30" s="274">
        <f t="shared" si="8"/>
        <v>0.23848311208928996</v>
      </c>
      <c r="P30" s="274">
        <f t="shared" si="8"/>
        <v>0.23475942458152257</v>
      </c>
      <c r="Q30" s="274">
        <f t="shared" si="8"/>
        <v>0.24676073198035933</v>
      </c>
      <c r="R30" s="326">
        <f>AVERAGE(O30:Q30)</f>
        <v>0.24000108955039059</v>
      </c>
      <c r="S30" s="326">
        <f t="shared" ref="S30:T30" si="9">AVERAGE(P30:R30)</f>
        <v>0.24050708203742419</v>
      </c>
      <c r="T30" s="326">
        <f t="shared" si="9"/>
        <v>0.24242296785605802</v>
      </c>
    </row>
    <row r="31" spans="1:23" x14ac:dyDescent="0.3">
      <c r="C31" s="270"/>
      <c r="D31" s="270"/>
      <c r="E31" s="270"/>
      <c r="F31" s="270"/>
      <c r="G31" s="270"/>
      <c r="H31" s="270"/>
      <c r="I31" s="270"/>
      <c r="J31" s="270"/>
      <c r="K31" s="270"/>
      <c r="L31" s="270"/>
      <c r="M31" s="270"/>
      <c r="N31" s="270"/>
      <c r="O31" s="270"/>
      <c r="P31" s="274"/>
      <c r="Q31" s="270"/>
      <c r="R31" s="325"/>
      <c r="S31" s="325"/>
      <c r="T31" s="325"/>
    </row>
    <row r="32" spans="1:23" x14ac:dyDescent="0.3">
      <c r="B32" s="254" t="s">
        <v>272</v>
      </c>
      <c r="C32" s="270"/>
      <c r="D32" s="270"/>
      <c r="E32" s="270"/>
      <c r="F32" s="316">
        <f>'Profit &amp; Loss'!B22</f>
        <v>913.77</v>
      </c>
      <c r="G32" s="316">
        <f>'Profit &amp; Loss'!C22</f>
        <v>1211.57</v>
      </c>
      <c r="H32" s="316">
        <f>'Profit &amp; Loss'!D22</f>
        <v>911.04</v>
      </c>
      <c r="I32" s="316">
        <f>'Profit &amp; Loss'!E22</f>
        <v>600.88</v>
      </c>
      <c r="J32" s="316">
        <f>'Profit &amp; Loss'!F22</f>
        <v>822.8</v>
      </c>
      <c r="K32" s="316">
        <f>'Profit &amp; Loss'!G22</f>
        <v>514.69000000000005</v>
      </c>
      <c r="L32" s="316">
        <f>'Profit &amp; Loss'!H22</f>
        <v>1075.5</v>
      </c>
      <c r="M32" s="316">
        <f>'Profit &amp; Loss'!I22</f>
        <v>847.59</v>
      </c>
      <c r="N32" s="316">
        <f>'Profit &amp; Loss'!J22</f>
        <v>1439.45</v>
      </c>
      <c r="O32" s="316">
        <f>'Profit &amp; Loss'!K22</f>
        <v>2772.03</v>
      </c>
      <c r="P32" s="327">
        <f>P33*P29</f>
        <v>1888.9941203033586</v>
      </c>
      <c r="Q32" s="327">
        <f t="shared" ref="Q32:T32" si="10">Q33*Q29</f>
        <v>2451.3087010334539</v>
      </c>
      <c r="R32" s="327">
        <f t="shared" si="10"/>
        <v>2755.2012740327318</v>
      </c>
      <c r="S32" s="327">
        <f t="shared" si="10"/>
        <v>2809.8623545885016</v>
      </c>
      <c r="T32" s="327">
        <f t="shared" si="10"/>
        <v>3200.8298990306089</v>
      </c>
    </row>
    <row r="33" spans="1:23" x14ac:dyDescent="0.3">
      <c r="B33" s="273" t="s">
        <v>273</v>
      </c>
      <c r="C33" s="270"/>
      <c r="D33" s="270"/>
      <c r="E33" s="270"/>
      <c r="F33" s="311">
        <f>'Profit &amp; Loss'!B22/'Profit &amp; Loss'!B19</f>
        <v>0.13906885641102912</v>
      </c>
      <c r="G33" s="311">
        <f>'Profit &amp; Loss'!C22/'Profit &amp; Loss'!C19</f>
        <v>0.13390665427332624</v>
      </c>
      <c r="H33" s="311">
        <f>'Profit &amp; Loss'!D22/'Profit &amp; Loss'!D19</f>
        <v>0.26186985840677451</v>
      </c>
      <c r="I33" s="311">
        <f>'Profit &amp; Loss'!E22/'Profit &amp; Loss'!E19</f>
        <v>0.15770300771613024</v>
      </c>
      <c r="J33" s="311">
        <f>'Profit &amp; Loss'!F22/'Profit &amp; Loss'!F19</f>
        <v>0.1642449781319428</v>
      </c>
      <c r="K33" s="311">
        <f>'Profit &amp; Loss'!G22/'Profit &amp; Loss'!G19</f>
        <v>0.18385922546858763</v>
      </c>
      <c r="L33" s="311">
        <f>'Profit &amp; Loss'!H22/'Profit &amp; Loss'!H19</f>
        <v>0.23999625110458547</v>
      </c>
      <c r="M33" s="311">
        <f>'Profit &amp; Loss'!I22/'Profit &amp; Loss'!I19</f>
        <v>9.0088356930965119E-2</v>
      </c>
      <c r="N33" s="311">
        <f>'Profit &amp; Loss'!J22/'Profit &amp; Loss'!J19</f>
        <v>0.12982181461035422</v>
      </c>
      <c r="O33" s="311">
        <f>'Profit &amp; Loss'!K22/'Profit &amp; Loss'!K19</f>
        <v>0.20157095664453428</v>
      </c>
      <c r="P33" s="328">
        <f>AVERAGE(M33:O33)</f>
        <v>0.14049370939528452</v>
      </c>
      <c r="Q33" s="328">
        <f t="shared" ref="Q33:T33" si="11">AVERAGE(N33:P33)</f>
        <v>0.15729549355005767</v>
      </c>
      <c r="R33" s="328">
        <f t="shared" si="11"/>
        <v>0.16645338652995881</v>
      </c>
      <c r="S33" s="328">
        <f t="shared" si="11"/>
        <v>0.15474752982510032</v>
      </c>
      <c r="T33" s="328">
        <f t="shared" si="11"/>
        <v>0.1594988033017056</v>
      </c>
    </row>
    <row r="34" spans="1:23" x14ac:dyDescent="0.3">
      <c r="C34" s="270"/>
      <c r="D34" s="270"/>
      <c r="E34" s="270"/>
      <c r="F34" s="270"/>
      <c r="G34" s="270"/>
      <c r="H34" s="270"/>
      <c r="I34" s="270"/>
      <c r="J34" s="270"/>
      <c r="K34" s="270"/>
      <c r="L34" s="270"/>
      <c r="M34" s="270"/>
      <c r="N34" s="270"/>
      <c r="O34" s="270"/>
      <c r="P34" s="270"/>
      <c r="Q34" s="270"/>
      <c r="R34" s="270"/>
      <c r="S34" s="270"/>
      <c r="T34" s="270"/>
      <c r="V34" s="276"/>
    </row>
    <row r="35" spans="1:23" ht="18" x14ac:dyDescent="0.35">
      <c r="A35" s="257" t="s">
        <v>340</v>
      </c>
      <c r="B35" s="307" t="s">
        <v>438</v>
      </c>
      <c r="C35" s="308"/>
      <c r="D35" s="308"/>
      <c r="E35" s="308"/>
      <c r="F35" s="305">
        <v>2015</v>
      </c>
      <c r="G35" s="305">
        <f>F35+1</f>
        <v>2016</v>
      </c>
      <c r="H35" s="305">
        <f t="shared" ref="H35" si="12">G35+1</f>
        <v>2017</v>
      </c>
      <c r="I35" s="305">
        <f t="shared" ref="I35" si="13">H35+1</f>
        <v>2018</v>
      </c>
      <c r="J35" s="305">
        <f t="shared" ref="J35" si="14">I35+1</f>
        <v>2019</v>
      </c>
      <c r="K35" s="305">
        <f t="shared" ref="K35" si="15">J35+1</f>
        <v>2020</v>
      </c>
      <c r="L35" s="305">
        <f t="shared" ref="L35" si="16">K35+1</f>
        <v>2021</v>
      </c>
      <c r="M35" s="305">
        <f t="shared" ref="M35" si="17">L35+1</f>
        <v>2022</v>
      </c>
      <c r="N35" s="306" t="s">
        <v>306</v>
      </c>
      <c r="O35" s="306" t="s">
        <v>268</v>
      </c>
      <c r="P35" s="321"/>
      <c r="Q35" s="321"/>
      <c r="R35" s="321"/>
      <c r="S35" s="321"/>
      <c r="T35" s="321"/>
    </row>
    <row r="36" spans="1:23" x14ac:dyDescent="0.3">
      <c r="B36" s="254" t="s">
        <v>274</v>
      </c>
      <c r="C36" s="270"/>
      <c r="D36" s="270"/>
      <c r="E36" s="270"/>
      <c r="F36" s="312">
        <f>'Profit &amp; Loss'!B16</f>
        <v>1037.53</v>
      </c>
      <c r="G36" s="312">
        <f>'Profit &amp; Loss'!C16</f>
        <v>1264.75</v>
      </c>
      <c r="H36" s="312">
        <f>'Profit &amp; Loss'!D16</f>
        <v>1499.84</v>
      </c>
      <c r="I36" s="312">
        <f>'Profit &amp; Loss'!E16</f>
        <v>1753.25</v>
      </c>
      <c r="J36" s="312">
        <f>'Profit &amp; Loss'!F16</f>
        <v>2052.7800000000002</v>
      </c>
      <c r="K36" s="312">
        <f>'Profit &amp; Loss'!G16</f>
        <v>2079.9499999999998</v>
      </c>
      <c r="L36" s="312">
        <f>'Profit &amp; Loss'!H16</f>
        <v>2143.7399999999998</v>
      </c>
      <c r="M36" s="312">
        <f>'Profit &amp; Loss'!I16</f>
        <v>2529.4299999999998</v>
      </c>
      <c r="N36" s="312">
        <f>'Profit &amp; Loss'!J16</f>
        <v>2556.64</v>
      </c>
      <c r="O36" s="312">
        <f>'Profit &amp; Loss'!K16</f>
        <v>2575.39</v>
      </c>
      <c r="P36" s="270"/>
      <c r="Q36" s="270"/>
      <c r="R36" s="270"/>
      <c r="S36" s="270"/>
      <c r="T36" s="270"/>
      <c r="U36" s="254" t="s">
        <v>254</v>
      </c>
      <c r="V36" s="254" t="s">
        <v>275</v>
      </c>
    </row>
    <row r="37" spans="1:23" x14ac:dyDescent="0.3">
      <c r="B37" s="273" t="s">
        <v>276</v>
      </c>
      <c r="C37" s="270"/>
      <c r="D37" s="270"/>
      <c r="E37" s="270"/>
      <c r="F37" s="274">
        <f>F36/F$26</f>
        <v>3.6421136215323252E-2</v>
      </c>
      <c r="G37" s="274">
        <f t="shared" ref="G37:O37" si="18">G36/G$26</f>
        <v>4.0051060153699802E-2</v>
      </c>
      <c r="H37" s="274">
        <f t="shared" si="18"/>
        <v>5.6620255754552942E-2</v>
      </c>
      <c r="I37" s="274">
        <f t="shared" si="18"/>
        <v>6.0319804196737693E-2</v>
      </c>
      <c r="J37" s="274">
        <f t="shared" si="18"/>
        <v>6.2513285116102019E-2</v>
      </c>
      <c r="K37" s="274">
        <f t="shared" si="18"/>
        <v>6.2091507170248854E-2</v>
      </c>
      <c r="L37" s="274">
        <f t="shared" si="18"/>
        <v>5.5459016533396244E-2</v>
      </c>
      <c r="M37" s="274">
        <f t="shared" si="18"/>
        <v>5.7636796330830464E-2</v>
      </c>
      <c r="N37" s="274">
        <f t="shared" si="18"/>
        <v>5.2717650734016741E-2</v>
      </c>
      <c r="O37" s="274">
        <f t="shared" si="18"/>
        <v>4.898186404921865E-2</v>
      </c>
      <c r="P37" s="270"/>
      <c r="Q37" s="270"/>
      <c r="R37" s="270"/>
      <c r="S37" s="270"/>
      <c r="T37" s="270"/>
    </row>
    <row r="38" spans="1:23" x14ac:dyDescent="0.3">
      <c r="C38" s="270"/>
      <c r="D38" s="270"/>
      <c r="E38" s="270"/>
      <c r="F38" s="270"/>
      <c r="G38" s="270"/>
      <c r="H38" s="270"/>
      <c r="I38" s="270"/>
      <c r="J38" s="270"/>
      <c r="K38" s="270"/>
      <c r="L38" s="270"/>
      <c r="M38" s="270"/>
      <c r="N38" s="270"/>
      <c r="O38" s="270"/>
      <c r="P38" s="270"/>
      <c r="Q38" s="270"/>
      <c r="R38" s="270"/>
      <c r="S38" s="270"/>
      <c r="T38" s="270"/>
    </row>
    <row r="39" spans="1:23" x14ac:dyDescent="0.3">
      <c r="B39" s="254" t="s">
        <v>277</v>
      </c>
      <c r="C39" s="270"/>
      <c r="D39" s="270"/>
      <c r="E39" s="270"/>
      <c r="F39" s="312">
        <f>'Cash Flow'!B12</f>
        <v>315.08</v>
      </c>
      <c r="G39" s="312">
        <f>'Cash Flow'!C12</f>
        <v>211.57</v>
      </c>
      <c r="H39" s="312">
        <f>'Cash Flow'!D12</f>
        <v>364.12</v>
      </c>
      <c r="I39" s="312">
        <f>'Cash Flow'!E12</f>
        <v>565</v>
      </c>
      <c r="J39" s="312">
        <f>'Cash Flow'!F12</f>
        <v>607</v>
      </c>
      <c r="K39" s="312">
        <f>'Cash Flow'!G12</f>
        <v>937</v>
      </c>
      <c r="L39" s="312">
        <f>'Cash Flow'!H12</f>
        <v>1156</v>
      </c>
      <c r="M39" s="312">
        <f>'Cash Flow'!I12</f>
        <v>1638</v>
      </c>
      <c r="N39" s="312">
        <f>'Cash Flow'!J12</f>
        <v>1238</v>
      </c>
      <c r="O39" s="312">
        <f>'Cash Flow'!K12</f>
        <v>824.16</v>
      </c>
      <c r="P39" s="270"/>
      <c r="Q39" s="270"/>
      <c r="R39" s="270"/>
      <c r="S39" s="270"/>
      <c r="T39" s="270"/>
      <c r="U39" s="254" t="s">
        <v>254</v>
      </c>
      <c r="V39" s="254" t="s">
        <v>278</v>
      </c>
    </row>
    <row r="40" spans="1:23" x14ac:dyDescent="0.3">
      <c r="B40" s="273" t="s">
        <v>279</v>
      </c>
      <c r="C40" s="270"/>
      <c r="D40" s="270"/>
      <c r="E40" s="270"/>
      <c r="F40" s="274">
        <f>F39/F$26</f>
        <v>1.1060472081505162E-2</v>
      </c>
      <c r="G40" s="274">
        <f t="shared" ref="G40" si="19">G39/G$26</f>
        <v>6.6998243105105887E-3</v>
      </c>
      <c r="H40" s="274">
        <f t="shared" ref="H40" si="20">H39/H$26</f>
        <v>1.3745844573653068E-2</v>
      </c>
      <c r="I40" s="274">
        <f t="shared" ref="I40" si="21">I39/I$26</f>
        <v>1.9438579421734947E-2</v>
      </c>
      <c r="J40" s="274">
        <f t="shared" ref="J40" si="22">J39/J$26</f>
        <v>1.8484963837076512E-2</v>
      </c>
      <c r="K40" s="274">
        <f t="shared" ref="K40" si="23">K39/K$26</f>
        <v>2.7971702309441657E-2</v>
      </c>
      <c r="L40" s="274">
        <f t="shared" ref="L40" si="24">L39/L$26</f>
        <v>2.9905969526437939E-2</v>
      </c>
      <c r="M40" s="274">
        <f t="shared" ref="M40" si="25">M39/M$26</f>
        <v>3.7324247909568682E-2</v>
      </c>
      <c r="N40" s="274">
        <f t="shared" ref="N40" si="26">N39/N$26</f>
        <v>2.552743116305492E-2</v>
      </c>
      <c r="O40" s="274">
        <f t="shared" ref="O40" si="27">O39/O$26</f>
        <v>1.5674865971679646E-2</v>
      </c>
      <c r="P40" s="270"/>
      <c r="Q40" s="270"/>
      <c r="R40" s="270"/>
      <c r="S40" s="270"/>
      <c r="T40" s="270"/>
    </row>
    <row r="41" spans="1:23" x14ac:dyDescent="0.3">
      <c r="C41" s="270"/>
      <c r="D41" s="270"/>
      <c r="E41" s="270"/>
      <c r="F41" s="270"/>
      <c r="G41" s="270"/>
      <c r="H41" s="270"/>
      <c r="I41" s="270"/>
      <c r="J41" s="270"/>
      <c r="K41" s="270"/>
      <c r="L41" s="270"/>
      <c r="M41" s="270"/>
      <c r="N41" s="270"/>
      <c r="O41" s="270"/>
      <c r="P41" s="270"/>
      <c r="Q41" s="270"/>
      <c r="R41" s="270"/>
      <c r="S41" s="270"/>
      <c r="T41" s="270"/>
    </row>
    <row r="42" spans="1:23" x14ac:dyDescent="0.3">
      <c r="B42" s="254" t="s">
        <v>280</v>
      </c>
      <c r="C42" s="270"/>
      <c r="D42" s="270"/>
      <c r="E42" s="270"/>
      <c r="F42" s="331">
        <f>'Cash Flow'!B7</f>
        <v>247</v>
      </c>
      <c r="G42" s="331">
        <f>'Cash Flow'!C7</f>
        <v>-409</v>
      </c>
      <c r="H42" s="331">
        <f>'Cash Flow'!D7</f>
        <v>-212</v>
      </c>
      <c r="I42" s="331">
        <f>'Cash Flow'!E7</f>
        <v>-2696</v>
      </c>
      <c r="J42" s="331">
        <f>'Cash Flow'!F7</f>
        <v>899</v>
      </c>
      <c r="K42" s="331">
        <f>'Cash Flow'!G7</f>
        <v>2564</v>
      </c>
      <c r="L42" s="331">
        <f>'Cash Flow'!H7</f>
        <v>1559</v>
      </c>
      <c r="M42" s="331">
        <f>'Cash Flow'!I7</f>
        <v>-5662</v>
      </c>
      <c r="N42" s="331">
        <f>'Cash Flow'!J7</f>
        <v>1062</v>
      </c>
      <c r="O42" s="331">
        <f>'Cash Flow'!K7</f>
        <v>-324</v>
      </c>
      <c r="P42" s="270"/>
      <c r="Q42" s="270"/>
      <c r="R42" s="270"/>
      <c r="S42" s="270"/>
      <c r="T42" s="270"/>
      <c r="U42" s="254" t="s">
        <v>254</v>
      </c>
      <c r="V42" s="254" t="s">
        <v>281</v>
      </c>
    </row>
    <row r="43" spans="1:23" x14ac:dyDescent="0.3">
      <c r="B43" s="273" t="s">
        <v>271</v>
      </c>
      <c r="C43" s="270"/>
      <c r="D43" s="270"/>
      <c r="E43" s="270"/>
      <c r="F43" s="332">
        <f>F42/F$26</f>
        <v>8.670612555959677E-3</v>
      </c>
      <c r="G43" s="332">
        <f t="shared" ref="G43" si="28">G42/G$26</f>
        <v>-1.2951874760121147E-2</v>
      </c>
      <c r="H43" s="332">
        <f t="shared" ref="H43" si="29">H42/H$26</f>
        <v>-8.003183152846453E-3</v>
      </c>
      <c r="I43" s="332">
        <f t="shared" ref="I43" si="30">I42/I$26</f>
        <v>-9.2754708178756487E-2</v>
      </c>
      <c r="J43" s="332">
        <f t="shared" ref="J43" si="31">J42/J$26</f>
        <v>2.7377236391320899E-2</v>
      </c>
      <c r="K43" s="332">
        <f t="shared" ref="K43" si="32">K42/K$26</f>
        <v>7.6541563203210691E-2</v>
      </c>
      <c r="L43" s="332">
        <f t="shared" ref="L43" si="33">L42/L$26</f>
        <v>4.0331666515325909E-2</v>
      </c>
      <c r="M43" s="332">
        <f t="shared" ref="M43" si="34">M42/M$26</f>
        <v>-0.12901702787788635</v>
      </c>
      <c r="N43" s="332">
        <f t="shared" ref="N43" si="35">N42/N$26</f>
        <v>2.1898329479131118E-2</v>
      </c>
      <c r="O43" s="332">
        <f t="shared" ref="O43" si="36">O42/O$26</f>
        <v>-6.1622216254419108E-3</v>
      </c>
      <c r="P43" s="270"/>
      <c r="Q43" s="270"/>
      <c r="R43" s="270"/>
      <c r="S43" s="270"/>
      <c r="T43" s="270"/>
    </row>
    <row r="44" spans="1:23" x14ac:dyDescent="0.3">
      <c r="B44" s="273" t="s">
        <v>282</v>
      </c>
      <c r="C44" s="270"/>
      <c r="D44" s="270"/>
      <c r="E44" s="270"/>
      <c r="F44" s="485" t="s">
        <v>304</v>
      </c>
      <c r="G44" s="332">
        <f>G42/(G26-F26)</f>
        <v>-0.13230208869092097</v>
      </c>
      <c r="H44" s="332">
        <f t="shared" ref="H44:O44" si="37">H42/(H26-G26)</f>
        <v>4.1658642792858296E-2</v>
      </c>
      <c r="I44" s="332">
        <f t="shared" si="37"/>
        <v>-1.0464010557161985</v>
      </c>
      <c r="J44" s="332">
        <f t="shared" si="37"/>
        <v>0.23836100954769737</v>
      </c>
      <c r="K44" s="332">
        <f t="shared" si="37"/>
        <v>3.881085008476632</v>
      </c>
      <c r="L44" s="332">
        <f t="shared" si="37"/>
        <v>0.30234565147827447</v>
      </c>
      <c r="M44" s="332">
        <f t="shared" si="37"/>
        <v>-1.0823541106325707</v>
      </c>
      <c r="N44" s="332">
        <f t="shared" si="37"/>
        <v>0.23031031169963381</v>
      </c>
      <c r="O44" s="332">
        <f t="shared" si="37"/>
        <v>-7.9380829529668517E-2</v>
      </c>
      <c r="P44" s="270"/>
      <c r="Q44" s="270"/>
      <c r="R44" s="270"/>
      <c r="S44" s="270"/>
      <c r="T44" s="270"/>
    </row>
    <row r="45" spans="1:23" x14ac:dyDescent="0.3">
      <c r="C45" s="270"/>
      <c r="D45" s="270"/>
      <c r="E45" s="270"/>
      <c r="F45" s="270"/>
      <c r="G45" s="270"/>
      <c r="H45" s="270"/>
      <c r="I45" s="270"/>
      <c r="J45" s="270"/>
      <c r="K45" s="270"/>
      <c r="L45" s="270"/>
      <c r="M45" s="270"/>
      <c r="N45" s="270"/>
      <c r="O45" s="270"/>
      <c r="P45" s="333">
        <v>1</v>
      </c>
      <c r="Q45" s="333">
        <f>P45+1</f>
        <v>2</v>
      </c>
      <c r="R45" s="333">
        <f>Q45+1</f>
        <v>3</v>
      </c>
      <c r="S45" s="333">
        <f>R45+1</f>
        <v>4</v>
      </c>
      <c r="T45" s="333">
        <f>S45+1</f>
        <v>5</v>
      </c>
    </row>
    <row r="46" spans="1:23" ht="18" x14ac:dyDescent="0.35">
      <c r="A46" s="257" t="s">
        <v>340</v>
      </c>
      <c r="B46" s="307" t="s">
        <v>439</v>
      </c>
      <c r="C46" s="308"/>
      <c r="D46" s="308"/>
      <c r="E46" s="308"/>
      <c r="F46" s="305">
        <v>2015</v>
      </c>
      <c r="G46" s="305">
        <f>F46+1</f>
        <v>2016</v>
      </c>
      <c r="H46" s="305">
        <f t="shared" ref="H46" si="38">G46+1</f>
        <v>2017</v>
      </c>
      <c r="I46" s="305">
        <f t="shared" ref="I46" si="39">H46+1</f>
        <v>2018</v>
      </c>
      <c r="J46" s="305">
        <f t="shared" ref="J46" si="40">I46+1</f>
        <v>2019</v>
      </c>
      <c r="K46" s="305">
        <f t="shared" ref="K46" si="41">J46+1</f>
        <v>2020</v>
      </c>
      <c r="L46" s="305">
        <f t="shared" ref="L46" si="42">K46+1</f>
        <v>2021</v>
      </c>
      <c r="M46" s="305">
        <f t="shared" ref="M46" si="43">L46+1</f>
        <v>2022</v>
      </c>
      <c r="N46" s="306" t="s">
        <v>306</v>
      </c>
      <c r="O46" s="306" t="s">
        <v>268</v>
      </c>
      <c r="P46" s="306">
        <v>2025</v>
      </c>
      <c r="Q46" s="306">
        <f>P46+1</f>
        <v>2026</v>
      </c>
      <c r="R46" s="306">
        <f>Q46+1</f>
        <v>2027</v>
      </c>
      <c r="S46" s="306">
        <f>R46+1</f>
        <v>2028</v>
      </c>
      <c r="T46" s="306">
        <f t="shared" ref="T46" si="44">S46+1</f>
        <v>2029</v>
      </c>
    </row>
    <row r="47" spans="1:23" x14ac:dyDescent="0.3">
      <c r="B47" s="254" t="s">
        <v>233</v>
      </c>
      <c r="C47" s="270"/>
      <c r="D47" s="270"/>
      <c r="E47" s="270"/>
      <c r="F47" s="277">
        <f>F26</f>
        <v>28487.03</v>
      </c>
      <c r="G47" s="277">
        <f t="shared" ref="G47:O47" si="45">G26</f>
        <v>31578.44</v>
      </c>
      <c r="H47" s="277">
        <f t="shared" si="45"/>
        <v>26489.46</v>
      </c>
      <c r="I47" s="277">
        <f t="shared" si="45"/>
        <v>29065.91</v>
      </c>
      <c r="J47" s="277">
        <f t="shared" si="45"/>
        <v>32837.5</v>
      </c>
      <c r="K47" s="277">
        <f t="shared" si="45"/>
        <v>33498.14</v>
      </c>
      <c r="L47" s="277">
        <f t="shared" si="45"/>
        <v>38654.49</v>
      </c>
      <c r="M47" s="277">
        <f t="shared" si="45"/>
        <v>43885.68</v>
      </c>
      <c r="N47" s="277">
        <f t="shared" si="45"/>
        <v>48496.85</v>
      </c>
      <c r="O47" s="277">
        <f t="shared" si="45"/>
        <v>52578.44</v>
      </c>
      <c r="P47" s="278">
        <f ca="1">O47*(1+P48)</f>
        <v>57273.100000000006</v>
      </c>
      <c r="Q47" s="278">
        <f t="shared" ref="Q47:T47" ca="1" si="46">P47*(1+Q48)</f>
        <v>63154.700000000012</v>
      </c>
      <c r="R47" s="278">
        <f t="shared" ca="1" si="46"/>
        <v>68967.976147418318</v>
      </c>
      <c r="S47" s="278">
        <f t="shared" ca="1" si="46"/>
        <v>75497.653072949965</v>
      </c>
      <c r="T47" s="278">
        <f t="shared" ca="1" si="46"/>
        <v>82781.139913174426</v>
      </c>
      <c r="U47" s="278"/>
      <c r="W47" s="279"/>
    </row>
    <row r="48" spans="1:23" x14ac:dyDescent="0.3">
      <c r="B48" s="254" t="s">
        <v>269</v>
      </c>
      <c r="C48" s="270"/>
      <c r="D48" s="270"/>
      <c r="E48" s="270"/>
      <c r="F48" s="334" t="str">
        <f t="shared" ref="F48:O48" si="47">F27</f>
        <v>--</v>
      </c>
      <c r="G48" s="334">
        <f t="shared" si="47"/>
        <v>0.10851991239521985</v>
      </c>
      <c r="H48" s="334">
        <f t="shared" si="47"/>
        <v>-0.16115362253486876</v>
      </c>
      <c r="I48" s="334">
        <f t="shared" si="47"/>
        <v>9.7263213368637969E-2</v>
      </c>
      <c r="J48" s="334">
        <f t="shared" si="47"/>
        <v>0.12975991462163061</v>
      </c>
      <c r="K48" s="334">
        <f t="shared" si="47"/>
        <v>2.0118462124095959E-2</v>
      </c>
      <c r="L48" s="334">
        <f t="shared" si="47"/>
        <v>0.15392944205260339</v>
      </c>
      <c r="M48" s="334">
        <f t="shared" si="47"/>
        <v>0.1353320144697292</v>
      </c>
      <c r="N48" s="334">
        <f t="shared" si="47"/>
        <v>0.10507231516066295</v>
      </c>
      <c r="O48" s="334">
        <f t="shared" si="47"/>
        <v>8.4161961034582733E-2</v>
      </c>
      <c r="P48" s="332">
        <f ca="1">OFFSET(P48,$D$13,0)</f>
        <v>8.9288689432398538E-2</v>
      </c>
      <c r="Q48" s="332">
        <f t="shared" ref="Q48:T48" ca="1" si="48">OFFSET(Q48,$D$13,0)</f>
        <v>0.10269393484899547</v>
      </c>
      <c r="R48" s="332">
        <f t="shared" ca="1" si="48"/>
        <v>9.2048195105325581E-2</v>
      </c>
      <c r="S48" s="332">
        <f t="shared" ca="1" si="48"/>
        <v>9.4676939795573192E-2</v>
      </c>
      <c r="T48" s="332">
        <f t="shared" ca="1" si="48"/>
        <v>9.6473023249964748E-2</v>
      </c>
      <c r="U48" s="274"/>
      <c r="W48" s="281"/>
    </row>
    <row r="49" spans="2:22" x14ac:dyDescent="0.3">
      <c r="B49" s="273" t="s">
        <v>283</v>
      </c>
      <c r="C49" s="270"/>
      <c r="D49" s="270"/>
      <c r="E49" s="270"/>
      <c r="F49" s="270"/>
      <c r="G49" s="270"/>
      <c r="H49" s="282"/>
      <c r="I49" s="270"/>
      <c r="J49" s="270"/>
      <c r="K49" s="270"/>
      <c r="L49" s="270"/>
      <c r="M49" s="270"/>
      <c r="N49" s="270"/>
      <c r="O49" s="280"/>
      <c r="P49" s="300">
        <f>P50*(1+$I$13)</f>
        <v>8.0359820489158684E-2</v>
      </c>
      <c r="Q49" s="300">
        <f>Q50*(1+$I$14)</f>
        <v>7.7020451136746604E-2</v>
      </c>
      <c r="R49" s="300">
        <f>R50*(1+$I$14)</f>
        <v>6.9036146328994186E-2</v>
      </c>
      <c r="S49" s="300">
        <f t="shared" ref="S49:T49" si="49">S50*(1+$I$14)</f>
        <v>7.1007704846679898E-2</v>
      </c>
      <c r="T49" s="300">
        <f t="shared" si="49"/>
        <v>7.2354767437473558E-2</v>
      </c>
    </row>
    <row r="50" spans="2:22" x14ac:dyDescent="0.3">
      <c r="B50" s="273" t="s">
        <v>284</v>
      </c>
      <c r="C50" s="270"/>
      <c r="D50" s="270"/>
      <c r="E50" s="270"/>
      <c r="F50" s="270"/>
      <c r="G50" s="270"/>
      <c r="H50" s="282"/>
      <c r="I50" s="270"/>
      <c r="J50" s="270"/>
      <c r="K50" s="270"/>
      <c r="L50" s="270"/>
      <c r="M50" s="283"/>
      <c r="N50" s="270"/>
      <c r="O50" s="280"/>
      <c r="P50" s="330">
        <f>P27</f>
        <v>8.9288689432398538E-2</v>
      </c>
      <c r="Q50" s="330">
        <f t="shared" ref="Q50:T50" si="50">Q27</f>
        <v>0.10269393484899547</v>
      </c>
      <c r="R50" s="330">
        <f t="shared" si="50"/>
        <v>9.2048195105325581E-2</v>
      </c>
      <c r="S50" s="330">
        <f t="shared" si="50"/>
        <v>9.4676939795573192E-2</v>
      </c>
      <c r="T50" s="330">
        <f t="shared" si="50"/>
        <v>9.6473023249964748E-2</v>
      </c>
    </row>
    <row r="51" spans="2:22" x14ac:dyDescent="0.3">
      <c r="B51" s="273" t="s">
        <v>285</v>
      </c>
      <c r="C51" s="270"/>
      <c r="D51" s="270"/>
      <c r="E51" s="270"/>
      <c r="F51" s="270"/>
      <c r="G51" s="270"/>
      <c r="H51" s="270"/>
      <c r="I51" s="270"/>
      <c r="J51" s="270"/>
      <c r="K51" s="270"/>
      <c r="L51" s="270"/>
      <c r="M51" s="270"/>
      <c r="N51" s="270"/>
      <c r="O51" s="280"/>
      <c r="P51" s="300">
        <f>P50*(1+$S$13)</f>
        <v>0.10714642731887825</v>
      </c>
      <c r="Q51" s="300">
        <f>Q50*(1+$S$14)</f>
        <v>0.10782863159144525</v>
      </c>
      <c r="R51" s="300">
        <f>R50*(1+$S$14)</f>
        <v>9.6650604860591863E-2</v>
      </c>
      <c r="S51" s="300">
        <f t="shared" ref="S51:T51" si="51">S50*(1+$S$14)</f>
        <v>9.9410786785351854E-2</v>
      </c>
      <c r="T51" s="300">
        <f t="shared" si="51"/>
        <v>0.10129667441246298</v>
      </c>
    </row>
    <row r="52" spans="2:22" x14ac:dyDescent="0.3">
      <c r="C52" s="270"/>
      <c r="D52" s="270"/>
      <c r="E52" s="270"/>
      <c r="F52" s="270"/>
      <c r="G52" s="270"/>
      <c r="H52" s="270"/>
      <c r="I52" s="270"/>
      <c r="J52" s="270"/>
      <c r="K52" s="270"/>
      <c r="L52" s="270"/>
      <c r="M52" s="283"/>
      <c r="N52" s="270"/>
      <c r="O52" s="280"/>
      <c r="P52" s="270"/>
      <c r="Q52" s="270"/>
      <c r="R52" s="270"/>
      <c r="S52" s="270"/>
      <c r="T52" s="270"/>
    </row>
    <row r="53" spans="2:22" x14ac:dyDescent="0.3">
      <c r="B53" s="254" t="s">
        <v>264</v>
      </c>
      <c r="C53" s="270"/>
      <c r="D53" s="270"/>
      <c r="E53" s="270"/>
      <c r="F53" s="283">
        <f>F29</f>
        <v>7136.3699999999981</v>
      </c>
      <c r="G53" s="283">
        <f t="shared" ref="G53:O53" si="52">G29</f>
        <v>8837.2699999999968</v>
      </c>
      <c r="H53" s="283">
        <f t="shared" si="52"/>
        <v>4131.5799999999981</v>
      </c>
      <c r="I53" s="283">
        <f t="shared" si="52"/>
        <v>4623.7300000000032</v>
      </c>
      <c r="J53" s="283">
        <f t="shared" si="52"/>
        <v>4930.0600000000031</v>
      </c>
      <c r="K53" s="283">
        <f t="shared" si="52"/>
        <v>6390.0099999999993</v>
      </c>
      <c r="L53" s="283">
        <f t="shared" si="52"/>
        <v>8113.8299999999963</v>
      </c>
      <c r="M53" s="283">
        <f t="shared" si="52"/>
        <v>9121.0099999999984</v>
      </c>
      <c r="N53" s="283">
        <f t="shared" si="52"/>
        <v>10461.129999999997</v>
      </c>
      <c r="O53" s="283">
        <f t="shared" si="52"/>
        <v>12539.070000000007</v>
      </c>
      <c r="P53" s="284">
        <f ca="1">P54*P47</f>
        <v>13445.400000000001</v>
      </c>
      <c r="Q53" s="284">
        <f ca="1">Q54*Q47</f>
        <v>15584.100000000002</v>
      </c>
      <c r="R53" s="284">
        <f t="shared" ref="R53:T53" ca="1" si="53">R54*R47</f>
        <v>16552.389419465748</v>
      </c>
      <c r="S53" s="284">
        <f t="shared" ca="1" si="53"/>
        <v>18157.720241248968</v>
      </c>
      <c r="T53" s="284">
        <f t="shared" ca="1" si="53"/>
        <v>20068.049620259324</v>
      </c>
    </row>
    <row r="54" spans="2:22" x14ac:dyDescent="0.3">
      <c r="B54" s="273" t="s">
        <v>271</v>
      </c>
      <c r="C54" s="270"/>
      <c r="D54" s="270"/>
      <c r="E54" s="270"/>
      <c r="F54" s="285">
        <f t="shared" ref="F54:O54" si="54">F30</f>
        <v>0.25051295273673663</v>
      </c>
      <c r="G54" s="285">
        <f t="shared" si="54"/>
        <v>0.27985137961216566</v>
      </c>
      <c r="H54" s="285">
        <f t="shared" si="54"/>
        <v>0.15597071438979873</v>
      </c>
      <c r="I54" s="285">
        <f t="shared" si="54"/>
        <v>0.15907742093744884</v>
      </c>
      <c r="J54" s="285">
        <f t="shared" si="54"/>
        <v>0.15013505900266474</v>
      </c>
      <c r="K54" s="285">
        <f t="shared" si="54"/>
        <v>0.1907571584571561</v>
      </c>
      <c r="L54" s="285">
        <f t="shared" si="54"/>
        <v>0.20990653349714344</v>
      </c>
      <c r="M54" s="285">
        <f t="shared" si="54"/>
        <v>0.20783567669453903</v>
      </c>
      <c r="N54" s="285">
        <f t="shared" si="54"/>
        <v>0.21570741192469198</v>
      </c>
      <c r="O54" s="285">
        <f t="shared" si="54"/>
        <v>0.23848311208928996</v>
      </c>
      <c r="P54" s="286">
        <f ca="1">OFFSET(P54,$D$14,0)</f>
        <v>0.23475942458152257</v>
      </c>
      <c r="Q54" s="286">
        <f t="shared" ref="Q54:T54" ca="1" si="55">OFFSET(Q54,$D$14,0)</f>
        <v>0.24676073198035933</v>
      </c>
      <c r="R54" s="286">
        <f t="shared" ca="1" si="55"/>
        <v>0.24000108955039059</v>
      </c>
      <c r="S54" s="286">
        <f t="shared" ca="1" si="55"/>
        <v>0.24050708203742419</v>
      </c>
      <c r="T54" s="286">
        <f t="shared" ca="1" si="55"/>
        <v>0.24242296785605802</v>
      </c>
    </row>
    <row r="55" spans="2:22" x14ac:dyDescent="0.3">
      <c r="B55" s="273" t="s">
        <v>283</v>
      </c>
      <c r="C55" s="270"/>
      <c r="D55" s="270"/>
      <c r="E55" s="270"/>
      <c r="F55" s="270"/>
      <c r="G55" s="270"/>
      <c r="H55" s="270"/>
      <c r="I55" s="270"/>
      <c r="J55" s="270"/>
      <c r="K55" s="270"/>
      <c r="L55" s="270"/>
      <c r="M55" s="270"/>
      <c r="N55" s="270"/>
      <c r="O55" s="280"/>
      <c r="P55" s="300">
        <f>P56*(1+$I$15)</f>
        <v>0.21128348212337031</v>
      </c>
      <c r="Q55" s="300">
        <f>Q56*(1+$I$16)</f>
        <v>0.18507054898526951</v>
      </c>
      <c r="R55" s="300">
        <f>R56*(1+$I$16)</f>
        <v>0.18000081716279295</v>
      </c>
      <c r="S55" s="300">
        <f t="shared" ref="S55:T55" si="56">S56*(1+$I$16)</f>
        <v>0.18038031152806813</v>
      </c>
      <c r="T55" s="300">
        <f t="shared" si="56"/>
        <v>0.18181722589204352</v>
      </c>
    </row>
    <row r="56" spans="2:22" x14ac:dyDescent="0.3">
      <c r="B56" s="273" t="s">
        <v>284</v>
      </c>
      <c r="C56" s="270"/>
      <c r="D56" s="270"/>
      <c r="E56" s="270"/>
      <c r="F56" s="270"/>
      <c r="G56" s="270"/>
      <c r="H56" s="270"/>
      <c r="I56" s="270"/>
      <c r="J56" s="270"/>
      <c r="K56" s="270"/>
      <c r="L56" s="270"/>
      <c r="M56" s="270"/>
      <c r="N56" s="270"/>
      <c r="O56" s="280"/>
      <c r="P56" s="300">
        <f>P30</f>
        <v>0.23475942458152257</v>
      </c>
      <c r="Q56" s="300">
        <f t="shared" ref="Q56:T56" si="57">Q30</f>
        <v>0.24676073198035933</v>
      </c>
      <c r="R56" s="300">
        <f t="shared" si="57"/>
        <v>0.24000108955039059</v>
      </c>
      <c r="S56" s="300">
        <f t="shared" si="57"/>
        <v>0.24050708203742419</v>
      </c>
      <c r="T56" s="300">
        <f t="shared" si="57"/>
        <v>0.24242296785605802</v>
      </c>
    </row>
    <row r="57" spans="2:22" x14ac:dyDescent="0.3">
      <c r="B57" s="273" t="s">
        <v>285</v>
      </c>
      <c r="C57" s="270"/>
      <c r="D57" s="270"/>
      <c r="E57" s="270"/>
      <c r="F57" s="270"/>
      <c r="G57" s="270"/>
      <c r="H57" s="270"/>
      <c r="I57" s="270"/>
      <c r="J57" s="270"/>
      <c r="K57" s="270"/>
      <c r="L57" s="270"/>
      <c r="M57" s="270"/>
      <c r="N57" s="270"/>
      <c r="O57" s="280"/>
      <c r="P57" s="300">
        <f>P56*(1+$S$15)</f>
        <v>0.28171130949782708</v>
      </c>
      <c r="Q57" s="300">
        <f>Q56*(1+$S$16)</f>
        <v>0.2714368051783953</v>
      </c>
      <c r="R57" s="300">
        <f>R56*(1+$S$16)</f>
        <v>0.26400119850542969</v>
      </c>
      <c r="S57" s="300">
        <f t="shared" ref="S57:T57" si="58">S56*(1+$S$16)</f>
        <v>0.2645577902411666</v>
      </c>
      <c r="T57" s="300">
        <f t="shared" si="58"/>
        <v>0.26666526464166385</v>
      </c>
    </row>
    <row r="58" spans="2:22" x14ac:dyDescent="0.3">
      <c r="B58" s="273"/>
      <c r="C58" s="270"/>
      <c r="D58" s="270"/>
      <c r="E58" s="270"/>
      <c r="F58" s="270"/>
      <c r="G58" s="270"/>
      <c r="H58" s="270"/>
      <c r="I58" s="270"/>
      <c r="J58" s="270"/>
      <c r="K58" s="270"/>
      <c r="L58" s="270"/>
      <c r="M58" s="270"/>
      <c r="N58" s="270"/>
      <c r="O58" s="280"/>
      <c r="P58" s="270"/>
      <c r="Q58" s="270"/>
      <c r="R58" s="270"/>
      <c r="S58" s="270"/>
      <c r="T58" s="270"/>
    </row>
    <row r="59" spans="2:22" x14ac:dyDescent="0.3">
      <c r="B59" s="254" t="s">
        <v>272</v>
      </c>
      <c r="C59" s="270"/>
      <c r="D59" s="270"/>
      <c r="E59" s="270"/>
      <c r="F59" s="346">
        <f>F32</f>
        <v>913.77</v>
      </c>
      <c r="G59" s="346">
        <f t="shared" ref="G59:O59" si="59">G32</f>
        <v>1211.57</v>
      </c>
      <c r="H59" s="346">
        <f t="shared" si="59"/>
        <v>911.04</v>
      </c>
      <c r="I59" s="346">
        <f t="shared" si="59"/>
        <v>600.88</v>
      </c>
      <c r="J59" s="346">
        <f t="shared" si="59"/>
        <v>822.8</v>
      </c>
      <c r="K59" s="346">
        <f t="shared" si="59"/>
        <v>514.69000000000005</v>
      </c>
      <c r="L59" s="346">
        <f t="shared" si="59"/>
        <v>1075.5</v>
      </c>
      <c r="M59" s="346">
        <f t="shared" si="59"/>
        <v>847.59</v>
      </c>
      <c r="N59" s="346">
        <f t="shared" si="59"/>
        <v>1439.45</v>
      </c>
      <c r="O59" s="346">
        <f t="shared" si="59"/>
        <v>2772.03</v>
      </c>
      <c r="P59" s="486">
        <f ca="1">P60*P53</f>
        <v>1888.9941203033586</v>
      </c>
      <c r="Q59" s="486">
        <f t="shared" ref="Q59:T59" ca="1" si="60">Q60*Q53</f>
        <v>2451.3087010334543</v>
      </c>
      <c r="R59" s="486">
        <f t="shared" ca="1" si="60"/>
        <v>2755.2012740327327</v>
      </c>
      <c r="S59" s="486">
        <f t="shared" ca="1" si="60"/>
        <v>2809.8623545885025</v>
      </c>
      <c r="T59" s="486">
        <f t="shared" ca="1" si="60"/>
        <v>3200.8298990306098</v>
      </c>
    </row>
    <row r="60" spans="2:22" x14ac:dyDescent="0.3">
      <c r="B60" s="273" t="s">
        <v>273</v>
      </c>
      <c r="C60" s="270"/>
      <c r="D60" s="270"/>
      <c r="E60" s="270"/>
      <c r="F60" s="285">
        <f t="shared" ref="F60:T60" si="61">F33</f>
        <v>0.13906885641102912</v>
      </c>
      <c r="G60" s="285">
        <f t="shared" si="61"/>
        <v>0.13390665427332624</v>
      </c>
      <c r="H60" s="285">
        <f t="shared" si="61"/>
        <v>0.26186985840677451</v>
      </c>
      <c r="I60" s="285">
        <f t="shared" si="61"/>
        <v>0.15770300771613024</v>
      </c>
      <c r="J60" s="285">
        <f t="shared" si="61"/>
        <v>0.1642449781319428</v>
      </c>
      <c r="K60" s="285">
        <f t="shared" si="61"/>
        <v>0.18385922546858763</v>
      </c>
      <c r="L60" s="285">
        <f t="shared" si="61"/>
        <v>0.23999625110458547</v>
      </c>
      <c r="M60" s="285">
        <f t="shared" si="61"/>
        <v>9.0088356930965119E-2</v>
      </c>
      <c r="N60" s="285">
        <f t="shared" si="61"/>
        <v>0.12982181461035422</v>
      </c>
      <c r="O60" s="285">
        <f t="shared" si="61"/>
        <v>0.20157095664453428</v>
      </c>
      <c r="P60" s="329">
        <f t="shared" si="61"/>
        <v>0.14049370939528452</v>
      </c>
      <c r="Q60" s="329">
        <f t="shared" si="61"/>
        <v>0.15729549355005767</v>
      </c>
      <c r="R60" s="329">
        <f t="shared" si="61"/>
        <v>0.16645338652995881</v>
      </c>
      <c r="S60" s="329">
        <f t="shared" si="61"/>
        <v>0.15474752982510032</v>
      </c>
      <c r="T60" s="329">
        <f t="shared" si="61"/>
        <v>0.1594988033017056</v>
      </c>
    </row>
    <row r="61" spans="2:22" x14ac:dyDescent="0.3">
      <c r="F61" s="270"/>
      <c r="G61" s="270"/>
      <c r="H61" s="270"/>
      <c r="I61" s="270"/>
      <c r="J61" s="270"/>
      <c r="K61" s="270"/>
      <c r="L61" s="270"/>
      <c r="M61" s="270"/>
      <c r="N61" s="270"/>
      <c r="O61" s="280"/>
      <c r="P61" s="270"/>
      <c r="Q61" s="270"/>
      <c r="R61" s="270"/>
      <c r="S61" s="270"/>
      <c r="T61" s="270"/>
    </row>
    <row r="62" spans="2:22" x14ac:dyDescent="0.3">
      <c r="B62" s="590" t="s">
        <v>286</v>
      </c>
      <c r="C62" s="591"/>
      <c r="D62" s="591"/>
      <c r="E62" s="591"/>
      <c r="F62" s="592"/>
      <c r="G62" s="592"/>
      <c r="H62" s="592"/>
      <c r="I62" s="592"/>
      <c r="J62" s="592"/>
      <c r="K62" s="592"/>
      <c r="L62" s="592"/>
      <c r="M62" s="592"/>
      <c r="N62" s="592"/>
      <c r="O62" s="593"/>
      <c r="P62" s="594">
        <f ca="1">P53-P59</f>
        <v>11556.405879696642</v>
      </c>
      <c r="Q62" s="594">
        <f t="shared" ref="Q62:T62" ca="1" si="62">Q53-Q59</f>
        <v>13132.791298966547</v>
      </c>
      <c r="R62" s="594">
        <f t="shared" ca="1" si="62"/>
        <v>13797.188145433014</v>
      </c>
      <c r="S62" s="594">
        <f t="shared" ca="1" si="62"/>
        <v>15347.857886660466</v>
      </c>
      <c r="T62" s="594">
        <f t="shared" ca="1" si="62"/>
        <v>16867.219721228714</v>
      </c>
      <c r="U62" s="288" t="s">
        <v>254</v>
      </c>
      <c r="V62" s="254" t="s">
        <v>287</v>
      </c>
    </row>
    <row r="63" spans="2:22" x14ac:dyDescent="0.3">
      <c r="F63" s="270"/>
      <c r="G63" s="270"/>
      <c r="H63" s="270"/>
      <c r="I63" s="270"/>
      <c r="J63" s="270"/>
      <c r="K63" s="270"/>
      <c r="L63" s="270"/>
      <c r="M63" s="270"/>
      <c r="N63" s="270"/>
      <c r="O63" s="280"/>
      <c r="P63" s="270"/>
      <c r="Q63" s="270"/>
      <c r="R63" s="270"/>
      <c r="S63" s="270"/>
      <c r="T63" s="270"/>
      <c r="V63" s="254" t="s">
        <v>420</v>
      </c>
    </row>
    <row r="64" spans="2:22" x14ac:dyDescent="0.3">
      <c r="B64" s="254" t="s">
        <v>274</v>
      </c>
      <c r="F64" s="287">
        <f>F36</f>
        <v>1037.53</v>
      </c>
      <c r="G64" s="287">
        <f t="shared" ref="G64:O64" si="63">G36</f>
        <v>1264.75</v>
      </c>
      <c r="H64" s="287">
        <f t="shared" si="63"/>
        <v>1499.84</v>
      </c>
      <c r="I64" s="287">
        <f t="shared" si="63"/>
        <v>1753.25</v>
      </c>
      <c r="J64" s="287">
        <f t="shared" si="63"/>
        <v>2052.7800000000002</v>
      </c>
      <c r="K64" s="287">
        <f t="shared" si="63"/>
        <v>2079.9499999999998</v>
      </c>
      <c r="L64" s="287">
        <f t="shared" si="63"/>
        <v>2143.7399999999998</v>
      </c>
      <c r="M64" s="287">
        <f t="shared" si="63"/>
        <v>2529.4299999999998</v>
      </c>
      <c r="N64" s="287">
        <f t="shared" si="63"/>
        <v>2556.64</v>
      </c>
      <c r="O64" s="287">
        <f t="shared" si="63"/>
        <v>2575.39</v>
      </c>
      <c r="P64" s="284">
        <f ca="1">P65*P$47</f>
        <v>3041.8948266890015</v>
      </c>
      <c r="Q64" s="284">
        <f t="shared" ref="Q64:T64" ca="1" si="64">Q65*Q$47</f>
        <v>3540.3942393788739</v>
      </c>
      <c r="R64" s="284">
        <f t="shared" ca="1" si="64"/>
        <v>4069.5279767058105</v>
      </c>
      <c r="S64" s="284">
        <f t="shared" ca="1" si="64"/>
        <v>4677.3080581936192</v>
      </c>
      <c r="T64" s="284">
        <f t="shared" ca="1" si="64"/>
        <v>5372.4959803650199</v>
      </c>
    </row>
    <row r="65" spans="2:22" x14ac:dyDescent="0.3">
      <c r="B65" s="273" t="s">
        <v>276</v>
      </c>
      <c r="F65" s="285">
        <f t="shared" ref="F65:O65" si="65">F37</f>
        <v>3.6421136215323252E-2</v>
      </c>
      <c r="G65" s="285">
        <f t="shared" si="65"/>
        <v>4.0051060153699802E-2</v>
      </c>
      <c r="H65" s="285">
        <f t="shared" si="65"/>
        <v>5.6620255754552942E-2</v>
      </c>
      <c r="I65" s="285">
        <f t="shared" si="65"/>
        <v>6.0319804196737693E-2</v>
      </c>
      <c r="J65" s="285">
        <f t="shared" si="65"/>
        <v>6.2513285116102019E-2</v>
      </c>
      <c r="K65" s="285">
        <f t="shared" si="65"/>
        <v>6.2091507170248854E-2</v>
      </c>
      <c r="L65" s="285">
        <f t="shared" si="65"/>
        <v>5.5459016533396244E-2</v>
      </c>
      <c r="M65" s="285">
        <f t="shared" si="65"/>
        <v>5.7636796330830464E-2</v>
      </c>
      <c r="N65" s="285">
        <f t="shared" si="65"/>
        <v>5.2717650734016741E-2</v>
      </c>
      <c r="O65" s="285">
        <f t="shared" si="65"/>
        <v>4.898186404921865E-2</v>
      </c>
      <c r="P65" s="300">
        <f>AVERAGE(M65:O65)</f>
        <v>5.3112103704688614E-2</v>
      </c>
      <c r="Q65" s="300">
        <f>P65+($T$65-$P$65)/($T$46-$P$46)</f>
        <v>5.6059077778516458E-2</v>
      </c>
      <c r="R65" s="300">
        <f t="shared" ref="R65:S65" si="66">Q65+($T$65-$P$65)/($T$46-$P$46)</f>
        <v>5.9006051852344303E-2</v>
      </c>
      <c r="S65" s="300">
        <f t="shared" si="66"/>
        <v>6.1953025926172148E-2</v>
      </c>
      <c r="T65" s="489">
        <v>6.4899999999999999E-2</v>
      </c>
    </row>
    <row r="66" spans="2:22" x14ac:dyDescent="0.3">
      <c r="F66" s="287"/>
      <c r="G66" s="287"/>
      <c r="H66" s="287"/>
      <c r="I66" s="287"/>
      <c r="J66" s="287"/>
      <c r="K66" s="287"/>
      <c r="L66" s="287"/>
      <c r="M66" s="287"/>
      <c r="N66" s="287"/>
      <c r="O66" s="280"/>
      <c r="P66" s="270"/>
      <c r="Q66" s="270"/>
      <c r="R66" s="270"/>
      <c r="S66" s="270"/>
      <c r="T66" s="270"/>
    </row>
    <row r="67" spans="2:22" x14ac:dyDescent="0.3">
      <c r="B67" s="254" t="s">
        <v>277</v>
      </c>
      <c r="F67" s="346">
        <f>F39</f>
        <v>315.08</v>
      </c>
      <c r="G67" s="346">
        <f t="shared" ref="G67:O67" si="67">G39</f>
        <v>211.57</v>
      </c>
      <c r="H67" s="346">
        <f t="shared" si="67"/>
        <v>364.12</v>
      </c>
      <c r="I67" s="346">
        <f t="shared" si="67"/>
        <v>565</v>
      </c>
      <c r="J67" s="346">
        <f t="shared" si="67"/>
        <v>607</v>
      </c>
      <c r="K67" s="346">
        <f t="shared" si="67"/>
        <v>937</v>
      </c>
      <c r="L67" s="346">
        <f t="shared" si="67"/>
        <v>1156</v>
      </c>
      <c r="M67" s="346">
        <f t="shared" si="67"/>
        <v>1638</v>
      </c>
      <c r="N67" s="346">
        <f t="shared" si="67"/>
        <v>1238</v>
      </c>
      <c r="O67" s="346">
        <f t="shared" si="67"/>
        <v>824.16</v>
      </c>
      <c r="P67" s="278">
        <f ca="1">P68*P$47</f>
        <v>1499.1528889922949</v>
      </c>
      <c r="Q67" s="278">
        <f t="shared" ref="Q67" ca="1" si="68">Q68*Q$47</f>
        <v>1318.7734735773649</v>
      </c>
      <c r="R67" s="278">
        <f t="shared" ref="R67" ca="1" si="69">R68*R$47</f>
        <v>1075.0560879609918</v>
      </c>
      <c r="S67" s="278">
        <f t="shared" ref="S67" ca="1" si="70">S68*S$47</f>
        <v>777.16368692124445</v>
      </c>
      <c r="T67" s="278">
        <f t="shared" ref="T67" ca="1" si="71">T68*T$47</f>
        <v>413.90569956587211</v>
      </c>
    </row>
    <row r="68" spans="2:22" x14ac:dyDescent="0.3">
      <c r="B68" s="273" t="s">
        <v>279</v>
      </c>
      <c r="F68" s="285">
        <f t="shared" ref="F68:O68" si="72">F40</f>
        <v>1.1060472081505162E-2</v>
      </c>
      <c r="G68" s="285">
        <f t="shared" si="72"/>
        <v>6.6998243105105887E-3</v>
      </c>
      <c r="H68" s="285">
        <f t="shared" si="72"/>
        <v>1.3745844573653068E-2</v>
      </c>
      <c r="I68" s="285">
        <f t="shared" si="72"/>
        <v>1.9438579421734947E-2</v>
      </c>
      <c r="J68" s="285">
        <f t="shared" si="72"/>
        <v>1.8484963837076512E-2</v>
      </c>
      <c r="K68" s="285">
        <f t="shared" si="72"/>
        <v>2.7971702309441657E-2</v>
      </c>
      <c r="L68" s="285">
        <f t="shared" si="72"/>
        <v>2.9905969526437939E-2</v>
      </c>
      <c r="M68" s="285">
        <f t="shared" si="72"/>
        <v>3.7324247909568682E-2</v>
      </c>
      <c r="N68" s="285">
        <f t="shared" si="72"/>
        <v>2.552743116305492E-2</v>
      </c>
      <c r="O68" s="285">
        <f t="shared" si="72"/>
        <v>1.5674865971679646E-2</v>
      </c>
      <c r="P68" s="300">
        <f>AVERAGE(M68:O68)</f>
        <v>2.6175515014767749E-2</v>
      </c>
      <c r="Q68" s="300">
        <f>P68+($T$68-$P$68)/($T$46-$P$46)</f>
        <v>2.0881636261075812E-2</v>
      </c>
      <c r="R68" s="300">
        <f t="shared" ref="R68:S68" si="73">Q68+($T$68-$P$68)/($T$46-$P$46)</f>
        <v>1.5587757507383875E-2</v>
      </c>
      <c r="S68" s="300">
        <f t="shared" si="73"/>
        <v>1.0293878753691938E-2</v>
      </c>
      <c r="T68" s="300">
        <v>5.0000000000000001E-3</v>
      </c>
    </row>
    <row r="69" spans="2:22" x14ac:dyDescent="0.3">
      <c r="F69" s="287"/>
      <c r="G69" s="287"/>
      <c r="H69" s="287"/>
      <c r="I69" s="287"/>
      <c r="J69" s="287"/>
      <c r="K69" s="287"/>
      <c r="L69" s="287"/>
      <c r="M69" s="287"/>
      <c r="N69" s="287"/>
      <c r="O69" s="280"/>
      <c r="P69" s="270"/>
      <c r="Q69" s="270"/>
      <c r="R69" s="270"/>
      <c r="S69" s="270"/>
      <c r="T69" s="270"/>
    </row>
    <row r="70" spans="2:22" x14ac:dyDescent="0.3">
      <c r="B70" s="254" t="s">
        <v>280</v>
      </c>
      <c r="F70" s="352">
        <f>F42</f>
        <v>247</v>
      </c>
      <c r="G70" s="352">
        <f t="shared" ref="G70:O70" si="74">G42</f>
        <v>-409</v>
      </c>
      <c r="H70" s="352">
        <f t="shared" si="74"/>
        <v>-212</v>
      </c>
      <c r="I70" s="352">
        <f t="shared" si="74"/>
        <v>-2696</v>
      </c>
      <c r="J70" s="352">
        <f t="shared" si="74"/>
        <v>899</v>
      </c>
      <c r="K70" s="352">
        <f t="shared" si="74"/>
        <v>2564</v>
      </c>
      <c r="L70" s="352">
        <f t="shared" si="74"/>
        <v>1559</v>
      </c>
      <c r="M70" s="352">
        <f t="shared" si="74"/>
        <v>-5662</v>
      </c>
      <c r="N70" s="352">
        <f t="shared" si="74"/>
        <v>1062</v>
      </c>
      <c r="O70" s="352">
        <f t="shared" si="74"/>
        <v>-324</v>
      </c>
      <c r="P70" s="353">
        <f ca="1">P71*P$47</f>
        <v>-2162.6498202126154</v>
      </c>
      <c r="Q70" s="353">
        <f t="shared" ref="Q70" ca="1" si="75">Q71*Q$47</f>
        <v>-2262.2158799630415</v>
      </c>
      <c r="R70" s="353">
        <f t="shared" ref="R70" ca="1" si="76">R71*R$47</f>
        <v>-2336.6456072423466</v>
      </c>
      <c r="S70" s="353">
        <f t="shared" ref="S70" ca="1" si="77">S71*S$47</f>
        <v>-2411.40082745566</v>
      </c>
      <c r="T70" s="353">
        <f t="shared" ref="T70" ca="1" si="78">T71*T$47</f>
        <v>-2483.4341973952328</v>
      </c>
      <c r="U70" s="254" t="s">
        <v>254</v>
      </c>
      <c r="V70" s="254" t="s">
        <v>432</v>
      </c>
    </row>
    <row r="71" spans="2:22" x14ac:dyDescent="0.3">
      <c r="B71" s="273" t="s">
        <v>271</v>
      </c>
      <c r="F71" s="334">
        <f t="shared" ref="F71:O71" si="79">F43</f>
        <v>8.670612555959677E-3</v>
      </c>
      <c r="G71" s="334">
        <f t="shared" si="79"/>
        <v>-1.2951874760121147E-2</v>
      </c>
      <c r="H71" s="334">
        <f t="shared" si="79"/>
        <v>-8.003183152846453E-3</v>
      </c>
      <c r="I71" s="334">
        <f t="shared" si="79"/>
        <v>-9.2754708178756487E-2</v>
      </c>
      <c r="J71" s="334">
        <f t="shared" si="79"/>
        <v>2.7377236391320899E-2</v>
      </c>
      <c r="K71" s="334">
        <f t="shared" si="79"/>
        <v>7.6541563203210691E-2</v>
      </c>
      <c r="L71" s="334">
        <f t="shared" si="79"/>
        <v>4.0331666515325909E-2</v>
      </c>
      <c r="M71" s="334">
        <f t="shared" si="79"/>
        <v>-0.12901702787788635</v>
      </c>
      <c r="N71" s="334">
        <f t="shared" si="79"/>
        <v>2.1898329479131118E-2</v>
      </c>
      <c r="O71" s="334">
        <f t="shared" si="79"/>
        <v>-6.1622216254419108E-3</v>
      </c>
      <c r="P71" s="338">
        <f>AVERAGE(M71:O71)</f>
        <v>-3.7760306674732382E-2</v>
      </c>
      <c r="Q71" s="338">
        <f>P71+($T$71-$P$71)/($T$46-$P$46)</f>
        <v>-3.5820230006049288E-2</v>
      </c>
      <c r="R71" s="338">
        <f t="shared" ref="R71:S71" si="80">Q71+($T$71-$P$71)/($T$46-$P$46)</f>
        <v>-3.3880153337366194E-2</v>
      </c>
      <c r="S71" s="338">
        <f t="shared" si="80"/>
        <v>-3.19400766686831E-2</v>
      </c>
      <c r="T71" s="488">
        <v>-0.03</v>
      </c>
      <c r="U71" s="254" t="s">
        <v>433</v>
      </c>
      <c r="V71" s="254" t="s">
        <v>434</v>
      </c>
    </row>
    <row r="72" spans="2:22" x14ac:dyDescent="0.3">
      <c r="F72" s="270"/>
      <c r="G72" s="270"/>
      <c r="H72" s="270"/>
      <c r="I72" s="270"/>
      <c r="J72" s="270"/>
      <c r="K72" s="270"/>
      <c r="L72" s="270"/>
      <c r="M72" s="270"/>
      <c r="N72" s="270"/>
      <c r="O72" s="270"/>
      <c r="P72" s="270"/>
      <c r="Q72" s="270"/>
      <c r="R72" s="270"/>
      <c r="S72" s="270"/>
      <c r="T72" s="270"/>
    </row>
    <row r="73" spans="2:22" x14ac:dyDescent="0.3">
      <c r="B73" s="582" t="s">
        <v>288</v>
      </c>
      <c r="C73" s="583"/>
      <c r="D73" s="583"/>
      <c r="E73" s="583"/>
      <c r="F73" s="584"/>
      <c r="G73" s="584"/>
      <c r="H73" s="584"/>
      <c r="I73" s="584"/>
      <c r="J73" s="584"/>
      <c r="K73" s="584"/>
      <c r="L73" s="584"/>
      <c r="M73" s="584"/>
      <c r="N73" s="584"/>
      <c r="O73" s="584"/>
      <c r="P73" s="585">
        <f ca="1">P62+P64-P67-P70</f>
        <v>15261.797637605963</v>
      </c>
      <c r="Q73" s="585">
        <f t="shared" ref="Q73:T73" ca="1" si="81">Q62+Q64-Q67-Q70</f>
        <v>17616.627944731095</v>
      </c>
      <c r="R73" s="585">
        <f t="shared" ca="1" si="81"/>
        <v>19128.305641420178</v>
      </c>
      <c r="S73" s="585">
        <f t="shared" ca="1" si="81"/>
        <v>21659.403085388498</v>
      </c>
      <c r="T73" s="585">
        <f t="shared" ca="1" si="81"/>
        <v>24309.244199423094</v>
      </c>
      <c r="U73" s="288" t="s">
        <v>254</v>
      </c>
      <c r="V73" s="254" t="s">
        <v>289</v>
      </c>
    </row>
    <row r="74" spans="2:22" ht="15" thickBot="1" x14ac:dyDescent="0.35">
      <c r="B74" s="586" t="s">
        <v>290</v>
      </c>
      <c r="C74" s="587"/>
      <c r="D74" s="587"/>
      <c r="E74" s="587"/>
      <c r="F74" s="588"/>
      <c r="G74" s="588"/>
      <c r="H74" s="588"/>
      <c r="I74" s="588"/>
      <c r="J74" s="588"/>
      <c r="K74" s="588"/>
      <c r="L74" s="588"/>
      <c r="M74" s="588"/>
      <c r="N74" s="588"/>
      <c r="O74" s="589"/>
      <c r="P74" s="589">
        <f ca="1">(P73*P76)/(1+wacc)^P77</f>
        <v>8675.0984278277901</v>
      </c>
      <c r="Q74" s="589">
        <f ca="1">Q73/(1+wacc)^Q77</f>
        <v>16000.893063231373</v>
      </c>
      <c r="R74" s="589">
        <f ca="1">R73/(1+wacc)^R77</f>
        <v>15897.656857606607</v>
      </c>
      <c r="S74" s="589">
        <f ca="1">S73/(1+wacc)^S77</f>
        <v>16471.6943790691</v>
      </c>
      <c r="T74" s="589">
        <f ca="1">T73/(1+wacc)^T77</f>
        <v>16916.029121494743</v>
      </c>
      <c r="U74" s="288" t="s">
        <v>254</v>
      </c>
      <c r="V74" s="254" t="s">
        <v>291</v>
      </c>
    </row>
    <row r="75" spans="2:22" x14ac:dyDescent="0.3">
      <c r="F75" s="270"/>
      <c r="G75" s="270"/>
      <c r="H75" s="270"/>
      <c r="I75" s="270"/>
      <c r="J75" s="270"/>
      <c r="K75" s="270"/>
      <c r="L75" s="270"/>
      <c r="M75" s="270"/>
      <c r="N75" s="270"/>
      <c r="O75" s="270"/>
      <c r="P75" s="270"/>
      <c r="Q75" s="270"/>
      <c r="R75" s="270"/>
      <c r="S75" s="270"/>
      <c r="T75" s="270"/>
    </row>
    <row r="76" spans="2:22" x14ac:dyDescent="0.3">
      <c r="B76" s="254" t="s">
        <v>419</v>
      </c>
      <c r="F76" s="270"/>
      <c r="G76" s="270"/>
      <c r="H76" s="270"/>
      <c r="I76" s="270"/>
      <c r="J76" s="270"/>
      <c r="K76" s="270"/>
      <c r="L76" s="270"/>
      <c r="M76" s="270"/>
      <c r="N76" s="270"/>
      <c r="O76" s="335"/>
      <c r="P76" s="335">
        <f>YEARFRAC(C5,C6)</f>
        <v>0.58333333333333337</v>
      </c>
      <c r="Q76" s="335"/>
      <c r="R76" s="335"/>
      <c r="S76" s="335"/>
      <c r="T76" s="335"/>
    </row>
    <row r="77" spans="2:22" x14ac:dyDescent="0.3">
      <c r="B77" s="254" t="s">
        <v>292</v>
      </c>
      <c r="F77" s="270"/>
      <c r="G77" s="270"/>
      <c r="H77" s="270"/>
      <c r="I77" s="270"/>
      <c r="J77" s="270"/>
      <c r="K77" s="270"/>
      <c r="L77" s="270"/>
      <c r="M77" s="270"/>
      <c r="N77" s="270"/>
      <c r="O77" s="335"/>
      <c r="P77" s="335">
        <f>P76/2</f>
        <v>0.29166666666666669</v>
      </c>
      <c r="Q77" s="335">
        <f>P76+0.5</f>
        <v>1.0833333333333335</v>
      </c>
      <c r="R77" s="335">
        <f>Q77+1</f>
        <v>2.0833333333333335</v>
      </c>
      <c r="S77" s="335">
        <f t="shared" ref="S77:T77" si="82">R77+1</f>
        <v>3.0833333333333335</v>
      </c>
      <c r="T77" s="335">
        <f t="shared" si="82"/>
        <v>4.0833333333333339</v>
      </c>
    </row>
    <row r="78" spans="2:22" x14ac:dyDescent="0.3">
      <c r="F78" s="270"/>
      <c r="G78" s="270"/>
      <c r="H78" s="270"/>
      <c r="I78" s="270"/>
      <c r="J78" s="270"/>
      <c r="K78" s="270"/>
      <c r="L78" s="270"/>
      <c r="M78" s="270"/>
      <c r="N78" s="270"/>
      <c r="O78" s="270"/>
      <c r="P78" s="270"/>
      <c r="Q78" s="270"/>
      <c r="R78" s="270"/>
      <c r="S78" s="270"/>
      <c r="T78" s="270"/>
    </row>
    <row r="79" spans="2:22" x14ac:dyDescent="0.3">
      <c r="B79" s="254" t="s">
        <v>146</v>
      </c>
      <c r="F79" s="270"/>
      <c r="G79" s="270"/>
      <c r="H79" s="270"/>
      <c r="I79" s="270"/>
      <c r="J79" s="270"/>
      <c r="K79" s="270"/>
      <c r="L79" s="270"/>
      <c r="M79" s="270"/>
      <c r="N79" s="270"/>
      <c r="O79" s="270"/>
      <c r="P79" s="270"/>
      <c r="Q79" s="270"/>
      <c r="R79" s="270"/>
      <c r="S79" s="284"/>
      <c r="T79" s="284">
        <f ca="1">(T73*(1+tgr))/(wacc-tgr)</f>
        <v>398317.32687794726</v>
      </c>
      <c r="U79" s="254" t="s">
        <v>254</v>
      </c>
      <c r="V79" s="254" t="s">
        <v>293</v>
      </c>
    </row>
    <row r="80" spans="2:22" x14ac:dyDescent="0.3">
      <c r="B80" s="254" t="s">
        <v>294</v>
      </c>
      <c r="F80" s="270"/>
      <c r="G80" s="270"/>
      <c r="H80" s="270"/>
      <c r="I80" s="270"/>
      <c r="J80" s="270"/>
      <c r="K80" s="270"/>
      <c r="L80" s="270"/>
      <c r="M80" s="270"/>
      <c r="N80" s="270"/>
      <c r="O80" s="270"/>
      <c r="P80" s="270"/>
      <c r="Q80" s="270"/>
      <c r="R80" s="270"/>
      <c r="S80" s="284"/>
      <c r="T80" s="284">
        <f ca="1">(T79)/(1+wacc)^T77</f>
        <v>277176.34681637702</v>
      </c>
      <c r="U80" s="254" t="s">
        <v>254</v>
      </c>
      <c r="V80" s="254" t="s">
        <v>295</v>
      </c>
    </row>
    <row r="81" spans="1:22" x14ac:dyDescent="0.3">
      <c r="B81" s="258" t="s">
        <v>296</v>
      </c>
      <c r="F81" s="270"/>
      <c r="G81" s="270"/>
      <c r="H81" s="270"/>
      <c r="I81" s="270"/>
      <c r="J81" s="270"/>
      <c r="K81" s="270"/>
      <c r="L81" s="270"/>
      <c r="M81" s="270"/>
      <c r="N81" s="270"/>
      <c r="O81" s="270"/>
      <c r="P81" s="270"/>
      <c r="Q81" s="270"/>
      <c r="R81" s="270"/>
      <c r="S81" s="336"/>
      <c r="T81" s="336">
        <f ca="1">SUM(P74:T74)+T80</f>
        <v>351137.71866560663</v>
      </c>
      <c r="U81" s="254" t="s">
        <v>254</v>
      </c>
      <c r="V81" s="254" t="s">
        <v>297</v>
      </c>
    </row>
    <row r="82" spans="1:22" x14ac:dyDescent="0.3">
      <c r="B82" s="254" t="s">
        <v>298</v>
      </c>
      <c r="F82" s="270"/>
      <c r="G82" s="270"/>
      <c r="H82" s="270"/>
      <c r="I82" s="270"/>
      <c r="J82" s="270"/>
      <c r="K82" s="270"/>
      <c r="L82" s="270"/>
      <c r="M82" s="270"/>
      <c r="N82" s="270"/>
      <c r="O82" s="270"/>
      <c r="P82" s="270"/>
      <c r="Q82" s="270"/>
      <c r="R82" s="270"/>
      <c r="S82" s="337"/>
      <c r="T82" s="337">
        <v>11332</v>
      </c>
      <c r="U82" s="254" t="s">
        <v>254</v>
      </c>
      <c r="V82" s="254" t="s">
        <v>422</v>
      </c>
    </row>
    <row r="83" spans="1:22" x14ac:dyDescent="0.3">
      <c r="B83" s="254" t="s">
        <v>299</v>
      </c>
      <c r="F83" s="270"/>
      <c r="G83" s="270"/>
      <c r="H83" s="270"/>
      <c r="I83" s="270"/>
      <c r="J83" s="270"/>
      <c r="K83" s="270"/>
      <c r="L83" s="270"/>
      <c r="M83" s="270"/>
      <c r="N83" s="270"/>
      <c r="O83" s="270"/>
      <c r="P83" s="270"/>
      <c r="Q83" s="270"/>
      <c r="R83" s="270"/>
      <c r="S83" s="337"/>
      <c r="T83" s="337">
        <v>2.52</v>
      </c>
      <c r="U83" s="254" t="s">
        <v>254</v>
      </c>
      <c r="V83" s="254" t="s">
        <v>422</v>
      </c>
    </row>
    <row r="84" spans="1:22" x14ac:dyDescent="0.3">
      <c r="B84" s="258" t="s">
        <v>300</v>
      </c>
      <c r="F84" s="270"/>
      <c r="G84" s="270"/>
      <c r="H84" s="270"/>
      <c r="I84" s="270"/>
      <c r="J84" s="270"/>
      <c r="K84" s="270"/>
      <c r="L84" s="270"/>
      <c r="M84" s="270"/>
      <c r="N84" s="270"/>
      <c r="O84" s="270"/>
      <c r="P84" s="270"/>
      <c r="Q84" s="270"/>
      <c r="R84" s="270"/>
      <c r="S84" s="336"/>
      <c r="T84" s="336">
        <f ca="1">T81+T82-T83</f>
        <v>362467.19866560661</v>
      </c>
      <c r="U84" s="254" t="s">
        <v>254</v>
      </c>
      <c r="V84" s="254" t="s">
        <v>301</v>
      </c>
    </row>
    <row r="85" spans="1:22" x14ac:dyDescent="0.3">
      <c r="F85" s="270"/>
      <c r="G85" s="270"/>
      <c r="H85" s="270"/>
      <c r="I85" s="270"/>
      <c r="J85" s="270"/>
      <c r="K85" s="270"/>
      <c r="L85" s="270"/>
      <c r="M85" s="270"/>
      <c r="N85" s="270"/>
      <c r="O85" s="270"/>
      <c r="P85" s="270"/>
      <c r="Q85" s="270"/>
      <c r="R85" s="270"/>
      <c r="S85" s="270"/>
      <c r="T85" s="270"/>
    </row>
    <row r="86" spans="1:22" x14ac:dyDescent="0.3">
      <c r="B86" s="254" t="s">
        <v>302</v>
      </c>
      <c r="F86" s="270"/>
      <c r="G86" s="270"/>
      <c r="H86" s="270"/>
      <c r="I86" s="270"/>
      <c r="J86" s="270"/>
      <c r="K86" s="270"/>
      <c r="L86" s="270"/>
      <c r="M86" s="270"/>
      <c r="N86" s="270"/>
      <c r="O86" s="270"/>
      <c r="P86" s="270"/>
      <c r="Q86" s="270"/>
      <c r="R86" s="270"/>
      <c r="S86" s="337"/>
      <c r="T86" s="337">
        <f>2399.3*0.1</f>
        <v>239.93000000000004</v>
      </c>
      <c r="U86" s="254" t="s">
        <v>254</v>
      </c>
      <c r="V86" s="254" t="s">
        <v>421</v>
      </c>
    </row>
    <row r="87" spans="1:22" x14ac:dyDescent="0.3">
      <c r="B87" s="258" t="s">
        <v>330</v>
      </c>
      <c r="F87" s="270"/>
      <c r="G87" s="270"/>
      <c r="H87" s="270"/>
      <c r="I87" s="270"/>
      <c r="J87" s="270"/>
      <c r="K87" s="270"/>
      <c r="L87" s="270"/>
      <c r="M87" s="270"/>
      <c r="N87" s="270"/>
      <c r="O87" s="270"/>
      <c r="P87" s="270"/>
      <c r="Q87" s="270"/>
      <c r="R87" s="270"/>
      <c r="S87" s="335"/>
      <c r="T87" s="476">
        <f ca="1">T84/T86</f>
        <v>1510.720621287903</v>
      </c>
      <c r="U87" s="254" t="s">
        <v>254</v>
      </c>
      <c r="V87" s="254" t="s">
        <v>303</v>
      </c>
    </row>
    <row r="88" spans="1:22" ht="18" x14ac:dyDescent="0.35">
      <c r="A88" s="257"/>
    </row>
    <row r="91" spans="1:22" ht="18" x14ac:dyDescent="0.35">
      <c r="A91" s="257" t="s">
        <v>340</v>
      </c>
      <c r="B91" s="307" t="s">
        <v>440</v>
      </c>
      <c r="C91" s="309"/>
      <c r="D91" s="309"/>
      <c r="E91" s="310"/>
      <c r="F91" s="310"/>
      <c r="G91" s="310"/>
      <c r="H91" s="310"/>
      <c r="I91" s="310"/>
      <c r="J91" s="310"/>
      <c r="K91" s="310"/>
    </row>
    <row r="93" spans="1:22" x14ac:dyDescent="0.3">
      <c r="F93" s="359" t="s">
        <v>265</v>
      </c>
      <c r="G93" s="360"/>
      <c r="H93" s="360"/>
      <c r="I93" s="360"/>
      <c r="J93" s="360"/>
    </row>
    <row r="94" spans="1:22" ht="15" thickBot="1" x14ac:dyDescent="0.35">
      <c r="E94" s="358">
        <f ca="1">T81</f>
        <v>351137.71866560663</v>
      </c>
      <c r="F94" s="362">
        <v>7.2999999999999995E-2</v>
      </c>
      <c r="G94" s="361">
        <v>8.3000000000000004E-2</v>
      </c>
      <c r="H94" s="361">
        <v>9.2860739003397946E-2</v>
      </c>
      <c r="I94" s="361">
        <v>0.10299999999999999</v>
      </c>
      <c r="J94" s="361">
        <v>0.113</v>
      </c>
    </row>
    <row r="95" spans="1:22" x14ac:dyDescent="0.3">
      <c r="E95" s="281">
        <v>0.01</v>
      </c>
      <c r="F95" s="363">
        <f t="dataTable" ref="F95:J99" dt2D="1" dtr="1" r1="D20" r2="D21" ca="1"/>
        <v>369504.8734994597</v>
      </c>
      <c r="G95" s="348">
        <v>318417.97732981388</v>
      </c>
      <c r="H95" s="348">
        <v>280152.98464680632</v>
      </c>
      <c r="I95" s="348">
        <v>249300.44229441608</v>
      </c>
      <c r="J95" s="348">
        <v>224848.56751239131</v>
      </c>
    </row>
    <row r="96" spans="1:22" x14ac:dyDescent="0.3">
      <c r="E96" s="281">
        <v>0.02</v>
      </c>
      <c r="F96" s="364">
        <v>428092.4986972874</v>
      </c>
      <c r="G96" s="348">
        <v>359754.7886171749</v>
      </c>
      <c r="H96" s="348">
        <v>310774.09074191016</v>
      </c>
      <c r="I96" s="348">
        <v>272577.91996688966</v>
      </c>
      <c r="J96" s="348">
        <v>243091.35475070059</v>
      </c>
    </row>
    <row r="97" spans="1:11" x14ac:dyDescent="0.3">
      <c r="D97" s="365" t="s">
        <v>266</v>
      </c>
      <c r="E97" s="281">
        <v>0.03</v>
      </c>
      <c r="F97" s="364">
        <v>513930.18212666281</v>
      </c>
      <c r="G97" s="348">
        <v>416690.39661674743</v>
      </c>
      <c r="H97" s="366">
        <v>351137.71866560663</v>
      </c>
      <c r="I97" s="348">
        <v>302232.7887825066</v>
      </c>
      <c r="J97" s="348">
        <v>265729.99433559034</v>
      </c>
    </row>
    <row r="98" spans="1:11" x14ac:dyDescent="0.3">
      <c r="E98" s="281">
        <v>0.04</v>
      </c>
      <c r="F98" s="364">
        <v>651790.70399808395</v>
      </c>
      <c r="G98" s="348">
        <v>500107.68275565613</v>
      </c>
      <c r="H98" s="348">
        <v>406773.03165640065</v>
      </c>
      <c r="I98" s="348">
        <v>341301.90166657342</v>
      </c>
      <c r="J98" s="348">
        <v>294571.00093003898</v>
      </c>
    </row>
    <row r="99" spans="1:11" x14ac:dyDescent="0.3">
      <c r="E99" s="281">
        <v>0.05</v>
      </c>
      <c r="F99" s="364">
        <v>909529.94054030627</v>
      </c>
      <c r="G99" s="348">
        <v>634080.89988784282</v>
      </c>
      <c r="H99" s="348">
        <v>488369.31232270924</v>
      </c>
      <c r="I99" s="348">
        <v>395114.07601632591</v>
      </c>
      <c r="J99" s="348">
        <v>332567.88263383642</v>
      </c>
    </row>
    <row r="106" spans="1:11" ht="18" x14ac:dyDescent="0.35">
      <c r="A106" s="257" t="s">
        <v>340</v>
      </c>
      <c r="B106" s="307" t="s">
        <v>441</v>
      </c>
      <c r="C106" s="309"/>
      <c r="D106" s="309"/>
      <c r="E106" s="310"/>
      <c r="F106" s="310"/>
      <c r="G106" s="310"/>
      <c r="H106" s="310"/>
      <c r="I106" s="310"/>
      <c r="J106" s="310"/>
      <c r="K106" s="310"/>
    </row>
    <row r="108" spans="1:11" x14ac:dyDescent="0.3">
      <c r="F108" s="359" t="s">
        <v>265</v>
      </c>
      <c r="G108" s="360"/>
      <c r="H108" s="360"/>
      <c r="I108" s="360"/>
      <c r="J108" s="360"/>
    </row>
    <row r="109" spans="1:11" ht="15" thickBot="1" x14ac:dyDescent="0.35">
      <c r="E109" s="358">
        <f ca="1">T87</f>
        <v>1510.720621287903</v>
      </c>
      <c r="F109" s="362">
        <v>7.2999999999999995E-2</v>
      </c>
      <c r="G109" s="361">
        <v>8.3000000000000004E-2</v>
      </c>
      <c r="H109" s="361">
        <v>9.2860739003397946E-2</v>
      </c>
      <c r="I109" s="361">
        <v>0.10299999999999999</v>
      </c>
      <c r="J109" s="361">
        <v>0.113</v>
      </c>
    </row>
    <row r="110" spans="1:11" x14ac:dyDescent="0.3">
      <c r="E110" s="281">
        <v>0.01</v>
      </c>
      <c r="F110" s="367">
        <f t="dataTable" ref="F110:J114" dt2D="1" dtr="1" r1="D20" r2="D21" ca="1"/>
        <v>1587.2727608029827</v>
      </c>
      <c r="G110" s="347">
        <v>1374.348590546467</v>
      </c>
      <c r="H110" s="347">
        <v>1214.864604871447</v>
      </c>
      <c r="I110" s="347">
        <v>1086.2748397216524</v>
      </c>
      <c r="J110" s="347">
        <v>984.36230364019207</v>
      </c>
    </row>
    <row r="111" spans="1:11" x14ac:dyDescent="0.3">
      <c r="E111" s="281">
        <v>0.02</v>
      </c>
      <c r="F111" s="368">
        <v>1831.4590868056821</v>
      </c>
      <c r="G111" s="347">
        <v>1546.6355546083225</v>
      </c>
      <c r="H111" s="347">
        <v>1342.4897709411498</v>
      </c>
      <c r="I111" s="347">
        <v>1183.2926268782128</v>
      </c>
      <c r="J111" s="347">
        <v>1060.3960936552351</v>
      </c>
    </row>
    <row r="112" spans="1:11" x14ac:dyDescent="0.3">
      <c r="D112" s="365" t="s">
        <v>266</v>
      </c>
      <c r="E112" s="281">
        <v>0.03</v>
      </c>
      <c r="F112" s="368">
        <v>2189.220448158474</v>
      </c>
      <c r="G112" s="347">
        <v>1783.9364673727644</v>
      </c>
      <c r="H112" s="369">
        <v>1510.720621287903</v>
      </c>
      <c r="I112" s="347">
        <v>1306.8906296941047</v>
      </c>
      <c r="J112" s="347">
        <v>1154.7512788546255</v>
      </c>
    </row>
    <row r="113" spans="5:10" x14ac:dyDescent="0.3">
      <c r="E113" s="281">
        <v>0.04</v>
      </c>
      <c r="F113" s="368">
        <v>2763.8068769978072</v>
      </c>
      <c r="G113" s="347">
        <v>2131.6098977020633</v>
      </c>
      <c r="H113" s="347">
        <v>1742.6020575017737</v>
      </c>
      <c r="I113" s="347">
        <v>1469.726093721391</v>
      </c>
      <c r="J113" s="347">
        <v>1274.9571997250819</v>
      </c>
    </row>
    <row r="114" spans="5:10" x14ac:dyDescent="0.3">
      <c r="E114" s="281">
        <v>0.05</v>
      </c>
      <c r="F114" s="368">
        <v>3838.0336787409083</v>
      </c>
      <c r="G114" s="347">
        <v>2689.9944979279071</v>
      </c>
      <c r="H114" s="347">
        <v>2082.6857513554332</v>
      </c>
      <c r="I114" s="347">
        <v>1694.0089026646349</v>
      </c>
      <c r="J114" s="347">
        <v>1433.3237303956835</v>
      </c>
    </row>
  </sheetData>
  <dataValidations count="1">
    <dataValidation type="list" allowBlank="1" showInputMessage="1" showErrorMessage="1" sqref="D13:D16" xr:uid="{EF79B629-0EA4-47B8-97ED-C9ADCA5FF4F6}">
      <formula1>"1,2,3"</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20FC2-320D-4CBF-B992-FAB8D638A003}">
  <dimension ref="A1:AC62"/>
  <sheetViews>
    <sheetView showGridLines="0" topLeftCell="A7" workbookViewId="0">
      <selection activeCell="A28" sqref="A28"/>
    </sheetView>
  </sheetViews>
  <sheetFormatPr defaultColWidth="12.44140625" defaultRowHeight="14.4" outlineLevelRow="1" x14ac:dyDescent="0.3"/>
  <cols>
    <col min="1" max="1" width="4.88671875" style="263" customWidth="1"/>
    <col min="2" max="4" width="12.44140625" style="254"/>
    <col min="5" max="5" width="12.5546875" style="254" bestFit="1" customWidth="1"/>
    <col min="6" max="7" width="14" style="254" bestFit="1" customWidth="1"/>
    <col min="8" max="8" width="12.44140625" style="254"/>
    <col min="9" max="11" width="13.6640625" style="254" bestFit="1" customWidth="1"/>
    <col min="12" max="12" width="13.21875" style="254" bestFit="1" customWidth="1"/>
    <col min="13" max="13" width="12.6640625" style="254" bestFit="1" customWidth="1"/>
    <col min="14" max="14" width="13.21875" style="254" bestFit="1" customWidth="1"/>
    <col min="15" max="15" width="12.6640625" style="254" bestFit="1" customWidth="1"/>
    <col min="16" max="16384" width="12.44140625" style="254"/>
  </cols>
  <sheetData>
    <row r="1" spans="1:29" customFormat="1" x14ac:dyDescent="0.3">
      <c r="A1" s="382"/>
    </row>
    <row r="2" spans="1:29" s="318" customFormat="1" ht="21" x14ac:dyDescent="0.4">
      <c r="A2" s="383"/>
      <c r="B2" s="384" t="s">
        <v>344</v>
      </c>
      <c r="F2" s="385"/>
      <c r="R2" s="385"/>
      <c r="U2" s="385"/>
    </row>
    <row r="3" spans="1:29" customFormat="1" x14ac:dyDescent="0.3">
      <c r="A3" s="382"/>
    </row>
    <row r="4" spans="1:29" customFormat="1" ht="15.6" x14ac:dyDescent="0.3">
      <c r="A4" s="382"/>
      <c r="B4" s="386" t="s">
        <v>334</v>
      </c>
      <c r="C4" s="443">
        <f>DATE(2025,9,1)</f>
        <v>45901</v>
      </c>
      <c r="F4" s="387"/>
    </row>
    <row r="5" spans="1:29" customFormat="1" ht="15.6" x14ac:dyDescent="0.3">
      <c r="A5" s="382"/>
      <c r="B5" s="386" t="s">
        <v>345</v>
      </c>
      <c r="C5" s="444" t="s">
        <v>346</v>
      </c>
    </row>
    <row r="6" spans="1:29" customFormat="1" x14ac:dyDescent="0.3">
      <c r="A6" s="382"/>
    </row>
    <row r="7" spans="1:29" customFormat="1" ht="17.399999999999999" x14ac:dyDescent="0.3">
      <c r="A7" s="382"/>
      <c r="B7" s="445"/>
      <c r="C7" s="446"/>
      <c r="D7" s="447"/>
      <c r="E7" s="447"/>
      <c r="F7" s="447"/>
      <c r="G7" s="447"/>
      <c r="H7" s="447"/>
      <c r="I7" s="447"/>
      <c r="J7" s="447"/>
      <c r="K7" s="447"/>
      <c r="L7" s="447"/>
      <c r="M7" s="447"/>
      <c r="N7" s="447"/>
      <c r="O7" s="447"/>
      <c r="P7" s="447"/>
      <c r="Q7" s="447"/>
      <c r="R7" s="447"/>
      <c r="S7" s="447"/>
      <c r="T7" s="447"/>
      <c r="U7" s="447"/>
      <c r="V7" s="447"/>
      <c r="W7" s="447"/>
      <c r="X7" s="448" t="s">
        <v>347</v>
      </c>
      <c r="Y7" s="448"/>
      <c r="Z7" s="448"/>
      <c r="AA7" s="448"/>
      <c r="AB7" s="448"/>
      <c r="AC7" s="448"/>
    </row>
    <row r="8" spans="1:29" customFormat="1" ht="17.399999999999999" x14ac:dyDescent="0.3">
      <c r="A8" s="382"/>
      <c r="B8" s="445"/>
      <c r="C8" s="445"/>
      <c r="D8" s="447" t="s">
        <v>348</v>
      </c>
      <c r="E8" s="447" t="s">
        <v>349</v>
      </c>
      <c r="F8" s="447" t="s">
        <v>350</v>
      </c>
      <c r="G8" s="447" t="s">
        <v>351</v>
      </c>
      <c r="H8" s="448"/>
      <c r="I8" s="448" t="s">
        <v>233</v>
      </c>
      <c r="J8" s="448"/>
      <c r="K8" s="448"/>
      <c r="L8" s="448" t="s">
        <v>352</v>
      </c>
      <c r="M8" s="448"/>
      <c r="N8" s="448" t="s">
        <v>353</v>
      </c>
      <c r="O8" s="448"/>
      <c r="P8" s="447"/>
      <c r="Q8" s="448" t="s">
        <v>231</v>
      </c>
      <c r="R8" s="448"/>
      <c r="S8" s="448" t="s">
        <v>354</v>
      </c>
      <c r="T8" s="448"/>
      <c r="U8" s="448" t="s">
        <v>355</v>
      </c>
      <c r="V8" s="448"/>
      <c r="W8" s="447"/>
      <c r="X8" s="448" t="s">
        <v>356</v>
      </c>
      <c r="Y8" s="448"/>
      <c r="Z8" s="448" t="s">
        <v>357</v>
      </c>
      <c r="AA8" s="448"/>
      <c r="AB8" s="448" t="s">
        <v>358</v>
      </c>
      <c r="AC8" s="448"/>
    </row>
    <row r="9" spans="1:29" customFormat="1" ht="15.6" customHeight="1" x14ac:dyDescent="0.3">
      <c r="A9" s="382"/>
      <c r="B9" s="449" t="s">
        <v>329</v>
      </c>
      <c r="C9" s="449" t="s">
        <v>89</v>
      </c>
      <c r="D9" s="450" t="s">
        <v>54</v>
      </c>
      <c r="E9" s="450" t="s">
        <v>359</v>
      </c>
      <c r="F9" s="450" t="s">
        <v>360</v>
      </c>
      <c r="G9" s="450" t="s">
        <v>361</v>
      </c>
      <c r="H9" s="451"/>
      <c r="I9" s="451" t="s">
        <v>362</v>
      </c>
      <c r="J9" s="451">
        <f>I9+1</f>
        <v>25</v>
      </c>
      <c r="K9" s="451">
        <f>J9+1</f>
        <v>26</v>
      </c>
      <c r="L9" s="451" t="s">
        <v>341</v>
      </c>
      <c r="M9" s="451" t="s">
        <v>263</v>
      </c>
      <c r="N9" s="451" t="str">
        <f>L9</f>
        <v>'25</v>
      </c>
      <c r="O9" s="451" t="str">
        <f>M9</f>
        <v>'26</v>
      </c>
      <c r="P9" s="450"/>
      <c r="Q9" s="451" t="s">
        <v>363</v>
      </c>
      <c r="R9" s="451" t="s">
        <v>262</v>
      </c>
      <c r="S9" s="451" t="s">
        <v>341</v>
      </c>
      <c r="T9" s="451" t="s">
        <v>263</v>
      </c>
      <c r="U9" s="451" t="str">
        <f>S9</f>
        <v>'25</v>
      </c>
      <c r="V9" s="451" t="str">
        <f>T9</f>
        <v>'26</v>
      </c>
      <c r="W9" s="451"/>
      <c r="X9" s="451" t="s">
        <v>341</v>
      </c>
      <c r="Y9" s="451" t="s">
        <v>263</v>
      </c>
      <c r="Z9" s="451" t="s">
        <v>341</v>
      </c>
      <c r="AA9" s="451" t="s">
        <v>263</v>
      </c>
      <c r="AB9" s="451" t="s">
        <v>341</v>
      </c>
      <c r="AC9" s="451" t="s">
        <v>263</v>
      </c>
    </row>
    <row r="10" spans="1:29" customFormat="1" ht="5.0999999999999996" customHeight="1" x14ac:dyDescent="0.3">
      <c r="A10" s="382"/>
      <c r="B10" s="388"/>
      <c r="C10" s="388"/>
      <c r="D10" s="389"/>
      <c r="E10" s="389"/>
      <c r="F10" s="389"/>
      <c r="G10" s="389"/>
      <c r="H10" s="389"/>
      <c r="I10" s="389"/>
      <c r="J10" s="389"/>
      <c r="K10" s="389"/>
      <c r="L10" s="389"/>
      <c r="M10" s="389"/>
      <c r="N10" s="389"/>
      <c r="O10" s="389"/>
      <c r="P10" s="389"/>
      <c r="Q10" s="390"/>
      <c r="R10" s="390"/>
      <c r="S10" s="390"/>
      <c r="T10" s="390"/>
      <c r="U10" s="390"/>
      <c r="V10" s="390"/>
      <c r="W10" s="390"/>
      <c r="X10" s="390"/>
      <c r="Y10" s="390"/>
      <c r="Z10" s="390"/>
      <c r="AA10" s="390"/>
      <c r="AB10" s="390"/>
      <c r="AC10" s="390"/>
    </row>
    <row r="11" spans="1:29" customFormat="1" ht="15.6" x14ac:dyDescent="0.3">
      <c r="A11" s="382"/>
      <c r="B11" s="452" t="s">
        <v>339</v>
      </c>
      <c r="C11" s="391" t="str">
        <f>VLOOKUP($B11,[1]Database!$B$8:$O$32,[1]Database!C$4,0)</f>
        <v>Sun Pharmaceutical Industries Ltd.</v>
      </c>
      <c r="D11" s="391">
        <v>1563.3</v>
      </c>
      <c r="E11" s="391">
        <f>VLOOKUP($B11,[1]Database!$B$8:$O$32,[1]Database!E$4,0)</f>
        <v>2399.33</v>
      </c>
      <c r="F11" s="391">
        <f>VLOOKUP($B11,[1]Database!$B$8:$O$32,[1]Database!F$4,0)</f>
        <v>3604729.75</v>
      </c>
      <c r="G11" s="626">
        <v>375194.75</v>
      </c>
      <c r="H11" s="391"/>
      <c r="I11" s="391">
        <f>VLOOKUP($B11,[1]Database!$B$8:$O$32,[1]Database!I$4,0)</f>
        <v>525784</v>
      </c>
      <c r="J11" s="391">
        <f>VLOOKUP($B11,[1]Database!$B$8:$O$32,[1]Database!J$4,0)</f>
        <v>572731</v>
      </c>
      <c r="K11" s="391">
        <f>VLOOKUP($B11,[1]Database!$B$8:$O$32,[1]Database!K$4,0)</f>
        <v>631547</v>
      </c>
      <c r="L11" s="391">
        <f>VLOOKUP($B11,[1]Database!$B$8:$O$32,[1]Database!L$4,0)</f>
        <v>161517</v>
      </c>
      <c r="M11" s="391">
        <f>VLOOKUP($B11,[1]Database!$B$8:$O$32,[1]Database!M$4,0)</f>
        <v>184479</v>
      </c>
      <c r="N11" s="391">
        <f>VLOOKUP($B11,[1]Database!$B$8:$O$32,[1]Database!N$4,0)</f>
        <v>117125</v>
      </c>
      <c r="O11" s="391">
        <f>VLOOKUP($B11,[1]Database!$B$8:$O$32,[1]Database!O$4,0)</f>
        <v>135843</v>
      </c>
      <c r="P11" s="392"/>
      <c r="Q11" s="393">
        <f>J11/I11-1</f>
        <v>8.9289518129117562E-2</v>
      </c>
      <c r="R11" s="393">
        <f>K11/J11-1</f>
        <v>0.10269393484899547</v>
      </c>
      <c r="S11" s="393">
        <f>L11/J11</f>
        <v>0.2820119742077869</v>
      </c>
      <c r="T11" s="393">
        <f t="shared" ref="T11" si="0">M11/K11</f>
        <v>0.29210652572175944</v>
      </c>
      <c r="U11" s="393">
        <f>N11/J11</f>
        <v>0.2045026373637886</v>
      </c>
      <c r="V11" s="393">
        <f t="shared" ref="V11" si="1">O11/K11</f>
        <v>0.21509563025396369</v>
      </c>
      <c r="W11" s="394"/>
      <c r="X11" s="395">
        <f>$F11/J11</f>
        <v>6.2939316188577186</v>
      </c>
      <c r="Y11" s="395">
        <f>$F11/K11</f>
        <v>5.7077774892446644</v>
      </c>
      <c r="Z11" s="395">
        <f t="shared" ref="Z11:AA11" si="2">$F11/L11</f>
        <v>22.317958790715529</v>
      </c>
      <c r="AA11" s="395">
        <f t="shared" si="2"/>
        <v>19.54005469457228</v>
      </c>
      <c r="AB11" s="395">
        <f>$G11/N11</f>
        <v>3.2033703308431165</v>
      </c>
      <c r="AC11" s="395">
        <f t="shared" ref="AC11" si="3">$G11/O11</f>
        <v>2.7619733810354599</v>
      </c>
    </row>
    <row r="12" spans="1:29" customFormat="1" ht="4.95" customHeight="1" x14ac:dyDescent="0.3">
      <c r="A12" s="382"/>
      <c r="B12" s="453"/>
      <c r="D12" s="397"/>
      <c r="E12" s="398"/>
      <c r="F12" s="398"/>
      <c r="G12" s="398"/>
      <c r="H12" s="399"/>
      <c r="I12" s="398"/>
      <c r="J12" s="398"/>
      <c r="K12" s="398"/>
      <c r="L12" s="398"/>
      <c r="M12" s="398"/>
      <c r="N12" s="398"/>
      <c r="O12" s="398"/>
      <c r="P12" s="399"/>
      <c r="Q12" s="399"/>
      <c r="R12" s="399"/>
      <c r="S12" s="399"/>
      <c r="T12" s="399"/>
      <c r="U12" s="399"/>
      <c r="V12" s="399"/>
      <c r="W12" s="399"/>
      <c r="X12" s="400"/>
      <c r="Y12" s="400"/>
      <c r="Z12" s="400"/>
      <c r="AA12" s="400"/>
      <c r="AB12" s="400"/>
      <c r="AC12" s="400"/>
    </row>
    <row r="13" spans="1:29" customFormat="1" ht="15.6" x14ac:dyDescent="0.3">
      <c r="A13" s="382">
        <v>1</v>
      </c>
      <c r="B13" s="454" t="s">
        <v>364</v>
      </c>
      <c r="C13" t="str">
        <f>VLOOKUP($B13,[1]Database!$B$8:$O$32,[1]Database!C$4,0)</f>
        <v>Divi's Laboratories Limited </v>
      </c>
      <c r="D13">
        <f>VLOOKUP($B13,[1]Database!$B$8:$O$32,[1]Database!D$4,0)</f>
        <v>6190.5</v>
      </c>
      <c r="E13">
        <f>VLOOKUP($B13,[1]Database!$B$8:$O$32,[1]Database!E$4,0)</f>
        <v>265.47000000000003</v>
      </c>
      <c r="F13">
        <f>VLOOKUP($B13,[1]Database!$B$8:$O$32,[1]Database!F$4,0)</f>
        <v>1608153.24</v>
      </c>
      <c r="G13">
        <f>VLOOKUP($B13,[1]Database!$B$8:$O$32,[1]Database!G$4,0)</f>
        <v>1643383.24</v>
      </c>
      <c r="I13">
        <f>VLOOKUP($B13,[1]Database!$B$8:$O$32,[1]Database!I$4,0)</f>
        <v>93600</v>
      </c>
      <c r="J13">
        <f>VLOOKUP($B13,[1]Database!$B$8:$O$32,[1]Database!J$4,0)</f>
        <v>106997</v>
      </c>
      <c r="K13">
        <f>VLOOKUP($B13,[1]Database!$B$8:$O$32,[1]Database!K$4,0)</f>
        <v>126951</v>
      </c>
      <c r="L13">
        <f>VLOOKUP($B13,[1]Database!$B$8:$O$32,[1]Database!L$4,0)</f>
        <v>35230</v>
      </c>
      <c r="M13">
        <f>VLOOKUP($B13,[1]Database!$B$8:$O$32,[1]Database!M$4,0)</f>
        <v>44255</v>
      </c>
      <c r="N13">
        <f>VLOOKUP($B13,[1]Database!$B$8:$O$32,[1]Database!N$4,0)</f>
        <v>25345</v>
      </c>
      <c r="O13">
        <f>VLOOKUP($B13,[1]Database!$B$8:$O$32,[1]Database!O$4,0)</f>
        <v>32236</v>
      </c>
      <c r="P13" s="394"/>
      <c r="Q13" s="394">
        <f>J13/I13-1</f>
        <v>0.14313034188034179</v>
      </c>
      <c r="R13" s="394">
        <f>K13/J13-1</f>
        <v>0.18649121003392621</v>
      </c>
      <c r="S13" s="394">
        <f>L13/J13</f>
        <v>0.3292615680813481</v>
      </c>
      <c r="T13" s="394">
        <f t="shared" ref="T13:T18" si="4">M13/K13</f>
        <v>0.34859906578128569</v>
      </c>
      <c r="U13" s="394">
        <f>N13/J13</f>
        <v>0.23687580025608196</v>
      </c>
      <c r="V13" s="394">
        <f t="shared" ref="V13:V18" si="5">O13/K13</f>
        <v>0.25392474261723025</v>
      </c>
      <c r="W13" s="394"/>
      <c r="X13" s="400">
        <f>$F13/J13</f>
        <v>15.029890931521445</v>
      </c>
      <c r="Y13" s="400">
        <f>$F13/K13</f>
        <v>12.667511402037006</v>
      </c>
      <c r="Z13" s="400">
        <f t="shared" ref="Z13:AA18" si="6">$F13/L13</f>
        <v>45.647267669599771</v>
      </c>
      <c r="AA13" s="400">
        <f t="shared" si="6"/>
        <v>36.338340074567846</v>
      </c>
      <c r="AB13" s="400">
        <f>$G13/N13</f>
        <v>64.840530282106926</v>
      </c>
      <c r="AC13" s="400">
        <f t="shared" ref="AC13:AC18" si="7">$G13/O13</f>
        <v>50.979750589403153</v>
      </c>
    </row>
    <row r="14" spans="1:29" customFormat="1" ht="15.6" x14ac:dyDescent="0.3">
      <c r="A14" s="382">
        <f>A13+1</f>
        <v>2</v>
      </c>
      <c r="B14" s="454" t="s">
        <v>365</v>
      </c>
      <c r="C14" t="str">
        <f>VLOOKUP($B14,[1]Database!$B$8:$O$32,[1]Database!C$4,0)</f>
        <v>Cipla Ltd.</v>
      </c>
      <c r="D14">
        <f>VLOOKUP($B14,[1]Database!$B$8:$O$32,[1]Database!D$4,0)</f>
        <v>1579.8</v>
      </c>
      <c r="E14">
        <f>VLOOKUP($B14,[1]Database!$B$8:$O$32,[1]Database!E$4,0)</f>
        <v>807.75</v>
      </c>
      <c r="F14">
        <f>VLOOKUP($B14,[1]Database!$B$8:$O$32,[1]Database!F$4,0)</f>
        <v>1175270.19</v>
      </c>
      <c r="G14">
        <f>VLOOKUP($B14,[1]Database!$B$8:$O$32,[1]Database!G$4,0)</f>
        <v>1276089.8899999999</v>
      </c>
      <c r="I14">
        <f>VLOOKUP($B14,[1]Database!$B$8:$O$32,[1]Database!I$4,0)</f>
        <v>275476</v>
      </c>
      <c r="J14">
        <f>VLOOKUP($B14,[1]Database!$B$8:$O$32,[1]Database!J$4,0)</f>
        <v>293410</v>
      </c>
      <c r="K14">
        <f>VLOOKUP($B14,[1]Database!$B$8:$O$32,[1]Database!K$4,0)</f>
        <v>316896</v>
      </c>
      <c r="L14">
        <f>VLOOKUP($B14,[1]Database!$B$8:$O$32,[1]Database!L$4,0)</f>
        <v>71201</v>
      </c>
      <c r="M14">
        <f>VLOOKUP($B14,[1]Database!$B$8:$O$32,[1]Database!M$4,0)</f>
        <v>74830</v>
      </c>
      <c r="N14">
        <f>VLOOKUP($B14,[1]Database!$B$8:$O$32,[1]Database!N$4,0)</f>
        <v>49889</v>
      </c>
      <c r="O14">
        <f>VLOOKUP($B14,[1]Database!$B$8:$O$32,[1]Database!O$4,0)</f>
        <v>52679</v>
      </c>
      <c r="P14" s="394"/>
      <c r="Q14" s="394">
        <f t="shared" ref="Q14:R18" si="8">J14/I14-1</f>
        <v>6.5101860053144334E-2</v>
      </c>
      <c r="R14" s="394">
        <f t="shared" si="8"/>
        <v>8.004498824170958E-2</v>
      </c>
      <c r="S14" s="394">
        <f t="shared" ref="S14:S18" si="9">L14/J14</f>
        <v>0.24266725742135578</v>
      </c>
      <c r="T14" s="394">
        <f t="shared" si="4"/>
        <v>0.23613425224679391</v>
      </c>
      <c r="U14" s="394">
        <f t="shared" ref="U14:U18" si="10">N14/J14</f>
        <v>0.17003169626120446</v>
      </c>
      <c r="V14" s="394">
        <f t="shared" si="5"/>
        <v>0.16623434817732</v>
      </c>
      <c r="W14" s="394"/>
      <c r="X14" s="400">
        <f t="shared" ref="X14:Y18" si="11">$F14/J14</f>
        <v>4.0055560137691284</v>
      </c>
      <c r="Y14" s="400">
        <f t="shared" si="11"/>
        <v>3.7086936723720081</v>
      </c>
      <c r="Z14" s="400">
        <f t="shared" si="6"/>
        <v>16.506371961067963</v>
      </c>
      <c r="AA14" s="400">
        <f t="shared" si="6"/>
        <v>15.705869170118936</v>
      </c>
      <c r="AB14" s="400">
        <f t="shared" ref="AB14:AB18" si="12">$G14/N14</f>
        <v>25.578582252600771</v>
      </c>
      <c r="AC14" s="400">
        <f t="shared" si="7"/>
        <v>24.223882192144874</v>
      </c>
    </row>
    <row r="15" spans="1:29" customFormat="1" ht="15.6" x14ac:dyDescent="0.3">
      <c r="A15" s="382">
        <f t="shared" ref="A15:A18" si="13">A14+1</f>
        <v>3</v>
      </c>
      <c r="B15" s="454" t="s">
        <v>366</v>
      </c>
      <c r="C15" t="str">
        <f>VLOOKUP($B15,[1]Database!$B$8:$O$32,[1]Database!C$4,0)</f>
        <v>Torrent Pharma</v>
      </c>
      <c r="D15">
        <f>VLOOKUP($B15,[1]Database!$B$8:$O$32,[1]Database!D$4,0)</f>
        <v>3604.8</v>
      </c>
      <c r="E15">
        <f>VLOOKUP($B15,[1]Database!$B$8:$O$32,[1]Database!E$4,0)</f>
        <v>338.45</v>
      </c>
      <c r="F15">
        <f>VLOOKUP($B15,[1]Database!$B$8:$O$32,[1]Database!F$4,0)</f>
        <v>1244849.18</v>
      </c>
      <c r="G15">
        <f>VLOOKUP($B15,[1]Database!$B$8:$O$32,[1]Database!G$4,0)</f>
        <v>1219232.78</v>
      </c>
      <c r="I15">
        <f>VLOOKUP($B15,[1]Database!$B$8:$O$32,[1]Database!I$4,0)</f>
        <v>115160</v>
      </c>
      <c r="J15">
        <f>VLOOKUP($B15,[1]Database!$B$8:$O$32,[1]Database!J$4,0)</f>
        <v>130457</v>
      </c>
      <c r="K15">
        <f>VLOOKUP($B15,[1]Database!$B$8:$O$32,[1]Database!K$4,0)</f>
        <v>146051</v>
      </c>
      <c r="L15">
        <f>VLOOKUP($B15,[1]Database!$B$8:$O$32,[1]Database!L$4,0)</f>
        <v>43080</v>
      </c>
      <c r="M15">
        <f>VLOOKUP($B15,[1]Database!$B$8:$O$32,[1]Database!M$4,0)</f>
        <v>49402</v>
      </c>
      <c r="N15">
        <f>VLOOKUP($B15,[1]Database!$B$8:$O$32,[1]Database!N$4,0)</f>
        <v>24778</v>
      </c>
      <c r="O15">
        <f>VLOOKUP($B15,[1]Database!$B$8:$O$32,[1]Database!O$4,0)</f>
        <v>30257</v>
      </c>
      <c r="P15" s="394"/>
      <c r="Q15" s="394">
        <f t="shared" si="8"/>
        <v>0.13283258075720727</v>
      </c>
      <c r="R15" s="394">
        <f t="shared" si="8"/>
        <v>0.11953363943674922</v>
      </c>
      <c r="S15" s="394">
        <f t="shared" si="9"/>
        <v>0.33022375188759517</v>
      </c>
      <c r="T15" s="394">
        <f t="shared" si="4"/>
        <v>0.33825170659564124</v>
      </c>
      <c r="U15" s="394">
        <f t="shared" si="10"/>
        <v>0.18993231486236845</v>
      </c>
      <c r="V15" s="394">
        <f t="shared" si="5"/>
        <v>0.20716735934707739</v>
      </c>
      <c r="W15" s="394"/>
      <c r="X15" s="400">
        <f t="shared" si="11"/>
        <v>9.5422183554734499</v>
      </c>
      <c r="Y15" s="400">
        <f t="shared" si="11"/>
        <v>8.5233868990968897</v>
      </c>
      <c r="Z15" s="400">
        <f t="shared" si="6"/>
        <v>28.89622051996286</v>
      </c>
      <c r="AA15" s="400">
        <f t="shared" si="6"/>
        <v>25.198355937006596</v>
      </c>
      <c r="AB15" s="400">
        <f t="shared" si="12"/>
        <v>49.206262813786424</v>
      </c>
      <c r="AC15" s="400">
        <f t="shared" si="7"/>
        <v>40.295891198730871</v>
      </c>
    </row>
    <row r="16" spans="1:29" customFormat="1" ht="15.6" x14ac:dyDescent="0.3">
      <c r="A16" s="382">
        <f t="shared" si="13"/>
        <v>4</v>
      </c>
      <c r="B16" s="454" t="s">
        <v>367</v>
      </c>
      <c r="C16" t="str">
        <f>VLOOKUP($B16,[1]Database!$B$8:$O$32,[1]Database!C$4,0)</f>
        <v>Dr. Reddy's Laboratories Limited</v>
      </c>
      <c r="D16">
        <f>VLOOKUP($B16,[1]Database!$B$8:$O$32,[1]Database!D$4,0)</f>
        <v>1263.2</v>
      </c>
      <c r="E16">
        <f>VLOOKUP($B16,[1]Database!$B$8:$O$32,[1]Database!E$4,0)</f>
        <v>832.88</v>
      </c>
      <c r="F16">
        <f>VLOOKUP($B16,[1]Database!$B$8:$O$32,[1]Database!F$4,0)</f>
        <v>1037232.97</v>
      </c>
      <c r="G16">
        <f>VLOOKUP($B16,[1]Database!$B$8:$O$32,[1]Database!G$4,0)</f>
        <v>1051580.97</v>
      </c>
      <c r="I16">
        <f>VLOOKUP($B16,[1]Database!$B$8:$O$32,[1]Database!I$4,0)</f>
        <v>325535</v>
      </c>
      <c r="J16">
        <f>VLOOKUP($B16,[1]Database!$B$8:$O$32,[1]Database!J$4,0)</f>
        <v>344261</v>
      </c>
      <c r="K16">
        <f>VLOOKUP($B16,[1]Database!$B$8:$O$32,[1]Database!K$4,0)</f>
        <v>348656</v>
      </c>
      <c r="L16">
        <f>VLOOKUP($B16,[1]Database!$B$8:$O$32,[1]Database!L$4,0)</f>
        <v>85548</v>
      </c>
      <c r="M16">
        <f>VLOOKUP($B16,[1]Database!$B$8:$O$32,[1]Database!M$4,0)</f>
        <v>77053</v>
      </c>
      <c r="N16">
        <f>VLOOKUP($B16,[1]Database!$B$8:$O$32,[1]Database!N$4,0)</f>
        <v>54123</v>
      </c>
      <c r="O16">
        <f>VLOOKUP($B16,[1]Database!$B$8:$O$32,[1]Database!O$4,0)</f>
        <v>47252</v>
      </c>
      <c r="P16" s="394"/>
      <c r="Q16" s="394">
        <f t="shared" si="8"/>
        <v>5.7523768565592048E-2</v>
      </c>
      <c r="R16" s="394">
        <f t="shared" si="8"/>
        <v>1.2766476597697585E-2</v>
      </c>
      <c r="S16" s="394">
        <f t="shared" si="9"/>
        <v>0.24849750625252351</v>
      </c>
      <c r="T16" s="394">
        <f t="shared" si="4"/>
        <v>0.22100006883575787</v>
      </c>
      <c r="U16" s="394">
        <f t="shared" si="10"/>
        <v>0.15721501999936094</v>
      </c>
      <c r="V16" s="394">
        <f t="shared" si="5"/>
        <v>0.13552613464274241</v>
      </c>
      <c r="W16" s="394"/>
      <c r="X16" s="400">
        <f t="shared" si="11"/>
        <v>3.0129261519602859</v>
      </c>
      <c r="Y16" s="400">
        <f t="shared" si="11"/>
        <v>2.9749465662429442</v>
      </c>
      <c r="Z16" s="400">
        <f t="shared" si="6"/>
        <v>12.124572988263898</v>
      </c>
      <c r="AA16" s="400">
        <f t="shared" si="6"/>
        <v>13.461292486989475</v>
      </c>
      <c r="AB16" s="400">
        <f t="shared" si="12"/>
        <v>19.429465661548694</v>
      </c>
      <c r="AC16" s="400">
        <f t="shared" si="7"/>
        <v>22.254739905189197</v>
      </c>
    </row>
    <row r="17" spans="1:29" customFormat="1" ht="15.6" x14ac:dyDescent="0.3">
      <c r="A17" s="382">
        <f t="shared" si="13"/>
        <v>5</v>
      </c>
      <c r="B17" s="454" t="s">
        <v>368</v>
      </c>
      <c r="C17" t="str">
        <f>VLOOKUP($B17,[1]Database!$B$8:$O$32,[1]Database!C$4,0)</f>
        <v>Mankind Pharma Limited</v>
      </c>
      <c r="D17">
        <f>VLOOKUP($B17,[1]Database!$B$8:$O$32,[1]Database!D$4,0)</f>
        <v>2502</v>
      </c>
      <c r="E17">
        <f>VLOOKUP($B17,[1]Database!$B$8:$O$32,[1]Database!E$4,0)</f>
        <v>412.73</v>
      </c>
      <c r="F17">
        <f>VLOOKUP($B17,[1]Database!$B$8:$O$32,[1]Database!F$4,0)</f>
        <v>1094871.73</v>
      </c>
      <c r="G17">
        <f>VLOOKUP($B17,[1]Database!$B$8:$O$32,[1]Database!G$4,0)</f>
        <v>1032647.33</v>
      </c>
      <c r="I17">
        <f>VLOOKUP($B17,[1]Database!$B$8:$O$32,[1]Database!I$4,0)</f>
        <v>122074</v>
      </c>
      <c r="J17">
        <f>VLOOKUP($B17,[1]Database!$B$8:$O$32,[1]Database!J$4,0)</f>
        <v>147733</v>
      </c>
      <c r="K17">
        <f>VLOOKUP($B17,[1]Database!$B$8:$O$32,[1]Database!K$4,0)</f>
        <v>166018</v>
      </c>
      <c r="L17">
        <f>VLOOKUP($B17,[1]Database!$B$8:$O$32,[1]Database!L$4,0)</f>
        <v>38140</v>
      </c>
      <c r="M17">
        <f>VLOOKUP($B17,[1]Database!$B$8:$O$32,[1]Database!M$4,0)</f>
        <v>44655</v>
      </c>
      <c r="N17">
        <f>VLOOKUP($B17,[1]Database!$B$8:$O$32,[1]Database!N$4,0)</f>
        <v>20972</v>
      </c>
      <c r="O17">
        <f>VLOOKUP($B17,[1]Database!$B$8:$O$32,[1]Database!O$4,0)</f>
        <v>26997</v>
      </c>
      <c r="P17" s="394"/>
      <c r="Q17" s="394">
        <f t="shared" si="8"/>
        <v>0.21019217851467142</v>
      </c>
      <c r="R17" s="394">
        <f t="shared" si="8"/>
        <v>0.12377058612496872</v>
      </c>
      <c r="S17" s="394">
        <f t="shared" si="9"/>
        <v>0.25816845254614745</v>
      </c>
      <c r="T17" s="394">
        <f t="shared" si="4"/>
        <v>0.26897685793106774</v>
      </c>
      <c r="U17" s="394">
        <f t="shared" si="10"/>
        <v>0.14195880405867342</v>
      </c>
      <c r="V17" s="394">
        <f t="shared" si="5"/>
        <v>0.16261489717982389</v>
      </c>
      <c r="W17" s="394"/>
      <c r="X17" s="400">
        <f t="shared" si="11"/>
        <v>7.4111520784117291</v>
      </c>
      <c r="Y17" s="400">
        <f t="shared" si="11"/>
        <v>6.5948977219337657</v>
      </c>
      <c r="Z17" s="400">
        <f t="shared" si="6"/>
        <v>28.706652595700053</v>
      </c>
      <c r="AA17" s="400">
        <f t="shared" si="6"/>
        <v>24.518457731497033</v>
      </c>
      <c r="AB17" s="400">
        <f t="shared" si="12"/>
        <v>49.239334827388895</v>
      </c>
      <c r="AC17" s="400">
        <f t="shared" si="7"/>
        <v>38.250447457124864</v>
      </c>
    </row>
    <row r="18" spans="1:29" customFormat="1" ht="15.6" x14ac:dyDescent="0.3">
      <c r="A18" s="382">
        <f t="shared" si="13"/>
        <v>6</v>
      </c>
      <c r="B18" s="454" t="s">
        <v>369</v>
      </c>
      <c r="C18" t="str">
        <f>VLOOKUP($B18,[1]Database!$B$8:$O$32,[1]Database!C$4,0)</f>
        <v>Zydus Lifescience Ltd.</v>
      </c>
      <c r="D18">
        <f>VLOOKUP($B18,[1]Database!$B$8:$O$32,[1]Database!D$4,0)</f>
        <v>987.85</v>
      </c>
      <c r="E18">
        <f>VLOOKUP($B18,[1]Database!$B$8:$O$32,[1]Database!E$4,0)</f>
        <v>1006.23</v>
      </c>
      <c r="F18">
        <f>VLOOKUP($B18,[1]Database!$B$8:$O$32,[1]Database!F$4,0)</f>
        <v>993869.25</v>
      </c>
      <c r="G18">
        <f>VLOOKUP($B18,[1]Database!$B$8:$O$32,[1]Database!G$4,0)</f>
        <v>994008.25</v>
      </c>
      <c r="I18">
        <f>VLOOKUP($B18,[1]Database!$B$8:$O$32,[1]Database!I$4,0)</f>
        <v>232415</v>
      </c>
      <c r="J18">
        <f>VLOOKUP($B18,[1]Database!$B$8:$O$32,[1]Database!J$4,0)</f>
        <v>251879</v>
      </c>
      <c r="K18">
        <f>VLOOKUP($B18,[1]Database!$B$8:$O$32,[1]Database!K$4,0)</f>
        <v>260541</v>
      </c>
      <c r="L18">
        <f>VLOOKUP($B18,[1]Database!$B$8:$O$32,[1]Database!L$4,0)</f>
        <v>68171</v>
      </c>
      <c r="M18">
        <f>VLOOKUP($B18,[1]Database!$B$8:$O$32,[1]Database!M$4,0)</f>
        <v>63820</v>
      </c>
      <c r="N18">
        <f>VLOOKUP($B18,[1]Database!$B$8:$O$32,[1]Database!N$4,0)</f>
        <v>45171</v>
      </c>
      <c r="O18">
        <f>VLOOKUP($B18,[1]Database!$B$8:$O$32,[1]Database!O$4,0)</f>
        <v>41610</v>
      </c>
      <c r="P18" s="394"/>
      <c r="Q18" s="394">
        <f t="shared" si="8"/>
        <v>8.3746746122238314E-2</v>
      </c>
      <c r="R18" s="394">
        <f t="shared" si="8"/>
        <v>3.4389528305257766E-2</v>
      </c>
      <c r="S18" s="394">
        <f t="shared" si="9"/>
        <v>0.27064979613226986</v>
      </c>
      <c r="T18" s="394">
        <f t="shared" si="4"/>
        <v>0.24495185018864593</v>
      </c>
      <c r="U18" s="394">
        <f t="shared" si="10"/>
        <v>0.17933610979875259</v>
      </c>
      <c r="V18" s="394">
        <f t="shared" si="5"/>
        <v>0.15970614989579376</v>
      </c>
      <c r="W18" s="394"/>
      <c r="X18" s="400">
        <f t="shared" si="11"/>
        <v>3.9458202152620903</v>
      </c>
      <c r="Y18" s="400">
        <f t="shared" si="11"/>
        <v>3.8146366598731101</v>
      </c>
      <c r="Z18" s="400">
        <f t="shared" si="6"/>
        <v>14.579062211204178</v>
      </c>
      <c r="AA18" s="400">
        <f t="shared" si="6"/>
        <v>15.57300611093701</v>
      </c>
      <c r="AB18" s="400">
        <f t="shared" si="12"/>
        <v>22.005451506497533</v>
      </c>
      <c r="AC18" s="400">
        <f t="shared" si="7"/>
        <v>23.888686613794761</v>
      </c>
    </row>
    <row r="19" spans="1:29" customFormat="1" ht="15.6" x14ac:dyDescent="0.3">
      <c r="A19" s="382"/>
      <c r="B19" s="396"/>
      <c r="P19" s="394"/>
      <c r="Q19" s="394"/>
      <c r="R19" s="394"/>
      <c r="S19" s="394"/>
      <c r="T19" s="394"/>
      <c r="U19" s="394"/>
      <c r="V19" s="394"/>
      <c r="W19" s="394"/>
      <c r="X19" s="400"/>
      <c r="Y19" s="400"/>
      <c r="Z19" s="400"/>
      <c r="AA19" s="400"/>
      <c r="AB19" s="400"/>
      <c r="AC19" s="400"/>
    </row>
    <row r="20" spans="1:29" customFormat="1" ht="15.6" x14ac:dyDescent="0.3">
      <c r="A20" s="382"/>
      <c r="B20" s="396"/>
      <c r="P20" s="394"/>
      <c r="Q20" s="394"/>
      <c r="R20" s="394"/>
      <c r="S20" s="394"/>
      <c r="T20" s="394"/>
      <c r="U20" s="394"/>
      <c r="V20" s="394"/>
      <c r="W20" s="394"/>
      <c r="X20" s="400"/>
      <c r="Y20" s="400"/>
      <c r="Z20" s="400"/>
      <c r="AA20" s="400"/>
      <c r="AB20" s="400"/>
      <c r="AC20" s="400"/>
    </row>
    <row r="21" spans="1:29" customFormat="1" ht="5.0999999999999996" customHeight="1" x14ac:dyDescent="0.3">
      <c r="A21" s="382"/>
      <c r="B21" s="396"/>
      <c r="D21" s="382"/>
      <c r="E21" s="382"/>
      <c r="F21" s="402"/>
      <c r="G21" s="402"/>
      <c r="I21" s="394"/>
      <c r="J21" s="394"/>
      <c r="K21" s="394"/>
      <c r="L21" s="394"/>
      <c r="M21" s="394"/>
      <c r="N21" s="394"/>
      <c r="O21" s="394"/>
      <c r="P21" s="394"/>
      <c r="Q21" s="394"/>
      <c r="R21" s="394"/>
      <c r="S21" s="394"/>
      <c r="T21" s="394"/>
      <c r="U21" s="394"/>
      <c r="V21" s="394"/>
      <c r="W21" s="394"/>
      <c r="X21" s="400"/>
      <c r="Y21" s="400"/>
      <c r="Z21" s="400"/>
      <c r="AA21" s="400"/>
      <c r="AB21" s="400"/>
      <c r="AC21" s="400"/>
    </row>
    <row r="22" spans="1:29" customFormat="1" ht="15.6" outlineLevel="1" x14ac:dyDescent="0.3">
      <c r="A22" s="382"/>
      <c r="B22" s="595" t="s">
        <v>370</v>
      </c>
      <c r="C22" s="596"/>
      <c r="D22" s="596"/>
      <c r="E22" s="596"/>
      <c r="F22" s="596"/>
      <c r="G22" s="596"/>
      <c r="H22" s="597"/>
      <c r="I22" s="597"/>
      <c r="J22" s="597"/>
      <c r="K22" s="597"/>
      <c r="L22" s="597"/>
      <c r="M22" s="597"/>
      <c r="N22" s="597"/>
      <c r="O22" s="597"/>
      <c r="P22" s="597"/>
      <c r="Q22" s="597">
        <f>AVERAGE(Q11:Q20)</f>
        <v>0.11168814200318754</v>
      </c>
      <c r="R22" s="597">
        <f t="shared" ref="R22:V22" si="14">AVERAGE(R11:R20)</f>
        <v>9.4241480512757797E-2</v>
      </c>
      <c r="S22" s="597">
        <f t="shared" si="14"/>
        <v>0.28021147236128952</v>
      </c>
      <c r="T22" s="597">
        <f t="shared" si="14"/>
        <v>0.27857433247156455</v>
      </c>
      <c r="U22" s="597">
        <f t="shared" si="14"/>
        <v>0.18283605465717581</v>
      </c>
      <c r="V22" s="597">
        <f t="shared" si="14"/>
        <v>0.18575275173056446</v>
      </c>
      <c r="W22" s="597"/>
      <c r="X22" s="598">
        <f t="shared" ref="X22:AC22" si="15">AVERAGE(X11:X20)</f>
        <v>7.0344993378936929</v>
      </c>
      <c r="Y22" s="598">
        <f t="shared" si="15"/>
        <v>6.2845500586857694</v>
      </c>
      <c r="Z22" s="598">
        <f t="shared" si="15"/>
        <v>24.111158105216326</v>
      </c>
      <c r="AA22" s="598">
        <f t="shared" si="15"/>
        <v>21.476482315098451</v>
      </c>
      <c r="AB22" s="598">
        <f t="shared" si="15"/>
        <v>33.35757109639605</v>
      </c>
      <c r="AC22" s="599">
        <f t="shared" si="15"/>
        <v>28.950767333917593</v>
      </c>
    </row>
    <row r="23" spans="1:29" customFormat="1" ht="15.6" outlineLevel="1" x14ac:dyDescent="0.3">
      <c r="A23" s="382"/>
      <c r="B23" s="600" t="s">
        <v>371</v>
      </c>
      <c r="C23" s="601"/>
      <c r="D23" s="601"/>
      <c r="E23" s="601"/>
      <c r="F23" s="601"/>
      <c r="G23" s="601"/>
      <c r="H23" s="602"/>
      <c r="I23" s="602"/>
      <c r="J23" s="602"/>
      <c r="K23" s="602"/>
      <c r="L23" s="602"/>
      <c r="M23" s="602"/>
      <c r="N23" s="602"/>
      <c r="O23" s="602"/>
      <c r="P23" s="602"/>
      <c r="Q23" s="602">
        <f>MEDIAN(Q11:Q20)</f>
        <v>8.9289518129117562E-2</v>
      </c>
      <c r="R23" s="602">
        <f t="shared" ref="R23:V23" si="16">MEDIAN(R11:R20)</f>
        <v>0.10269393484899547</v>
      </c>
      <c r="S23" s="602">
        <f t="shared" si="16"/>
        <v>0.27064979613226986</v>
      </c>
      <c r="T23" s="602">
        <f t="shared" si="16"/>
        <v>0.26897685793106774</v>
      </c>
      <c r="U23" s="602">
        <f t="shared" si="16"/>
        <v>0.17933610979875259</v>
      </c>
      <c r="V23" s="602">
        <f t="shared" si="16"/>
        <v>0.16623434817732</v>
      </c>
      <c r="W23" s="602"/>
      <c r="X23" s="603">
        <f t="shared" ref="X23:AC23" si="17">MEDIAN(X11:X20)</f>
        <v>6.2939316188577186</v>
      </c>
      <c r="Y23" s="603">
        <f t="shared" si="17"/>
        <v>5.7077774892446644</v>
      </c>
      <c r="Z23" s="603">
        <f t="shared" si="17"/>
        <v>22.317958790715529</v>
      </c>
      <c r="AA23" s="603">
        <f t="shared" si="17"/>
        <v>19.54005469457228</v>
      </c>
      <c r="AB23" s="603">
        <f t="shared" si="17"/>
        <v>25.578582252600771</v>
      </c>
      <c r="AC23" s="604">
        <f t="shared" si="17"/>
        <v>24.223882192144874</v>
      </c>
    </row>
    <row r="24" spans="1:29" customFormat="1" ht="15.6" customHeight="1" outlineLevel="1" x14ac:dyDescent="0.3">
      <c r="A24" s="382"/>
      <c r="B24" s="388"/>
      <c r="C24" s="388"/>
      <c r="D24" s="389"/>
      <c r="E24" s="389"/>
      <c r="F24" s="389"/>
      <c r="G24" s="389"/>
      <c r="I24" s="389"/>
      <c r="J24" s="389"/>
      <c r="K24" s="389"/>
      <c r="L24" s="389"/>
      <c r="M24" s="389"/>
      <c r="N24" s="389"/>
      <c r="O24" s="389"/>
      <c r="P24" s="389"/>
      <c r="Q24" s="390"/>
      <c r="R24" s="390"/>
      <c r="S24" s="390"/>
      <c r="T24" s="390"/>
      <c r="U24" s="390"/>
      <c r="V24" s="390"/>
      <c r="W24" s="390"/>
      <c r="X24" s="390"/>
      <c r="Y24" s="390"/>
      <c r="Z24" s="390"/>
      <c r="AA24" s="390"/>
      <c r="AB24" s="390"/>
      <c r="AC24" s="390"/>
    </row>
    <row r="25" spans="1:29" customFormat="1" ht="15.75" customHeight="1" outlineLevel="1" x14ac:dyDescent="0.3">
      <c r="A25" s="403"/>
      <c r="B25" s="445"/>
      <c r="C25" s="445"/>
      <c r="D25" s="448" t="s">
        <v>372</v>
      </c>
      <c r="E25" s="448"/>
      <c r="F25" s="448"/>
      <c r="G25" s="447"/>
      <c r="H25" s="448" t="s">
        <v>373</v>
      </c>
      <c r="I25" s="448"/>
      <c r="J25" s="448"/>
      <c r="K25" s="447"/>
      <c r="L25" s="448" t="s">
        <v>296</v>
      </c>
      <c r="M25" s="448"/>
      <c r="N25" s="448"/>
      <c r="O25" s="447"/>
      <c r="P25" s="447"/>
      <c r="Q25" s="448"/>
      <c r="R25" s="448"/>
      <c r="S25" s="448"/>
      <c r="T25" s="448" t="s">
        <v>300</v>
      </c>
      <c r="U25" s="448"/>
      <c r="V25" s="448"/>
      <c r="W25" s="447"/>
      <c r="X25" s="448" t="s">
        <v>330</v>
      </c>
      <c r="Y25" s="448"/>
      <c r="Z25" s="448"/>
      <c r="AA25" s="447"/>
      <c r="AB25" s="447"/>
      <c r="AC25" s="447"/>
    </row>
    <row r="26" spans="1:29" customFormat="1" ht="15.6" customHeight="1" outlineLevel="1" x14ac:dyDescent="0.3">
      <c r="A26" s="382"/>
      <c r="B26" s="449" t="s">
        <v>374</v>
      </c>
      <c r="C26" s="449"/>
      <c r="D26" s="450" t="s">
        <v>233</v>
      </c>
      <c r="E26" s="450" t="s">
        <v>352</v>
      </c>
      <c r="F26" s="450" t="s">
        <v>375</v>
      </c>
      <c r="G26" s="450"/>
      <c r="H26" s="450" t="s">
        <v>233</v>
      </c>
      <c r="I26" s="450" t="s">
        <v>352</v>
      </c>
      <c r="J26" s="450" t="s">
        <v>53</v>
      </c>
      <c r="K26" s="450"/>
      <c r="L26" s="450" t="s">
        <v>233</v>
      </c>
      <c r="M26" s="450" t="s">
        <v>352</v>
      </c>
      <c r="N26" s="450" t="s">
        <v>353</v>
      </c>
      <c r="O26" s="450"/>
      <c r="P26" s="450" t="s">
        <v>376</v>
      </c>
      <c r="Q26" s="450" t="s">
        <v>319</v>
      </c>
      <c r="R26" s="450" t="s">
        <v>377</v>
      </c>
      <c r="S26" s="450"/>
      <c r="T26" s="450" t="s">
        <v>233</v>
      </c>
      <c r="U26" s="450" t="s">
        <v>352</v>
      </c>
      <c r="V26" s="450" t="s">
        <v>353</v>
      </c>
      <c r="W26" s="450"/>
      <c r="X26" s="450" t="s">
        <v>233</v>
      </c>
      <c r="Y26" s="450" t="s">
        <v>352</v>
      </c>
      <c r="Z26" s="450" t="s">
        <v>353</v>
      </c>
      <c r="AA26" s="450"/>
      <c r="AB26" s="450"/>
      <c r="AC26" s="450"/>
    </row>
    <row r="27" spans="1:29" customFormat="1" ht="15.6" customHeight="1" outlineLevel="1" x14ac:dyDescent="0.3">
      <c r="A27" s="382"/>
      <c r="B27" s="388" t="s">
        <v>378</v>
      </c>
      <c r="C27" s="388"/>
      <c r="D27" s="404">
        <f>MIN(Y13:Y20)</f>
        <v>2.9749465662429442</v>
      </c>
      <c r="E27" s="404">
        <f>MIN(AA13:AA20)</f>
        <v>13.461292486989475</v>
      </c>
      <c r="F27" s="404">
        <f>MIN(AC13:AC20)</f>
        <v>22.254739905189197</v>
      </c>
      <c r="G27" s="389"/>
      <c r="H27" s="402">
        <f>K11</f>
        <v>631547</v>
      </c>
      <c r="I27" s="402">
        <f>M11</f>
        <v>184479</v>
      </c>
      <c r="J27" s="605">
        <v>42.23</v>
      </c>
      <c r="L27" s="402">
        <f>D27*H27</f>
        <v>1878818.5790710326</v>
      </c>
      <c r="M27" s="402">
        <f>E27*I27</f>
        <v>2483325.7767073312</v>
      </c>
      <c r="N27" s="402" t="s">
        <v>304</v>
      </c>
      <c r="P27" s="606">
        <v>11332</v>
      </c>
      <c r="Q27" s="606">
        <v>2.52</v>
      </c>
      <c r="R27" s="607">
        <v>239.93000000000004</v>
      </c>
      <c r="S27" s="405"/>
      <c r="T27" s="406">
        <f>L27+P27-Q27</f>
        <v>1890148.0590710326</v>
      </c>
      <c r="U27" s="406">
        <f t="shared" ref="U27:U30" si="18">M27+Q27-R27</f>
        <v>2483088.366707331</v>
      </c>
      <c r="V27" s="406">
        <f>J27*R27*F27</f>
        <v>225490.45265043984</v>
      </c>
      <c r="W27" s="390"/>
      <c r="X27" s="407">
        <f>T27/$R27</f>
        <v>7877.9146378986879</v>
      </c>
      <c r="Y27" s="407">
        <f t="shared" ref="Y27:Z30" si="19">U27/$R27</f>
        <v>10349.220050461929</v>
      </c>
      <c r="Z27" s="407">
        <f t="shared" si="19"/>
        <v>939.81766619613973</v>
      </c>
      <c r="AB27" s="390"/>
      <c r="AC27" s="390"/>
    </row>
    <row r="28" spans="1:29" customFormat="1" ht="15.6" customHeight="1" outlineLevel="1" x14ac:dyDescent="0.3">
      <c r="A28" s="382"/>
      <c r="B28" s="388" t="s">
        <v>370</v>
      </c>
      <c r="C28" s="388"/>
      <c r="D28" s="404">
        <f>Y22</f>
        <v>6.2845500586857694</v>
      </c>
      <c r="E28" s="404">
        <f>AA22</f>
        <v>21.476482315098451</v>
      </c>
      <c r="F28" s="404">
        <f>AC22</f>
        <v>28.950767333917593</v>
      </c>
      <c r="G28" s="389"/>
      <c r="H28" s="402">
        <v>250795.05</v>
      </c>
      <c r="I28" s="402">
        <v>149501.66</v>
      </c>
      <c r="J28" s="605">
        <v>42.23</v>
      </c>
      <c r="K28" s="402"/>
      <c r="L28" s="402">
        <f t="shared" ref="L28:M30" si="20">D28*H28</f>
        <v>1576134.0461956004</v>
      </c>
      <c r="M28" s="402">
        <f t="shared" si="20"/>
        <v>3210769.7570678615</v>
      </c>
      <c r="N28" s="402" t="s">
        <v>304</v>
      </c>
      <c r="P28" s="606">
        <v>11332</v>
      </c>
      <c r="Q28" s="606">
        <v>2.52</v>
      </c>
      <c r="R28" s="608">
        <v>239.93000000000004</v>
      </c>
      <c r="T28" s="406">
        <f t="shared" ref="T28:T30" si="21">L28+P28-Q28</f>
        <v>1587463.5261956004</v>
      </c>
      <c r="U28" s="406">
        <f t="shared" si="18"/>
        <v>3210532.3470678614</v>
      </c>
      <c r="V28" s="406">
        <f t="shared" ref="V28:V30" si="22">J28*R28*F28</f>
        <v>293336.23571940581</v>
      </c>
      <c r="W28" s="390"/>
      <c r="X28" s="407">
        <f t="shared" ref="X28:X30" si="23">T28/$R28</f>
        <v>6616.3611311449176</v>
      </c>
      <c r="Y28" s="407">
        <f t="shared" si="19"/>
        <v>13381.120939723507</v>
      </c>
      <c r="Z28" s="407">
        <f t="shared" si="19"/>
        <v>1222.5909045113399</v>
      </c>
      <c r="AA28" s="390"/>
      <c r="AB28" s="390"/>
      <c r="AC28" s="390"/>
    </row>
    <row r="29" spans="1:29" customFormat="1" ht="15.6" customHeight="1" outlineLevel="1" x14ac:dyDescent="0.3">
      <c r="A29" s="382"/>
      <c r="B29" s="388" t="s">
        <v>371</v>
      </c>
      <c r="C29" s="388"/>
      <c r="D29" s="404">
        <f>Y23</f>
        <v>5.7077774892446644</v>
      </c>
      <c r="E29" s="404">
        <f>AA23</f>
        <v>19.54005469457228</v>
      </c>
      <c r="F29" s="404">
        <f>AC23</f>
        <v>24.223882192144874</v>
      </c>
      <c r="G29" s="389"/>
      <c r="H29" s="402">
        <v>250795.05</v>
      </c>
      <c r="I29" s="402">
        <v>149501.66</v>
      </c>
      <c r="J29" s="605">
        <v>42.23</v>
      </c>
      <c r="K29" s="402"/>
      <c r="L29" s="402">
        <f t="shared" si="20"/>
        <v>1431482.3408039899</v>
      </c>
      <c r="M29" s="402">
        <f t="shared" si="20"/>
        <v>2921270.6133293491</v>
      </c>
      <c r="N29" s="402" t="s">
        <v>304</v>
      </c>
      <c r="P29" s="606">
        <v>11332</v>
      </c>
      <c r="Q29" s="606">
        <v>2.52</v>
      </c>
      <c r="R29" s="608">
        <v>239.93000000000004</v>
      </c>
      <c r="T29" s="406">
        <f t="shared" si="21"/>
        <v>1442811.8208039899</v>
      </c>
      <c r="U29" s="406">
        <f t="shared" si="18"/>
        <v>2921033.2033293489</v>
      </c>
      <c r="V29" s="406">
        <f t="shared" si="22"/>
        <v>245442.28257567855</v>
      </c>
      <c r="W29" s="390"/>
      <c r="X29" s="407">
        <f t="shared" si="23"/>
        <v>6013.4698487225014</v>
      </c>
      <c r="Y29" s="407">
        <f t="shared" si="19"/>
        <v>12174.522582958982</v>
      </c>
      <c r="Z29" s="407">
        <f t="shared" si="19"/>
        <v>1022.9745449742779</v>
      </c>
      <c r="AA29" s="390"/>
      <c r="AB29" s="390"/>
      <c r="AC29" s="390"/>
    </row>
    <row r="30" spans="1:29" customFormat="1" ht="15.6" customHeight="1" outlineLevel="1" x14ac:dyDescent="0.3">
      <c r="A30" s="382"/>
      <c r="B30" s="388" t="s">
        <v>379</v>
      </c>
      <c r="C30" s="388"/>
      <c r="D30" s="404">
        <f>MAX(Y13:Y20)</f>
        <v>12.667511402037006</v>
      </c>
      <c r="E30" s="404">
        <f>MAX(AA13:AA20)</f>
        <v>36.338340074567846</v>
      </c>
      <c r="F30" s="404">
        <f>MAX(AC13:AC20)</f>
        <v>50.979750589403153</v>
      </c>
      <c r="G30" s="389"/>
      <c r="H30" s="402">
        <v>250795.05</v>
      </c>
      <c r="I30" s="402">
        <v>149501.66</v>
      </c>
      <c r="J30" s="605">
        <v>42.23</v>
      </c>
      <c r="K30" s="402"/>
      <c r="L30" s="402">
        <f>D30*H30</f>
        <v>3176949.1554494407</v>
      </c>
      <c r="M30" s="402">
        <f t="shared" si="20"/>
        <v>5432642.1627924172</v>
      </c>
      <c r="N30" s="402" t="s">
        <v>304</v>
      </c>
      <c r="P30" s="606">
        <v>11332</v>
      </c>
      <c r="Q30" s="606">
        <v>2.52</v>
      </c>
      <c r="R30" s="608">
        <v>239.93000000000004</v>
      </c>
      <c r="T30" s="406">
        <f t="shared" si="21"/>
        <v>3188278.6354494407</v>
      </c>
      <c r="U30" s="406">
        <f t="shared" si="18"/>
        <v>5432404.7527924171</v>
      </c>
      <c r="V30" s="406">
        <f t="shared" si="22"/>
        <v>516539.26693300158</v>
      </c>
      <c r="W30" s="390"/>
      <c r="X30" s="407">
        <f t="shared" si="23"/>
        <v>13288.370088981954</v>
      </c>
      <c r="Y30" s="407">
        <f t="shared" si="19"/>
        <v>22641.623610188039</v>
      </c>
      <c r="Z30" s="407">
        <f t="shared" si="19"/>
        <v>2152.8748673904952</v>
      </c>
      <c r="AA30" s="390"/>
      <c r="AB30" s="390"/>
      <c r="AC30" s="390"/>
    </row>
    <row r="31" spans="1:29" customFormat="1" ht="15.6" customHeight="1" outlineLevel="1" x14ac:dyDescent="0.3">
      <c r="A31" s="382"/>
      <c r="B31" s="388"/>
      <c r="C31" s="388"/>
      <c r="D31" s="404"/>
      <c r="E31" s="404"/>
      <c r="F31" s="404"/>
      <c r="G31" s="389"/>
      <c r="H31" s="382"/>
      <c r="I31" s="402"/>
      <c r="J31" s="402"/>
      <c r="K31" s="402"/>
      <c r="L31" s="402"/>
      <c r="M31" s="402"/>
      <c r="N31" s="402"/>
      <c r="P31" s="402"/>
      <c r="Q31" s="402"/>
      <c r="R31" s="408"/>
      <c r="U31" s="390"/>
      <c r="V31" s="390"/>
      <c r="W31" s="390"/>
      <c r="X31" s="390"/>
      <c r="Y31" s="390"/>
      <c r="Z31" s="390"/>
      <c r="AA31" s="390"/>
      <c r="AB31" s="390"/>
      <c r="AC31" s="390"/>
    </row>
    <row r="32" spans="1:29" s="414" customFormat="1" ht="15.6" customHeight="1" outlineLevel="1" x14ac:dyDescent="0.3">
      <c r="A32" s="409"/>
      <c r="B32" s="410"/>
      <c r="C32" s="410"/>
      <c r="D32" s="411"/>
      <c r="E32" s="411"/>
      <c r="F32" s="411"/>
      <c r="G32" s="412"/>
      <c r="H32" s="409"/>
      <c r="I32" s="413"/>
      <c r="J32" s="413"/>
      <c r="K32" s="413"/>
      <c r="L32" s="413"/>
      <c r="M32" s="413"/>
      <c r="N32" s="413"/>
      <c r="P32" s="413"/>
      <c r="Q32" s="413"/>
      <c r="R32" s="415"/>
      <c r="U32" s="416"/>
      <c r="V32" s="416"/>
      <c r="W32" s="416"/>
      <c r="X32" s="416"/>
      <c r="Y32" s="416"/>
      <c r="Z32" s="416"/>
      <c r="AA32" s="416"/>
      <c r="AB32" s="416"/>
      <c r="AC32" s="416"/>
    </row>
    <row r="33" spans="2:29" ht="15.6" customHeight="1" x14ac:dyDescent="0.3">
      <c r="B33" s="417"/>
      <c r="C33" s="417"/>
      <c r="D33" s="418"/>
      <c r="E33" s="418"/>
      <c r="F33" s="418"/>
      <c r="G33" s="418"/>
      <c r="H33" s="417"/>
      <c r="I33" s="417"/>
      <c r="J33" s="418"/>
      <c r="K33" s="418"/>
      <c r="L33" s="418"/>
      <c r="M33" s="418"/>
      <c r="N33" s="417"/>
      <c r="O33" s="417"/>
      <c r="P33" s="419"/>
      <c r="Q33" s="420"/>
      <c r="R33" s="420"/>
      <c r="S33" s="420"/>
      <c r="T33" s="420"/>
      <c r="U33" s="420"/>
      <c r="V33" s="420"/>
      <c r="W33" s="420"/>
      <c r="X33" s="420"/>
      <c r="Y33" s="420"/>
      <c r="Z33" s="420"/>
      <c r="AA33" s="420"/>
      <c r="AB33" s="420"/>
      <c r="AC33" s="420"/>
    </row>
    <row r="34" spans="2:29" ht="15.6" customHeight="1" x14ac:dyDescent="0.3">
      <c r="B34" s="421"/>
      <c r="C34" s="422"/>
      <c r="D34" s="419"/>
      <c r="E34" s="419"/>
      <c r="F34" s="419"/>
      <c r="G34" s="419"/>
      <c r="H34" s="419"/>
      <c r="I34" s="419"/>
      <c r="J34" s="419"/>
      <c r="K34" s="419"/>
      <c r="L34" s="419"/>
      <c r="M34" s="419"/>
      <c r="N34" s="419"/>
      <c r="O34" s="419"/>
      <c r="P34" s="419"/>
      <c r="Q34" s="419"/>
      <c r="R34" s="419"/>
      <c r="S34" s="419"/>
      <c r="T34" s="419"/>
      <c r="U34" s="419"/>
      <c r="V34" s="419"/>
      <c r="W34" s="419"/>
      <c r="X34" s="419"/>
      <c r="Y34" s="419"/>
      <c r="Z34" s="419"/>
      <c r="AA34" s="419"/>
      <c r="AB34" s="419"/>
      <c r="AC34" s="419"/>
    </row>
    <row r="35" spans="2:29" ht="15.6" customHeight="1" x14ac:dyDescent="0.3">
      <c r="B35" s="421"/>
      <c r="C35" s="421"/>
      <c r="D35" s="419"/>
      <c r="E35" s="419"/>
      <c r="F35" s="419"/>
      <c r="G35" s="419"/>
      <c r="H35" s="423"/>
      <c r="I35" s="424"/>
      <c r="J35" s="423"/>
      <c r="K35" s="423"/>
      <c r="L35" s="423"/>
      <c r="M35" s="423"/>
      <c r="N35" s="423"/>
      <c r="O35" s="423"/>
      <c r="P35" s="419"/>
      <c r="Q35" s="419"/>
      <c r="R35" s="419"/>
      <c r="S35" s="419"/>
      <c r="T35" s="419"/>
      <c r="U35" s="419"/>
      <c r="V35" s="419"/>
      <c r="W35" s="419"/>
      <c r="X35" s="419"/>
      <c r="Y35" s="419"/>
      <c r="Z35" s="419"/>
      <c r="AA35" s="419"/>
      <c r="AB35" s="419"/>
      <c r="AC35" s="419"/>
    </row>
    <row r="36" spans="2:29" ht="15.6" customHeight="1" x14ac:dyDescent="0.3">
      <c r="B36" s="421"/>
      <c r="C36" s="421"/>
      <c r="D36" s="419"/>
      <c r="E36" s="419"/>
      <c r="F36" s="419"/>
      <c r="G36" s="419"/>
      <c r="H36" s="420"/>
      <c r="I36" s="420"/>
      <c r="J36" s="420"/>
      <c r="K36" s="420"/>
      <c r="L36" s="420"/>
      <c r="M36" s="420"/>
      <c r="N36" s="420"/>
      <c r="O36" s="420"/>
      <c r="P36" s="419"/>
      <c r="Q36" s="419"/>
      <c r="R36" s="419"/>
      <c r="S36" s="419"/>
      <c r="T36" s="419"/>
      <c r="U36" s="419"/>
      <c r="V36" s="419"/>
      <c r="W36" s="419"/>
      <c r="X36" s="419"/>
      <c r="Y36" s="419"/>
      <c r="Z36" s="419"/>
      <c r="AA36" s="419"/>
      <c r="AB36" s="419"/>
      <c r="AC36" s="419"/>
    </row>
    <row r="37" spans="2:29" ht="15.6" customHeight="1" x14ac:dyDescent="0.3">
      <c r="B37" s="401"/>
      <c r="D37" s="425"/>
      <c r="E37" s="426"/>
      <c r="F37" s="427"/>
      <c r="G37" s="427"/>
      <c r="H37" s="426"/>
      <c r="I37" s="428"/>
      <c r="J37" s="428"/>
      <c r="K37" s="429"/>
      <c r="L37" s="429"/>
      <c r="M37" s="429"/>
      <c r="N37" s="429"/>
      <c r="O37" s="429"/>
      <c r="P37" s="430"/>
      <c r="Q37" s="430"/>
      <c r="R37" s="431"/>
      <c r="S37" s="431"/>
      <c r="T37" s="431"/>
      <c r="U37" s="431"/>
      <c r="V37" s="431"/>
      <c r="W37" s="431"/>
      <c r="X37" s="431"/>
      <c r="Y37" s="431"/>
      <c r="Z37" s="431"/>
      <c r="AA37" s="431"/>
      <c r="AB37" s="420"/>
      <c r="AC37" s="420"/>
    </row>
    <row r="38" spans="2:29" ht="15.6" customHeight="1" x14ac:dyDescent="0.3">
      <c r="B38" s="401"/>
      <c r="D38" s="425"/>
      <c r="E38" s="427"/>
      <c r="F38" s="427"/>
      <c r="G38" s="427"/>
      <c r="H38" s="426"/>
      <c r="I38" s="432"/>
      <c r="J38" s="432"/>
      <c r="K38" s="432"/>
      <c r="L38" s="432"/>
      <c r="M38" s="432"/>
      <c r="N38" s="432"/>
      <c r="O38" s="432"/>
      <c r="P38" s="430"/>
      <c r="Q38" s="430"/>
      <c r="R38" s="430"/>
      <c r="S38" s="430"/>
      <c r="T38" s="431"/>
      <c r="U38" s="431"/>
      <c r="V38" s="431"/>
      <c r="W38" s="431"/>
      <c r="X38" s="431"/>
      <c r="Y38" s="431"/>
      <c r="Z38" s="431"/>
      <c r="AA38" s="431"/>
      <c r="AB38" s="420"/>
      <c r="AC38" s="420"/>
    </row>
    <row r="39" spans="2:29" ht="15.6" customHeight="1" x14ac:dyDescent="0.3">
      <c r="B39" s="401"/>
      <c r="D39" s="425"/>
      <c r="E39" s="427"/>
      <c r="F39" s="427"/>
      <c r="G39" s="427"/>
      <c r="H39" s="426"/>
      <c r="I39" s="432"/>
      <c r="J39" s="432"/>
      <c r="K39" s="432"/>
      <c r="L39" s="432"/>
      <c r="M39" s="432"/>
      <c r="N39" s="432"/>
      <c r="O39" s="432"/>
      <c r="P39" s="430"/>
      <c r="Q39" s="430"/>
      <c r="R39" s="430"/>
      <c r="S39" s="430"/>
      <c r="T39" s="420"/>
      <c r="U39" s="420"/>
      <c r="V39" s="420"/>
      <c r="W39" s="420"/>
      <c r="X39" s="420"/>
      <c r="Y39" s="420"/>
      <c r="Z39" s="420"/>
      <c r="AA39" s="420"/>
      <c r="AB39" s="420"/>
      <c r="AC39" s="420"/>
    </row>
    <row r="40" spans="2:29" ht="15.6" customHeight="1" x14ac:dyDescent="0.3">
      <c r="B40" s="401"/>
      <c r="D40" s="426"/>
      <c r="E40" s="432"/>
      <c r="F40" s="427"/>
      <c r="G40" s="427"/>
      <c r="H40" s="426"/>
      <c r="I40" s="432"/>
      <c r="J40" s="432"/>
      <c r="K40" s="432"/>
      <c r="L40" s="432"/>
      <c r="M40" s="432"/>
      <c r="N40" s="432"/>
      <c r="O40" s="432"/>
      <c r="P40" s="430"/>
      <c r="Q40" s="430"/>
      <c r="R40" s="430"/>
      <c r="S40" s="430"/>
      <c r="T40" s="420"/>
      <c r="U40" s="420"/>
      <c r="V40" s="420"/>
      <c r="W40" s="420"/>
      <c r="X40" s="420"/>
      <c r="Y40" s="420"/>
      <c r="Z40" s="420"/>
      <c r="AA40" s="420"/>
      <c r="AB40" s="420"/>
      <c r="AC40" s="420"/>
    </row>
    <row r="41" spans="2:29" ht="15.6" x14ac:dyDescent="0.3">
      <c r="B41" s="401"/>
      <c r="D41" s="426"/>
      <c r="E41" s="432"/>
      <c r="F41" s="427"/>
      <c r="G41" s="427"/>
      <c r="H41" s="426"/>
      <c r="I41" s="432"/>
      <c r="J41" s="432"/>
      <c r="K41" s="432"/>
      <c r="L41" s="432"/>
      <c r="M41" s="432"/>
      <c r="N41" s="432"/>
      <c r="O41" s="432"/>
      <c r="P41" s="430"/>
      <c r="Q41" s="430"/>
      <c r="R41" s="430"/>
      <c r="S41" s="430"/>
      <c r="T41" s="420"/>
      <c r="U41" s="420"/>
      <c r="V41" s="420"/>
      <c r="W41" s="420"/>
      <c r="X41" s="420"/>
      <c r="Y41" s="420"/>
      <c r="Z41" s="420"/>
      <c r="AA41" s="420"/>
      <c r="AB41" s="420"/>
      <c r="AC41" s="420"/>
    </row>
    <row r="42" spans="2:29" ht="15.6" x14ac:dyDescent="0.3">
      <c r="B42" s="401"/>
      <c r="D42" s="426"/>
      <c r="E42" s="433"/>
      <c r="F42" s="427"/>
      <c r="G42" s="427"/>
      <c r="H42" s="426"/>
      <c r="I42" s="432"/>
      <c r="J42" s="432"/>
      <c r="K42" s="432"/>
      <c r="L42" s="432"/>
      <c r="M42" s="432"/>
      <c r="N42" s="432"/>
      <c r="O42" s="432"/>
      <c r="P42" s="430"/>
      <c r="Q42" s="430"/>
      <c r="R42" s="430"/>
      <c r="S42" s="430"/>
      <c r="T42" s="420"/>
      <c r="U42" s="420"/>
      <c r="V42" s="420"/>
      <c r="W42" s="420"/>
      <c r="X42" s="420"/>
      <c r="Y42" s="420"/>
      <c r="Z42" s="420"/>
      <c r="AA42" s="420"/>
      <c r="AB42" s="420"/>
      <c r="AC42" s="420"/>
    </row>
    <row r="43" spans="2:29" ht="15.6" x14ac:dyDescent="0.3">
      <c r="B43" s="401"/>
      <c r="D43" s="426"/>
      <c r="E43" s="432"/>
      <c r="F43" s="427"/>
      <c r="G43" s="427"/>
      <c r="H43" s="426"/>
      <c r="I43" s="432"/>
      <c r="J43" s="432"/>
      <c r="K43" s="432"/>
      <c r="L43" s="432"/>
      <c r="M43" s="432"/>
      <c r="N43" s="432"/>
      <c r="O43" s="432"/>
      <c r="P43" s="430"/>
      <c r="Q43" s="430"/>
      <c r="R43" s="430"/>
      <c r="S43" s="434"/>
      <c r="T43" s="420"/>
      <c r="U43" s="420"/>
      <c r="V43" s="420"/>
      <c r="W43" s="420"/>
      <c r="X43" s="420"/>
      <c r="Y43" s="420"/>
      <c r="Z43" s="420"/>
      <c r="AA43" s="420"/>
      <c r="AB43" s="420"/>
      <c r="AC43" s="420"/>
    </row>
    <row r="44" spans="2:29" ht="15.6" x14ac:dyDescent="0.3">
      <c r="B44" s="401"/>
      <c r="D44" s="426"/>
      <c r="E44" s="435"/>
      <c r="F44" s="427"/>
      <c r="G44" s="427"/>
      <c r="H44" s="426"/>
      <c r="I44" s="432"/>
      <c r="J44" s="432"/>
      <c r="K44" s="432"/>
      <c r="L44" s="432"/>
      <c r="M44" s="432"/>
      <c r="N44" s="432"/>
      <c r="O44" s="432"/>
      <c r="P44" s="430"/>
      <c r="Q44" s="430"/>
    </row>
    <row r="45" spans="2:29" ht="15.6" x14ac:dyDescent="0.3">
      <c r="B45" s="401"/>
      <c r="D45" s="426"/>
      <c r="E45" s="432"/>
      <c r="F45" s="427"/>
      <c r="G45" s="427"/>
      <c r="H45" s="426"/>
      <c r="I45" s="432"/>
      <c r="J45" s="432"/>
      <c r="K45" s="432"/>
      <c r="L45" s="432"/>
      <c r="M45" s="432"/>
      <c r="N45" s="432"/>
      <c r="O45" s="432"/>
      <c r="P45" s="430"/>
      <c r="Q45" s="430"/>
      <c r="R45" s="430"/>
      <c r="S45" s="430"/>
      <c r="T45" s="420"/>
      <c r="U45" s="420"/>
      <c r="V45" s="420"/>
      <c r="W45" s="420"/>
      <c r="X45" s="420"/>
      <c r="Y45" s="420"/>
      <c r="Z45" s="420"/>
      <c r="AA45" s="420"/>
      <c r="AB45" s="420"/>
      <c r="AC45" s="420"/>
    </row>
    <row r="46" spans="2:29" ht="15.6" x14ac:dyDescent="0.3">
      <c r="B46" s="401"/>
      <c r="D46" s="426"/>
      <c r="E46" s="432"/>
      <c r="F46" s="427"/>
      <c r="G46" s="427"/>
      <c r="H46" s="426"/>
      <c r="I46" s="432"/>
      <c r="J46" s="432"/>
      <c r="K46" s="432"/>
      <c r="L46" s="432"/>
      <c r="M46" s="432"/>
      <c r="N46" s="432"/>
      <c r="O46" s="432"/>
      <c r="T46" s="420"/>
      <c r="U46" s="420"/>
      <c r="V46" s="420"/>
      <c r="W46" s="420"/>
      <c r="X46" s="420"/>
      <c r="Y46" s="420"/>
      <c r="Z46" s="420"/>
      <c r="AA46" s="420"/>
      <c r="AB46" s="420"/>
      <c r="AC46" s="420"/>
    </row>
    <row r="47" spans="2:29" ht="15.6" x14ac:dyDescent="0.3">
      <c r="B47" s="401"/>
      <c r="D47" s="426"/>
      <c r="E47" s="432"/>
      <c r="F47" s="427"/>
      <c r="G47" s="427"/>
      <c r="H47" s="426"/>
      <c r="I47" s="432"/>
      <c r="J47" s="432"/>
      <c r="K47" s="432"/>
      <c r="L47" s="432"/>
      <c r="M47" s="432"/>
      <c r="N47" s="432"/>
      <c r="O47" s="432"/>
      <c r="P47" s="430"/>
      <c r="Q47" s="430"/>
      <c r="R47" s="430"/>
      <c r="S47" s="430"/>
      <c r="T47" s="420"/>
      <c r="U47" s="420"/>
      <c r="V47" s="420"/>
      <c r="W47" s="420"/>
      <c r="X47" s="420"/>
      <c r="Y47" s="420"/>
      <c r="Z47" s="420"/>
      <c r="AA47" s="420"/>
      <c r="AB47" s="420"/>
      <c r="AC47" s="420"/>
    </row>
    <row r="48" spans="2:29" ht="15.6" x14ac:dyDescent="0.3">
      <c r="B48" s="401"/>
      <c r="D48" s="426"/>
      <c r="E48" s="432"/>
      <c r="F48" s="427"/>
      <c r="G48" s="427"/>
      <c r="H48" s="426"/>
      <c r="I48" s="432"/>
      <c r="J48" s="432"/>
      <c r="K48" s="432"/>
      <c r="L48" s="432"/>
      <c r="M48" s="432"/>
      <c r="N48" s="432"/>
      <c r="O48" s="432"/>
      <c r="P48" s="430"/>
      <c r="Q48" s="430"/>
      <c r="R48" s="430"/>
      <c r="S48" s="430"/>
      <c r="T48" s="420"/>
      <c r="U48" s="420"/>
      <c r="V48" s="420"/>
      <c r="W48" s="420"/>
      <c r="X48" s="420"/>
      <c r="Y48" s="420"/>
      <c r="Z48" s="420"/>
      <c r="AA48" s="420"/>
      <c r="AB48" s="420"/>
      <c r="AC48" s="420"/>
    </row>
    <row r="49" spans="2:29" ht="15.6" x14ac:dyDescent="0.3">
      <c r="B49" s="401"/>
      <c r="D49" s="426"/>
      <c r="E49" s="427"/>
      <c r="F49" s="427"/>
      <c r="G49" s="427"/>
      <c r="H49" s="426"/>
      <c r="I49" s="436"/>
      <c r="J49" s="436"/>
      <c r="K49" s="436"/>
      <c r="L49" s="437"/>
      <c r="M49" s="436"/>
      <c r="N49" s="437"/>
      <c r="O49" s="436"/>
      <c r="T49" s="420"/>
      <c r="U49" s="420"/>
      <c r="V49" s="420"/>
      <c r="W49" s="420"/>
      <c r="X49" s="420"/>
      <c r="Y49" s="420"/>
      <c r="Z49" s="420"/>
      <c r="AA49" s="420"/>
      <c r="AB49" s="420"/>
      <c r="AC49" s="420"/>
    </row>
    <row r="50" spans="2:29" ht="15.6" x14ac:dyDescent="0.3">
      <c r="B50" s="401"/>
      <c r="D50" s="291"/>
      <c r="E50" s="438"/>
      <c r="F50" s="427"/>
      <c r="G50" s="427"/>
      <c r="I50" s="427"/>
      <c r="J50" s="427"/>
      <c r="K50" s="427"/>
      <c r="L50" s="427"/>
      <c r="M50" s="427"/>
      <c r="N50" s="427"/>
      <c r="O50" s="427"/>
      <c r="P50" s="439"/>
      <c r="Q50" s="420"/>
      <c r="R50" s="420"/>
      <c r="S50" s="420"/>
      <c r="T50" s="420"/>
      <c r="U50" s="420"/>
      <c r="V50" s="420"/>
      <c r="W50" s="420"/>
      <c r="X50" s="420"/>
      <c r="Y50" s="420"/>
      <c r="Z50" s="420"/>
      <c r="AA50" s="420"/>
      <c r="AB50" s="420"/>
      <c r="AC50" s="420"/>
    </row>
    <row r="51" spans="2:29" ht="15.6" x14ac:dyDescent="0.3">
      <c r="B51" s="401"/>
      <c r="D51" s="426"/>
      <c r="E51" s="432"/>
      <c r="F51" s="440"/>
      <c r="G51" s="440"/>
      <c r="H51" s="426"/>
      <c r="I51" s="432"/>
      <c r="J51" s="432"/>
      <c r="K51" s="432"/>
      <c r="L51" s="432"/>
      <c r="M51" s="432"/>
      <c r="N51" s="432"/>
      <c r="O51" s="432"/>
      <c r="P51" s="430"/>
      <c r="Q51" s="430"/>
      <c r="R51" s="430"/>
      <c r="S51" s="430"/>
      <c r="T51" s="420"/>
      <c r="U51" s="420"/>
      <c r="V51" s="420"/>
      <c r="W51" s="420"/>
      <c r="X51" s="420"/>
      <c r="Y51" s="420"/>
      <c r="Z51" s="420"/>
      <c r="AA51" s="420"/>
      <c r="AB51" s="420"/>
      <c r="AC51" s="420"/>
    </row>
    <row r="52" spans="2:29" ht="15.6" x14ac:dyDescent="0.3">
      <c r="B52" s="401"/>
      <c r="D52" s="426"/>
      <c r="E52" s="427"/>
      <c r="F52" s="440"/>
      <c r="G52" s="440"/>
      <c r="H52" s="426"/>
      <c r="I52" s="425"/>
      <c r="J52" s="425"/>
      <c r="K52" s="425"/>
      <c r="L52" s="425"/>
      <c r="M52" s="425"/>
      <c r="N52" s="425"/>
      <c r="O52" s="425"/>
      <c r="T52" s="420"/>
      <c r="U52" s="420"/>
      <c r="V52" s="420"/>
      <c r="W52" s="420"/>
      <c r="X52" s="420"/>
      <c r="Y52" s="420"/>
      <c r="Z52" s="420"/>
      <c r="AA52" s="420"/>
      <c r="AB52" s="420"/>
      <c r="AC52" s="420"/>
    </row>
    <row r="53" spans="2:29" ht="15.6" x14ac:dyDescent="0.3">
      <c r="D53" s="263"/>
      <c r="E53" s="438"/>
      <c r="F53" s="438"/>
      <c r="G53" s="438"/>
      <c r="I53" s="438"/>
      <c r="J53" s="438"/>
      <c r="K53" s="438"/>
      <c r="L53" s="438"/>
      <c r="M53" s="438"/>
      <c r="N53" s="438"/>
      <c r="O53" s="438"/>
      <c r="P53" s="439"/>
      <c r="Q53" s="420"/>
      <c r="R53" s="420"/>
      <c r="S53" s="420"/>
      <c r="T53" s="420"/>
      <c r="U53" s="420"/>
      <c r="V53" s="420"/>
      <c r="W53" s="420"/>
      <c r="X53" s="420"/>
      <c r="Y53" s="420"/>
      <c r="Z53" s="420"/>
      <c r="AA53" s="420"/>
      <c r="AB53" s="420"/>
      <c r="AC53" s="420"/>
    </row>
    <row r="54" spans="2:29" ht="15.6" x14ac:dyDescent="0.3">
      <c r="D54" s="263"/>
      <c r="E54" s="438"/>
      <c r="G54" s="438"/>
      <c r="I54" s="438"/>
      <c r="J54" s="438"/>
      <c r="K54" s="438"/>
      <c r="L54" s="438"/>
      <c r="M54" s="438"/>
      <c r="N54" s="438"/>
      <c r="O54" s="438"/>
      <c r="P54" s="439"/>
      <c r="Q54" s="420"/>
      <c r="R54" s="420"/>
      <c r="S54" s="420"/>
      <c r="T54" s="420"/>
      <c r="U54" s="420"/>
      <c r="V54" s="420"/>
      <c r="W54" s="420"/>
      <c r="X54" s="420"/>
      <c r="Y54" s="420"/>
      <c r="Z54" s="420"/>
      <c r="AA54" s="420"/>
      <c r="AB54" s="420"/>
      <c r="AC54" s="420"/>
    </row>
    <row r="55" spans="2:29" ht="15.6" x14ac:dyDescent="0.3">
      <c r="D55" s="263"/>
      <c r="E55" s="438"/>
      <c r="F55" s="438"/>
      <c r="G55" s="438"/>
      <c r="I55" s="438"/>
      <c r="J55" s="438"/>
      <c r="K55" s="438"/>
      <c r="L55" s="438"/>
      <c r="M55" s="438"/>
      <c r="N55" s="438"/>
      <c r="O55" s="438"/>
      <c r="P55" s="439"/>
      <c r="Q55" s="420"/>
      <c r="R55" s="420"/>
      <c r="S55" s="420"/>
      <c r="T55" s="420"/>
      <c r="U55" s="420"/>
      <c r="V55" s="420"/>
      <c r="W55" s="420"/>
      <c r="X55" s="420"/>
      <c r="Y55" s="420"/>
      <c r="Z55" s="420"/>
      <c r="AA55" s="420"/>
      <c r="AB55" s="420"/>
      <c r="AC55" s="420"/>
    </row>
    <row r="56" spans="2:29" ht="15.6" x14ac:dyDescent="0.3">
      <c r="B56" s="441"/>
      <c r="D56" s="263"/>
      <c r="E56" s="438"/>
      <c r="F56" s="438"/>
      <c r="G56" s="438"/>
      <c r="I56" s="438"/>
      <c r="J56" s="438"/>
      <c r="K56" s="438"/>
      <c r="L56" s="438"/>
      <c r="M56" s="438"/>
      <c r="N56" s="438"/>
      <c r="O56" s="438"/>
      <c r="P56" s="439"/>
      <c r="Q56" s="420"/>
      <c r="R56" s="420"/>
      <c r="S56" s="420"/>
      <c r="T56" s="420"/>
      <c r="U56" s="420"/>
      <c r="V56" s="420"/>
      <c r="W56" s="420"/>
      <c r="X56" s="420"/>
      <c r="Y56" s="420"/>
      <c r="Z56" s="420"/>
      <c r="AA56" s="420"/>
      <c r="AB56" s="420"/>
      <c r="AC56" s="420"/>
    </row>
    <row r="57" spans="2:29" ht="15.6" x14ac:dyDescent="0.3">
      <c r="B57" s="441"/>
      <c r="D57" s="263"/>
      <c r="E57" s="438"/>
      <c r="F57" s="438"/>
      <c r="G57" s="438"/>
      <c r="I57" s="438"/>
      <c r="J57" s="438"/>
      <c r="K57" s="438"/>
      <c r="L57" s="438"/>
      <c r="M57" s="438"/>
      <c r="N57" s="438"/>
      <c r="O57" s="438"/>
      <c r="P57" s="439"/>
      <c r="Q57" s="420"/>
      <c r="R57" s="420"/>
      <c r="S57" s="420"/>
      <c r="T57" s="420"/>
      <c r="U57" s="420"/>
      <c r="V57" s="420"/>
      <c r="W57" s="420"/>
      <c r="X57" s="420"/>
      <c r="Y57" s="420"/>
      <c r="Z57" s="420"/>
      <c r="AA57" s="420"/>
      <c r="AB57" s="420"/>
      <c r="AC57" s="420"/>
    </row>
    <row r="58" spans="2:29" ht="15.6" x14ac:dyDescent="0.3">
      <c r="B58" s="401"/>
      <c r="D58" s="263"/>
      <c r="E58" s="438"/>
      <c r="F58" s="438"/>
      <c r="G58" s="438"/>
      <c r="I58" s="438"/>
      <c r="J58" s="438"/>
      <c r="K58" s="438"/>
      <c r="L58" s="438"/>
      <c r="M58" s="438"/>
      <c r="N58" s="438"/>
      <c r="O58" s="438"/>
      <c r="P58" s="439"/>
      <c r="Q58" s="420"/>
      <c r="R58" s="420"/>
      <c r="S58" s="420"/>
      <c r="T58" s="420"/>
      <c r="U58" s="420"/>
      <c r="V58" s="420"/>
      <c r="W58" s="420"/>
      <c r="X58" s="420"/>
      <c r="Y58" s="420"/>
      <c r="Z58" s="420"/>
      <c r="AA58" s="420"/>
      <c r="AB58" s="420"/>
      <c r="AC58" s="420"/>
    </row>
    <row r="59" spans="2:29" ht="15.6" x14ac:dyDescent="0.3">
      <c r="B59" s="401"/>
      <c r="D59" s="263"/>
      <c r="E59" s="438"/>
      <c r="F59" s="438"/>
      <c r="G59" s="438"/>
      <c r="I59" s="438"/>
      <c r="J59" s="438"/>
      <c r="K59" s="438"/>
      <c r="L59" s="438"/>
      <c r="M59" s="438"/>
      <c r="N59" s="438"/>
      <c r="O59" s="438"/>
      <c r="P59" s="439"/>
      <c r="Q59" s="420"/>
      <c r="R59" s="420"/>
      <c r="S59" s="420"/>
      <c r="T59" s="420"/>
      <c r="U59" s="420"/>
      <c r="V59" s="420"/>
      <c r="W59" s="420"/>
      <c r="X59" s="420"/>
      <c r="Y59" s="420"/>
      <c r="Z59" s="420"/>
      <c r="AA59" s="420"/>
      <c r="AB59" s="420"/>
      <c r="AC59" s="420"/>
    </row>
    <row r="60" spans="2:29" ht="15.6" x14ac:dyDescent="0.3">
      <c r="B60" s="401"/>
      <c r="D60" s="263"/>
      <c r="E60" s="438"/>
      <c r="F60" s="438"/>
      <c r="G60" s="438"/>
      <c r="I60" s="438"/>
      <c r="J60" s="438"/>
      <c r="K60" s="438"/>
      <c r="L60" s="438"/>
      <c r="M60" s="438"/>
      <c r="N60" s="438"/>
      <c r="O60" s="438"/>
      <c r="P60" s="439"/>
      <c r="Q60" s="420"/>
      <c r="R60" s="420"/>
      <c r="S60" s="420"/>
      <c r="T60" s="420"/>
      <c r="U60" s="420"/>
      <c r="V60" s="420"/>
      <c r="W60" s="420"/>
      <c r="X60" s="420"/>
      <c r="Y60" s="420"/>
      <c r="Z60" s="420"/>
      <c r="AA60" s="420"/>
      <c r="AB60" s="420"/>
      <c r="AC60" s="420"/>
    </row>
    <row r="61" spans="2:29" ht="15.6" x14ac:dyDescent="0.3">
      <c r="B61" s="441"/>
      <c r="D61" s="263"/>
      <c r="E61" s="438"/>
      <c r="F61" s="438"/>
      <c r="G61" s="438"/>
      <c r="I61" s="438"/>
      <c r="J61" s="438"/>
      <c r="K61" s="438"/>
      <c r="L61" s="438"/>
      <c r="M61" s="438"/>
      <c r="N61" s="438"/>
      <c r="O61" s="438"/>
      <c r="P61" s="439"/>
      <c r="Q61" s="420"/>
      <c r="R61" s="420"/>
      <c r="S61" s="420"/>
      <c r="T61" s="420"/>
      <c r="U61" s="420"/>
      <c r="V61" s="420"/>
      <c r="W61" s="420"/>
      <c r="X61" s="420"/>
      <c r="Y61" s="420"/>
      <c r="Z61" s="420"/>
      <c r="AA61" s="420"/>
      <c r="AB61" s="420"/>
      <c r="AC61" s="420"/>
    </row>
    <row r="62" spans="2:29" ht="5.0999999999999996" customHeight="1" x14ac:dyDescent="0.3">
      <c r="B62" s="401"/>
      <c r="D62" s="263"/>
      <c r="E62" s="263"/>
      <c r="F62" s="438"/>
      <c r="G62" s="438"/>
      <c r="I62" s="439"/>
      <c r="J62" s="439"/>
      <c r="K62" s="439"/>
      <c r="L62" s="439"/>
      <c r="M62" s="439"/>
      <c r="N62" s="439"/>
      <c r="O62" s="439"/>
      <c r="P62" s="439"/>
      <c r="Q62" s="439"/>
      <c r="R62" s="439"/>
      <c r="S62" s="439"/>
      <c r="T62" s="439"/>
      <c r="U62" s="439"/>
      <c r="V62" s="439"/>
      <c r="W62" s="439"/>
      <c r="X62" s="442"/>
      <c r="Y62" s="442"/>
      <c r="Z62" s="442"/>
      <c r="AA62" s="442"/>
      <c r="AB62" s="442"/>
      <c r="AC62" s="442"/>
    </row>
  </sheetData>
  <conditionalFormatting sqref="H12">
    <cfRule type="colorScale" priority="46">
      <colorScale>
        <cfvo type="min"/>
        <cfvo type="percentile" val="50"/>
        <cfvo type="max"/>
        <color rgb="FFF8696B"/>
        <color rgb="FFFFEB84"/>
        <color rgb="FF63BE7B"/>
      </colorScale>
    </cfRule>
    <cfRule type="colorScale" priority="47">
      <colorScale>
        <cfvo type="min"/>
        <cfvo type="percentile" val="50"/>
        <cfvo type="max"/>
        <color rgb="FF63BE7B"/>
        <color rgb="FFFFEB84"/>
        <color rgb="FFF8696B"/>
      </colorScale>
    </cfRule>
  </conditionalFormatting>
  <conditionalFormatting sqref="I21:P21 P13:P18 P20">
    <cfRule type="colorScale" priority="49">
      <colorScale>
        <cfvo type="min"/>
        <cfvo type="percentile" val="50"/>
        <cfvo type="max"/>
        <color rgb="FF63BE7B"/>
        <color rgb="FFFFEB84"/>
        <color rgb="FFF8696B"/>
      </colorScale>
    </cfRule>
    <cfRule type="colorScale" priority="48">
      <colorScale>
        <cfvo type="min"/>
        <cfvo type="percentile" val="50"/>
        <cfvo type="max"/>
        <color rgb="FFF8696B"/>
        <color rgb="FFFFEB84"/>
        <color rgb="FF63BE7B"/>
      </colorScale>
    </cfRule>
  </conditionalFormatting>
  <conditionalFormatting sqref="I62:P62 P57:P61">
    <cfRule type="colorScale" priority="53">
      <colorScale>
        <cfvo type="min"/>
        <cfvo type="percentile" val="50"/>
        <cfvo type="max"/>
        <color rgb="FF63BE7B"/>
        <color rgb="FFFFEB84"/>
        <color rgb="FFF8696B"/>
      </colorScale>
    </cfRule>
    <cfRule type="colorScale" priority="52">
      <colorScale>
        <cfvo type="min"/>
        <cfvo type="percentile" val="50"/>
        <cfvo type="max"/>
        <color rgb="FFF8696B"/>
        <color rgb="FFFFEB84"/>
        <color rgb="FF63BE7B"/>
      </colorScale>
    </cfRule>
  </conditionalFormatting>
  <conditionalFormatting sqref="P19">
    <cfRule type="colorScale" priority="50">
      <colorScale>
        <cfvo type="min"/>
        <cfvo type="percentile" val="50"/>
        <cfvo type="max"/>
        <color rgb="FFF8696B"/>
        <color rgb="FFFFEB84"/>
        <color rgb="FF63BE7B"/>
      </colorScale>
    </cfRule>
    <cfRule type="colorScale" priority="51">
      <colorScale>
        <cfvo type="min"/>
        <cfvo type="percentile" val="50"/>
        <cfvo type="max"/>
        <color rgb="FF63BE7B"/>
        <color rgb="FFFFEB84"/>
        <color rgb="FFF8696B"/>
      </colorScale>
    </cfRule>
  </conditionalFormatting>
  <conditionalFormatting sqref="P53:P56 P50">
    <cfRule type="colorScale" priority="55">
      <colorScale>
        <cfvo type="min"/>
        <cfvo type="percentile" val="50"/>
        <cfvo type="max"/>
        <color rgb="FF63BE7B"/>
        <color rgb="FFFFEB84"/>
        <color rgb="FFF8696B"/>
      </colorScale>
    </cfRule>
    <cfRule type="colorScale" priority="54">
      <colorScale>
        <cfvo type="min"/>
        <cfvo type="percentile" val="50"/>
        <cfvo type="max"/>
        <color rgb="FFF8696B"/>
        <color rgb="FFFFEB84"/>
        <color rgb="FF63BE7B"/>
      </colorScale>
    </cfRule>
  </conditionalFormatting>
  <conditionalFormatting sqref="Q11:Q20">
    <cfRule type="colorScale" priority="15">
      <colorScale>
        <cfvo type="min"/>
        <cfvo type="percentile" val="50"/>
        <cfvo type="max"/>
        <color rgb="FFF8696B"/>
        <color rgb="FFFFEB84"/>
        <color rgb="FF63BE7B"/>
      </colorScale>
    </cfRule>
  </conditionalFormatting>
  <conditionalFormatting sqref="Q53:Q56 Q50">
    <cfRule type="colorScale" priority="29">
      <colorScale>
        <cfvo type="min"/>
        <cfvo type="percentile" val="50"/>
        <cfvo type="max"/>
        <color rgb="FFF8696B"/>
        <color rgb="FFFFEB84"/>
        <color rgb="FF63BE7B"/>
      </colorScale>
    </cfRule>
    <cfRule type="colorScale" priority="30">
      <colorScale>
        <cfvo type="min"/>
        <cfvo type="percentile" val="50"/>
        <cfvo type="max"/>
        <color rgb="FFF8696B"/>
        <color rgb="FFFFEB84"/>
        <color rgb="FF63BE7B"/>
      </colorScale>
    </cfRule>
  </conditionalFormatting>
  <conditionalFormatting sqref="Q57:Q61">
    <cfRule type="colorScale" priority="34">
      <colorScale>
        <cfvo type="min"/>
        <cfvo type="percentile" val="50"/>
        <cfvo type="max"/>
        <color rgb="FFF8696B"/>
        <color rgb="FFFFEB84"/>
        <color rgb="FF63BE7B"/>
      </colorScale>
    </cfRule>
  </conditionalFormatting>
  <conditionalFormatting sqref="R12:R20">
    <cfRule type="colorScale" priority="14">
      <colorScale>
        <cfvo type="min"/>
        <cfvo type="percentile" val="50"/>
        <cfvo type="max"/>
        <color rgb="FFF8696B"/>
        <color rgb="FFFFEB84"/>
        <color rgb="FF63BE7B"/>
      </colorScale>
    </cfRule>
  </conditionalFormatting>
  <conditionalFormatting sqref="R37">
    <cfRule type="colorScale" priority="57">
      <colorScale>
        <cfvo type="min"/>
        <cfvo type="percentile" val="50"/>
        <cfvo type="max"/>
        <color rgb="FF63BE7B"/>
        <color rgb="FFFFEB84"/>
        <color rgb="FFF8696B"/>
      </colorScale>
    </cfRule>
    <cfRule type="colorScale" priority="56">
      <colorScale>
        <cfvo type="min"/>
        <cfvo type="percentile" val="50"/>
        <cfvo type="max"/>
        <color rgb="FFF8696B"/>
        <color rgb="FFFFEB84"/>
        <color rgb="FF63BE7B"/>
      </colorScale>
    </cfRule>
    <cfRule type="colorScale" priority="78">
      <colorScale>
        <cfvo type="min"/>
        <cfvo type="percentile" val="50"/>
        <cfvo type="max"/>
        <color rgb="FFF8696B"/>
        <color rgb="FFFFEB84"/>
        <color rgb="FF63BE7B"/>
      </colorScale>
    </cfRule>
  </conditionalFormatting>
  <conditionalFormatting sqref="R53:R56 R50">
    <cfRule type="colorScale" priority="28">
      <colorScale>
        <cfvo type="min"/>
        <cfvo type="percentile" val="50"/>
        <cfvo type="max"/>
        <color rgb="FFF8696B"/>
        <color rgb="FFFFEB84"/>
        <color rgb="FF63BE7B"/>
      </colorScale>
    </cfRule>
    <cfRule type="colorScale" priority="27">
      <colorScale>
        <cfvo type="min"/>
        <cfvo type="percentile" val="50"/>
        <cfvo type="max"/>
        <color rgb="FFF8696B"/>
        <color rgb="FFFFEB84"/>
        <color rgb="FF63BE7B"/>
      </colorScale>
    </cfRule>
  </conditionalFormatting>
  <conditionalFormatting sqref="R57:R61">
    <cfRule type="colorScale" priority="35">
      <colorScale>
        <cfvo type="min"/>
        <cfvo type="percentile" val="50"/>
        <cfvo type="max"/>
        <color rgb="FFF8696B"/>
        <color rgb="FFFFEB84"/>
        <color rgb="FF63BE7B"/>
      </colorScale>
    </cfRule>
  </conditionalFormatting>
  <conditionalFormatting sqref="R11:V11">
    <cfRule type="colorScale" priority="3">
      <colorScale>
        <cfvo type="min"/>
        <cfvo type="percentile" val="50"/>
        <cfvo type="max"/>
        <color rgb="FFF8696B"/>
        <color rgb="FFFFEB84"/>
        <color rgb="FF63BE7B"/>
      </colorScale>
    </cfRule>
  </conditionalFormatting>
  <conditionalFormatting sqref="S12:S20">
    <cfRule type="colorScale" priority="13">
      <colorScale>
        <cfvo type="min"/>
        <cfvo type="percentile" val="50"/>
        <cfvo type="max"/>
        <color rgb="FFF8696B"/>
        <color rgb="FFFFEB84"/>
        <color rgb="FF63BE7B"/>
      </colorScale>
    </cfRule>
  </conditionalFormatting>
  <conditionalFormatting sqref="S37">
    <cfRule type="colorScale" priority="75">
      <colorScale>
        <cfvo type="min"/>
        <cfvo type="percentile" val="50"/>
        <cfvo type="max"/>
        <color rgb="FF63BE7B"/>
        <color rgb="FFFFEB84"/>
        <color rgb="FFF8696B"/>
      </colorScale>
    </cfRule>
    <cfRule type="colorScale" priority="74">
      <colorScale>
        <cfvo type="min"/>
        <cfvo type="percentile" val="50"/>
        <cfvo type="max"/>
        <color rgb="FFF8696B"/>
        <color rgb="FFFFEB84"/>
        <color rgb="FF63BE7B"/>
      </colorScale>
    </cfRule>
    <cfRule type="colorScale" priority="79">
      <colorScale>
        <cfvo type="min"/>
        <cfvo type="percentile" val="50"/>
        <cfvo type="max"/>
        <color rgb="FFF8696B"/>
        <color rgb="FFFFEB84"/>
        <color rgb="FF63BE7B"/>
      </colorScale>
    </cfRule>
  </conditionalFormatting>
  <conditionalFormatting sqref="S53:S56 S50">
    <cfRule type="colorScale" priority="26">
      <colorScale>
        <cfvo type="min"/>
        <cfvo type="percentile" val="50"/>
        <cfvo type="max"/>
        <color rgb="FFF8696B"/>
        <color rgb="FFFFEB84"/>
        <color rgb="FF63BE7B"/>
      </colorScale>
    </cfRule>
  </conditionalFormatting>
  <conditionalFormatting sqref="S57:S61">
    <cfRule type="colorScale" priority="36">
      <colorScale>
        <cfvo type="min"/>
        <cfvo type="percentile" val="50"/>
        <cfvo type="max"/>
        <color rgb="FFF8696B"/>
        <color rgb="FFFFEB84"/>
        <color rgb="FF63BE7B"/>
      </colorScale>
    </cfRule>
  </conditionalFormatting>
  <conditionalFormatting sqref="T12:T20">
    <cfRule type="colorScale" priority="12">
      <colorScale>
        <cfvo type="min"/>
        <cfvo type="percentile" val="50"/>
        <cfvo type="max"/>
        <color rgb="FFF8696B"/>
        <color rgb="FFFFEB84"/>
        <color rgb="FF63BE7B"/>
      </colorScale>
    </cfRule>
  </conditionalFormatting>
  <conditionalFormatting sqref="T37:T40">
    <cfRule type="colorScale" priority="77">
      <colorScale>
        <cfvo type="min"/>
        <cfvo type="percentile" val="50"/>
        <cfvo type="max"/>
        <color rgb="FF63BE7B"/>
        <color rgb="FFFFEB84"/>
        <color rgb="FFF8696B"/>
      </colorScale>
    </cfRule>
    <cfRule type="colorScale" priority="76">
      <colorScale>
        <cfvo type="min"/>
        <cfvo type="percentile" val="50"/>
        <cfvo type="max"/>
        <color rgb="FFF8696B"/>
        <color rgb="FFFFEB84"/>
        <color rgb="FF63BE7B"/>
      </colorScale>
    </cfRule>
    <cfRule type="colorScale" priority="80">
      <colorScale>
        <cfvo type="min"/>
        <cfvo type="percentile" val="50"/>
        <cfvo type="max"/>
        <color rgb="FFF8696B"/>
        <color rgb="FFFFEB84"/>
        <color rgb="FF63BE7B"/>
      </colorScale>
    </cfRule>
  </conditionalFormatting>
  <conditionalFormatting sqref="T41">
    <cfRule type="colorScale" priority="62">
      <colorScale>
        <cfvo type="min"/>
        <cfvo type="percentile" val="50"/>
        <cfvo type="max"/>
        <color rgb="FFF8696B"/>
        <color rgb="FFFFEB84"/>
        <color rgb="FF63BE7B"/>
      </colorScale>
    </cfRule>
    <cfRule type="colorScale" priority="63">
      <colorScale>
        <cfvo type="min"/>
        <cfvo type="percentile" val="50"/>
        <cfvo type="max"/>
        <color rgb="FFF8696B"/>
        <color rgb="FFFFEB84"/>
        <color rgb="FF63BE7B"/>
      </colorScale>
    </cfRule>
  </conditionalFormatting>
  <conditionalFormatting sqref="T42">
    <cfRule type="colorScale" priority="16">
      <colorScale>
        <cfvo type="min"/>
        <cfvo type="percentile" val="50"/>
        <cfvo type="max"/>
        <color rgb="FFF8696B"/>
        <color rgb="FFFFEB84"/>
        <color rgb="FF63BE7B"/>
      </colorScale>
    </cfRule>
  </conditionalFormatting>
  <conditionalFormatting sqref="T45:T47 T42:T43">
    <cfRule type="colorScale" priority="90">
      <colorScale>
        <cfvo type="min"/>
        <cfvo type="percentile" val="50"/>
        <cfvo type="max"/>
        <color rgb="FFF8696B"/>
        <color rgb="FFFFEB84"/>
        <color rgb="FF63BE7B"/>
      </colorScale>
    </cfRule>
  </conditionalFormatting>
  <conditionalFormatting sqref="T45:T47 T43">
    <cfRule type="colorScale" priority="89">
      <colorScale>
        <cfvo type="min"/>
        <cfvo type="percentile" val="50"/>
        <cfvo type="max"/>
        <color rgb="FFF8696B"/>
        <color rgb="FFFFEB84"/>
        <color rgb="FF63BE7B"/>
      </colorScale>
    </cfRule>
  </conditionalFormatting>
  <conditionalFormatting sqref="T48:T56">
    <cfRule type="colorScale" priority="25">
      <colorScale>
        <cfvo type="min"/>
        <cfvo type="percentile" val="50"/>
        <cfvo type="max"/>
        <color rgb="FFF8696B"/>
        <color rgb="FFFFEB84"/>
        <color rgb="FF63BE7B"/>
      </colorScale>
    </cfRule>
  </conditionalFormatting>
  <conditionalFormatting sqref="T57:T61">
    <cfRule type="colorScale" priority="37">
      <colorScale>
        <cfvo type="min"/>
        <cfvo type="percentile" val="50"/>
        <cfvo type="max"/>
        <color rgb="FFF8696B"/>
        <color rgb="FFFFEB84"/>
        <color rgb="FF63BE7B"/>
      </colorScale>
    </cfRule>
  </conditionalFormatting>
  <conditionalFormatting sqref="U11:U20 V11">
    <cfRule type="colorScale" priority="11">
      <colorScale>
        <cfvo type="min"/>
        <cfvo type="percentile" val="50"/>
        <cfvo type="max"/>
        <color rgb="FFF8696B"/>
        <color rgb="FFFFEB84"/>
        <color rgb="FF63BE7B"/>
      </colorScale>
    </cfRule>
  </conditionalFormatting>
  <conditionalFormatting sqref="U37:U40">
    <cfRule type="colorScale" priority="81">
      <colorScale>
        <cfvo type="min"/>
        <cfvo type="percentile" val="50"/>
        <cfvo type="max"/>
        <color rgb="FFF8696B"/>
        <color rgb="FFFFEB84"/>
        <color rgb="FF63BE7B"/>
      </colorScale>
    </cfRule>
    <cfRule type="colorScale" priority="58">
      <colorScale>
        <cfvo type="min"/>
        <cfvo type="percentile" val="50"/>
        <cfvo type="max"/>
        <color rgb="FFF8696B"/>
        <color rgb="FFFFEB84"/>
        <color rgb="FF63BE7B"/>
      </colorScale>
    </cfRule>
    <cfRule type="colorScale" priority="59">
      <colorScale>
        <cfvo type="min"/>
        <cfvo type="percentile" val="50"/>
        <cfvo type="max"/>
        <color rgb="FF63BE7B"/>
        <color rgb="FFFFEB84"/>
        <color rgb="FFF8696B"/>
      </colorScale>
    </cfRule>
  </conditionalFormatting>
  <conditionalFormatting sqref="U41">
    <cfRule type="colorScale" priority="64">
      <colorScale>
        <cfvo type="min"/>
        <cfvo type="percentile" val="50"/>
        <cfvo type="max"/>
        <color rgb="FFF8696B"/>
        <color rgb="FFFFEB84"/>
        <color rgb="FF63BE7B"/>
      </colorScale>
    </cfRule>
    <cfRule type="colorScale" priority="65">
      <colorScale>
        <cfvo type="min"/>
        <cfvo type="percentile" val="50"/>
        <cfvo type="max"/>
        <color rgb="FFF8696B"/>
        <color rgb="FFFFEB84"/>
        <color rgb="FF63BE7B"/>
      </colorScale>
    </cfRule>
  </conditionalFormatting>
  <conditionalFormatting sqref="U45:U47 U42:U43">
    <cfRule type="colorScale" priority="91">
      <colorScale>
        <cfvo type="min"/>
        <cfvo type="percentile" val="50"/>
        <cfvo type="max"/>
        <color rgb="FFF8696B"/>
        <color rgb="FFFFEB84"/>
        <color rgb="FF63BE7B"/>
      </colorScale>
    </cfRule>
  </conditionalFormatting>
  <conditionalFormatting sqref="U48:U56">
    <cfRule type="colorScale" priority="24">
      <colorScale>
        <cfvo type="min"/>
        <cfvo type="percentile" val="50"/>
        <cfvo type="max"/>
        <color rgb="FFF8696B"/>
        <color rgb="FFFFEB84"/>
        <color rgb="FF63BE7B"/>
      </colorScale>
    </cfRule>
  </conditionalFormatting>
  <conditionalFormatting sqref="U57:U61">
    <cfRule type="colorScale" priority="38">
      <colorScale>
        <cfvo type="min"/>
        <cfvo type="percentile" val="50"/>
        <cfvo type="max"/>
        <color rgb="FFF8696B"/>
        <color rgb="FFFFEB84"/>
        <color rgb="FF63BE7B"/>
      </colorScale>
    </cfRule>
  </conditionalFormatting>
  <conditionalFormatting sqref="V11">
    <cfRule type="colorScale" priority="2">
      <colorScale>
        <cfvo type="min"/>
        <cfvo type="percentile" val="50"/>
        <cfvo type="max"/>
        <color rgb="FFF8696B"/>
        <color rgb="FFFFEB84"/>
        <color rgb="FF63BE7B"/>
      </colorScale>
    </cfRule>
  </conditionalFormatting>
  <conditionalFormatting sqref="V12:V20">
    <cfRule type="colorScale" priority="10">
      <colorScale>
        <cfvo type="min"/>
        <cfvo type="percentile" val="50"/>
        <cfvo type="max"/>
        <color rgb="FFF8696B"/>
        <color rgb="FFFFEB84"/>
        <color rgb="FF63BE7B"/>
      </colorScale>
    </cfRule>
  </conditionalFormatting>
  <conditionalFormatting sqref="V37:V40">
    <cfRule type="colorScale" priority="82">
      <colorScale>
        <cfvo type="min"/>
        <cfvo type="percentile" val="50"/>
        <cfvo type="max"/>
        <color rgb="FFF8696B"/>
        <color rgb="FFFFEB84"/>
        <color rgb="FF63BE7B"/>
      </colorScale>
    </cfRule>
    <cfRule type="colorScale" priority="60">
      <colorScale>
        <cfvo type="min"/>
        <cfvo type="percentile" val="50"/>
        <cfvo type="max"/>
        <color rgb="FFF8696B"/>
        <color rgb="FFFFEB84"/>
        <color rgb="FF63BE7B"/>
      </colorScale>
    </cfRule>
    <cfRule type="colorScale" priority="61">
      <colorScale>
        <cfvo type="min"/>
        <cfvo type="percentile" val="50"/>
        <cfvo type="max"/>
        <color rgb="FF63BE7B"/>
        <color rgb="FFFFEB84"/>
        <color rgb="FFF8696B"/>
      </colorScale>
    </cfRule>
  </conditionalFormatting>
  <conditionalFormatting sqref="V41">
    <cfRule type="colorScale" priority="66">
      <colorScale>
        <cfvo type="min"/>
        <cfvo type="percentile" val="50"/>
        <cfvo type="max"/>
        <color rgb="FFF8696B"/>
        <color rgb="FFFFEB84"/>
        <color rgb="FF63BE7B"/>
      </colorScale>
    </cfRule>
    <cfRule type="colorScale" priority="67">
      <colorScale>
        <cfvo type="min"/>
        <cfvo type="percentile" val="50"/>
        <cfvo type="max"/>
        <color rgb="FFF8696B"/>
        <color rgb="FFFFEB84"/>
        <color rgb="FF63BE7B"/>
      </colorScale>
    </cfRule>
  </conditionalFormatting>
  <conditionalFormatting sqref="V45:V47 V42:V43">
    <cfRule type="colorScale" priority="92">
      <colorScale>
        <cfvo type="min"/>
        <cfvo type="percentile" val="50"/>
        <cfvo type="max"/>
        <color rgb="FFF8696B"/>
        <color rgb="FFFFEB84"/>
        <color rgb="FF63BE7B"/>
      </colorScale>
    </cfRule>
  </conditionalFormatting>
  <conditionalFormatting sqref="V48:V56">
    <cfRule type="colorScale" priority="23">
      <colorScale>
        <cfvo type="min"/>
        <cfvo type="percentile" val="50"/>
        <cfvo type="max"/>
        <color rgb="FFF8696B"/>
        <color rgb="FFFFEB84"/>
        <color rgb="FF63BE7B"/>
      </colorScale>
    </cfRule>
  </conditionalFormatting>
  <conditionalFormatting sqref="V57:V61">
    <cfRule type="colorScale" priority="39">
      <colorScale>
        <cfvo type="min"/>
        <cfvo type="percentile" val="50"/>
        <cfvo type="max"/>
        <color rgb="FFF8696B"/>
        <color rgb="FFFFEB84"/>
        <color rgb="FF63BE7B"/>
      </colorScale>
    </cfRule>
  </conditionalFormatting>
  <conditionalFormatting sqref="X11:X20">
    <cfRule type="colorScale" priority="9">
      <colorScale>
        <cfvo type="min"/>
        <cfvo type="percentile" val="50"/>
        <cfvo type="max"/>
        <color rgb="FF63BE7B"/>
        <color rgb="FFFFEB84"/>
        <color rgb="FFF8696B"/>
      </colorScale>
    </cfRule>
  </conditionalFormatting>
  <conditionalFormatting sqref="X37:X40">
    <cfRule type="colorScale" priority="83">
      <colorScale>
        <cfvo type="min"/>
        <cfvo type="percentile" val="50"/>
        <cfvo type="max"/>
        <color rgb="FF63BE7B"/>
        <color rgb="FFFFEB84"/>
        <color rgb="FFF8696B"/>
      </colorScale>
    </cfRule>
  </conditionalFormatting>
  <conditionalFormatting sqref="X41">
    <cfRule type="colorScale" priority="68">
      <colorScale>
        <cfvo type="min"/>
        <cfvo type="percentile" val="50"/>
        <cfvo type="max"/>
        <color rgb="FF63BE7B"/>
        <color rgb="FFFFEB84"/>
        <color rgb="FFF8696B"/>
      </colorScale>
    </cfRule>
  </conditionalFormatting>
  <conditionalFormatting sqref="X42:X43 X45">
    <cfRule type="colorScale" priority="93">
      <colorScale>
        <cfvo type="min"/>
        <cfvo type="percentile" val="50"/>
        <cfvo type="max"/>
        <color rgb="FF63BE7B"/>
        <color rgb="FFFFEB84"/>
        <color rgb="FFF8696B"/>
      </colorScale>
    </cfRule>
  </conditionalFormatting>
  <conditionalFormatting sqref="X46:X47">
    <cfRule type="colorScale" priority="31">
      <colorScale>
        <cfvo type="min"/>
        <cfvo type="percentile" val="50"/>
        <cfvo type="max"/>
        <color rgb="FF63BE7B"/>
        <color rgb="FFFFEB84"/>
        <color rgb="FFF8696B"/>
      </colorScale>
    </cfRule>
  </conditionalFormatting>
  <conditionalFormatting sqref="X48:X56">
    <cfRule type="colorScale" priority="22">
      <colorScale>
        <cfvo type="min"/>
        <cfvo type="percentile" val="50"/>
        <cfvo type="max"/>
        <color rgb="FF63BE7B"/>
        <color rgb="FFFFEB84"/>
        <color rgb="FFF8696B"/>
      </colorScale>
    </cfRule>
  </conditionalFormatting>
  <conditionalFormatting sqref="X57:X61">
    <cfRule type="colorScale" priority="40">
      <colorScale>
        <cfvo type="min"/>
        <cfvo type="percentile" val="50"/>
        <cfvo type="max"/>
        <color rgb="FF63BE7B"/>
        <color rgb="FFFFEB84"/>
        <color rgb="FFF8696B"/>
      </colorScale>
    </cfRule>
  </conditionalFormatting>
  <conditionalFormatting sqref="Y12:Y20">
    <cfRule type="colorScale" priority="8">
      <colorScale>
        <cfvo type="min"/>
        <cfvo type="percentile" val="50"/>
        <cfvo type="max"/>
        <color rgb="FF63BE7B"/>
        <color rgb="FFFFEB84"/>
        <color rgb="FFF8696B"/>
      </colorScale>
    </cfRule>
  </conditionalFormatting>
  <conditionalFormatting sqref="Y37:Y40">
    <cfRule type="colorScale" priority="84">
      <colorScale>
        <cfvo type="min"/>
        <cfvo type="percentile" val="50"/>
        <cfvo type="max"/>
        <color rgb="FF63BE7B"/>
        <color rgb="FFFFEB84"/>
        <color rgb="FFF8696B"/>
      </colorScale>
    </cfRule>
  </conditionalFormatting>
  <conditionalFormatting sqref="Y41">
    <cfRule type="colorScale" priority="69">
      <colorScale>
        <cfvo type="min"/>
        <cfvo type="percentile" val="50"/>
        <cfvo type="max"/>
        <color rgb="FF63BE7B"/>
        <color rgb="FFFFEB84"/>
        <color rgb="FFF8696B"/>
      </colorScale>
    </cfRule>
  </conditionalFormatting>
  <conditionalFormatting sqref="Y45:Y47 Y42:Y43">
    <cfRule type="colorScale" priority="94">
      <colorScale>
        <cfvo type="min"/>
        <cfvo type="percentile" val="50"/>
        <cfvo type="max"/>
        <color rgb="FF63BE7B"/>
        <color rgb="FFFFEB84"/>
        <color rgb="FFF8696B"/>
      </colorScale>
    </cfRule>
  </conditionalFormatting>
  <conditionalFormatting sqref="Y48:Y56">
    <cfRule type="colorScale" priority="21">
      <colorScale>
        <cfvo type="min"/>
        <cfvo type="percentile" val="50"/>
        <cfvo type="max"/>
        <color rgb="FF63BE7B"/>
        <color rgb="FFFFEB84"/>
        <color rgb="FFF8696B"/>
      </colorScale>
    </cfRule>
  </conditionalFormatting>
  <conditionalFormatting sqref="Y57:Y61">
    <cfRule type="colorScale" priority="41">
      <colorScale>
        <cfvo type="min"/>
        <cfvo type="percentile" val="50"/>
        <cfvo type="max"/>
        <color rgb="FF63BE7B"/>
        <color rgb="FFFFEB84"/>
        <color rgb="FFF8696B"/>
      </colorScale>
    </cfRule>
  </conditionalFormatting>
  <conditionalFormatting sqref="Y11:AA11">
    <cfRule type="colorScale" priority="1">
      <colorScale>
        <cfvo type="min"/>
        <cfvo type="percentile" val="50"/>
        <cfvo type="max"/>
        <color rgb="FF63BE7B"/>
        <color rgb="FFFFEB84"/>
        <color rgb="FFF8696B"/>
      </colorScale>
    </cfRule>
  </conditionalFormatting>
  <conditionalFormatting sqref="Z12:Z20">
    <cfRule type="colorScale" priority="7">
      <colorScale>
        <cfvo type="min"/>
        <cfvo type="percentile" val="50"/>
        <cfvo type="max"/>
        <color rgb="FF63BE7B"/>
        <color rgb="FFFFEB84"/>
        <color rgb="FFF8696B"/>
      </colorScale>
    </cfRule>
  </conditionalFormatting>
  <conditionalFormatting sqref="Z37:Z40">
    <cfRule type="colorScale" priority="85">
      <colorScale>
        <cfvo type="min"/>
        <cfvo type="percentile" val="50"/>
        <cfvo type="max"/>
        <color rgb="FF63BE7B"/>
        <color rgb="FFFFEB84"/>
        <color rgb="FFF8696B"/>
      </colorScale>
    </cfRule>
  </conditionalFormatting>
  <conditionalFormatting sqref="Z41">
    <cfRule type="colorScale" priority="70">
      <colorScale>
        <cfvo type="min"/>
        <cfvo type="percentile" val="50"/>
        <cfvo type="max"/>
        <color rgb="FF63BE7B"/>
        <color rgb="FFFFEB84"/>
        <color rgb="FFF8696B"/>
      </colorScale>
    </cfRule>
  </conditionalFormatting>
  <conditionalFormatting sqref="Z45:Z47 Z42:Z43">
    <cfRule type="colorScale" priority="95">
      <colorScale>
        <cfvo type="min"/>
        <cfvo type="percentile" val="50"/>
        <cfvo type="max"/>
        <color rgb="FF63BE7B"/>
        <color rgb="FFFFEB84"/>
        <color rgb="FFF8696B"/>
      </colorScale>
    </cfRule>
  </conditionalFormatting>
  <conditionalFormatting sqref="Z48:Z56">
    <cfRule type="colorScale" priority="20">
      <colorScale>
        <cfvo type="min"/>
        <cfvo type="percentile" val="50"/>
        <cfvo type="max"/>
        <color rgb="FF63BE7B"/>
        <color rgb="FFFFEB84"/>
        <color rgb="FFF8696B"/>
      </colorScale>
    </cfRule>
  </conditionalFormatting>
  <conditionalFormatting sqref="Z57:Z61">
    <cfRule type="colorScale" priority="42">
      <colorScale>
        <cfvo type="min"/>
        <cfvo type="percentile" val="50"/>
        <cfvo type="max"/>
        <color rgb="FF63BE7B"/>
        <color rgb="FFFFEB84"/>
        <color rgb="FFF8696B"/>
      </colorScale>
    </cfRule>
  </conditionalFormatting>
  <conditionalFormatting sqref="AA12:AA20">
    <cfRule type="colorScale" priority="6">
      <colorScale>
        <cfvo type="min"/>
        <cfvo type="percentile" val="50"/>
        <cfvo type="max"/>
        <color rgb="FF63BE7B"/>
        <color rgb="FFFFEB84"/>
        <color rgb="FFF8696B"/>
      </colorScale>
    </cfRule>
  </conditionalFormatting>
  <conditionalFormatting sqref="AA37:AA40">
    <cfRule type="colorScale" priority="86">
      <colorScale>
        <cfvo type="min"/>
        <cfvo type="percentile" val="50"/>
        <cfvo type="max"/>
        <color rgb="FF63BE7B"/>
        <color rgb="FFFFEB84"/>
        <color rgb="FFF8696B"/>
      </colorScale>
    </cfRule>
  </conditionalFormatting>
  <conditionalFormatting sqref="AA41">
    <cfRule type="colorScale" priority="71">
      <colorScale>
        <cfvo type="min"/>
        <cfvo type="percentile" val="50"/>
        <cfvo type="max"/>
        <color rgb="FF63BE7B"/>
        <color rgb="FFFFEB84"/>
        <color rgb="FFF8696B"/>
      </colorScale>
    </cfRule>
  </conditionalFormatting>
  <conditionalFormatting sqref="AA45:AA47 AA42:AA43">
    <cfRule type="colorScale" priority="96">
      <colorScale>
        <cfvo type="min"/>
        <cfvo type="percentile" val="50"/>
        <cfvo type="max"/>
        <color rgb="FF63BE7B"/>
        <color rgb="FFFFEB84"/>
        <color rgb="FFF8696B"/>
      </colorScale>
    </cfRule>
  </conditionalFormatting>
  <conditionalFormatting sqref="AA48:AA56">
    <cfRule type="colorScale" priority="19">
      <colorScale>
        <cfvo type="min"/>
        <cfvo type="percentile" val="50"/>
        <cfvo type="max"/>
        <color rgb="FF63BE7B"/>
        <color rgb="FFFFEB84"/>
        <color rgb="FFF8696B"/>
      </colorScale>
    </cfRule>
  </conditionalFormatting>
  <conditionalFormatting sqref="AA57:AA61">
    <cfRule type="colorScale" priority="43">
      <colorScale>
        <cfvo type="min"/>
        <cfvo type="percentile" val="50"/>
        <cfvo type="max"/>
        <color rgb="FF63BE7B"/>
        <color rgb="FFFFEB84"/>
        <color rgb="FFF8696B"/>
      </colorScale>
    </cfRule>
  </conditionalFormatting>
  <conditionalFormatting sqref="AB37:AB40">
    <cfRule type="colorScale" priority="87">
      <colorScale>
        <cfvo type="min"/>
        <cfvo type="percentile" val="50"/>
        <cfvo type="max"/>
        <color rgb="FF63BE7B"/>
        <color rgb="FFFFEB84"/>
        <color rgb="FFF8696B"/>
      </colorScale>
    </cfRule>
  </conditionalFormatting>
  <conditionalFormatting sqref="AB41">
    <cfRule type="colorScale" priority="72">
      <colorScale>
        <cfvo type="min"/>
        <cfvo type="percentile" val="50"/>
        <cfvo type="max"/>
        <color rgb="FF63BE7B"/>
        <color rgb="FFFFEB84"/>
        <color rgb="FFF8696B"/>
      </colorScale>
    </cfRule>
  </conditionalFormatting>
  <conditionalFormatting sqref="AB42:AB43 AB45">
    <cfRule type="colorScale" priority="97">
      <colorScale>
        <cfvo type="min"/>
        <cfvo type="percentile" val="50"/>
        <cfvo type="max"/>
        <color rgb="FF63BE7B"/>
        <color rgb="FFFFEB84"/>
        <color rgb="FFF8696B"/>
      </colorScale>
    </cfRule>
  </conditionalFormatting>
  <conditionalFormatting sqref="AB46:AB47">
    <cfRule type="colorScale" priority="33">
      <colorScale>
        <cfvo type="min"/>
        <cfvo type="percentile" val="50"/>
        <cfvo type="max"/>
        <color rgb="FF63BE7B"/>
        <color rgb="FFFFEB84"/>
        <color rgb="FFF8696B"/>
      </colorScale>
    </cfRule>
  </conditionalFormatting>
  <conditionalFormatting sqref="AB48:AB56">
    <cfRule type="colorScale" priority="18">
      <colorScale>
        <cfvo type="min"/>
        <cfvo type="percentile" val="50"/>
        <cfvo type="max"/>
        <color rgb="FF63BE7B"/>
        <color rgb="FFFFEB84"/>
        <color rgb="FFF8696B"/>
      </colorScale>
    </cfRule>
  </conditionalFormatting>
  <conditionalFormatting sqref="AB57:AB61">
    <cfRule type="colorScale" priority="44">
      <colorScale>
        <cfvo type="min"/>
        <cfvo type="percentile" val="50"/>
        <cfvo type="max"/>
        <color rgb="FF63BE7B"/>
        <color rgb="FFFFEB84"/>
        <color rgb="FFF8696B"/>
      </colorScale>
    </cfRule>
  </conditionalFormatting>
  <conditionalFormatting sqref="AB11:AC11 AB12:AB20">
    <cfRule type="colorScale" priority="5">
      <colorScale>
        <cfvo type="min"/>
        <cfvo type="percentile" val="50"/>
        <cfvo type="max"/>
        <color rgb="FF63BE7B"/>
        <color rgb="FFFFEB84"/>
        <color rgb="FFF8696B"/>
      </colorScale>
    </cfRule>
  </conditionalFormatting>
  <conditionalFormatting sqref="AC11:AC20">
    <cfRule type="colorScale" priority="4">
      <colorScale>
        <cfvo type="min"/>
        <cfvo type="percentile" val="50"/>
        <cfvo type="max"/>
        <color rgb="FF63BE7B"/>
        <color rgb="FFFFEB84"/>
        <color rgb="FFF8696B"/>
      </colorScale>
    </cfRule>
  </conditionalFormatting>
  <conditionalFormatting sqref="AC37:AC40">
    <cfRule type="colorScale" priority="88">
      <colorScale>
        <cfvo type="min"/>
        <cfvo type="percentile" val="50"/>
        <cfvo type="max"/>
        <color rgb="FF63BE7B"/>
        <color rgb="FFFFEB84"/>
        <color rgb="FFF8696B"/>
      </colorScale>
    </cfRule>
  </conditionalFormatting>
  <conditionalFormatting sqref="AC41">
    <cfRule type="colorScale" priority="73">
      <colorScale>
        <cfvo type="min"/>
        <cfvo type="percentile" val="50"/>
        <cfvo type="max"/>
        <color rgb="FF63BE7B"/>
        <color rgb="FFFFEB84"/>
        <color rgb="FFF8696B"/>
      </colorScale>
    </cfRule>
  </conditionalFormatting>
  <conditionalFormatting sqref="AC42:AC43 AC45">
    <cfRule type="colorScale" priority="98">
      <colorScale>
        <cfvo type="min"/>
        <cfvo type="percentile" val="50"/>
        <cfvo type="max"/>
        <color rgb="FF63BE7B"/>
        <color rgb="FFFFEB84"/>
        <color rgb="FFF8696B"/>
      </colorScale>
    </cfRule>
  </conditionalFormatting>
  <conditionalFormatting sqref="AC46:AC47">
    <cfRule type="colorScale" priority="32">
      <colorScale>
        <cfvo type="min"/>
        <cfvo type="percentile" val="50"/>
        <cfvo type="max"/>
        <color rgb="FF63BE7B"/>
        <color rgb="FFFFEB84"/>
        <color rgb="FFF8696B"/>
      </colorScale>
    </cfRule>
  </conditionalFormatting>
  <conditionalFormatting sqref="AC48:AC56">
    <cfRule type="colorScale" priority="17">
      <colorScale>
        <cfvo type="min"/>
        <cfvo type="percentile" val="50"/>
        <cfvo type="max"/>
        <color rgb="FF63BE7B"/>
        <color rgb="FFFFEB84"/>
        <color rgb="FFF8696B"/>
      </colorScale>
    </cfRule>
  </conditionalFormatting>
  <conditionalFormatting sqref="AC57:AC61">
    <cfRule type="colorScale" priority="45">
      <colorScale>
        <cfvo type="min"/>
        <cfvo type="percentile" val="50"/>
        <cfvo type="max"/>
        <color rgb="FF63BE7B"/>
        <color rgb="FFFFEB84"/>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29AA4-B35F-4B29-9687-80AC587D2F82}">
  <dimension ref="A2:S29"/>
  <sheetViews>
    <sheetView workbookViewId="0">
      <selection activeCell="E5" sqref="E5"/>
    </sheetView>
  </sheetViews>
  <sheetFormatPr defaultRowHeight="14.4" x14ac:dyDescent="0.3"/>
  <cols>
    <col min="1" max="1" width="2.6640625" style="254" customWidth="1"/>
    <col min="2" max="3" width="8.88671875" style="254"/>
    <col min="4" max="4" width="11.88671875" style="254" bestFit="1" customWidth="1"/>
    <col min="5" max="5" width="10" style="254" bestFit="1" customWidth="1"/>
    <col min="6" max="6" width="3.109375" style="254" bestFit="1" customWidth="1"/>
    <col min="7" max="7" width="7.6640625" style="254" bestFit="1" customWidth="1"/>
    <col min="8" max="8" width="14" style="254" bestFit="1" customWidth="1"/>
    <col min="9" max="18" width="8.88671875" style="254"/>
    <col min="19" max="19" width="13.44140625" style="254" bestFit="1" customWidth="1"/>
    <col min="20" max="16384" width="8.88671875" style="254"/>
  </cols>
  <sheetData>
    <row r="2" spans="1:19" ht="25.8" x14ac:dyDescent="0.5">
      <c r="B2" s="339" t="s">
        <v>265</v>
      </c>
      <c r="C2" s="256"/>
      <c r="D2" s="256"/>
      <c r="E2" s="256"/>
      <c r="F2" s="256"/>
      <c r="G2" s="256"/>
      <c r="H2" s="256"/>
      <c r="I2" s="256"/>
      <c r="J2" s="256"/>
      <c r="K2" s="256"/>
      <c r="L2" s="256"/>
      <c r="M2" s="256"/>
      <c r="N2" s="256"/>
    </row>
    <row r="3" spans="1:19" ht="1.8" customHeight="1" x14ac:dyDescent="0.3"/>
    <row r="4" spans="1:19" x14ac:dyDescent="0.3">
      <c r="A4" s="258" t="s">
        <v>254</v>
      </c>
      <c r="B4" s="340" t="s">
        <v>265</v>
      </c>
      <c r="C4" s="341"/>
      <c r="D4" s="341"/>
      <c r="E4" s="341"/>
      <c r="F4" s="259"/>
      <c r="G4" s="342" t="s">
        <v>256</v>
      </c>
    </row>
    <row r="5" spans="1:19" x14ac:dyDescent="0.3">
      <c r="B5" s="254" t="s">
        <v>181</v>
      </c>
      <c r="E5" s="278">
        <v>375194</v>
      </c>
      <c r="F5" s="343" t="s">
        <v>254</v>
      </c>
      <c r="G5" s="254" t="s">
        <v>308</v>
      </c>
      <c r="S5" s="278"/>
    </row>
    <row r="6" spans="1:19" x14ac:dyDescent="0.3">
      <c r="B6" s="254" t="s">
        <v>309</v>
      </c>
      <c r="E6" s="350">
        <f>E5/(E5+E12)</f>
        <v>0.99999328351979377</v>
      </c>
      <c r="F6" s="343" t="s">
        <v>254</v>
      </c>
      <c r="G6" s="254" t="s">
        <v>310</v>
      </c>
    </row>
    <row r="7" spans="1:19" x14ac:dyDescent="0.3">
      <c r="B7" s="254" t="s">
        <v>311</v>
      </c>
      <c r="E7" s="344">
        <f>E8+(E9*E10)</f>
        <v>9.2855999999999994E-2</v>
      </c>
      <c r="F7" s="344" t="s">
        <v>254</v>
      </c>
      <c r="G7" s="254" t="s">
        <v>312</v>
      </c>
    </row>
    <row r="8" spans="1:19" x14ac:dyDescent="0.3">
      <c r="B8" s="254" t="s">
        <v>313</v>
      </c>
      <c r="E8" s="345">
        <v>6.6000000000000003E-2</v>
      </c>
      <c r="F8" s="343" t="s">
        <v>254</v>
      </c>
      <c r="G8" s="292" t="s">
        <v>314</v>
      </c>
    </row>
    <row r="9" spans="1:19" x14ac:dyDescent="0.3">
      <c r="B9" s="254" t="s">
        <v>315</v>
      </c>
      <c r="E9" s="378">
        <v>0.36</v>
      </c>
      <c r="F9" s="343" t="s">
        <v>254</v>
      </c>
      <c r="G9" s="292" t="s">
        <v>316</v>
      </c>
    </row>
    <row r="10" spans="1:19" x14ac:dyDescent="0.3">
      <c r="B10" s="254" t="s">
        <v>317</v>
      </c>
      <c r="E10" s="379">
        <v>7.46E-2</v>
      </c>
      <c r="F10" s="343" t="s">
        <v>254</v>
      </c>
      <c r="G10" s="292" t="s">
        <v>318</v>
      </c>
    </row>
    <row r="11" spans="1:19" x14ac:dyDescent="0.3">
      <c r="G11" s="292"/>
    </row>
    <row r="12" spans="1:19" x14ac:dyDescent="0.3">
      <c r="B12" s="254" t="s">
        <v>319</v>
      </c>
      <c r="E12" s="380">
        <v>2.52</v>
      </c>
      <c r="F12" s="343" t="s">
        <v>254</v>
      </c>
      <c r="G12" s="292" t="s">
        <v>320</v>
      </c>
      <c r="S12" s="348"/>
    </row>
    <row r="13" spans="1:19" x14ac:dyDescent="0.3">
      <c r="B13" s="254" t="s">
        <v>321</v>
      </c>
      <c r="E13" s="351">
        <f>E12/E5</f>
        <v>6.7165253175690446E-6</v>
      </c>
      <c r="F13" s="343" t="s">
        <v>254</v>
      </c>
      <c r="G13" s="292" t="s">
        <v>322</v>
      </c>
    </row>
    <row r="14" spans="1:19" x14ac:dyDescent="0.3">
      <c r="B14" s="254" t="s">
        <v>323</v>
      </c>
      <c r="E14" s="380">
        <f>(245*2)/E12</f>
        <v>194.44444444444446</v>
      </c>
      <c r="F14" s="343" t="s">
        <v>254</v>
      </c>
      <c r="G14" s="292" t="s">
        <v>324</v>
      </c>
    </row>
    <row r="15" spans="1:19" x14ac:dyDescent="0.3">
      <c r="B15" s="256" t="s">
        <v>273</v>
      </c>
      <c r="C15" s="256"/>
      <c r="D15" s="256"/>
      <c r="E15" s="381">
        <f>'SUN P DCF'!O33</f>
        <v>0.20157095664453428</v>
      </c>
      <c r="F15" s="343" t="s">
        <v>254</v>
      </c>
      <c r="G15" s="292" t="s">
        <v>325</v>
      </c>
    </row>
    <row r="16" spans="1:19" x14ac:dyDescent="0.3">
      <c r="B16" s="254" t="s">
        <v>326</v>
      </c>
      <c r="E16" s="315">
        <f>E5+E12</f>
        <v>375196.52</v>
      </c>
      <c r="F16" s="343" t="s">
        <v>254</v>
      </c>
      <c r="G16" s="292" t="s">
        <v>327</v>
      </c>
    </row>
    <row r="18" spans="2:12" x14ac:dyDescent="0.3">
      <c r="B18" s="258" t="s">
        <v>265</v>
      </c>
      <c r="E18" s="379">
        <f>E6*E7+E13*(1-E15)</f>
        <v>9.2860739003397946E-2</v>
      </c>
      <c r="F18" s="345" t="s">
        <v>254</v>
      </c>
      <c r="G18" s="254" t="s">
        <v>328</v>
      </c>
    </row>
    <row r="21" spans="2:12" x14ac:dyDescent="0.3">
      <c r="B21" s="455" t="s">
        <v>388</v>
      </c>
      <c r="C21" s="259"/>
      <c r="D21" s="259"/>
      <c r="E21" s="259"/>
      <c r="F21" s="259"/>
      <c r="G21" s="259"/>
      <c r="H21" s="259"/>
      <c r="I21" s="259"/>
      <c r="J21" s="259"/>
      <c r="K21" s="259"/>
      <c r="L21" s="259"/>
    </row>
    <row r="22" spans="2:12" ht="4.8" customHeight="1" x14ac:dyDescent="0.3">
      <c r="B22" s="259"/>
      <c r="C22" s="259"/>
      <c r="D22" s="259"/>
      <c r="E22" s="259"/>
      <c r="F22" s="259"/>
      <c r="G22" s="259"/>
      <c r="H22" s="259"/>
      <c r="I22" s="259"/>
      <c r="J22" s="259"/>
      <c r="K22" s="259"/>
      <c r="L22" s="259"/>
    </row>
    <row r="23" spans="2:12" x14ac:dyDescent="0.3">
      <c r="B23" s="259"/>
      <c r="C23" s="259"/>
      <c r="D23" s="455" t="s">
        <v>380</v>
      </c>
      <c r="E23" s="455" t="s">
        <v>381</v>
      </c>
      <c r="F23" s="455" t="s">
        <v>382</v>
      </c>
      <c r="G23" s="455" t="s">
        <v>273</v>
      </c>
      <c r="H23" s="455" t="s">
        <v>383</v>
      </c>
      <c r="I23" s="259"/>
      <c r="J23" s="259"/>
      <c r="K23" s="259"/>
      <c r="L23" s="259"/>
    </row>
    <row r="24" spans="2:12" x14ac:dyDescent="0.3">
      <c r="B24" s="259" t="s">
        <v>365</v>
      </c>
      <c r="C24" s="259"/>
      <c r="D24" s="259">
        <v>0.16</v>
      </c>
      <c r="E24" s="458">
        <f>COMPS!G14</f>
        <v>1276089.8899999999</v>
      </c>
      <c r="F24" s="259"/>
      <c r="G24" s="459"/>
      <c r="H24" s="460">
        <f>(D24/(1+(1-G24)*(F24/E24)))</f>
        <v>0.16</v>
      </c>
      <c r="I24" s="259" t="s">
        <v>384</v>
      </c>
      <c r="J24" s="259"/>
      <c r="K24" s="259"/>
      <c r="L24" s="259"/>
    </row>
    <row r="25" spans="2:12" x14ac:dyDescent="0.3">
      <c r="B25" s="259" t="s">
        <v>367</v>
      </c>
      <c r="C25" s="259"/>
      <c r="D25" s="259">
        <v>0.38</v>
      </c>
      <c r="E25" s="458">
        <f>COMPS!G16</f>
        <v>1051580.97</v>
      </c>
      <c r="F25" s="259"/>
      <c r="G25" s="459"/>
      <c r="H25" s="460">
        <f t="shared" ref="H25:H26" si="0">(D25/(1+(1-G25)*(F25/E25)))</f>
        <v>0.38</v>
      </c>
      <c r="I25" s="259"/>
      <c r="J25" s="259"/>
      <c r="K25" s="259"/>
      <c r="L25" s="259"/>
    </row>
    <row r="26" spans="2:12" x14ac:dyDescent="0.3">
      <c r="B26" s="259" t="s">
        <v>366</v>
      </c>
      <c r="C26" s="259"/>
      <c r="D26" s="259">
        <v>0.18</v>
      </c>
      <c r="E26" s="458">
        <f>COMPS!G15</f>
        <v>1219232.78</v>
      </c>
      <c r="F26" s="259"/>
      <c r="G26" s="459"/>
      <c r="H26" s="460">
        <f t="shared" si="0"/>
        <v>0.18</v>
      </c>
      <c r="I26" s="259"/>
      <c r="J26" s="259"/>
      <c r="K26" s="259"/>
      <c r="L26" s="259"/>
    </row>
    <row r="27" spans="2:12" x14ac:dyDescent="0.3">
      <c r="B27" s="259"/>
      <c r="C27" s="259"/>
      <c r="D27" s="259"/>
      <c r="E27" s="259"/>
      <c r="F27" s="259"/>
      <c r="G27" s="259"/>
      <c r="H27" s="259"/>
      <c r="I27" s="259"/>
      <c r="J27" s="259"/>
      <c r="K27" s="259"/>
      <c r="L27" s="259"/>
    </row>
    <row r="28" spans="2:12" x14ac:dyDescent="0.3">
      <c r="B28" s="259" t="s">
        <v>385</v>
      </c>
      <c r="C28" s="259"/>
      <c r="D28" s="456">
        <f>AVERAGE(H24:H26)</f>
        <v>0.24</v>
      </c>
      <c r="E28" s="259"/>
      <c r="F28" s="259"/>
      <c r="G28" s="259"/>
      <c r="H28" s="259"/>
      <c r="I28" s="259"/>
      <c r="J28" s="259"/>
      <c r="K28" s="259"/>
      <c r="L28" s="259"/>
    </row>
    <row r="29" spans="2:12" x14ac:dyDescent="0.3">
      <c r="B29" s="455" t="s">
        <v>386</v>
      </c>
      <c r="C29" s="259"/>
      <c r="D29" s="457">
        <f>D28*(1+(1-E15)*('[2]Consolidated DCF'!T42-'[2]Consolidated DCF'!T41)/E5)</f>
        <v>0.21831336703318721</v>
      </c>
      <c r="E29" s="259"/>
      <c r="F29" s="259" t="s">
        <v>387</v>
      </c>
      <c r="G29" s="259"/>
      <c r="H29" s="259"/>
      <c r="I29" s="259"/>
      <c r="J29" s="259"/>
      <c r="K29" s="259"/>
      <c r="L29" s="2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1045E-AA7A-4C47-8DEC-C877633ED092}">
  <dimension ref="A2:Q42"/>
  <sheetViews>
    <sheetView showGridLines="0" workbookViewId="0">
      <selection activeCell="E1" sqref="E1"/>
    </sheetView>
  </sheetViews>
  <sheetFormatPr defaultRowHeight="14.4" x14ac:dyDescent="0.3"/>
  <cols>
    <col min="1" max="1" width="3.77734375" style="254" customWidth="1"/>
    <col min="2" max="2" width="39.21875" style="254" bestFit="1" customWidth="1"/>
    <col min="3" max="3" width="14.21875" style="254" customWidth="1"/>
    <col min="4" max="4" width="15.21875" style="254" customWidth="1"/>
    <col min="5" max="5" width="16.88671875" style="254" customWidth="1"/>
    <col min="6" max="16384" width="8.88671875" style="254"/>
  </cols>
  <sheetData>
    <row r="2" spans="1:17" ht="21" x14ac:dyDescent="0.4">
      <c r="B2" s="461" t="s">
        <v>302</v>
      </c>
      <c r="C2" s="256"/>
      <c r="D2" s="256"/>
      <c r="E2" s="256"/>
      <c r="F2" s="256"/>
      <c r="G2" s="256"/>
      <c r="H2" s="256"/>
      <c r="I2" s="256"/>
      <c r="J2" s="256"/>
      <c r="K2" s="256"/>
      <c r="L2" s="256"/>
      <c r="M2" s="256"/>
      <c r="N2" s="256"/>
      <c r="O2" s="256"/>
      <c r="P2" s="256"/>
      <c r="Q2" s="256"/>
    </row>
    <row r="4" spans="1:17" x14ac:dyDescent="0.3">
      <c r="A4" s="254" t="s">
        <v>254</v>
      </c>
      <c r="B4" s="470" t="s">
        <v>389</v>
      </c>
      <c r="C4" s="471"/>
      <c r="D4" s="471"/>
      <c r="E4" s="471"/>
      <c r="F4" s="259"/>
      <c r="G4" s="259"/>
      <c r="H4" s="259"/>
      <c r="I4" s="259"/>
      <c r="J4" s="259"/>
      <c r="K4" s="259"/>
      <c r="L4" s="259"/>
      <c r="M4" s="259"/>
    </row>
    <row r="5" spans="1:17" ht="5.4" customHeight="1" x14ac:dyDescent="0.3"/>
    <row r="6" spans="1:17" x14ac:dyDescent="0.3">
      <c r="B6" s="254" t="s">
        <v>390</v>
      </c>
      <c r="E6" s="473">
        <v>1600.3</v>
      </c>
    </row>
    <row r="7" spans="1:17" x14ac:dyDescent="0.3">
      <c r="B7" s="254" t="s">
        <v>391</v>
      </c>
      <c r="E7" s="474">
        <f>2399.3*0.1</f>
        <v>239.93000000000004</v>
      </c>
    </row>
    <row r="8" spans="1:17" x14ac:dyDescent="0.3">
      <c r="B8" s="254" t="s">
        <v>392</v>
      </c>
      <c r="E8" s="270">
        <f>E31</f>
        <v>0</v>
      </c>
    </row>
    <row r="9" spans="1:17" x14ac:dyDescent="0.3">
      <c r="B9" s="254" t="s">
        <v>393</v>
      </c>
      <c r="E9" s="270">
        <f>SUMPRODUCT(D20:D29,E20:E29)</f>
        <v>0</v>
      </c>
    </row>
    <row r="10" spans="1:17" x14ac:dyDescent="0.3">
      <c r="B10" s="254" t="s">
        <v>394</v>
      </c>
      <c r="E10" s="270">
        <f>E9/E6</f>
        <v>0</v>
      </c>
    </row>
    <row r="11" spans="1:17" x14ac:dyDescent="0.3">
      <c r="B11" s="254" t="s">
        <v>395</v>
      </c>
      <c r="E11" s="270">
        <f>E8-E10</f>
        <v>0</v>
      </c>
    </row>
    <row r="12" spans="1:17" x14ac:dyDescent="0.3">
      <c r="B12" s="254" t="s">
        <v>396</v>
      </c>
      <c r="E12" s="475">
        <f>291.7+E41</f>
        <v>291.7</v>
      </c>
    </row>
    <row r="13" spans="1:17" x14ac:dyDescent="0.3">
      <c r="E13" s="263"/>
    </row>
    <row r="14" spans="1:17" x14ac:dyDescent="0.3">
      <c r="E14" s="263"/>
    </row>
    <row r="15" spans="1:17" x14ac:dyDescent="0.3">
      <c r="B15" s="258" t="s">
        <v>397</v>
      </c>
      <c r="E15" s="463">
        <f>E7+E12+E11</f>
        <v>531.63</v>
      </c>
    </row>
    <row r="17" spans="1:5" x14ac:dyDescent="0.3">
      <c r="A17" s="254" t="s">
        <v>254</v>
      </c>
      <c r="B17" s="470" t="s">
        <v>398</v>
      </c>
      <c r="C17" s="471"/>
      <c r="D17" s="471"/>
      <c r="E17" s="471"/>
    </row>
    <row r="18" spans="1:5" ht="6" customHeight="1" x14ac:dyDescent="0.3"/>
    <row r="19" spans="1:5" x14ac:dyDescent="0.3">
      <c r="C19" s="342" t="s">
        <v>399</v>
      </c>
      <c r="D19" s="342" t="s">
        <v>400</v>
      </c>
      <c r="E19" s="342" t="s">
        <v>401</v>
      </c>
    </row>
    <row r="20" spans="1:5" x14ac:dyDescent="0.3">
      <c r="B20" s="464" t="s">
        <v>402</v>
      </c>
      <c r="C20" s="472"/>
      <c r="D20" s="472"/>
      <c r="E20" s="263">
        <f>IF(D20&lt;$E$6,C20)</f>
        <v>0</v>
      </c>
    </row>
    <row r="21" spans="1:5" x14ac:dyDescent="0.3">
      <c r="B21" s="464" t="s">
        <v>403</v>
      </c>
      <c r="C21" s="472"/>
      <c r="D21" s="472"/>
      <c r="E21" s="263">
        <f t="shared" ref="E21:E29" si="0">IF(D21&lt;$E$6,C21)</f>
        <v>0</v>
      </c>
    </row>
    <row r="22" spans="1:5" x14ac:dyDescent="0.3">
      <c r="B22" s="464" t="s">
        <v>404</v>
      </c>
      <c r="C22" s="472"/>
      <c r="D22" s="472"/>
      <c r="E22" s="263">
        <f t="shared" si="0"/>
        <v>0</v>
      </c>
    </row>
    <row r="23" spans="1:5" x14ac:dyDescent="0.3">
      <c r="B23" s="464" t="s">
        <v>405</v>
      </c>
      <c r="C23" s="472"/>
      <c r="D23" s="472"/>
      <c r="E23" s="263">
        <f t="shared" si="0"/>
        <v>0</v>
      </c>
    </row>
    <row r="24" spans="1:5" x14ac:dyDescent="0.3">
      <c r="B24" s="464" t="s">
        <v>406</v>
      </c>
      <c r="C24" s="472"/>
      <c r="D24" s="472"/>
      <c r="E24" s="263">
        <f t="shared" si="0"/>
        <v>0</v>
      </c>
    </row>
    <row r="25" spans="1:5" x14ac:dyDescent="0.3">
      <c r="B25" s="464" t="s">
        <v>407</v>
      </c>
      <c r="C25" s="472"/>
      <c r="D25" s="472"/>
      <c r="E25" s="263">
        <f t="shared" si="0"/>
        <v>0</v>
      </c>
    </row>
    <row r="26" spans="1:5" x14ac:dyDescent="0.3">
      <c r="B26" s="464" t="s">
        <v>408</v>
      </c>
      <c r="C26" s="472"/>
      <c r="D26" s="472"/>
      <c r="E26" s="263">
        <f t="shared" si="0"/>
        <v>0</v>
      </c>
    </row>
    <row r="27" spans="1:5" x14ac:dyDescent="0.3">
      <c r="B27" s="464" t="s">
        <v>409</v>
      </c>
      <c r="C27" s="472"/>
      <c r="D27" s="472"/>
      <c r="E27" s="263">
        <f t="shared" si="0"/>
        <v>0</v>
      </c>
    </row>
    <row r="28" spans="1:5" x14ac:dyDescent="0.3">
      <c r="B28" s="464" t="s">
        <v>410</v>
      </c>
      <c r="C28" s="472"/>
      <c r="D28" s="472"/>
      <c r="E28" s="263">
        <f t="shared" si="0"/>
        <v>0</v>
      </c>
    </row>
    <row r="29" spans="1:5" x14ac:dyDescent="0.3">
      <c r="B29" s="464" t="s">
        <v>411</v>
      </c>
      <c r="C29" s="472"/>
      <c r="D29" s="472"/>
      <c r="E29" s="263">
        <f t="shared" si="0"/>
        <v>0</v>
      </c>
    </row>
    <row r="30" spans="1:5" ht="6" customHeight="1" x14ac:dyDescent="0.3"/>
    <row r="31" spans="1:5" x14ac:dyDescent="0.3">
      <c r="A31" s="254" t="s">
        <v>254</v>
      </c>
      <c r="B31" s="466" t="s">
        <v>326</v>
      </c>
      <c r="C31" s="467"/>
      <c r="D31" s="467"/>
      <c r="E31" s="466">
        <f>SUM(E20:E29)</f>
        <v>0</v>
      </c>
    </row>
    <row r="34" spans="1:5" x14ac:dyDescent="0.3">
      <c r="A34" s="254" t="s">
        <v>254</v>
      </c>
      <c r="B34" s="462" t="s">
        <v>412</v>
      </c>
      <c r="C34" s="462"/>
      <c r="D34" s="462"/>
      <c r="E34" s="462"/>
    </row>
    <row r="35" spans="1:5" ht="4.8" customHeight="1" x14ac:dyDescent="0.3"/>
    <row r="36" spans="1:5" x14ac:dyDescent="0.3">
      <c r="B36" s="254" t="s">
        <v>413</v>
      </c>
      <c r="E36" s="468">
        <v>0</v>
      </c>
    </row>
    <row r="37" spans="1:5" x14ac:dyDescent="0.3">
      <c r="B37" s="254" t="s">
        <v>414</v>
      </c>
      <c r="E37" s="465">
        <v>0</v>
      </c>
    </row>
    <row r="38" spans="1:5" x14ac:dyDescent="0.3">
      <c r="B38" s="254" t="s">
        <v>415</v>
      </c>
      <c r="E38" s="254">
        <f>IFERROR(E36/E39,0)</f>
        <v>0</v>
      </c>
    </row>
    <row r="39" spans="1:5" x14ac:dyDescent="0.3">
      <c r="B39" s="254" t="s">
        <v>416</v>
      </c>
      <c r="E39" s="254">
        <f>E36*E37/1000</f>
        <v>0</v>
      </c>
    </row>
    <row r="41" spans="1:5" x14ac:dyDescent="0.3">
      <c r="B41" s="254" t="s">
        <v>417</v>
      </c>
      <c r="E41" s="469">
        <f>IF(E6&gt;E38,E39,0)</f>
        <v>0</v>
      </c>
    </row>
    <row r="42" spans="1:5" x14ac:dyDescent="0.3">
      <c r="B42" s="254" t="s">
        <v>418</v>
      </c>
      <c r="E42" s="315">
        <f>-E36</f>
        <v>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L27"/>
  <sheetViews>
    <sheetView workbookViewId="0">
      <selection activeCell="A4" sqref="A4"/>
    </sheetView>
  </sheetViews>
  <sheetFormatPr defaultColWidth="31.109375" defaultRowHeight="13.2" x14ac:dyDescent="0.25"/>
  <cols>
    <col min="1" max="16384" width="31.109375" style="186"/>
  </cols>
  <sheetData>
    <row r="1" spans="1:11" ht="19.2" x14ac:dyDescent="0.35">
      <c r="A1" s="490" t="s">
        <v>209</v>
      </c>
      <c r="B1" s="491"/>
      <c r="C1" s="491"/>
      <c r="D1" s="491"/>
      <c r="E1" s="491"/>
      <c r="F1" s="491"/>
      <c r="G1" s="491"/>
      <c r="H1" s="491"/>
      <c r="I1" s="491"/>
      <c r="J1" s="491"/>
      <c r="K1" s="492"/>
    </row>
    <row r="2" spans="1:11" s="185" customFormat="1" ht="13.8" thickBot="1" x14ac:dyDescent="0.3">
      <c r="A2" s="493" t="str">
        <f>'Profit &amp; Loss'!A2</f>
        <v>SUN PHARMACEUTICAL INDUSTRIES LTD</v>
      </c>
      <c r="B2" s="494"/>
      <c r="C2" s="494"/>
      <c r="D2" s="494"/>
      <c r="E2" s="494"/>
      <c r="F2" s="494"/>
      <c r="G2" s="494"/>
      <c r="H2" s="494"/>
      <c r="I2" s="494"/>
      <c r="J2" s="494"/>
      <c r="K2" s="495"/>
    </row>
    <row r="3" spans="1:11" x14ac:dyDescent="0.25">
      <c r="A3" s="197" t="s">
        <v>179</v>
      </c>
      <c r="B3" s="196">
        <f>'Data Sheet'!B56</f>
        <v>42460</v>
      </c>
      <c r="C3" s="196">
        <f>'Data Sheet'!C56</f>
        <v>42825</v>
      </c>
      <c r="D3" s="196">
        <f>'Data Sheet'!D56</f>
        <v>43190</v>
      </c>
      <c r="E3" s="196">
        <f>'Data Sheet'!E56</f>
        <v>43555</v>
      </c>
      <c r="F3" s="196">
        <f>'Data Sheet'!F56</f>
        <v>43921</v>
      </c>
      <c r="G3" s="196">
        <f>'Data Sheet'!G56</f>
        <v>44286</v>
      </c>
      <c r="H3" s="196">
        <f>'Data Sheet'!H56</f>
        <v>44651</v>
      </c>
      <c r="I3" s="196">
        <f>'Data Sheet'!I56</f>
        <v>45016</v>
      </c>
      <c r="J3" s="196">
        <f>'Data Sheet'!J56</f>
        <v>45382</v>
      </c>
      <c r="K3" s="198">
        <f>'Data Sheet'!K56</f>
        <v>45747</v>
      </c>
    </row>
    <row r="4" spans="1:11" x14ac:dyDescent="0.25">
      <c r="A4" s="199" t="s">
        <v>19</v>
      </c>
      <c r="B4" s="187">
        <f>'Data Sheet'!B57</f>
        <v>240.66</v>
      </c>
      <c r="C4" s="187">
        <f>'Data Sheet'!C57</f>
        <v>239.93</v>
      </c>
      <c r="D4" s="187">
        <f>'Data Sheet'!D57</f>
        <v>239.93</v>
      </c>
      <c r="E4" s="187">
        <f>'Data Sheet'!E57</f>
        <v>239.93</v>
      </c>
      <c r="F4" s="187">
        <f>'Data Sheet'!F57</f>
        <v>239.93</v>
      </c>
      <c r="G4" s="187">
        <f>'Data Sheet'!G57</f>
        <v>239.93</v>
      </c>
      <c r="H4" s="187">
        <f>'Data Sheet'!H57</f>
        <v>239.93</v>
      </c>
      <c r="I4" s="187">
        <f>'Data Sheet'!I57</f>
        <v>239.93</v>
      </c>
      <c r="J4" s="187">
        <f>'Data Sheet'!J57</f>
        <v>239.93</v>
      </c>
      <c r="K4" s="200">
        <f>'Data Sheet'!K57</f>
        <v>239.93</v>
      </c>
    </row>
    <row r="5" spans="1:11" x14ac:dyDescent="0.25">
      <c r="A5" s="199" t="s">
        <v>20</v>
      </c>
      <c r="B5" s="187">
        <f>'Data Sheet'!B58</f>
        <v>32741.82</v>
      </c>
      <c r="C5" s="187">
        <f>'Data Sheet'!C58</f>
        <v>36399.74</v>
      </c>
      <c r="D5" s="187">
        <f>'Data Sheet'!D58</f>
        <v>38074.18</v>
      </c>
      <c r="E5" s="187">
        <f>'Data Sheet'!E58</f>
        <v>41169.129999999997</v>
      </c>
      <c r="F5" s="187">
        <f>'Data Sheet'!F58</f>
        <v>45024.52</v>
      </c>
      <c r="G5" s="187">
        <f>'Data Sheet'!G58</f>
        <v>46222.85</v>
      </c>
      <c r="H5" s="187">
        <f>'Data Sheet'!H58</f>
        <v>47771.29</v>
      </c>
      <c r="I5" s="187">
        <f>'Data Sheet'!I58</f>
        <v>55755.45</v>
      </c>
      <c r="J5" s="187">
        <f>'Data Sheet'!J58</f>
        <v>63426.82</v>
      </c>
      <c r="K5" s="200">
        <f>'Data Sheet'!K58</f>
        <v>71978.09</v>
      </c>
    </row>
    <row r="6" spans="1:11" x14ac:dyDescent="0.25">
      <c r="A6" s="199" t="s">
        <v>65</v>
      </c>
      <c r="B6" s="187">
        <f>'Data Sheet'!B59</f>
        <v>8496.76</v>
      </c>
      <c r="C6" s="187">
        <f>'Data Sheet'!C59</f>
        <v>9831.77</v>
      </c>
      <c r="D6" s="187">
        <f>'Data Sheet'!D59</f>
        <v>10385.27</v>
      </c>
      <c r="E6" s="187">
        <f>'Data Sheet'!E59</f>
        <v>10514.36</v>
      </c>
      <c r="F6" s="187">
        <f>'Data Sheet'!F59</f>
        <v>8314.8799999999992</v>
      </c>
      <c r="G6" s="187">
        <f>'Data Sheet'!G59</f>
        <v>3868.58</v>
      </c>
      <c r="H6" s="187">
        <f>'Data Sheet'!H59</f>
        <v>1290.3</v>
      </c>
      <c r="I6" s="187">
        <f>'Data Sheet'!I59</f>
        <v>6885.87</v>
      </c>
      <c r="J6" s="187">
        <f>'Data Sheet'!J59</f>
        <v>3273.67</v>
      </c>
      <c r="K6" s="200">
        <f>'Data Sheet'!K59</f>
        <v>2362.19</v>
      </c>
    </row>
    <row r="7" spans="1:11" x14ac:dyDescent="0.25">
      <c r="A7" s="199" t="s">
        <v>66</v>
      </c>
      <c r="B7" s="187">
        <f>'Data Sheet'!B60</f>
        <v>13948.26</v>
      </c>
      <c r="C7" s="187">
        <f>'Data Sheet'!C60</f>
        <v>14624.01</v>
      </c>
      <c r="D7" s="187">
        <f>'Data Sheet'!D60</f>
        <v>15598.01</v>
      </c>
      <c r="E7" s="187">
        <f>'Data Sheet'!E60</f>
        <v>12666.11</v>
      </c>
      <c r="F7" s="187">
        <f>'Data Sheet'!F60</f>
        <v>14614.99</v>
      </c>
      <c r="G7" s="187">
        <f>'Data Sheet'!G60</f>
        <v>17290.86</v>
      </c>
      <c r="H7" s="187">
        <f>'Data Sheet'!H60</f>
        <v>20474.39</v>
      </c>
      <c r="I7" s="187">
        <f>'Data Sheet'!I60</f>
        <v>17830.650000000001</v>
      </c>
      <c r="J7" s="187">
        <f>'Data Sheet'!J60</f>
        <v>18387.37</v>
      </c>
      <c r="K7" s="200">
        <f>'Data Sheet'!K60</f>
        <v>17327.93</v>
      </c>
    </row>
    <row r="8" spans="1:11" s="185" customFormat="1" x14ac:dyDescent="0.25">
      <c r="A8" s="201" t="s">
        <v>21</v>
      </c>
      <c r="B8" s="188">
        <f>'Data Sheet'!B61</f>
        <v>55427.5</v>
      </c>
      <c r="C8" s="188">
        <f>'Data Sheet'!C61</f>
        <v>61095.45</v>
      </c>
      <c r="D8" s="188">
        <f>'Data Sheet'!D61</f>
        <v>64297.39</v>
      </c>
      <c r="E8" s="188">
        <f>'Data Sheet'!E61</f>
        <v>64589.53</v>
      </c>
      <c r="F8" s="188">
        <f>'Data Sheet'!F61</f>
        <v>68194.320000000007</v>
      </c>
      <c r="G8" s="188">
        <f>'Data Sheet'!G61</f>
        <v>67622.22</v>
      </c>
      <c r="H8" s="188">
        <f>'Data Sheet'!H61</f>
        <v>69775.91</v>
      </c>
      <c r="I8" s="188">
        <f>'Data Sheet'!I61</f>
        <v>80711.899999999994</v>
      </c>
      <c r="J8" s="188">
        <f>'Data Sheet'!J61</f>
        <v>85327.79</v>
      </c>
      <c r="K8" s="202">
        <f>'Data Sheet'!K61</f>
        <v>91908.14</v>
      </c>
    </row>
    <row r="9" spans="1:11" s="185" customFormat="1" x14ac:dyDescent="0.25">
      <c r="A9" s="201"/>
      <c r="B9" s="188"/>
      <c r="C9" s="188"/>
      <c r="D9" s="188"/>
      <c r="E9" s="188"/>
      <c r="F9" s="188"/>
      <c r="G9" s="188"/>
      <c r="H9" s="188"/>
      <c r="I9" s="188"/>
      <c r="J9" s="188"/>
      <c r="K9" s="202"/>
    </row>
    <row r="10" spans="1:11" x14ac:dyDescent="0.25">
      <c r="A10" s="199" t="s">
        <v>22</v>
      </c>
      <c r="B10" s="187">
        <f>'Data Sheet'!B62</f>
        <v>15872.25</v>
      </c>
      <c r="C10" s="187">
        <f>'Data Sheet'!C62</f>
        <v>17675.169999999998</v>
      </c>
      <c r="D10" s="187">
        <f>'Data Sheet'!D62</f>
        <v>18852.650000000001</v>
      </c>
      <c r="E10" s="187">
        <f>'Data Sheet'!E62</f>
        <v>21836.54</v>
      </c>
      <c r="F10" s="187">
        <f>'Data Sheet'!F62</f>
        <v>22846.91</v>
      </c>
      <c r="G10" s="187">
        <f>'Data Sheet'!G62</f>
        <v>21552.98</v>
      </c>
      <c r="H10" s="187">
        <f>'Data Sheet'!H62</f>
        <v>22665.16</v>
      </c>
      <c r="I10" s="187">
        <f>'Data Sheet'!I62</f>
        <v>24065.439999999999</v>
      </c>
      <c r="J10" s="187">
        <f>'Data Sheet'!J62</f>
        <v>23248.15</v>
      </c>
      <c r="K10" s="200">
        <f>'Data Sheet'!K62</f>
        <v>22586.28</v>
      </c>
    </row>
    <row r="11" spans="1:11" x14ac:dyDescent="0.25">
      <c r="A11" s="199" t="s">
        <v>23</v>
      </c>
      <c r="B11" s="187">
        <f>'Data Sheet'!B63</f>
        <v>2175.4499999999998</v>
      </c>
      <c r="C11" s="187">
        <f>'Data Sheet'!C63</f>
        <v>2801.38</v>
      </c>
      <c r="D11" s="187">
        <f>'Data Sheet'!D63</f>
        <v>2465.16</v>
      </c>
      <c r="E11" s="187">
        <f>'Data Sheet'!E63</f>
        <v>1411.15</v>
      </c>
      <c r="F11" s="187">
        <f>'Data Sheet'!F63</f>
        <v>1220.3399999999999</v>
      </c>
      <c r="G11" s="187">
        <f>'Data Sheet'!G63</f>
        <v>1566.83</v>
      </c>
      <c r="H11" s="187">
        <f>'Data Sheet'!H63</f>
        <v>1286.8</v>
      </c>
      <c r="I11" s="187">
        <f>'Data Sheet'!I63</f>
        <v>4973.16</v>
      </c>
      <c r="J11" s="187">
        <f>'Data Sheet'!J63</f>
        <v>5353.88</v>
      </c>
      <c r="K11" s="200">
        <f>'Data Sheet'!K63</f>
        <v>6643.96</v>
      </c>
    </row>
    <row r="12" spans="1:11" x14ac:dyDescent="0.25">
      <c r="A12" s="199" t="s">
        <v>24</v>
      </c>
      <c r="B12" s="187">
        <f>'Data Sheet'!B64</f>
        <v>1829.88</v>
      </c>
      <c r="C12" s="187">
        <f>'Data Sheet'!C64</f>
        <v>1191.8800000000001</v>
      </c>
      <c r="D12" s="187">
        <f>'Data Sheet'!D64</f>
        <v>7142.87</v>
      </c>
      <c r="E12" s="187">
        <f>'Data Sheet'!E64</f>
        <v>7902.53</v>
      </c>
      <c r="F12" s="187">
        <f>'Data Sheet'!F64</f>
        <v>10143.11</v>
      </c>
      <c r="G12" s="187">
        <f>'Data Sheet'!G64</f>
        <v>9612.4500000000007</v>
      </c>
      <c r="H12" s="187">
        <f>'Data Sheet'!H64</f>
        <v>12848.59</v>
      </c>
      <c r="I12" s="187">
        <f>'Data Sheet'!I64</f>
        <v>14824.34</v>
      </c>
      <c r="J12" s="187">
        <f>'Data Sheet'!J64</f>
        <v>15025.77</v>
      </c>
      <c r="K12" s="200">
        <f>'Data Sheet'!K64</f>
        <v>18353.8</v>
      </c>
    </row>
    <row r="13" spans="1:11" x14ac:dyDescent="0.25">
      <c r="A13" s="199" t="s">
        <v>67</v>
      </c>
      <c r="B13" s="187">
        <f>'Data Sheet'!B65</f>
        <v>35549.919999999998</v>
      </c>
      <c r="C13" s="187">
        <f>'Data Sheet'!C65</f>
        <v>39427.019999999997</v>
      </c>
      <c r="D13" s="187">
        <f>'Data Sheet'!D65</f>
        <v>35836.71</v>
      </c>
      <c r="E13" s="187">
        <f>'Data Sheet'!E65</f>
        <v>33439.31</v>
      </c>
      <c r="F13" s="187">
        <f>'Data Sheet'!F65</f>
        <v>33983.96</v>
      </c>
      <c r="G13" s="187">
        <f>'Data Sheet'!G65</f>
        <v>34889.96</v>
      </c>
      <c r="H13" s="187">
        <f>'Data Sheet'!H65</f>
        <v>32975.360000000001</v>
      </c>
      <c r="I13" s="187">
        <f>'Data Sheet'!I65</f>
        <v>36848.959999999999</v>
      </c>
      <c r="J13" s="187">
        <f>'Data Sheet'!J65</f>
        <v>41699.99</v>
      </c>
      <c r="K13" s="200">
        <f>'Data Sheet'!K65</f>
        <v>44324.1</v>
      </c>
    </row>
    <row r="14" spans="1:11" s="185" customFormat="1" x14ac:dyDescent="0.25">
      <c r="A14" s="201" t="s">
        <v>21</v>
      </c>
      <c r="B14" s="188">
        <f>'Data Sheet'!B66</f>
        <v>55427.5</v>
      </c>
      <c r="C14" s="188">
        <f>'Data Sheet'!C66</f>
        <v>61095.45</v>
      </c>
      <c r="D14" s="188">
        <f>'Data Sheet'!D66</f>
        <v>64297.39</v>
      </c>
      <c r="E14" s="188">
        <f>'Data Sheet'!E66</f>
        <v>64589.53</v>
      </c>
      <c r="F14" s="188">
        <f>'Data Sheet'!F66</f>
        <v>68194.320000000007</v>
      </c>
      <c r="G14" s="188">
        <f>'Data Sheet'!G66</f>
        <v>67622.22</v>
      </c>
      <c r="H14" s="188">
        <f>'Data Sheet'!H66</f>
        <v>69775.91</v>
      </c>
      <c r="I14" s="188">
        <f>'Data Sheet'!I66</f>
        <v>80711.899999999994</v>
      </c>
      <c r="J14" s="188">
        <f>'Data Sheet'!J66</f>
        <v>85327.79</v>
      </c>
      <c r="K14" s="202">
        <f>'Data Sheet'!K66</f>
        <v>91908.14</v>
      </c>
    </row>
    <row r="15" spans="1:11" x14ac:dyDescent="0.25">
      <c r="A15" s="199"/>
      <c r="B15" s="189"/>
      <c r="C15" s="189"/>
      <c r="D15" s="189"/>
      <c r="E15" s="189"/>
      <c r="F15" s="189"/>
      <c r="G15" s="189"/>
      <c r="H15" s="189"/>
      <c r="I15" s="189"/>
      <c r="J15" s="189"/>
      <c r="K15" s="203"/>
    </row>
    <row r="16" spans="1:11" x14ac:dyDescent="0.25">
      <c r="A16" s="199" t="s">
        <v>25</v>
      </c>
      <c r="B16" s="189">
        <f>B13-B7</f>
        <v>21601.659999999996</v>
      </c>
      <c r="C16" s="189">
        <f t="shared" ref="C16:K16" si="0">C13-C7</f>
        <v>24803.009999999995</v>
      </c>
      <c r="D16" s="189">
        <f t="shared" si="0"/>
        <v>20238.699999999997</v>
      </c>
      <c r="E16" s="189">
        <f t="shared" si="0"/>
        <v>20773.199999999997</v>
      </c>
      <c r="F16" s="189">
        <f t="shared" si="0"/>
        <v>19368.97</v>
      </c>
      <c r="G16" s="189">
        <f t="shared" si="0"/>
        <v>17599.099999999999</v>
      </c>
      <c r="H16" s="189">
        <f t="shared" si="0"/>
        <v>12500.970000000001</v>
      </c>
      <c r="I16" s="189">
        <f t="shared" si="0"/>
        <v>19018.309999999998</v>
      </c>
      <c r="J16" s="189">
        <f t="shared" si="0"/>
        <v>23312.62</v>
      </c>
      <c r="K16" s="203">
        <f t="shared" si="0"/>
        <v>26996.17</v>
      </c>
    </row>
    <row r="17" spans="1:12" x14ac:dyDescent="0.25">
      <c r="A17" s="199" t="s">
        <v>39</v>
      </c>
      <c r="B17" s="189">
        <f>'Data Sheet'!B67</f>
        <v>6775.66</v>
      </c>
      <c r="C17" s="189">
        <f>'Data Sheet'!C67</f>
        <v>7202.61</v>
      </c>
      <c r="D17" s="189">
        <f>'Data Sheet'!D67</f>
        <v>7815.28</v>
      </c>
      <c r="E17" s="189">
        <f>'Data Sheet'!E67</f>
        <v>8884.2000000000007</v>
      </c>
      <c r="F17" s="189">
        <f>'Data Sheet'!F67</f>
        <v>9421.24</v>
      </c>
      <c r="G17" s="189">
        <f>'Data Sheet'!G67</f>
        <v>9061.4</v>
      </c>
      <c r="H17" s="189">
        <f>'Data Sheet'!H67</f>
        <v>10484.59</v>
      </c>
      <c r="I17" s="189">
        <f>'Data Sheet'!I67</f>
        <v>11438.51</v>
      </c>
      <c r="J17" s="189">
        <f>'Data Sheet'!J67</f>
        <v>11249.37</v>
      </c>
      <c r="K17" s="203">
        <f>'Data Sheet'!K67</f>
        <v>13046.11</v>
      </c>
    </row>
    <row r="18" spans="1:12" x14ac:dyDescent="0.25">
      <c r="A18" s="199" t="s">
        <v>40</v>
      </c>
      <c r="B18" s="189">
        <f>'Data Sheet'!B68</f>
        <v>6422.54</v>
      </c>
      <c r="C18" s="189">
        <f>'Data Sheet'!C68</f>
        <v>6832.81</v>
      </c>
      <c r="D18" s="189">
        <f>'Data Sheet'!D68</f>
        <v>6880.69</v>
      </c>
      <c r="E18" s="189">
        <f>'Data Sheet'!E68</f>
        <v>7885.98</v>
      </c>
      <c r="F18" s="189">
        <f>'Data Sheet'!F68</f>
        <v>7874.99</v>
      </c>
      <c r="G18" s="189">
        <f>'Data Sheet'!G68</f>
        <v>8997.02</v>
      </c>
      <c r="H18" s="189">
        <f>'Data Sheet'!H68</f>
        <v>8925.1299999999992</v>
      </c>
      <c r="I18" s="189">
        <f>'Data Sheet'!I68</f>
        <v>10513.05</v>
      </c>
      <c r="J18" s="189">
        <f>'Data Sheet'!J68</f>
        <v>9868.2900000000009</v>
      </c>
      <c r="K18" s="203">
        <f>'Data Sheet'!K68</f>
        <v>10243.33</v>
      </c>
    </row>
    <row r="19" spans="1:12" ht="13.8" thickBot="1" x14ac:dyDescent="0.3">
      <c r="A19" s="204" t="s">
        <v>186</v>
      </c>
      <c r="B19" s="205"/>
      <c r="C19" s="205"/>
      <c r="D19" s="205">
        <f>71.52+4663.29</f>
        <v>4734.8100000000004</v>
      </c>
      <c r="E19" s="205">
        <f>76.82+3290.3</f>
        <v>3367.1200000000003</v>
      </c>
      <c r="F19" s="205">
        <f>181.04+3009.36</f>
        <v>3190.4</v>
      </c>
      <c r="G19" s="205">
        <f>117.5+3275.89</f>
        <v>3393.39</v>
      </c>
      <c r="H19" s="205">
        <f>127.22+2477.63</f>
        <v>2604.85</v>
      </c>
      <c r="I19" s="205">
        <f>74.68+3471.57</f>
        <v>3546.25</v>
      </c>
      <c r="J19" s="206">
        <f>74.06+4544.06+121.33</f>
        <v>4739.4500000000007</v>
      </c>
      <c r="K19" s="206">
        <f>106.96+130.61+5591.12</f>
        <v>5828.69</v>
      </c>
    </row>
    <row r="20" spans="1:12" x14ac:dyDescent="0.25">
      <c r="A20" s="194" t="s">
        <v>202</v>
      </c>
      <c r="B20" s="190"/>
      <c r="C20" s="190"/>
      <c r="D20" s="190"/>
      <c r="E20" s="190"/>
      <c r="F20" s="190"/>
      <c r="G20" s="190"/>
      <c r="H20" s="190"/>
      <c r="I20" s="190"/>
      <c r="J20" s="190"/>
      <c r="K20" s="190"/>
    </row>
    <row r="21" spans="1:12" ht="13.8" thickBot="1" x14ac:dyDescent="0.3">
      <c r="B21" s="190"/>
      <c r="C21" s="190"/>
      <c r="D21" s="190"/>
      <c r="E21" s="190"/>
      <c r="F21" s="190"/>
      <c r="G21" s="190"/>
      <c r="H21" s="190"/>
      <c r="I21" s="190"/>
      <c r="J21" s="190"/>
      <c r="K21" s="190"/>
    </row>
    <row r="22" spans="1:12" x14ac:dyDescent="0.25">
      <c r="A22" s="207" t="s">
        <v>41</v>
      </c>
      <c r="B22" s="208">
        <f>IF('Profit &amp; Loss'!B4&gt;0,'Balance Sheet'!B17/('Profit &amp; Loss'!B4/365),0)</f>
        <v>86.815505161471719</v>
      </c>
      <c r="C22" s="208">
        <f>IF('Profit &amp; Loss'!C4&gt;0,'Balance Sheet'!C17/('Profit &amp; Loss'!C4/365),0)</f>
        <v>83.251504824177516</v>
      </c>
      <c r="D22" s="208">
        <f>IF('Profit &amp; Loss'!D4&gt;0,'Balance Sheet'!D17/('Profit &amp; Loss'!D4/365),0)</f>
        <v>107.68725372280144</v>
      </c>
      <c r="E22" s="208">
        <f>IF('Profit &amp; Loss'!E4&gt;0,'Balance Sheet'!E17/('Profit &amp; Loss'!E4/365),0)</f>
        <v>111.5648194052758</v>
      </c>
      <c r="F22" s="208">
        <f>IF('Profit &amp; Loss'!F4&gt;0,'Balance Sheet'!F17/('Profit &amp; Loss'!F4/365),0)</f>
        <v>104.72029234868671</v>
      </c>
      <c r="G22" s="208">
        <f>IF('Profit &amp; Loss'!G4&gt;0,'Balance Sheet'!G17/('Profit &amp; Loss'!G4/365),0)</f>
        <v>98.734168523983726</v>
      </c>
      <c r="H22" s="208">
        <f>IF('Profit &amp; Loss'!H4&gt;0,'Balance Sheet'!H17/('Profit &amp; Loss'!H4/365),0)</f>
        <v>99.002091348249579</v>
      </c>
      <c r="I22" s="208">
        <f>IF('Profit &amp; Loss'!I4&gt;0,'Balance Sheet'!I17/('Profit &amp; Loss'!I4/365),0)</f>
        <v>95.134817325378123</v>
      </c>
      <c r="J22" s="208">
        <f>IF('Profit &amp; Loss'!J4&gt;0,'Balance Sheet'!J17/('Profit &amp; Loss'!J4/365),0)</f>
        <v>84.665706123181209</v>
      </c>
      <c r="K22" s="209">
        <f>IF('Profit &amp; Loss'!K4&gt;0,'Balance Sheet'!K17/('Profit &amp; Loss'!K4/365),0)</f>
        <v>90.56621212040524</v>
      </c>
    </row>
    <row r="23" spans="1:12" x14ac:dyDescent="0.25">
      <c r="A23" s="210" t="s">
        <v>42</v>
      </c>
      <c r="B23" s="191">
        <f>IF('Balance Sheet'!B18&gt;0,'Profit &amp; Loss'!B4/'Balance Sheet'!B18,0)</f>
        <v>4.4354772410915304</v>
      </c>
      <c r="C23" s="191">
        <f>IF('Balance Sheet'!C18&gt;0,'Profit &amp; Loss'!C4/'Balance Sheet'!C18,0)</f>
        <v>4.6215890680408203</v>
      </c>
      <c r="D23" s="191">
        <f>IF('Balance Sheet'!D18&gt;0,'Profit &amp; Loss'!D4/'Balance Sheet'!D18,0)</f>
        <v>3.8498261075560736</v>
      </c>
      <c r="E23" s="191">
        <f>IF('Balance Sheet'!E18&gt;0,'Profit &amp; Loss'!E4/'Balance Sheet'!E18,0)</f>
        <v>3.6857701896276684</v>
      </c>
      <c r="F23" s="191">
        <f>IF('Balance Sheet'!F18&gt;0,'Profit &amp; Loss'!F4/'Balance Sheet'!F18,0)</f>
        <v>4.1698465648845273</v>
      </c>
      <c r="G23" s="191">
        <f>IF('Balance Sheet'!G18&gt;0,'Profit &amp; Loss'!G4/'Balance Sheet'!G18,0)</f>
        <v>3.723248364458454</v>
      </c>
      <c r="H23" s="191">
        <f>IF('Balance Sheet'!H18&gt;0,'Profit &amp; Loss'!H4/'Balance Sheet'!H18,0)</f>
        <v>4.3309722099285954</v>
      </c>
      <c r="I23" s="191">
        <f>IF('Balance Sheet'!I18&gt;0,'Profit &amp; Loss'!I4/'Balance Sheet'!I18,0)</f>
        <v>4.1744003880890892</v>
      </c>
      <c r="J23" s="191">
        <f>IF('Balance Sheet'!J18&gt;0,'Profit &amp; Loss'!J4/'Balance Sheet'!J18,0)</f>
        <v>4.9144127300677214</v>
      </c>
      <c r="K23" s="211">
        <f>IF('Balance Sheet'!K18&gt;0,'Profit &amp; Loss'!K4/'Balance Sheet'!K18,0)</f>
        <v>5.1329440718984944</v>
      </c>
    </row>
    <row r="24" spans="1:12" x14ac:dyDescent="0.25">
      <c r="A24" s="210" t="s">
        <v>97</v>
      </c>
      <c r="B24" s="192">
        <f>'Profit &amp; Loss'!B4/'Balance Sheet'!B10</f>
        <v>1.794769487627778</v>
      </c>
      <c r="C24" s="192">
        <f>'Profit &amp; Loss'!C4/'Balance Sheet'!C10</f>
        <v>1.7865989407739784</v>
      </c>
      <c r="D24" s="192">
        <f>'Profit &amp; Loss'!D4/'Balance Sheet'!D10</f>
        <v>1.4050788615924019</v>
      </c>
      <c r="E24" s="192">
        <f>'Profit &amp; Loss'!E4/'Balance Sheet'!E10</f>
        <v>1.3310675592378645</v>
      </c>
      <c r="F24" s="192">
        <f>'Profit &amp; Loss'!F4/'Balance Sheet'!F10</f>
        <v>1.4372840791161694</v>
      </c>
      <c r="G24" s="192">
        <f>'Profit &amp; Loss'!G4/'Balance Sheet'!G10</f>
        <v>1.5542231283098671</v>
      </c>
      <c r="H24" s="192">
        <f>'Profit &amp; Loss'!H4/'Balance Sheet'!H10</f>
        <v>1.7054585098891866</v>
      </c>
      <c r="I24" s="192">
        <f>'Profit &amp; Loss'!I4/'Balance Sheet'!I10</f>
        <v>1.8235976570550965</v>
      </c>
      <c r="J24" s="192">
        <f>'Profit &amp; Loss'!J4/'Balance Sheet'!J10</f>
        <v>2.0860520084393812</v>
      </c>
      <c r="K24" s="212">
        <f>'Profit &amp; Loss'!K4/'Balance Sheet'!K10</f>
        <v>2.3278928623925679</v>
      </c>
    </row>
    <row r="25" spans="1:12" x14ac:dyDescent="0.25">
      <c r="A25" s="210" t="s">
        <v>98</v>
      </c>
      <c r="B25" s="192">
        <f>B6/(B4+B5)</f>
        <v>0.25761434555557977</v>
      </c>
      <c r="C25" s="192">
        <f t="shared" ref="C25:K25" si="1">C6/(C4+C5)</f>
        <v>0.26833675084955733</v>
      </c>
      <c r="D25" s="192">
        <f t="shared" si="1"/>
        <v>0.27105601565585108</v>
      </c>
      <c r="E25" s="192">
        <f t="shared" si="1"/>
        <v>0.25391448151684681</v>
      </c>
      <c r="F25" s="192">
        <f t="shared" si="1"/>
        <v>0.18369559334091101</v>
      </c>
      <c r="G25" s="192">
        <f t="shared" si="1"/>
        <v>8.3261914160108377E-2</v>
      </c>
      <c r="H25" s="192">
        <f t="shared" si="1"/>
        <v>2.6874967976235554E-2</v>
      </c>
      <c r="I25" s="192">
        <f t="shared" si="1"/>
        <v>0.12297210948474678</v>
      </c>
      <c r="J25" s="192">
        <f t="shared" si="1"/>
        <v>5.1418833221422489E-2</v>
      </c>
      <c r="K25" s="212">
        <f t="shared" si="1"/>
        <v>3.270914932311908E-2</v>
      </c>
    </row>
    <row r="26" spans="1:12" s="185" customFormat="1" x14ac:dyDescent="0.25">
      <c r="A26" s="210" t="s">
        <v>55</v>
      </c>
      <c r="B26" s="193">
        <f>IF(SUM('Balance Sheet'!B4:B5)&gt;0,'Profit &amp; Loss'!B23/SUM('Balance Sheet'!B4:B5),"")</f>
        <v>0.17151105677923548</v>
      </c>
      <c r="C26" s="193">
        <f>IF(SUM('Balance Sheet'!C4:C5)&gt;0,'Profit &amp; Loss'!C23/SUM('Balance Sheet'!C4:C5),"")</f>
        <v>0.21387474286749847</v>
      </c>
      <c r="D26" s="193">
        <f>IF(SUM('Balance Sheet'!D4:D5)&gt;0,'Profit &amp; Loss'!D23/SUM('Balance Sheet'!D4:D5),"")</f>
        <v>6.7023349883371899E-2</v>
      </c>
      <c r="E26" s="193">
        <f>IF(SUM('Balance Sheet'!E4:E5)&gt;0,'Profit &amp; Loss'!E23/SUM('Balance Sheet'!E4:E5),"")</f>
        <v>7.7502845995538264E-2</v>
      </c>
      <c r="F26" s="193">
        <f>IF(SUM('Balance Sheet'!F4:F5)&gt;0,'Profit &amp; Loss'!F23/SUM('Balance Sheet'!F4:F5),"")</f>
        <v>9.2496208393120963E-2</v>
      </c>
      <c r="G26" s="193">
        <f>IF(SUM('Balance Sheet'!G4:G5)&gt;0,'Profit &amp; Loss'!G23/SUM('Balance Sheet'!G4:G5),"")</f>
        <v>4.9172262184914453E-2</v>
      </c>
      <c r="H26" s="193">
        <f>IF(SUM('Balance Sheet'!H4:H5)&gt;0,'Profit &amp; Loss'!H23/SUM('Balance Sheet'!H4:H5),"")</f>
        <v>7.0938001575464982E-2</v>
      </c>
      <c r="I26" s="193">
        <f>IF(SUM('Balance Sheet'!I4:I5)&gt;0,'Profit &amp; Loss'!I23/SUM('Balance Sheet'!I4:I5),"")</f>
        <v>0.15288475584950043</v>
      </c>
      <c r="J26" s="193">
        <f>IF(SUM('Balance Sheet'!J4:J5)&gt;0,'Profit &amp; Loss'!J23/SUM('Balance Sheet'!J4:J5),"")</f>
        <v>0.15154597965185904</v>
      </c>
      <c r="K26" s="213">
        <f>IF(SUM('Balance Sheet'!K4:K5)&gt;0,'Profit &amp; Loss'!K23/SUM('Balance Sheet'!K4:K5),"")</f>
        <v>0.15204100029327869</v>
      </c>
      <c r="L26" s="186"/>
    </row>
    <row r="27" spans="1:12" s="185" customFormat="1" ht="13.8" thickBot="1" x14ac:dyDescent="0.3">
      <c r="A27" s="214" t="s">
        <v>96</v>
      </c>
      <c r="B27" s="230">
        <f>('Profit &amp; Loss'!B19+'Profit &amp; Loss'!B17)/(B4+B5+B6)</f>
        <v>0.1710221788055904</v>
      </c>
      <c r="C27" s="230">
        <f>('Profit &amp; Loss'!C19+'Profit &amp; Loss'!C17)/(C4+C5+C6)</f>
        <v>0.20330056482002701</v>
      </c>
      <c r="D27" s="230">
        <f>('Profit &amp; Loss'!D19+'Profit &amp; Loss'!D17)/(D4+D5+D6)</f>
        <v>8.2065726504115616E-2</v>
      </c>
      <c r="E27" s="230">
        <f>('Profit &amp; Loss'!E19+'Profit &amp; Loss'!E17)/(E4+E5+E6)</f>
        <v>8.4074777817023674E-2</v>
      </c>
      <c r="F27" s="230">
        <f>('Profit &amp; Loss'!F19+'Profit &amp; Loss'!F17)/(F4+F5+F6)</f>
        <v>9.9148682896930657E-2</v>
      </c>
      <c r="G27" s="230">
        <f>('Profit &amp; Loss'!G19+'Profit &amp; Loss'!G17)/(G4+G5+G6)</f>
        <v>5.8428780783988339E-2</v>
      </c>
      <c r="H27" s="230">
        <f>('Profit &amp; Loss'!H19+'Profit &amp; Loss'!H17)/(H4+H5+H6)</f>
        <v>9.3479267982001291E-2</v>
      </c>
      <c r="I27" s="230">
        <f>('Profit &amp; Loss'!I19+'Profit &amp; Loss'!I17)/(I4+I5+I6)</f>
        <v>0.15235749925454722</v>
      </c>
      <c r="J27" s="230">
        <f>('Profit &amp; Loss'!J19+'Profit &amp; Loss'!J17)/(J4+J5+J6)</f>
        <v>0.16920061152887891</v>
      </c>
      <c r="K27" s="231">
        <f>('Profit &amp; Loss'!K19+'Profit &amp; Loss'!K17)/(K4+K5+K6)</f>
        <v>0.18749598586541935</v>
      </c>
      <c r="L27" s="186"/>
    </row>
  </sheetData>
  <mergeCells count="2">
    <mergeCell ref="A1:K1"/>
    <mergeCell ref="A2:K2"/>
  </mergeCells>
  <printOptions gridLines="1"/>
  <pageMargins left="0.7" right="0.7" top="0.75" bottom="0.75" header="0.3" footer="0.3"/>
  <pageSetup paperSize="9" orientation="landscape" horizontalDpi="0" verticalDpi="0" r:id="rId1"/>
  <legacyDrawing r:id="rId2"/>
  <extLst>
    <ext xmlns:x14="http://schemas.microsoft.com/office/spreadsheetml/2009/9/main" uri="{05C60535-1F16-4fd2-B633-F4F36F0B64E0}">
      <x14:sparklineGroups xmlns:xm="http://schemas.microsoft.com/office/excel/2006/main">
        <x14:sparklineGroup type="column" displayEmptyCellsAs="gap" xr2:uid="{B062919B-1B9E-4F85-9F98-EEBE56C8C994}">
          <x14:colorSeries rgb="FFC00000"/>
          <x14:colorNegative rgb="FFD00000"/>
          <x14:colorAxis rgb="FF000000"/>
          <x14:colorMarkers rgb="FFD00000"/>
          <x14:colorFirst rgb="FFD00000"/>
          <x14:colorLast rgb="FFD00000"/>
          <x14:colorHigh rgb="FFD00000"/>
          <x14:colorLow rgb="FFD00000"/>
          <x14:sparklines>
            <x14:sparkline>
              <xm:f>'Balance Sheet'!G22:K22</xm:f>
              <xm:sqref>L22</xm:sqref>
            </x14:sparkline>
            <x14:sparkline>
              <xm:f>'Balance Sheet'!G23:K23</xm:f>
              <xm:sqref>L23</xm:sqref>
            </x14:sparkline>
            <x14:sparkline>
              <xm:f>'Balance Sheet'!G24:K24</xm:f>
              <xm:sqref>L24</xm:sqref>
            </x14:sparkline>
          </x14:sparklines>
        </x14:sparklineGroup>
        <x14:sparklineGroup type="column" displayEmptyCellsAs="gap" xr2:uid="{0A035670-A727-405C-899E-AD0948A76599}">
          <x14:colorSeries rgb="FFC00000"/>
          <x14:colorNegative rgb="FFD00000"/>
          <x14:colorAxis rgb="FF000000"/>
          <x14:colorMarkers rgb="FFD00000"/>
          <x14:colorFirst rgb="FFD00000"/>
          <x14:colorLast rgb="FFD00000"/>
          <x14:colorHigh rgb="FFD00000"/>
          <x14:colorLow rgb="FFD00000"/>
          <x14:sparklines>
            <x14:sparkline>
              <xm:f>'Balance Sheet'!G26:K26</xm:f>
              <xm:sqref>L26</xm:sqref>
            </x14:sparkline>
          </x14:sparklines>
        </x14:sparklineGroup>
        <x14:sparklineGroup type="column" displayEmptyCellsAs="gap" xr2:uid="{C6317AC8-0CE7-4ED0-83C1-F68B6A61E005}">
          <x14:colorSeries rgb="FFC00000"/>
          <x14:colorNegative rgb="FFD00000"/>
          <x14:colorAxis rgb="FF000000"/>
          <x14:colorMarkers rgb="FFD00000"/>
          <x14:colorFirst rgb="FFD00000"/>
          <x14:colorLast rgb="FFD00000"/>
          <x14:colorHigh rgb="FFD00000"/>
          <x14:colorLow rgb="FFD00000"/>
          <x14:sparklines>
            <x14:sparkline>
              <xm:f>'Balance Sheet'!G27:K27</xm:f>
              <xm:sqref>L27</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44"/>
  <sheetViews>
    <sheetView topLeftCell="A11" zoomScaleSheetLayoutView="100" workbookViewId="0">
      <selection activeCell="K20" sqref="K20"/>
    </sheetView>
  </sheetViews>
  <sheetFormatPr defaultColWidth="9.44140625" defaultRowHeight="13.2" x14ac:dyDescent="0.25"/>
  <cols>
    <col min="1" max="1" width="25.5546875" style="129" bestFit="1" customWidth="1"/>
    <col min="2" max="5" width="8.6640625" style="129" bestFit="1" customWidth="1"/>
    <col min="6" max="6" width="7.6640625" style="129" bestFit="1" customWidth="1"/>
    <col min="7" max="11" width="8.6640625" style="129" bestFit="1" customWidth="1"/>
    <col min="12" max="12" width="7.44140625" style="129" bestFit="1" customWidth="1"/>
    <col min="13" max="13" width="13" style="129" bestFit="1" customWidth="1"/>
    <col min="14" max="14" width="9.44140625" style="129"/>
    <col min="15" max="15" width="10.5546875" style="129" customWidth="1"/>
    <col min="16" max="16384" width="9.44140625" style="129"/>
  </cols>
  <sheetData>
    <row r="1" spans="1:15" ht="19.2" x14ac:dyDescent="0.35">
      <c r="A1" s="490" t="s">
        <v>196</v>
      </c>
      <c r="B1" s="491"/>
      <c r="C1" s="491"/>
      <c r="D1" s="491"/>
      <c r="E1" s="491"/>
      <c r="F1" s="491"/>
      <c r="G1" s="491"/>
      <c r="H1" s="491"/>
      <c r="I1" s="491"/>
      <c r="J1" s="491"/>
      <c r="K1" s="491"/>
      <c r="L1" s="492"/>
    </row>
    <row r="2" spans="1:15" s="130" customFormat="1" ht="13.8" thickBot="1" x14ac:dyDescent="0.3">
      <c r="A2" s="498" t="str">
        <f>'Data Sheet'!B1</f>
        <v>SUN PHARMACEUTICAL INDUSTRIES LTD</v>
      </c>
      <c r="B2" s="499"/>
      <c r="C2" s="499"/>
      <c r="D2" s="499"/>
      <c r="E2" s="499"/>
      <c r="F2" s="499"/>
      <c r="G2" s="499"/>
      <c r="H2" s="499"/>
      <c r="I2" s="499"/>
      <c r="J2" s="499"/>
      <c r="K2" s="499"/>
      <c r="L2" s="500"/>
    </row>
    <row r="3" spans="1:15" s="130" customFormat="1" x14ac:dyDescent="0.25">
      <c r="A3" s="131" t="s">
        <v>179</v>
      </c>
      <c r="B3" s="132">
        <f>'Data Sheet'!B16</f>
        <v>42460</v>
      </c>
      <c r="C3" s="132">
        <f>'Data Sheet'!C16</f>
        <v>42825</v>
      </c>
      <c r="D3" s="132">
        <f>'Data Sheet'!D16</f>
        <v>43190</v>
      </c>
      <c r="E3" s="132">
        <f>'Data Sheet'!E16</f>
        <v>43555</v>
      </c>
      <c r="F3" s="132">
        <f>'Data Sheet'!F16</f>
        <v>43921</v>
      </c>
      <c r="G3" s="132">
        <f>'Data Sheet'!G16</f>
        <v>44286</v>
      </c>
      <c r="H3" s="132">
        <f>'Data Sheet'!H16</f>
        <v>44651</v>
      </c>
      <c r="I3" s="132">
        <f>'Data Sheet'!I16</f>
        <v>45016</v>
      </c>
      <c r="J3" s="132">
        <f>'Data Sheet'!J16</f>
        <v>45382</v>
      </c>
      <c r="K3" s="132">
        <f>'Data Sheet'!K16</f>
        <v>45747</v>
      </c>
      <c r="L3" s="133" t="s">
        <v>3</v>
      </c>
    </row>
    <row r="4" spans="1:15" s="130" customFormat="1" x14ac:dyDescent="0.25">
      <c r="A4" s="134" t="s">
        <v>4</v>
      </c>
      <c r="B4" s="135">
        <f>'Data Sheet'!B17</f>
        <v>28487.03</v>
      </c>
      <c r="C4" s="135">
        <f>'Data Sheet'!C17</f>
        <v>31578.44</v>
      </c>
      <c r="D4" s="135">
        <f>'Data Sheet'!D17</f>
        <v>26489.46</v>
      </c>
      <c r="E4" s="135">
        <f>'Data Sheet'!E17</f>
        <v>29065.91</v>
      </c>
      <c r="F4" s="135">
        <f>'Data Sheet'!F17</f>
        <v>32837.5</v>
      </c>
      <c r="G4" s="135">
        <f>'Data Sheet'!G17</f>
        <v>33498.14</v>
      </c>
      <c r="H4" s="135">
        <f>'Data Sheet'!H17</f>
        <v>38654.49</v>
      </c>
      <c r="I4" s="135">
        <f>'Data Sheet'!I17</f>
        <v>43885.68</v>
      </c>
      <c r="J4" s="135">
        <f>'Data Sheet'!J17</f>
        <v>48496.85</v>
      </c>
      <c r="K4" s="135">
        <f>'Data Sheet'!K17</f>
        <v>52578.44</v>
      </c>
      <c r="L4" s="136">
        <f>SUM(Quarters!H4:K4)</f>
        <v>53777.090000000004</v>
      </c>
    </row>
    <row r="5" spans="1:15" s="130" customFormat="1" x14ac:dyDescent="0.25">
      <c r="A5" s="137" t="s">
        <v>92</v>
      </c>
      <c r="B5" s="138"/>
      <c r="C5" s="139">
        <f>C4/B4-1</f>
        <v>0.10851991239521985</v>
      </c>
      <c r="D5" s="139">
        <f t="shared" ref="D5:K5" si="0">D4/C4-1</f>
        <v>-0.16115362253486876</v>
      </c>
      <c r="E5" s="139">
        <f t="shared" si="0"/>
        <v>9.7263213368637969E-2</v>
      </c>
      <c r="F5" s="139">
        <f t="shared" si="0"/>
        <v>0.12975991462163061</v>
      </c>
      <c r="G5" s="139">
        <f t="shared" si="0"/>
        <v>2.0118462124095959E-2</v>
      </c>
      <c r="H5" s="139">
        <f t="shared" si="0"/>
        <v>0.15392944205260339</v>
      </c>
      <c r="I5" s="139">
        <f t="shared" si="0"/>
        <v>0.1353320144697292</v>
      </c>
      <c r="J5" s="139">
        <f t="shared" si="0"/>
        <v>0.10507231516066295</v>
      </c>
      <c r="K5" s="139">
        <f t="shared" si="0"/>
        <v>8.4161961034582733E-2</v>
      </c>
      <c r="L5" s="140"/>
    </row>
    <row r="6" spans="1:15" x14ac:dyDescent="0.25">
      <c r="A6" s="141" t="s">
        <v>5</v>
      </c>
      <c r="B6" s="142">
        <f>SUM('Data Sheet'!B18,'Data Sheet'!B20:B24, -1*'Data Sheet'!B19)</f>
        <v>20313.13</v>
      </c>
      <c r="C6" s="142">
        <f>SUM('Data Sheet'!C18,'Data Sheet'!C20:C24, -1*'Data Sheet'!C19)</f>
        <v>21476.420000000002</v>
      </c>
      <c r="D6" s="142">
        <f>SUM('Data Sheet'!D18,'Data Sheet'!D20:D24, -1*'Data Sheet'!D19)</f>
        <v>20858.04</v>
      </c>
      <c r="E6" s="142">
        <f>SUM('Data Sheet'!E18,'Data Sheet'!E20:E24, -1*'Data Sheet'!E19)</f>
        <v>22688.929999999997</v>
      </c>
      <c r="F6" s="142">
        <f>SUM('Data Sheet'!F18,'Data Sheet'!F20:F24, -1*'Data Sheet'!F19)</f>
        <v>25854.659999999996</v>
      </c>
      <c r="G6" s="142">
        <f>SUM('Data Sheet'!G18,'Data Sheet'!G20:G24, -1*'Data Sheet'!G19)</f>
        <v>25028.18</v>
      </c>
      <c r="H6" s="142">
        <f>SUM('Data Sheet'!H18,'Data Sheet'!H20:H24, -1*'Data Sheet'!H19)</f>
        <v>28396.920000000002</v>
      </c>
      <c r="I6" s="142">
        <f>SUM('Data Sheet'!I18,'Data Sheet'!I20:I24, -1*'Data Sheet'!I19)</f>
        <v>32235.24</v>
      </c>
      <c r="J6" s="142">
        <f>SUM('Data Sheet'!J18,'Data Sheet'!J20:J24, -1*'Data Sheet'!J19)</f>
        <v>35479.08</v>
      </c>
      <c r="K6" s="142">
        <f>SUM('Data Sheet'!K18,'Data Sheet'!K20:K24, -1*'Data Sheet'!K19)</f>
        <v>37463.979999999996</v>
      </c>
      <c r="L6" s="143">
        <f>SUM(Quarters!H6:K6)</f>
        <v>37811.360000000001</v>
      </c>
      <c r="M6" s="496" t="s">
        <v>104</v>
      </c>
      <c r="N6" s="496"/>
      <c r="O6" s="496"/>
    </row>
    <row r="7" spans="1:15" x14ac:dyDescent="0.25">
      <c r="A7" s="144" t="s">
        <v>102</v>
      </c>
      <c r="B7" s="145">
        <f>'Data Sheet'!B18/'Data Sheet'!B17</f>
        <v>0.23604250776581481</v>
      </c>
      <c r="C7" s="145">
        <f>'Data Sheet'!C18/'Data Sheet'!C17</f>
        <v>0.26607932500782183</v>
      </c>
      <c r="D7" s="145">
        <f>'Data Sheet'!D18/'Data Sheet'!D17</f>
        <v>0.27157896008450155</v>
      </c>
      <c r="E7" s="145">
        <f>'Data Sheet'!E18/'Data Sheet'!E17</f>
        <v>0.28562945388601285</v>
      </c>
      <c r="F7" s="145">
        <f>'Data Sheet'!F18/'Data Sheet'!F17</f>
        <v>0.27193300342596116</v>
      </c>
      <c r="G7" s="145">
        <f>'Data Sheet'!G18/'Data Sheet'!G17</f>
        <v>0.27847217785823331</v>
      </c>
      <c r="H7" s="145">
        <f>'Data Sheet'!H18/'Data Sheet'!H17</f>
        <v>0.27058046814225206</v>
      </c>
      <c r="I7" s="145">
        <f>'Data Sheet'!I18/'Data Sheet'!I17</f>
        <v>0.25860531271248388</v>
      </c>
      <c r="J7" s="145">
        <f>'Data Sheet'!J18/'Data Sheet'!J17</f>
        <v>0.21383821835851194</v>
      </c>
      <c r="K7" s="145">
        <f>'Data Sheet'!K18/'Data Sheet'!K17</f>
        <v>0.20154744035768271</v>
      </c>
      <c r="L7" s="146"/>
      <c r="M7" s="496"/>
      <c r="N7" s="496"/>
      <c r="O7" s="496"/>
    </row>
    <row r="8" spans="1:15" x14ac:dyDescent="0.25">
      <c r="A8" s="144" t="s">
        <v>76</v>
      </c>
      <c r="B8" s="145">
        <f>'Data Sheet'!B20/'Data Sheet'!B17</f>
        <v>1.9146959160010718E-2</v>
      </c>
      <c r="C8" s="145">
        <f>'Data Sheet'!C20/'Data Sheet'!C17</f>
        <v>1.6628117158415681E-2</v>
      </c>
      <c r="D8" s="145">
        <f>'Data Sheet'!D20/'Data Sheet'!D17</f>
        <v>2.1139351274053909E-2</v>
      </c>
      <c r="E8" s="145">
        <f>'Data Sheet'!E20/'Data Sheet'!E17</f>
        <v>2.1110641297657634E-2</v>
      </c>
      <c r="F8" s="145">
        <f>'Data Sheet'!F20/'Data Sheet'!F17</f>
        <v>1.8938408831366577E-2</v>
      </c>
      <c r="G8" s="145">
        <f>'Data Sheet'!G20/'Data Sheet'!G17</f>
        <v>1.8720143864704133E-2</v>
      </c>
      <c r="H8" s="145">
        <f>'Data Sheet'!H20/'Data Sheet'!H17</f>
        <v>1.818107029739624E-2</v>
      </c>
      <c r="I8" s="145">
        <f>'Data Sheet'!I20/'Data Sheet'!I17</f>
        <v>1.8913914516079048E-2</v>
      </c>
      <c r="J8" s="145">
        <f>'Data Sheet'!J20/'Data Sheet'!J17</f>
        <v>1.5687204426679258E-2</v>
      </c>
      <c r="K8" s="145">
        <f>'Data Sheet'!K20/'Data Sheet'!K17</f>
        <v>1.4272009591764228E-2</v>
      </c>
      <c r="L8" s="146"/>
      <c r="M8" s="496"/>
      <c r="N8" s="496"/>
      <c r="O8" s="496"/>
    </row>
    <row r="9" spans="1:15" x14ac:dyDescent="0.25">
      <c r="A9" s="144" t="s">
        <v>77</v>
      </c>
      <c r="B9" s="145">
        <f>'Data Sheet'!B21/'Data Sheet'!B17</f>
        <v>6.3486786793849698E-2</v>
      </c>
      <c r="C9" s="145">
        <f>'Data Sheet'!C21/'Data Sheet'!C17</f>
        <v>6.2493904068725376E-2</v>
      </c>
      <c r="D9" s="145">
        <f>'Data Sheet'!D21/'Data Sheet'!D17</f>
        <v>6.9021792063711382E-2</v>
      </c>
      <c r="E9" s="145">
        <f>'Data Sheet'!E21/'Data Sheet'!E17</f>
        <v>6.4842628357412516E-2</v>
      </c>
      <c r="F9" s="145">
        <f>'Data Sheet'!F21/'Data Sheet'!F17</f>
        <v>5.1465550057099352E-2</v>
      </c>
      <c r="G9" s="145">
        <f>'Data Sheet'!G21/'Data Sheet'!G17</f>
        <v>5.1458976528249031E-2</v>
      </c>
      <c r="H9" s="145">
        <f>'Data Sheet'!H21/'Data Sheet'!H17</f>
        <v>4.8654373657497488E-2</v>
      </c>
      <c r="I9" s="145">
        <f>'Data Sheet'!I21/'Data Sheet'!I17</f>
        <v>4.413216338450264E-2</v>
      </c>
      <c r="J9" s="145">
        <f>'Data Sheet'!J21/'Data Sheet'!J17</f>
        <v>4.5087876841485582E-2</v>
      </c>
      <c r="K9" s="145">
        <f>'Data Sheet'!K21/'Data Sheet'!K17</f>
        <v>4.3006981568871186E-2</v>
      </c>
      <c r="L9" s="146"/>
      <c r="M9" s="496"/>
      <c r="N9" s="496"/>
      <c r="O9" s="496"/>
    </row>
    <row r="10" spans="1:15" x14ac:dyDescent="0.25">
      <c r="A10" s="144" t="s">
        <v>78</v>
      </c>
      <c r="B10" s="145">
        <f>'Data Sheet'!B22/'Data Sheet'!B17</f>
        <v>0.1675257125786718</v>
      </c>
      <c r="C10" s="145">
        <f>'Data Sheet'!C22/'Data Sheet'!C17</f>
        <v>0.15524199422137383</v>
      </c>
      <c r="D10" s="145">
        <f>'Data Sheet'!D22/'Data Sheet'!D17</f>
        <v>0.20261077424756868</v>
      </c>
      <c r="E10" s="145">
        <f>'Data Sheet'!E22/'Data Sheet'!E17</f>
        <v>0.20529513784361131</v>
      </c>
      <c r="F10" s="145">
        <f>'Data Sheet'!F22/'Data Sheet'!F17</f>
        <v>0.19375256947087935</v>
      </c>
      <c r="G10" s="145">
        <f>'Data Sheet'!G22/'Data Sheet'!G17</f>
        <v>0.20485406055380984</v>
      </c>
      <c r="H10" s="145">
        <f>'Data Sheet'!H22/'Data Sheet'!H17</f>
        <v>0.18887404800839439</v>
      </c>
      <c r="I10" s="145">
        <f>'Data Sheet'!I22/'Data Sheet'!I17</f>
        <v>0.18903728961246585</v>
      </c>
      <c r="J10" s="145">
        <f>'Data Sheet'!J22/'Data Sheet'!J17</f>
        <v>0.19442623593078726</v>
      </c>
      <c r="K10" s="145">
        <f>'Data Sheet'!K22/'Data Sheet'!K17</f>
        <v>0.1896807893121211</v>
      </c>
      <c r="L10" s="146"/>
      <c r="M10" s="496"/>
      <c r="N10" s="496"/>
      <c r="O10" s="496"/>
    </row>
    <row r="11" spans="1:15" x14ac:dyDescent="0.25">
      <c r="A11" s="144" t="s">
        <v>101</v>
      </c>
      <c r="B11" s="145">
        <f>'Data Sheet'!B23/'Data Sheet'!B17</f>
        <v>0.18321320263993823</v>
      </c>
      <c r="C11" s="145">
        <f>'Data Sheet'!C23/'Data Sheet'!C17</f>
        <v>0.16544864154150743</v>
      </c>
      <c r="D11" s="145">
        <f>'Data Sheet'!D23/'Data Sheet'!D17</f>
        <v>0.17844833379011879</v>
      </c>
      <c r="E11" s="145">
        <f>'Data Sheet'!E23/'Data Sheet'!E17</f>
        <v>0.18407577811945333</v>
      </c>
      <c r="F11" s="145">
        <f>'Data Sheet'!F23/'Data Sheet'!F17</f>
        <v>0.21302992006090599</v>
      </c>
      <c r="G11" s="145">
        <f>'Data Sheet'!G23/'Data Sheet'!G17</f>
        <v>0.18757489221789628</v>
      </c>
      <c r="H11" s="145">
        <f>'Data Sheet'!H23/'Data Sheet'!H17</f>
        <v>0.19058277576550617</v>
      </c>
      <c r="I11" s="145">
        <f>'Data Sheet'!I23/'Data Sheet'!I17</f>
        <v>0.21606956984601813</v>
      </c>
      <c r="J11" s="145">
        <f>'Data Sheet'!J23/'Data Sheet'!J17</f>
        <v>0.22750322959120026</v>
      </c>
      <c r="K11" s="145">
        <f>'Data Sheet'!K23/'Data Sheet'!K17</f>
        <v>0.23247019120384704</v>
      </c>
      <c r="L11" s="146"/>
      <c r="M11" s="496"/>
      <c r="N11" s="496"/>
      <c r="O11" s="496"/>
    </row>
    <row r="12" spans="1:15" s="130" customFormat="1" x14ac:dyDescent="0.25">
      <c r="A12" s="134" t="s">
        <v>6</v>
      </c>
      <c r="B12" s="135">
        <f>B4-B6</f>
        <v>8173.8999999999978</v>
      </c>
      <c r="C12" s="135">
        <f t="shared" ref="C12:L12" si="1">C4-C6</f>
        <v>10102.019999999997</v>
      </c>
      <c r="D12" s="135">
        <f t="shared" si="1"/>
        <v>5631.4199999999983</v>
      </c>
      <c r="E12" s="135">
        <f t="shared" si="1"/>
        <v>6376.9800000000032</v>
      </c>
      <c r="F12" s="135">
        <f t="shared" si="1"/>
        <v>6982.8400000000038</v>
      </c>
      <c r="G12" s="135">
        <f t="shared" si="1"/>
        <v>8469.9599999999991</v>
      </c>
      <c r="H12" s="135">
        <f t="shared" si="1"/>
        <v>10257.569999999996</v>
      </c>
      <c r="I12" s="135">
        <f t="shared" si="1"/>
        <v>11650.439999999999</v>
      </c>
      <c r="J12" s="135">
        <f t="shared" si="1"/>
        <v>13017.769999999997</v>
      </c>
      <c r="K12" s="135">
        <f t="shared" si="1"/>
        <v>15114.460000000006</v>
      </c>
      <c r="L12" s="136">
        <f t="shared" si="1"/>
        <v>15965.730000000003</v>
      </c>
    </row>
    <row r="13" spans="1:15" s="130" customFormat="1" x14ac:dyDescent="0.25">
      <c r="A13" s="137" t="s">
        <v>90</v>
      </c>
      <c r="B13" s="139">
        <f t="shared" ref="B13:L13" si="2">B12/B4</f>
        <v>0.28693408895205985</v>
      </c>
      <c r="C13" s="139">
        <f t="shared" si="2"/>
        <v>0.31990243976586547</v>
      </c>
      <c r="D13" s="139">
        <f t="shared" si="2"/>
        <v>0.21259097014435169</v>
      </c>
      <c r="E13" s="139">
        <f t="shared" si="2"/>
        <v>0.21939722513418652</v>
      </c>
      <c r="F13" s="139">
        <f t="shared" si="2"/>
        <v>0.21264834411876676</v>
      </c>
      <c r="G13" s="139">
        <f t="shared" si="2"/>
        <v>0.25284866562740499</v>
      </c>
      <c r="H13" s="139">
        <f t="shared" si="2"/>
        <v>0.26536555003053969</v>
      </c>
      <c r="I13" s="139">
        <f t="shared" si="2"/>
        <v>0.26547247302536953</v>
      </c>
      <c r="J13" s="139">
        <f t="shared" si="2"/>
        <v>0.26842506265870869</v>
      </c>
      <c r="K13" s="139">
        <f t="shared" si="2"/>
        <v>0.28746497613850858</v>
      </c>
      <c r="L13" s="140">
        <f t="shared" si="2"/>
        <v>0.29688720605744939</v>
      </c>
    </row>
    <row r="14" spans="1:15" x14ac:dyDescent="0.25">
      <c r="A14" s="141" t="s">
        <v>7</v>
      </c>
      <c r="B14" s="142">
        <f>'Data Sheet'!B25</f>
        <v>-42.5</v>
      </c>
      <c r="C14" s="142">
        <f>'Data Sheet'!C25</f>
        <v>610.4</v>
      </c>
      <c r="D14" s="142">
        <f>'Data Sheet'!D25</f>
        <v>-135.03</v>
      </c>
      <c r="E14" s="142">
        <f>'Data Sheet'!E25</f>
        <v>-258.27999999999997</v>
      </c>
      <c r="F14" s="142">
        <f>'Data Sheet'!F25</f>
        <v>382.26</v>
      </c>
      <c r="G14" s="142">
        <f>'Data Sheet'!G25</f>
        <v>-3449.21</v>
      </c>
      <c r="H14" s="142">
        <f>'Data Sheet'!H25</f>
        <v>-3505.16</v>
      </c>
      <c r="I14" s="142">
        <f>'Data Sheet'!I25</f>
        <v>459.42</v>
      </c>
      <c r="J14" s="142">
        <f>'Data Sheet'!J25</f>
        <v>865.23</v>
      </c>
      <c r="K14" s="142">
        <f>'Data Sheet'!K25</f>
        <v>1444.42</v>
      </c>
      <c r="L14" s="143">
        <f>SUM(Quarters!H8:K8)</f>
        <v>401.09999999999997</v>
      </c>
    </row>
    <row r="15" spans="1:15" x14ac:dyDescent="0.25">
      <c r="A15" s="137" t="s">
        <v>184</v>
      </c>
      <c r="B15" s="147">
        <f>B14/B4</f>
        <v>-1.4919070187380012E-3</v>
      </c>
      <c r="C15" s="147">
        <f t="shared" ref="C15:L15" si="3">C14/C4</f>
        <v>1.93296438962786E-2</v>
      </c>
      <c r="D15" s="147">
        <f t="shared" si="3"/>
        <v>-5.0974991562681912E-3</v>
      </c>
      <c r="E15" s="147">
        <f t="shared" si="3"/>
        <v>-8.8860111381339844E-3</v>
      </c>
      <c r="F15" s="147">
        <f t="shared" si="3"/>
        <v>1.1640959269128283E-2</v>
      </c>
      <c r="G15" s="147">
        <f t="shared" si="3"/>
        <v>-0.10296720952267797</v>
      </c>
      <c r="H15" s="147">
        <f t="shared" si="3"/>
        <v>-9.0679245800423192E-2</v>
      </c>
      <c r="I15" s="147">
        <f t="shared" si="3"/>
        <v>1.046856286606474E-2</v>
      </c>
      <c r="J15" s="147">
        <f t="shared" si="3"/>
        <v>1.7840952556712447E-2</v>
      </c>
      <c r="K15" s="147">
        <f t="shared" si="3"/>
        <v>2.7471716543891373E-2</v>
      </c>
      <c r="L15" s="148">
        <f t="shared" si="3"/>
        <v>7.4585664638975434E-3</v>
      </c>
    </row>
    <row r="16" spans="1:15" x14ac:dyDescent="0.25">
      <c r="A16" s="141" t="s">
        <v>8</v>
      </c>
      <c r="B16" s="142">
        <f>'Data Sheet'!B26</f>
        <v>1037.53</v>
      </c>
      <c r="C16" s="142">
        <f>'Data Sheet'!C26</f>
        <v>1264.75</v>
      </c>
      <c r="D16" s="142">
        <f>'Data Sheet'!D26</f>
        <v>1499.84</v>
      </c>
      <c r="E16" s="142">
        <f>'Data Sheet'!E26</f>
        <v>1753.25</v>
      </c>
      <c r="F16" s="142">
        <f>'Data Sheet'!F26</f>
        <v>2052.7800000000002</v>
      </c>
      <c r="G16" s="142">
        <f>'Data Sheet'!G26</f>
        <v>2079.9499999999998</v>
      </c>
      <c r="H16" s="142">
        <f>'Data Sheet'!H26</f>
        <v>2143.7399999999998</v>
      </c>
      <c r="I16" s="142">
        <f>'Data Sheet'!I26</f>
        <v>2529.4299999999998</v>
      </c>
      <c r="J16" s="142">
        <f>'Data Sheet'!J26</f>
        <v>2556.64</v>
      </c>
      <c r="K16" s="142">
        <f>'Data Sheet'!K26</f>
        <v>2575.39</v>
      </c>
      <c r="L16" s="143">
        <f>SUM(Quarters!H9:K9)</f>
        <v>2620.8099999999995</v>
      </c>
    </row>
    <row r="17" spans="1:13" x14ac:dyDescent="0.25">
      <c r="A17" s="141" t="s">
        <v>9</v>
      </c>
      <c r="B17" s="142">
        <f>'Data Sheet'!B27</f>
        <v>523.24</v>
      </c>
      <c r="C17" s="142">
        <f>'Data Sheet'!C27</f>
        <v>399.8</v>
      </c>
      <c r="D17" s="142">
        <f>'Data Sheet'!D27</f>
        <v>517.57000000000005</v>
      </c>
      <c r="E17" s="142">
        <f>'Data Sheet'!E27</f>
        <v>555.25</v>
      </c>
      <c r="F17" s="142">
        <f>'Data Sheet'!F27</f>
        <v>302.73</v>
      </c>
      <c r="G17" s="142">
        <f>'Data Sheet'!G27</f>
        <v>141.43</v>
      </c>
      <c r="H17" s="142">
        <f>'Data Sheet'!H27</f>
        <v>127.35</v>
      </c>
      <c r="I17" s="142">
        <f>'Data Sheet'!I27</f>
        <v>172</v>
      </c>
      <c r="J17" s="142">
        <f>'Data Sheet'!J27</f>
        <v>238.47</v>
      </c>
      <c r="K17" s="142">
        <f>'Data Sheet'!K27</f>
        <v>231.36</v>
      </c>
      <c r="L17" s="143">
        <f>SUM(Quarters!H10:K10)</f>
        <v>244.62</v>
      </c>
    </row>
    <row r="18" spans="1:13" x14ac:dyDescent="0.25">
      <c r="A18" s="137" t="s">
        <v>99</v>
      </c>
      <c r="B18" s="149">
        <f>(B19+B17)/B17</f>
        <v>13.557583518079653</v>
      </c>
      <c r="C18" s="149">
        <f t="shared" ref="C18:L18" si="4">(C19+C17)/C17</f>
        <v>23.630990495247616</v>
      </c>
      <c r="D18" s="149">
        <f t="shared" si="4"/>
        <v>7.7217574434375988</v>
      </c>
      <c r="E18" s="149">
        <f t="shared" si="4"/>
        <v>7.8621341737955941</v>
      </c>
      <c r="F18" s="149">
        <f t="shared" si="4"/>
        <v>17.548046113698685</v>
      </c>
      <c r="G18" s="149">
        <f t="shared" si="4"/>
        <v>20.793325319946256</v>
      </c>
      <c r="H18" s="149">
        <f t="shared" si="4"/>
        <v>36.189006674519014</v>
      </c>
      <c r="I18" s="149">
        <f t="shared" si="4"/>
        <v>55.700174418604639</v>
      </c>
      <c r="J18" s="149">
        <f t="shared" si="4"/>
        <v>47.49595336939656</v>
      </c>
      <c r="K18" s="149">
        <f t="shared" si="4"/>
        <v>60.440395919778716</v>
      </c>
      <c r="L18" s="150">
        <f t="shared" si="4"/>
        <v>56.193361131550994</v>
      </c>
    </row>
    <row r="19" spans="1:13" x14ac:dyDescent="0.25">
      <c r="A19" s="141" t="s">
        <v>103</v>
      </c>
      <c r="B19" s="142">
        <f>B12+B14-B16-B17</f>
        <v>6570.6299999999983</v>
      </c>
      <c r="C19" s="142">
        <f t="shared" ref="C19:L19" si="5">C12+C14-C16-C17</f>
        <v>9047.8699999999972</v>
      </c>
      <c r="D19" s="142">
        <f t="shared" si="5"/>
        <v>3478.9799999999982</v>
      </c>
      <c r="E19" s="142">
        <f t="shared" si="5"/>
        <v>3810.2000000000035</v>
      </c>
      <c r="F19" s="142">
        <f t="shared" si="5"/>
        <v>5009.5900000000038</v>
      </c>
      <c r="G19" s="142">
        <f t="shared" si="5"/>
        <v>2799.3699999999994</v>
      </c>
      <c r="H19" s="142">
        <f t="shared" si="5"/>
        <v>4481.3199999999961</v>
      </c>
      <c r="I19" s="142">
        <f t="shared" si="5"/>
        <v>9408.4299999999985</v>
      </c>
      <c r="J19" s="142">
        <f t="shared" si="5"/>
        <v>11087.889999999998</v>
      </c>
      <c r="K19" s="142">
        <f t="shared" si="5"/>
        <v>13752.130000000005</v>
      </c>
      <c r="L19" s="143">
        <f t="shared" si="5"/>
        <v>13501.400000000003</v>
      </c>
      <c r="M19" s="130"/>
    </row>
    <row r="20" spans="1:13" s="130" customFormat="1" x14ac:dyDescent="0.25">
      <c r="A20" s="137" t="s">
        <v>92</v>
      </c>
      <c r="B20" s="138"/>
      <c r="C20" s="139">
        <f>C19/B19-1</f>
        <v>0.37701712012394539</v>
      </c>
      <c r="D20" s="139">
        <f t="shared" ref="D20" si="6">D19/C19-1</f>
        <v>-0.61549182293733229</v>
      </c>
      <c r="E20" s="139">
        <f t="shared" ref="E20" si="7">E19/D19-1</f>
        <v>9.5206066145825829E-2</v>
      </c>
      <c r="F20" s="139">
        <f t="shared" ref="F20" si="8">F19/E19-1</f>
        <v>0.31478400083985081</v>
      </c>
      <c r="G20" s="139">
        <f t="shared" ref="G20" si="9">G19/F19-1</f>
        <v>-0.44119778265287235</v>
      </c>
      <c r="H20" s="139">
        <f t="shared" ref="H20" si="10">H19/G19-1</f>
        <v>0.60083161568495669</v>
      </c>
      <c r="I20" s="139">
        <f t="shared" ref="I20" si="11">I19/H19-1</f>
        <v>1.0994773861273033</v>
      </c>
      <c r="J20" s="139">
        <f t="shared" ref="J20" si="12">J19/I19-1</f>
        <v>0.17850587186172384</v>
      </c>
      <c r="K20" s="139">
        <f t="shared" ref="K20" si="13">K19/J19-1</f>
        <v>0.24028376904893611</v>
      </c>
      <c r="L20" s="140"/>
    </row>
    <row r="21" spans="1:13" x14ac:dyDescent="0.25">
      <c r="A21" s="137" t="s">
        <v>100</v>
      </c>
      <c r="B21" s="139">
        <f t="shared" ref="B21:L21" si="14">B19/B4</f>
        <v>0.23065338857718753</v>
      </c>
      <c r="C21" s="139">
        <f t="shared" si="14"/>
        <v>0.28652048676248726</v>
      </c>
      <c r="D21" s="139">
        <f t="shared" si="14"/>
        <v>0.13133450059004595</v>
      </c>
      <c r="E21" s="139">
        <f t="shared" si="14"/>
        <v>0.13108827488972488</v>
      </c>
      <c r="F21" s="139">
        <f t="shared" si="14"/>
        <v>0.15255698515416838</v>
      </c>
      <c r="G21" s="139">
        <f t="shared" si="14"/>
        <v>8.356792347276594E-2</v>
      </c>
      <c r="H21" s="139">
        <f t="shared" si="14"/>
        <v>0.11593271570779995</v>
      </c>
      <c r="I21" s="139">
        <f t="shared" si="14"/>
        <v>0.21438496566533771</v>
      </c>
      <c r="J21" s="139">
        <f t="shared" si="14"/>
        <v>0.22863113789864697</v>
      </c>
      <c r="K21" s="139">
        <f t="shared" si="14"/>
        <v>0.26155454593175459</v>
      </c>
      <c r="L21" s="140">
        <f t="shared" si="14"/>
        <v>0.25106230180919054</v>
      </c>
    </row>
    <row r="22" spans="1:13" x14ac:dyDescent="0.25">
      <c r="A22" s="141" t="s">
        <v>11</v>
      </c>
      <c r="B22" s="142">
        <f>'Data Sheet'!B29</f>
        <v>913.77</v>
      </c>
      <c r="C22" s="142">
        <f>'Data Sheet'!C29</f>
        <v>1211.57</v>
      </c>
      <c r="D22" s="142">
        <f>'Data Sheet'!D29</f>
        <v>911.04</v>
      </c>
      <c r="E22" s="142">
        <f>'Data Sheet'!E29</f>
        <v>600.88</v>
      </c>
      <c r="F22" s="142">
        <f>'Data Sheet'!F29</f>
        <v>822.8</v>
      </c>
      <c r="G22" s="142">
        <f>'Data Sheet'!G29</f>
        <v>514.69000000000005</v>
      </c>
      <c r="H22" s="142">
        <f>'Data Sheet'!H29</f>
        <v>1075.5</v>
      </c>
      <c r="I22" s="142">
        <f>'Data Sheet'!I29</f>
        <v>847.59</v>
      </c>
      <c r="J22" s="142">
        <f>'Data Sheet'!J29</f>
        <v>1439.45</v>
      </c>
      <c r="K22" s="142">
        <f>'Data Sheet'!K29</f>
        <v>2772.03</v>
      </c>
      <c r="L22" s="143">
        <f>SUM(Quarters!H14:K14)</f>
        <v>3089.9300000000003</v>
      </c>
    </row>
    <row r="23" spans="1:13" s="130" customFormat="1" x14ac:dyDescent="0.25">
      <c r="A23" s="134" t="s">
        <v>12</v>
      </c>
      <c r="B23" s="135">
        <f>B19-B22</f>
        <v>5656.8599999999988</v>
      </c>
      <c r="C23" s="135">
        <f t="shared" ref="C23:L23" si="15">C19-C22</f>
        <v>7836.2999999999975</v>
      </c>
      <c r="D23" s="135">
        <f t="shared" si="15"/>
        <v>2567.9399999999982</v>
      </c>
      <c r="E23" s="135">
        <f t="shared" si="15"/>
        <v>3209.3200000000033</v>
      </c>
      <c r="F23" s="135">
        <f t="shared" si="15"/>
        <v>4186.7900000000036</v>
      </c>
      <c r="G23" s="135">
        <f t="shared" si="15"/>
        <v>2284.6799999999994</v>
      </c>
      <c r="H23" s="135">
        <f t="shared" si="15"/>
        <v>3405.8199999999961</v>
      </c>
      <c r="I23" s="135">
        <f t="shared" si="15"/>
        <v>8560.8399999999983</v>
      </c>
      <c r="J23" s="135">
        <f t="shared" si="15"/>
        <v>9648.4399999999969</v>
      </c>
      <c r="K23" s="135">
        <f t="shared" si="15"/>
        <v>10980.100000000004</v>
      </c>
      <c r="L23" s="136">
        <f t="shared" si="15"/>
        <v>10411.470000000003</v>
      </c>
    </row>
    <row r="24" spans="1:13" s="130" customFormat="1" x14ac:dyDescent="0.25">
      <c r="A24" s="137" t="s">
        <v>92</v>
      </c>
      <c r="B24" s="138"/>
      <c r="C24" s="139">
        <f>C23/B23-1</f>
        <v>0.38527380914500253</v>
      </c>
      <c r="D24" s="139">
        <f t="shared" ref="D24" si="16">D23/C23-1</f>
        <v>-0.67230197925041169</v>
      </c>
      <c r="E24" s="139">
        <f t="shared" ref="E24" si="17">E23/D23-1</f>
        <v>0.24976440259507826</v>
      </c>
      <c r="F24" s="139">
        <f t="shared" ref="F24" si="18">F23/E23-1</f>
        <v>0.30457230815250558</v>
      </c>
      <c r="G24" s="139">
        <f t="shared" ref="G24" si="19">G23/F23-1</f>
        <v>-0.45431225354030236</v>
      </c>
      <c r="H24" s="139">
        <f t="shared" ref="H24" si="20">H23/G23-1</f>
        <v>0.49072080116252481</v>
      </c>
      <c r="I24" s="139">
        <f t="shared" ref="I24" si="21">I23/H23-1</f>
        <v>1.5135914405341468</v>
      </c>
      <c r="J24" s="139">
        <f t="shared" ref="J24" si="22">J23/I23-1</f>
        <v>0.12704360787025548</v>
      </c>
      <c r="K24" s="139">
        <f t="shared" ref="K24" si="23">K23/J23-1</f>
        <v>0.13801816666735833</v>
      </c>
      <c r="L24" s="140"/>
    </row>
    <row r="25" spans="1:13" x14ac:dyDescent="0.25">
      <c r="A25" s="137" t="s">
        <v>91</v>
      </c>
      <c r="B25" s="139">
        <f t="shared" ref="B25:L25" si="24">B23/B4</f>
        <v>0.19857668560042935</v>
      </c>
      <c r="C25" s="139">
        <f t="shared" si="24"/>
        <v>0.24815348699935771</v>
      </c>
      <c r="D25" s="139">
        <f t="shared" si="24"/>
        <v>9.6941953516606158E-2</v>
      </c>
      <c r="E25" s="139">
        <f t="shared" si="24"/>
        <v>0.11041525966329639</v>
      </c>
      <c r="F25" s="139">
        <f t="shared" si="24"/>
        <v>0.12750026646364684</v>
      </c>
      <c r="G25" s="139">
        <f t="shared" si="24"/>
        <v>6.820318978904498E-2</v>
      </c>
      <c r="H25" s="139">
        <f t="shared" si="24"/>
        <v>8.8109298557554283E-2</v>
      </c>
      <c r="I25" s="139">
        <f t="shared" si="24"/>
        <v>0.19507137635784608</v>
      </c>
      <c r="J25" s="139">
        <f t="shared" si="24"/>
        <v>0.19894982870021449</v>
      </c>
      <c r="K25" s="139">
        <f t="shared" si="24"/>
        <v>0.20883274589356404</v>
      </c>
      <c r="L25" s="140">
        <f t="shared" si="24"/>
        <v>0.19360419092963196</v>
      </c>
      <c r="M25" s="130"/>
    </row>
    <row r="26" spans="1:13" x14ac:dyDescent="0.25">
      <c r="A26" s="141" t="s">
        <v>53</v>
      </c>
      <c r="B26" s="151">
        <f>IF('Data Sheet'!B93&gt;0,B23/'Data Sheet'!B93,0)</f>
        <v>23.504632899821328</v>
      </c>
      <c r="C26" s="151">
        <f>IF('Data Sheet'!C93&gt;0,C23/'Data Sheet'!C93,0)</f>
        <v>32.660776059684061</v>
      </c>
      <c r="D26" s="151">
        <f>IF('Data Sheet'!D93&gt;0,D23/'Data Sheet'!D93,0)</f>
        <v>10.702871670904006</v>
      </c>
      <c r="E26" s="151">
        <f>IF('Data Sheet'!E93&gt;0,E23/'Data Sheet'!E93,0)</f>
        <v>13.376068019839133</v>
      </c>
      <c r="F26" s="151">
        <f>IF('Data Sheet'!F93&gt;0,F23/'Data Sheet'!F93,0)</f>
        <v>17.450047930646452</v>
      </c>
      <c r="G26" s="151">
        <f>IF('Data Sheet'!G93&gt;0,G23/'Data Sheet'!G93,0)</f>
        <v>9.5222773308881727</v>
      </c>
      <c r="H26" s="151">
        <f>IF('Data Sheet'!H93&gt;0,H23/'Data Sheet'!H93,0)</f>
        <v>14.195056891593365</v>
      </c>
      <c r="I26" s="151">
        <f>IF('Data Sheet'!I93&gt;0,I23/'Data Sheet'!I93,0)</f>
        <v>35.680573500604332</v>
      </c>
      <c r="J26" s="151">
        <f>IF('Data Sheet'!J93&gt;0,J23/'Data Sheet'!J93,0)</f>
        <v>40.213562289000947</v>
      </c>
      <c r="K26" s="151">
        <f>IF('Data Sheet'!K93&gt;0,K23/'Data Sheet'!K93,0)</f>
        <v>45.763764431292479</v>
      </c>
      <c r="L26" s="152">
        <f>IF('Data Sheet'!$B6&gt;0,'Profit &amp; Loss'!L23/'Data Sheet'!$B6,0)</f>
        <v>43.506461083588533</v>
      </c>
    </row>
    <row r="27" spans="1:13" s="130" customFormat="1" x14ac:dyDescent="0.25">
      <c r="A27" s="137" t="s">
        <v>92</v>
      </c>
      <c r="B27" s="138"/>
      <c r="C27" s="139">
        <f>C26/B26-1</f>
        <v>0.38954631620442504</v>
      </c>
      <c r="D27" s="139">
        <f t="shared" ref="D27" si="25">D26/C26-1</f>
        <v>-0.67230197925041169</v>
      </c>
      <c r="E27" s="139">
        <f t="shared" ref="E27" si="26">E26/D26-1</f>
        <v>0.24976440259507826</v>
      </c>
      <c r="F27" s="139">
        <f t="shared" ref="F27" si="27">F26/E26-1</f>
        <v>0.30457230815250558</v>
      </c>
      <c r="G27" s="139">
        <f t="shared" ref="G27" si="28">G26/F26-1</f>
        <v>-0.45431225354030236</v>
      </c>
      <c r="H27" s="139">
        <f t="shared" ref="H27" si="29">H26/G26-1</f>
        <v>0.49072080116252481</v>
      </c>
      <c r="I27" s="139">
        <f t="shared" ref="I27" si="30">I26/H26-1</f>
        <v>1.5135914405341464</v>
      </c>
      <c r="J27" s="139">
        <f t="shared" ref="J27" si="31">J26/I26-1</f>
        <v>0.1270436078702557</v>
      </c>
      <c r="K27" s="139">
        <f t="shared" ref="K27" si="32">K26/J26-1</f>
        <v>0.13801816666735833</v>
      </c>
      <c r="L27" s="140"/>
    </row>
    <row r="28" spans="1:13" x14ac:dyDescent="0.25">
      <c r="A28" s="153" t="s">
        <v>13</v>
      </c>
      <c r="B28" s="154">
        <f t="shared" ref="B28:K28" si="33">IF(B29&gt;0,B29/B26,"")</f>
        <v>34.886739286459282</v>
      </c>
      <c r="C28" s="154">
        <f t="shared" si="33"/>
        <v>21.06961569873538</v>
      </c>
      <c r="D28" s="154">
        <f t="shared" si="33"/>
        <v>46.258613129590287</v>
      </c>
      <c r="E28" s="154">
        <f t="shared" si="33"/>
        <v>35.799010538057871</v>
      </c>
      <c r="F28" s="154">
        <f t="shared" si="33"/>
        <v>20.189056293723816</v>
      </c>
      <c r="G28" s="154">
        <f t="shared" si="33"/>
        <v>62.779099917712777</v>
      </c>
      <c r="H28" s="154">
        <f t="shared" si="33"/>
        <v>64.44144655325303</v>
      </c>
      <c r="I28" s="154">
        <f t="shared" si="33"/>
        <v>27.552808252461215</v>
      </c>
      <c r="J28" s="154">
        <f t="shared" si="33"/>
        <v>40.298593503198454</v>
      </c>
      <c r="K28" s="154">
        <f t="shared" si="33"/>
        <v>37.905535559785413</v>
      </c>
      <c r="L28" s="155">
        <f t="shared" ref="L28" si="34">IF(L26&gt;0,L29/L26,0)</f>
        <v>37.28641584713781</v>
      </c>
      <c r="M28" s="130"/>
    </row>
    <row r="29" spans="1:13" s="130" customFormat="1" x14ac:dyDescent="0.25">
      <c r="A29" s="134" t="s">
        <v>54</v>
      </c>
      <c r="B29" s="135">
        <f>'Data Sheet'!B90</f>
        <v>820</v>
      </c>
      <c r="C29" s="135">
        <f>'Data Sheet'!C90</f>
        <v>688.15</v>
      </c>
      <c r="D29" s="135">
        <f>'Data Sheet'!D90</f>
        <v>495.1</v>
      </c>
      <c r="E29" s="135">
        <f>'Data Sheet'!E90</f>
        <v>478.85</v>
      </c>
      <c r="F29" s="135">
        <f>'Data Sheet'!F90</f>
        <v>352.3</v>
      </c>
      <c r="G29" s="135">
        <f>'Data Sheet'!G90</f>
        <v>597.79999999999995</v>
      </c>
      <c r="H29" s="135">
        <f>'Data Sheet'!H90</f>
        <v>914.75</v>
      </c>
      <c r="I29" s="135">
        <f>'Data Sheet'!I90</f>
        <v>983.1</v>
      </c>
      <c r="J29" s="135">
        <f>'Data Sheet'!J90</f>
        <v>1620.55</v>
      </c>
      <c r="K29" s="135">
        <f>'Data Sheet'!K90</f>
        <v>1734.7</v>
      </c>
      <c r="L29" s="136">
        <f>'Data Sheet'!B8</f>
        <v>1622.2</v>
      </c>
    </row>
    <row r="30" spans="1:13" x14ac:dyDescent="0.25">
      <c r="A30" s="141" t="s">
        <v>14</v>
      </c>
      <c r="B30" s="156">
        <f>IF('Data Sheet'!B30&gt;0, 'Data Sheet'!B31/'Data Sheet'!B30, 0)</f>
        <v>5.2942224646974838E-2</v>
      </c>
      <c r="C30" s="156">
        <f>IF('Data Sheet'!C30&gt;0, 'Data Sheet'!C31/'Data Sheet'!C30, 0)</f>
        <v>0.12057946375623352</v>
      </c>
      <c r="D30" s="156">
        <f>IF('Data Sheet'!D30&gt;0, 'Data Sheet'!D31/'Data Sheet'!D30, 0)</f>
        <v>0.22897361263539631</v>
      </c>
      <c r="E30" s="156">
        <f>IF('Data Sheet'!E30&gt;0, 'Data Sheet'!E31/'Data Sheet'!E30, 0)</f>
        <v>0.24754447704301757</v>
      </c>
      <c r="F30" s="156">
        <f>IF('Data Sheet'!F30&gt;0, 'Data Sheet'!F31/'Data Sheet'!F30, 0)</f>
        <v>0.25491044986228167</v>
      </c>
      <c r="G30" s="156">
        <f>IF('Data Sheet'!G30&gt;0, 'Data Sheet'!G31/'Data Sheet'!G30, 0)</f>
        <v>0.61969405817164969</v>
      </c>
      <c r="H30" s="156">
        <f>IF('Data Sheet'!H30&gt;0, 'Data Sheet'!H31/'Data Sheet'!H30, 0)</f>
        <v>0.73311883351208329</v>
      </c>
      <c r="I30" s="156">
        <f>IF('Data Sheet'!I30&gt;0, 'Data Sheet'!I31/'Data Sheet'!I30, 0)</f>
        <v>0.32562388034337314</v>
      </c>
      <c r="J30" s="156">
        <f>IF('Data Sheet'!J30&gt;0, 'Data Sheet'!J31/'Data Sheet'!J30, 0)</f>
        <v>0.33823428059454619</v>
      </c>
      <c r="K30" s="156">
        <f>IF('Data Sheet'!K30&gt;0, 'Data Sheet'!K31/'Data Sheet'!K30, 0)</f>
        <v>0.35125500501416407</v>
      </c>
      <c r="L30" s="157"/>
    </row>
    <row r="31" spans="1:13" x14ac:dyDescent="0.25">
      <c r="A31" s="141" t="s">
        <v>181</v>
      </c>
      <c r="B31" s="142">
        <f>B29*'Data Sheet'!B93</f>
        <v>197349.4</v>
      </c>
      <c r="C31" s="142">
        <f>C29*'Data Sheet'!C93</f>
        <v>165107.82949999999</v>
      </c>
      <c r="D31" s="142">
        <f>D29*'Data Sheet'!D93</f>
        <v>118789.34300000001</v>
      </c>
      <c r="E31" s="142">
        <f>E29*'Data Sheet'!E93</f>
        <v>114890.48050000001</v>
      </c>
      <c r="F31" s="142">
        <f>F29*'Data Sheet'!F93</f>
        <v>84527.339000000007</v>
      </c>
      <c r="G31" s="142">
        <f>G29*'Data Sheet'!G93</f>
        <v>143430.15399999998</v>
      </c>
      <c r="H31" s="142">
        <f>H29*'Data Sheet'!H93</f>
        <v>219475.9675</v>
      </c>
      <c r="I31" s="142">
        <f>I29*'Data Sheet'!I93</f>
        <v>235875.18300000002</v>
      </c>
      <c r="J31" s="142">
        <f>J29*'Data Sheet'!J93</f>
        <v>388818.56150000001</v>
      </c>
      <c r="K31" s="142">
        <f>K29*'Data Sheet'!K93</f>
        <v>416206.571</v>
      </c>
      <c r="L31" s="143"/>
    </row>
    <row r="32" spans="1:13" x14ac:dyDescent="0.25">
      <c r="A32" s="141" t="s">
        <v>182</v>
      </c>
      <c r="B32" s="142">
        <f>B23*(1-B30)</f>
        <v>5357.373247083513</v>
      </c>
      <c r="C32" s="142">
        <f t="shared" ref="C32:K32" si="35">C23*(1-C30)</f>
        <v>6891.4031481670254</v>
      </c>
      <c r="D32" s="142">
        <f t="shared" si="35"/>
        <v>1979.9495011690592</v>
      </c>
      <c r="E32" s="142">
        <f t="shared" si="35"/>
        <v>2414.8705589363053</v>
      </c>
      <c r="F32" s="142">
        <f t="shared" si="35"/>
        <v>3119.5334776211007</v>
      </c>
      <c r="G32" s="142">
        <f t="shared" si="35"/>
        <v>868.87737917639515</v>
      </c>
      <c r="H32" s="142">
        <f t="shared" si="35"/>
        <v>908.94921444787542</v>
      </c>
      <c r="I32" s="142">
        <f t="shared" si="35"/>
        <v>5773.2260602012366</v>
      </c>
      <c r="J32" s="142">
        <f t="shared" si="35"/>
        <v>6385.006837740355</v>
      </c>
      <c r="K32" s="142">
        <f t="shared" si="35"/>
        <v>7123.2849194439796</v>
      </c>
      <c r="L32" s="157"/>
    </row>
    <row r="33" spans="1:12" ht="13.8" thickBot="1" x14ac:dyDescent="0.3">
      <c r="A33" s="158" t="s">
        <v>183</v>
      </c>
      <c r="B33" s="159">
        <f>(K31-B31)/SUM(B32:K32)</f>
        <v>5.3611931789293337</v>
      </c>
      <c r="C33" s="159">
        <f t="shared" ref="C33" si="36">(L31-C31)/SUM(C32:L32)</f>
        <v>-4.655501447715217</v>
      </c>
      <c r="D33" s="159">
        <f t="shared" ref="D33" si="37">(M31-D31)/SUM(D32:M32)</f>
        <v>-4.1572967983744489</v>
      </c>
      <c r="E33" s="159">
        <f t="shared" ref="E33" si="38">(N31-E31)/SUM(E32:N32)</f>
        <v>-4.3202063344518846</v>
      </c>
      <c r="F33" s="159">
        <f t="shared" ref="F33" si="39">(O31-F31)/SUM(F32:O32)</f>
        <v>-3.4959165346438708</v>
      </c>
      <c r="G33" s="159">
        <f t="shared" ref="G33" si="40">(P31-G31)/SUM(G32:P32)</f>
        <v>-6.8107606391115656</v>
      </c>
      <c r="H33" s="159">
        <f t="shared" ref="H33" si="41">(Q31-H31)/SUM(H32:Q32)</f>
        <v>-10.870276906124143</v>
      </c>
      <c r="I33" s="159">
        <f t="shared" ref="I33" si="42">(R31-I31)/SUM(I32:R32)</f>
        <v>-12.233226929226412</v>
      </c>
      <c r="J33" s="159">
        <f t="shared" ref="J33" si="43">(S31-J31)/SUM(J32:S32)</f>
        <v>-28.783695858005753</v>
      </c>
      <c r="K33" s="159">
        <f t="shared" ref="K33" si="44">(T31-K31)/SUM(K32:T32)</f>
        <v>-58.429021962031491</v>
      </c>
      <c r="L33" s="160"/>
    </row>
    <row r="34" spans="1:12" x14ac:dyDescent="0.25">
      <c r="A34" s="7"/>
      <c r="B34" s="319"/>
      <c r="C34" s="319"/>
      <c r="D34" s="319"/>
      <c r="E34" s="319"/>
      <c r="F34" s="319"/>
      <c r="G34" s="319"/>
      <c r="H34" s="319"/>
      <c r="I34" s="319"/>
      <c r="J34" s="319"/>
      <c r="K34" s="319"/>
      <c r="L34" s="319"/>
    </row>
    <row r="35" spans="1:12" x14ac:dyDescent="0.25">
      <c r="B35" s="161"/>
      <c r="C35" s="161"/>
      <c r="D35" s="161"/>
      <c r="E35" s="161"/>
      <c r="F35" s="161"/>
      <c r="G35" s="161"/>
      <c r="H35" s="161"/>
      <c r="I35" s="161"/>
      <c r="J35" s="161"/>
      <c r="K35" s="161"/>
      <c r="L35" s="161"/>
    </row>
    <row r="36" spans="1:12" s="130" customFormat="1" x14ac:dyDescent="0.25">
      <c r="A36" s="162" t="s">
        <v>16</v>
      </c>
      <c r="B36" s="162" t="s">
        <v>60</v>
      </c>
      <c r="C36" s="162" t="s">
        <v>61</v>
      </c>
      <c r="D36" s="162" t="s">
        <v>62</v>
      </c>
      <c r="E36" s="162" t="s">
        <v>63</v>
      </c>
    </row>
    <row r="37" spans="1:12" s="130" customFormat="1" x14ac:dyDescent="0.25">
      <c r="A37" s="163" t="s">
        <v>17</v>
      </c>
      <c r="B37" s="164">
        <f>(K4/B4)^(1/9)-1</f>
        <v>7.0467266083731994E-2</v>
      </c>
      <c r="C37" s="164">
        <f>(K4/D4)^(1/7)-1</f>
        <v>0.10289333715715698</v>
      </c>
      <c r="D37" s="164">
        <f>(K4/F4)^(1/5)-1</f>
        <v>9.8721244921464724E-2</v>
      </c>
      <c r="E37" s="164">
        <f>(K4/H4)^(1/3)-1</f>
        <v>0.10799019267788856</v>
      </c>
    </row>
    <row r="38" spans="1:12" s="130" customFormat="1" x14ac:dyDescent="0.25">
      <c r="A38" s="163" t="s">
        <v>180</v>
      </c>
      <c r="B38" s="164">
        <f>(K19/B19)^(1/9)-1</f>
        <v>8.5526246485530866E-2</v>
      </c>
      <c r="C38" s="164">
        <f>(K19/D19)^(1/7)-1</f>
        <v>0.21695355943480843</v>
      </c>
      <c r="D38" s="164">
        <f>(K19/F19)^(1/5)-1</f>
        <v>0.2238087589035771</v>
      </c>
      <c r="E38" s="164">
        <f>(K19/H19)^(1/3)-1</f>
        <v>0.45318644230123106</v>
      </c>
    </row>
    <row r="39" spans="1:12" x14ac:dyDescent="0.25">
      <c r="A39" s="163" t="s">
        <v>100</v>
      </c>
      <c r="B39" s="164">
        <f>AVERAGE(B21:K21)</f>
        <v>0.18362249246499193</v>
      </c>
      <c r="C39" s="164">
        <f>AVERAGE(E21:K21)</f>
        <v>0.16967379267431407</v>
      </c>
      <c r="D39" s="164">
        <f>AVERAGE(G21:K21)</f>
        <v>0.18081425773526102</v>
      </c>
      <c r="E39" s="164">
        <f>AVERAGE(I21:K21)</f>
        <v>0.23485688316524644</v>
      </c>
      <c r="F39" s="130"/>
    </row>
    <row r="40" spans="1:12" x14ac:dyDescent="0.25">
      <c r="A40" s="163" t="s">
        <v>18</v>
      </c>
      <c r="B40" s="154">
        <f>AVERAGE(B28:K28)</f>
        <v>39.118051873297745</v>
      </c>
      <c r="C40" s="154">
        <f>AVERAGE(E28:K28)</f>
        <v>41.280792945456078</v>
      </c>
      <c r="D40" s="154">
        <f>AVERAGE(G28:K28)</f>
        <v>46.595496757282177</v>
      </c>
      <c r="E40" s="154">
        <f>AVERAGE(I28:K28)</f>
        <v>35.252312438481688</v>
      </c>
      <c r="F40" s="130"/>
    </row>
    <row r="41" spans="1:12" x14ac:dyDescent="0.25">
      <c r="A41" s="497" t="s">
        <v>197</v>
      </c>
      <c r="B41" s="497"/>
      <c r="C41" s="497"/>
      <c r="D41" s="497"/>
      <c r="E41" s="497"/>
    </row>
    <row r="42" spans="1:12" x14ac:dyDescent="0.25">
      <c r="A42" s="497"/>
      <c r="B42" s="497"/>
      <c r="C42" s="497"/>
      <c r="D42" s="497"/>
      <c r="E42" s="497"/>
    </row>
    <row r="43" spans="1:12" x14ac:dyDescent="0.25">
      <c r="A43" s="497"/>
      <c r="B43" s="497"/>
      <c r="C43" s="497"/>
      <c r="D43" s="497"/>
      <c r="E43" s="497"/>
    </row>
    <row r="44" spans="1:12" x14ac:dyDescent="0.25">
      <c r="A44" s="497"/>
      <c r="B44" s="497"/>
      <c r="C44" s="497"/>
      <c r="D44" s="497"/>
      <c r="E44" s="497"/>
    </row>
  </sheetData>
  <mergeCells count="4">
    <mergeCell ref="M6:O11"/>
    <mergeCell ref="A41:E44"/>
    <mergeCell ref="A1:L1"/>
    <mergeCell ref="A2:L2"/>
  </mergeCells>
  <printOptions gridLines="1"/>
  <pageMargins left="0.7" right="0.7" top="0.75" bottom="0.75" header="0.3" footer="0.3"/>
  <pageSetup paperSize="9" orientation="landscape" horizontalDpi="300" verticalDpi="3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xr2:uid="{6E7D59D1-1D98-4F28-9EF0-5E0AA5D86DF4}">
          <x14:colorSeries rgb="FFC00000"/>
          <x14:colorNegative rgb="FFD00000"/>
          <x14:colorAxis rgb="FF000000"/>
          <x14:colorMarkers rgb="FFD00000"/>
          <x14:colorFirst rgb="FFD00000"/>
          <x14:colorLast rgb="FFD00000"/>
          <x14:colorHigh rgb="FFD00000"/>
          <x14:colorLow rgb="FFD00000"/>
          <x14:sparklines>
            <x14:sparkline>
              <xm:f>'Profit &amp; Loss'!G28:L28</xm:f>
              <xm:sqref>M28</xm:sqref>
            </x14:sparkline>
          </x14:sparklines>
        </x14:sparklineGroup>
        <x14:sparklineGroup type="column" displayEmptyCellsAs="gap" xr2:uid="{68CFE33C-4EFA-44F6-908D-C598ED18BC72}">
          <x14:colorSeries rgb="FFC00000"/>
          <x14:colorNegative rgb="FFD00000"/>
          <x14:colorAxis rgb="FF000000"/>
          <x14:colorMarkers rgb="FFD00000"/>
          <x14:colorFirst rgb="FFD00000"/>
          <x14:colorLast rgb="FFD00000"/>
          <x14:colorHigh rgb="FFD00000"/>
          <x14:colorLow rgb="FFD00000"/>
          <x14:sparklines>
            <x14:sparkline>
              <xm:f>'Profit &amp; Loss'!G25:L25</xm:f>
              <xm:sqref>M25</xm:sqref>
            </x14:sparkline>
          </x14:sparklines>
        </x14:sparklineGroup>
        <x14:sparklineGroup type="column" displayEmptyCellsAs="gap" xr2:uid="{64E9220B-C344-496E-BFB5-655119B3D7B3}">
          <x14:colorSeries rgb="FFC00000"/>
          <x14:colorNegative rgb="FFD00000"/>
          <x14:colorAxis rgb="FF000000"/>
          <x14:colorMarkers rgb="FFD00000"/>
          <x14:colorFirst rgb="FFD00000"/>
          <x14:colorLast rgb="FFD00000"/>
          <x14:colorHigh rgb="FFD00000"/>
          <x14:colorLow rgb="FFD00000"/>
          <x14:sparklines>
            <x14:sparkline>
              <xm:f>'Profit &amp; Loss'!B37:E37</xm:f>
              <xm:sqref>F37</xm:sqref>
            </x14:sparkline>
          </x14:sparklines>
        </x14:sparklineGroup>
        <x14:sparklineGroup type="column" displayEmptyCellsAs="gap" xr2:uid="{22DC0198-1B36-4056-95B7-1D2DD1F16073}">
          <x14:colorSeries rgb="FFC00000"/>
          <x14:colorNegative rgb="FFD00000"/>
          <x14:colorAxis rgb="FF000000"/>
          <x14:colorMarkers rgb="FFD00000"/>
          <x14:colorFirst rgb="FFD00000"/>
          <x14:colorLast rgb="FFD00000"/>
          <x14:colorHigh rgb="FFD00000"/>
          <x14:colorLow rgb="FFD00000"/>
          <x14:sparklines>
            <x14:sparkline>
              <xm:f>'Profit &amp; Loss'!B38:E38</xm:f>
              <xm:sqref>F38</xm:sqref>
            </x14:sparkline>
            <x14:sparkline>
              <xm:f>'Profit &amp; Loss'!B39:E39</xm:f>
              <xm:sqref>F39</xm:sqref>
            </x14:sparkline>
            <x14:sparkline>
              <xm:f>'Profit &amp; Loss'!B40:E40</xm:f>
              <xm:sqref>F40</xm:sqref>
            </x14:sparkline>
          </x14:sparklines>
        </x14:sparklineGroup>
        <x14:sparklineGroup type="column" displayEmptyCellsAs="gap" xr2:uid="{5B52F889-DFE6-4521-AAE9-453782F932D5}">
          <x14:colorSeries rgb="FFC00000"/>
          <x14:colorNegative rgb="FFD00000"/>
          <x14:colorAxis rgb="FF000000"/>
          <x14:colorMarkers rgb="FFD00000"/>
          <x14:colorFirst rgb="FFD00000"/>
          <x14:colorLast rgb="FFD00000"/>
          <x14:colorHigh rgb="FFD00000"/>
          <x14:colorLow rgb="FFD00000"/>
          <x14:sparklines>
            <x14:sparkline>
              <xm:f>'Profit &amp; Loss'!G23:L23</xm:f>
              <xm:sqref>M23</xm:sqref>
            </x14:sparkline>
          </x14:sparklines>
        </x14:sparklineGroup>
        <x14:sparklineGroup type="column" displayEmptyCellsAs="gap" xr2:uid="{B7A36FED-F0D9-4A2F-ABC9-662E6834AD5F}">
          <x14:colorSeries rgb="FFC00000"/>
          <x14:colorNegative rgb="FFD00000"/>
          <x14:colorAxis rgb="FF000000"/>
          <x14:colorMarkers rgb="FFD00000"/>
          <x14:colorFirst rgb="FFD00000"/>
          <x14:colorLast rgb="FFD00000"/>
          <x14:colorHigh rgb="FFD00000"/>
          <x14:colorLow rgb="FFD00000"/>
          <x14:sparklines>
            <x14:sparkline>
              <xm:f>'Profit &amp; Loss'!G19:L19</xm:f>
              <xm:sqref>M19</xm:sqref>
            </x14:sparkline>
          </x14:sparklines>
        </x14:sparklineGroup>
        <x14:sparklineGroup type="column" displayEmptyCellsAs="gap" xr2:uid="{4E4C0FBF-DECA-4A6B-A41B-B74A2693260A}">
          <x14:colorSeries rgb="FFC00000"/>
          <x14:colorNegative rgb="FFD00000"/>
          <x14:colorAxis rgb="FF000000"/>
          <x14:colorMarkers rgb="FFD00000"/>
          <x14:colorFirst rgb="FFD00000"/>
          <x14:colorLast rgb="FFD00000"/>
          <x14:colorHigh rgb="FFD00000"/>
          <x14:colorLow rgb="FFD00000"/>
          <x14:sparklines>
            <x14:sparkline>
              <xm:f>'Profit &amp; Loss'!G12:L12</xm:f>
              <xm:sqref>M12</xm:sqref>
            </x14:sparkline>
          </x14:sparklines>
        </x14:sparklineGroup>
        <x14:sparklineGroup type="column" displayEmptyCellsAs="gap" xr2:uid="{94601536-7D7C-4154-B09C-6C817ED3C9E0}">
          <x14:colorSeries rgb="FFC00000"/>
          <x14:colorNegative rgb="FFD00000"/>
          <x14:colorAxis rgb="FF000000"/>
          <x14:colorMarkers rgb="FFD00000"/>
          <x14:colorFirst rgb="FFD00000"/>
          <x14:colorLast rgb="FFD00000"/>
          <x14:colorHigh rgb="FFD00000"/>
          <x14:colorLow rgb="FFD00000"/>
          <x14:sparklines>
            <x14:sparkline>
              <xm:f>'Profit &amp; Loss'!G4:L4</xm:f>
              <xm:sqref>M4</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M19"/>
  <sheetViews>
    <sheetView workbookViewId="0">
      <pane xSplit="1" ySplit="3" topLeftCell="B4" activePane="bottomRight" state="frozen"/>
      <selection pane="topRight" activeCell="B1" sqref="B1"/>
      <selection pane="bottomLeft" activeCell="A4" sqref="A4"/>
      <selection pane="bottomRight" activeCell="K13" sqref="K13"/>
    </sheetView>
  </sheetViews>
  <sheetFormatPr defaultColWidth="13.109375" defaultRowHeight="13.2" x14ac:dyDescent="0.25"/>
  <cols>
    <col min="1" max="1" width="32" style="7" bestFit="1" customWidth="1"/>
    <col min="2" max="9" width="7.33203125" style="7" bestFit="1" customWidth="1"/>
    <col min="10" max="12" width="8.33203125" style="7" bestFit="1" customWidth="1"/>
    <col min="13" max="16384" width="13.109375" style="7"/>
  </cols>
  <sheetData>
    <row r="1" spans="1:13" ht="19.2" x14ac:dyDescent="0.35">
      <c r="A1" s="490" t="s">
        <v>210</v>
      </c>
      <c r="B1" s="491"/>
      <c r="C1" s="491"/>
      <c r="D1" s="491"/>
      <c r="E1" s="491"/>
      <c r="F1" s="491"/>
      <c r="G1" s="491"/>
      <c r="H1" s="491"/>
      <c r="I1" s="491"/>
      <c r="J1" s="491"/>
      <c r="K1" s="491"/>
      <c r="L1" s="492"/>
    </row>
    <row r="2" spans="1:13" s="6" customFormat="1" x14ac:dyDescent="0.25">
      <c r="A2" s="504" t="str">
        <f>'Balance Sheet'!A2</f>
        <v>SUN PHARMACEUTICAL INDUSTRIES LTD</v>
      </c>
      <c r="B2" s="505"/>
      <c r="C2" s="505"/>
      <c r="D2" s="505"/>
      <c r="E2" s="505"/>
      <c r="F2" s="505"/>
      <c r="G2" s="505"/>
      <c r="H2" s="505"/>
      <c r="I2" s="505"/>
      <c r="J2" s="505"/>
      <c r="K2" s="505"/>
      <c r="L2" s="506"/>
    </row>
    <row r="3" spans="1:13" s="6" customFormat="1" x14ac:dyDescent="0.25">
      <c r="A3" s="215" t="s">
        <v>179</v>
      </c>
      <c r="B3" s="103">
        <f>'Data Sheet'!B81</f>
        <v>42460</v>
      </c>
      <c r="C3" s="103">
        <f>'Data Sheet'!C81</f>
        <v>42825</v>
      </c>
      <c r="D3" s="103">
        <f>'Data Sheet'!D81</f>
        <v>43190</v>
      </c>
      <c r="E3" s="103">
        <f>'Data Sheet'!E81</f>
        <v>43555</v>
      </c>
      <c r="F3" s="103">
        <f>'Data Sheet'!F81</f>
        <v>43921</v>
      </c>
      <c r="G3" s="103">
        <f>'Data Sheet'!G81</f>
        <v>44286</v>
      </c>
      <c r="H3" s="103">
        <f>'Data Sheet'!H81</f>
        <v>44651</v>
      </c>
      <c r="I3" s="103">
        <f>'Data Sheet'!I81</f>
        <v>45016</v>
      </c>
      <c r="J3" s="103">
        <f>'Data Sheet'!J81</f>
        <v>45382</v>
      </c>
      <c r="K3" s="103">
        <f>'Data Sheet'!K81</f>
        <v>45747</v>
      </c>
      <c r="L3" s="171" t="s">
        <v>21</v>
      </c>
    </row>
    <row r="4" spans="1:13" s="6" customFormat="1" x14ac:dyDescent="0.25">
      <c r="A4" s="216" t="s">
        <v>93</v>
      </c>
      <c r="B4" s="108">
        <f>'Data Sheet'!B82</f>
        <v>6685.86</v>
      </c>
      <c r="C4" s="108">
        <f>'Data Sheet'!C82</f>
        <v>7082.21</v>
      </c>
      <c r="D4" s="108">
        <f>'Data Sheet'!D82</f>
        <v>3907.15</v>
      </c>
      <c r="E4" s="108">
        <f>'Data Sheet'!E82</f>
        <v>2196.4499999999998</v>
      </c>
      <c r="F4" s="108">
        <f>'Data Sheet'!F82</f>
        <v>6554.77</v>
      </c>
      <c r="G4" s="108">
        <f>'Data Sheet'!G82</f>
        <v>6170.37</v>
      </c>
      <c r="H4" s="108">
        <f>'Data Sheet'!H82</f>
        <v>8984.5400000000009</v>
      </c>
      <c r="I4" s="108">
        <f>'Data Sheet'!I82</f>
        <v>4959.33</v>
      </c>
      <c r="J4" s="108">
        <f>'Data Sheet'!J82</f>
        <v>12134.98</v>
      </c>
      <c r="K4" s="108">
        <f>'Data Sheet'!K82</f>
        <v>14072.09</v>
      </c>
      <c r="L4" s="217">
        <f>SUM(B4:K4)</f>
        <v>72747.75</v>
      </c>
      <c r="M4" s="7"/>
    </row>
    <row r="5" spans="1:13" s="228" customFormat="1" x14ac:dyDescent="0.25">
      <c r="A5" s="218" t="s">
        <v>220</v>
      </c>
      <c r="B5" s="227"/>
      <c r="C5" s="107">
        <f>C4/B4-1</f>
        <v>5.9281827618286931E-2</v>
      </c>
      <c r="D5" s="107">
        <f t="shared" ref="D5:K5" si="0">D4/C4-1</f>
        <v>-0.44831486216872984</v>
      </c>
      <c r="E5" s="107">
        <f t="shared" si="0"/>
        <v>-0.43783832205059958</v>
      </c>
      <c r="F5" s="107">
        <f t="shared" si="0"/>
        <v>1.9842564137585654</v>
      </c>
      <c r="G5" s="107">
        <f t="shared" si="0"/>
        <v>-5.8644315513740497E-2</v>
      </c>
      <c r="H5" s="107">
        <f t="shared" si="0"/>
        <v>0.45607799856410569</v>
      </c>
      <c r="I5" s="107">
        <f t="shared" si="0"/>
        <v>-0.44801514601749237</v>
      </c>
      <c r="J5" s="107">
        <f t="shared" si="0"/>
        <v>1.4468990770930752</v>
      </c>
      <c r="K5" s="107">
        <f t="shared" si="0"/>
        <v>0.15963025897034866</v>
      </c>
      <c r="L5" s="221"/>
      <c r="M5" s="10"/>
    </row>
    <row r="6" spans="1:13" s="228" customFormat="1" ht="13.8" thickBot="1" x14ac:dyDescent="0.3">
      <c r="A6" s="80" t="s">
        <v>28</v>
      </c>
      <c r="B6" s="24">
        <f>'Data Sheet'!B83</f>
        <v>-3949.13</v>
      </c>
      <c r="C6" s="24">
        <f>'Data Sheet'!C83</f>
        <v>-4186.1499999999996</v>
      </c>
      <c r="D6" s="24">
        <f>'Data Sheet'!D83</f>
        <v>-3103.8</v>
      </c>
      <c r="E6" s="24">
        <f>'Data Sheet'!E83</f>
        <v>-310.08</v>
      </c>
      <c r="F6" s="24">
        <f>'Data Sheet'!F83</f>
        <v>-2225.3200000000002</v>
      </c>
      <c r="G6" s="24">
        <f>'Data Sheet'!G83</f>
        <v>406.53</v>
      </c>
      <c r="H6" s="24">
        <f>'Data Sheet'!H83</f>
        <v>-5555.86</v>
      </c>
      <c r="I6" s="24">
        <f>'Data Sheet'!I83</f>
        <v>-7219.92</v>
      </c>
      <c r="J6" s="24">
        <f>'Data Sheet'!J83</f>
        <v>-762.9</v>
      </c>
      <c r="K6" s="24">
        <f>'Data Sheet'!K83</f>
        <v>-5183.1499999999996</v>
      </c>
      <c r="L6" s="217">
        <f>SUM(B6:K6)</f>
        <v>-32089.78</v>
      </c>
      <c r="M6" s="10"/>
    </row>
    <row r="7" spans="1:13" ht="13.8" x14ac:dyDescent="0.25">
      <c r="A7" s="7" t="s">
        <v>307</v>
      </c>
      <c r="B7" s="24">
        <v>247</v>
      </c>
      <c r="C7" s="24">
        <v>-409</v>
      </c>
      <c r="D7" s="24">
        <v>-212</v>
      </c>
      <c r="E7" s="24">
        <v>-2696</v>
      </c>
      <c r="F7" s="24">
        <v>899</v>
      </c>
      <c r="G7" s="24">
        <v>2564</v>
      </c>
      <c r="H7" s="24">
        <v>1559</v>
      </c>
      <c r="I7" s="24">
        <v>-5662</v>
      </c>
      <c r="J7" s="24">
        <v>1062</v>
      </c>
      <c r="K7" s="24">
        <v>-324</v>
      </c>
      <c r="L7" s="217">
        <f>SUM(B7:K7)</f>
        <v>-2972</v>
      </c>
      <c r="M7" s="320"/>
    </row>
    <row r="8" spans="1:13" x14ac:dyDescent="0.25">
      <c r="A8" s="80" t="s">
        <v>29</v>
      </c>
      <c r="B8" s="24">
        <f>'Data Sheet'!B84</f>
        <v>-1888.53</v>
      </c>
      <c r="C8" s="24">
        <f>'Data Sheet'!C84</f>
        <v>-2285.39</v>
      </c>
      <c r="D8" s="24">
        <f>'Data Sheet'!D84</f>
        <v>-1539.26</v>
      </c>
      <c r="E8" s="24">
        <f>'Data Sheet'!E84</f>
        <v>-2730.52</v>
      </c>
      <c r="F8" s="24">
        <f>'Data Sheet'!F84</f>
        <v>-5715.14</v>
      </c>
      <c r="G8" s="24">
        <f>'Data Sheet'!G84</f>
        <v>-5980.48</v>
      </c>
      <c r="H8" s="24">
        <f>'Data Sheet'!H84</f>
        <v>-5193.46</v>
      </c>
      <c r="I8" s="24">
        <f>'Data Sheet'!I84</f>
        <v>2376.0700000000002</v>
      </c>
      <c r="J8" s="24">
        <f>'Data Sheet'!J84</f>
        <v>-6710.16</v>
      </c>
      <c r="K8" s="24">
        <f>'Data Sheet'!K84</f>
        <v>-7905.82</v>
      </c>
      <c r="L8" s="217">
        <f t="shared" ref="L8:L9" si="1">SUM(B8:K8)</f>
        <v>-37572.69</v>
      </c>
    </row>
    <row r="9" spans="1:13" s="6" customFormat="1" x14ac:dyDescent="0.25">
      <c r="A9" s="216" t="s">
        <v>30</v>
      </c>
      <c r="B9" s="108">
        <f>'Data Sheet'!B85</f>
        <v>848.2</v>
      </c>
      <c r="C9" s="108">
        <f>'Data Sheet'!C85</f>
        <v>610.66999999999996</v>
      </c>
      <c r="D9" s="108">
        <f>'Data Sheet'!D85</f>
        <v>-735.91</v>
      </c>
      <c r="E9" s="108">
        <f>'Data Sheet'!E85</f>
        <v>-844.15</v>
      </c>
      <c r="F9" s="108">
        <f>'Data Sheet'!F85</f>
        <v>-1385.69</v>
      </c>
      <c r="G9" s="108">
        <f>'Data Sheet'!G85</f>
        <v>596.41999999999996</v>
      </c>
      <c r="H9" s="108">
        <f>'Data Sheet'!H85</f>
        <v>-1764.78</v>
      </c>
      <c r="I9" s="108">
        <f>'Data Sheet'!I85</f>
        <v>115.48</v>
      </c>
      <c r="J9" s="108">
        <f>'Data Sheet'!J85</f>
        <v>4661.92</v>
      </c>
      <c r="K9" s="108">
        <f>'Data Sheet'!K85</f>
        <v>983.12</v>
      </c>
      <c r="L9" s="217">
        <f t="shared" si="1"/>
        <v>3085.2799999999997</v>
      </c>
    </row>
    <row r="10" spans="1:13" s="10" customFormat="1" x14ac:dyDescent="0.25">
      <c r="A10" s="218" t="s">
        <v>94</v>
      </c>
      <c r="B10" s="107">
        <f>B4/'Profit &amp; Loss'!B4</f>
        <v>0.23469838730116829</v>
      </c>
      <c r="C10" s="107">
        <f>C4/'Profit &amp; Loss'!C4</f>
        <v>0.22427358666229238</v>
      </c>
      <c r="D10" s="107">
        <f>D4/'Profit &amp; Loss'!D4</f>
        <v>0.14749828799832085</v>
      </c>
      <c r="E10" s="107">
        <f>E4/'Profit &amp; Loss'!E4</f>
        <v>7.5567907559061454E-2</v>
      </c>
      <c r="F10" s="107">
        <f>F4/'Profit &amp; Loss'!F4</f>
        <v>0.19961233346022081</v>
      </c>
      <c r="G10" s="107">
        <f>G4/'Profit &amp; Loss'!G4</f>
        <v>0.18420037649851603</v>
      </c>
      <c r="H10" s="107">
        <f>H4/'Profit &amp; Loss'!H4</f>
        <v>0.23243198914278784</v>
      </c>
      <c r="I10" s="107">
        <f>I4/'Profit &amp; Loss'!I4</f>
        <v>0.11300565469191773</v>
      </c>
      <c r="J10" s="107">
        <f>J4/'Profit &amp; Loss'!J4</f>
        <v>0.25022202472944116</v>
      </c>
      <c r="K10" s="107">
        <f>K4/'Profit &amp; Loss'!K4</f>
        <v>0.2676399299789039</v>
      </c>
      <c r="L10" s="219"/>
    </row>
    <row r="11" spans="1:13" s="10" customFormat="1" x14ac:dyDescent="0.25">
      <c r="A11" s="218" t="s">
        <v>95</v>
      </c>
      <c r="B11" s="107">
        <f>B4/'Profit &amp; Loss'!B23</f>
        <v>1.1819030345456669</v>
      </c>
      <c r="C11" s="107">
        <f>C4/'Profit &amp; Loss'!C23</f>
        <v>0.90376963618034056</v>
      </c>
      <c r="D11" s="107">
        <f>D4/'Profit &amp; Loss'!D23</f>
        <v>1.521511406029737</v>
      </c>
      <c r="E11" s="107">
        <f>E4/'Profit &amp; Loss'!E23</f>
        <v>0.68439731781187219</v>
      </c>
      <c r="F11" s="107">
        <f>F4/'Profit &amp; Loss'!F23</f>
        <v>1.5655836571693338</v>
      </c>
      <c r="G11" s="107">
        <f>G4/'Profit &amp; Loss'!G23</f>
        <v>2.7007589684332167</v>
      </c>
      <c r="H11" s="107">
        <f>H4/'Profit &amp; Loss'!H23</f>
        <v>2.6379961360259823</v>
      </c>
      <c r="I11" s="107">
        <f>I4/'Profit &amp; Loss'!I23</f>
        <v>0.57930413370650558</v>
      </c>
      <c r="J11" s="107">
        <f>J4/'Profit &amp; Loss'!J23</f>
        <v>1.257714200430329</v>
      </c>
      <c r="K11" s="107">
        <f>K4/'Profit &amp; Loss'!K23</f>
        <v>1.2815994389850724</v>
      </c>
      <c r="L11" s="219"/>
    </row>
    <row r="12" spans="1:13" x14ac:dyDescent="0.25">
      <c r="A12" s="220" t="s">
        <v>187</v>
      </c>
      <c r="B12" s="109">
        <v>315.08</v>
      </c>
      <c r="C12" s="109">
        <v>211.57</v>
      </c>
      <c r="D12" s="109">
        <v>364.12</v>
      </c>
      <c r="E12" s="109">
        <v>565</v>
      </c>
      <c r="F12" s="109">
        <v>607</v>
      </c>
      <c r="G12" s="109">
        <v>937</v>
      </c>
      <c r="H12" s="109">
        <v>1156</v>
      </c>
      <c r="I12" s="109">
        <v>1638</v>
      </c>
      <c r="J12" s="109">
        <v>1238</v>
      </c>
      <c r="K12" s="109">
        <v>824.16</v>
      </c>
      <c r="L12" s="221"/>
    </row>
    <row r="13" spans="1:13" x14ac:dyDescent="0.25">
      <c r="A13" s="80" t="s">
        <v>130</v>
      </c>
      <c r="B13" s="110">
        <f t="shared" ref="B13:K13" si="2">B4-B12</f>
        <v>6370.78</v>
      </c>
      <c r="C13" s="110">
        <f t="shared" si="2"/>
        <v>6870.64</v>
      </c>
      <c r="D13" s="110">
        <f t="shared" si="2"/>
        <v>3543.03</v>
      </c>
      <c r="E13" s="110">
        <f t="shared" si="2"/>
        <v>1631.4499999999998</v>
      </c>
      <c r="F13" s="110">
        <f t="shared" si="2"/>
        <v>5947.77</v>
      </c>
      <c r="G13" s="110">
        <f t="shared" si="2"/>
        <v>5233.37</v>
      </c>
      <c r="H13" s="110">
        <f t="shared" si="2"/>
        <v>7828.5400000000009</v>
      </c>
      <c r="I13" s="110">
        <f t="shared" si="2"/>
        <v>3321.33</v>
      </c>
      <c r="J13" s="110">
        <f t="shared" si="2"/>
        <v>10896.98</v>
      </c>
      <c r="K13" s="110">
        <f t="shared" si="2"/>
        <v>13247.93</v>
      </c>
      <c r="L13" s="221">
        <f t="shared" ref="L13" si="3">SUM(B13:K13)</f>
        <v>64891.82</v>
      </c>
      <c r="M13" s="6"/>
    </row>
    <row r="14" spans="1:13" ht="14.55" customHeight="1" x14ac:dyDescent="0.25">
      <c r="A14" s="218" t="s">
        <v>131</v>
      </c>
      <c r="B14" s="501">
        <f>AVERAGE(I13:K13)</f>
        <v>9155.413333333332</v>
      </c>
      <c r="C14" s="502"/>
      <c r="D14" s="502"/>
      <c r="E14" s="502"/>
      <c r="F14" s="502"/>
      <c r="G14" s="502"/>
      <c r="H14" s="502"/>
      <c r="I14" s="502"/>
      <c r="J14" s="502"/>
      <c r="K14" s="503"/>
      <c r="L14" s="222"/>
    </row>
    <row r="15" spans="1:13" ht="14.55" customHeight="1" x14ac:dyDescent="0.25">
      <c r="A15" s="218" t="s">
        <v>223</v>
      </c>
      <c r="B15" s="226"/>
      <c r="C15" s="229">
        <f>C13/B13-1</f>
        <v>7.8461350101557414E-2</v>
      </c>
      <c r="D15" s="229">
        <f t="shared" ref="D15:K15" si="4">D13/C13-1</f>
        <v>-0.48432314893517925</v>
      </c>
      <c r="E15" s="229">
        <f t="shared" si="4"/>
        <v>-0.53953254700073106</v>
      </c>
      <c r="F15" s="229">
        <f t="shared" si="4"/>
        <v>2.645695546906127</v>
      </c>
      <c r="G15" s="229">
        <f t="shared" si="4"/>
        <v>-0.12011224374849738</v>
      </c>
      <c r="H15" s="229">
        <f t="shared" si="4"/>
        <v>0.4958888823071943</v>
      </c>
      <c r="I15" s="229">
        <f t="shared" si="4"/>
        <v>-0.57574081501787056</v>
      </c>
      <c r="J15" s="229">
        <f t="shared" si="4"/>
        <v>2.2809085516946523</v>
      </c>
      <c r="K15" s="229">
        <f t="shared" si="4"/>
        <v>0.21574326097689456</v>
      </c>
      <c r="L15" s="222"/>
    </row>
    <row r="16" spans="1:13" x14ac:dyDescent="0.25">
      <c r="A16" s="218" t="s">
        <v>174</v>
      </c>
      <c r="B16" s="107">
        <f>B13/'Data Sheet'!B17</f>
        <v>0.22363791521966311</v>
      </c>
      <c r="C16" s="107">
        <f>C13/'Data Sheet'!C17</f>
        <v>0.2175737623517818</v>
      </c>
      <c r="D16" s="107">
        <f>D13/'Data Sheet'!D17</f>
        <v>0.13375244342466777</v>
      </c>
      <c r="E16" s="107">
        <f>E13/'Data Sheet'!E17</f>
        <v>5.6129328137326504E-2</v>
      </c>
      <c r="F16" s="107">
        <f>F13/'Data Sheet'!F17</f>
        <v>0.1811273696231443</v>
      </c>
      <c r="G16" s="107">
        <f>G13/'Data Sheet'!G17</f>
        <v>0.15622867418907438</v>
      </c>
      <c r="H16" s="107">
        <f>H13/'Data Sheet'!H17</f>
        <v>0.20252601961634992</v>
      </c>
      <c r="I16" s="107">
        <f>I13/'Data Sheet'!I17</f>
        <v>7.5681406782349053E-2</v>
      </c>
      <c r="J16" s="107">
        <f>J13/'Data Sheet'!J17</f>
        <v>0.22469459356638627</v>
      </c>
      <c r="K16" s="107">
        <f>K13/'Data Sheet'!K17</f>
        <v>0.25196506400722424</v>
      </c>
      <c r="L16" s="222"/>
    </row>
    <row r="17" spans="1:12" ht="13.8" thickBot="1" x14ac:dyDescent="0.3">
      <c r="A17" s="223" t="s">
        <v>175</v>
      </c>
      <c r="B17" s="224">
        <f>B13/'Data Sheet'!B30</f>
        <v>1.4014928361026109</v>
      </c>
      <c r="C17" s="224">
        <f>C13/'Data Sheet'!C30</f>
        <v>0.98654149621573817</v>
      </c>
      <c r="D17" s="224">
        <f>D13/'Data Sheet'!D30</f>
        <v>1.690618886290977</v>
      </c>
      <c r="E17" s="224">
        <f>E13/'Data Sheet'!E30</f>
        <v>0.61207989735201196</v>
      </c>
      <c r="F17" s="224">
        <f>F13/'Data Sheet'!F30</f>
        <v>1.5797823598313914</v>
      </c>
      <c r="G17" s="224">
        <f>G13/'Data Sheet'!G30</f>
        <v>1.8022363645129518</v>
      </c>
      <c r="H17" s="224">
        <f>H13/'Data Sheet'!H30</f>
        <v>2.3920518955123096</v>
      </c>
      <c r="I17" s="224">
        <f>I13/'Data Sheet'!I30</f>
        <v>0.3919630191725339</v>
      </c>
      <c r="J17" s="224">
        <f>J13/'Data Sheet'!J30</f>
        <v>1.1379017958769388</v>
      </c>
      <c r="K17" s="224">
        <f>K13/'Data Sheet'!K30</f>
        <v>1.2121769158132827</v>
      </c>
      <c r="L17" s="225"/>
    </row>
    <row r="19" spans="1:12" ht="105.6" x14ac:dyDescent="0.25">
      <c r="A19" s="195" t="s">
        <v>203</v>
      </c>
    </row>
  </sheetData>
  <mergeCells count="3">
    <mergeCell ref="B14:K14"/>
    <mergeCell ref="A1:L1"/>
    <mergeCell ref="A2:L2"/>
  </mergeCells>
  <printOptions gridLines="1"/>
  <pageMargins left="0.7" right="0.7" top="0.75" bottom="0.75" header="0.3" footer="0.3"/>
  <pageSetup paperSize="9" orientation="landscape" r:id="rId1"/>
  <extLst>
    <ext xmlns:x14="http://schemas.microsoft.com/office/spreadsheetml/2009/9/main" uri="{05C60535-1F16-4fd2-B633-F4F36F0B64E0}">
      <x14:sparklineGroups xmlns:xm="http://schemas.microsoft.com/office/excel/2006/main">
        <x14:sparklineGroup type="column" displayEmptyCellsAs="gap" xr2:uid="{31B158BE-32FD-443C-9A7A-34A49A256DB6}">
          <x14:colorSeries rgb="FFC00000"/>
          <x14:colorNegative rgb="FFD00000"/>
          <x14:colorAxis rgb="FF000000"/>
          <x14:colorMarkers rgb="FFD00000"/>
          <x14:colorFirst rgb="FFD00000"/>
          <x14:colorLast rgb="FFD00000"/>
          <x14:colorHigh rgb="FFD00000"/>
          <x14:colorLow rgb="FFD00000"/>
          <x14:sparklines>
            <x14:sparkline>
              <xm:f>'Cash Flow'!G13:K13</xm:f>
              <xm:sqref>M13</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F1102-9D3C-4691-94AD-A7621851C2C1}">
  <dimension ref="A1:L23"/>
  <sheetViews>
    <sheetView topLeftCell="A2" workbookViewId="0">
      <selection activeCell="A22" sqref="A22"/>
    </sheetView>
  </sheetViews>
  <sheetFormatPr defaultColWidth="8.77734375" defaultRowHeight="13.2" x14ac:dyDescent="0.25"/>
  <cols>
    <col min="1" max="1" width="24.44140625" style="7" bestFit="1" customWidth="1"/>
    <col min="2" max="2" width="6.6640625" style="7" bestFit="1" customWidth="1"/>
    <col min="3" max="3" width="7.21875" style="7" bestFit="1" customWidth="1"/>
    <col min="4" max="5" width="6.88671875" style="7" bestFit="1" customWidth="1"/>
    <col min="6" max="6" width="7.21875" style="7" bestFit="1" customWidth="1"/>
    <col min="7" max="7" width="6.88671875" style="7" bestFit="1" customWidth="1"/>
    <col min="8" max="8" width="6.6640625" style="7" bestFit="1" customWidth="1"/>
    <col min="9" max="9" width="7.21875" style="7" bestFit="1" customWidth="1"/>
    <col min="10" max="11" width="7.6640625" style="7" bestFit="1" customWidth="1"/>
    <col min="12" max="12" width="110.77734375" style="7" bestFit="1" customWidth="1"/>
    <col min="13" max="16384" width="8.77734375" style="7"/>
  </cols>
  <sheetData>
    <row r="1" spans="1:12" ht="19.2" x14ac:dyDescent="0.35">
      <c r="A1" s="507" t="s">
        <v>217</v>
      </c>
      <c r="B1" s="508"/>
      <c r="C1" s="508"/>
      <c r="D1" s="508"/>
      <c r="E1" s="508"/>
      <c r="F1" s="508"/>
      <c r="G1" s="508"/>
      <c r="H1" s="508"/>
      <c r="I1" s="508"/>
      <c r="J1" s="508"/>
      <c r="K1" s="509"/>
    </row>
    <row r="2" spans="1:12" x14ac:dyDescent="0.25">
      <c r="A2" s="510" t="str">
        <f>'Profit &amp; Loss'!A2:L2</f>
        <v>SUN PHARMACEUTICAL INDUSTRIES LTD</v>
      </c>
      <c r="B2" s="511"/>
      <c r="C2" s="511"/>
      <c r="D2" s="511"/>
      <c r="E2" s="511"/>
      <c r="F2" s="511"/>
      <c r="G2" s="511"/>
      <c r="H2" s="511"/>
      <c r="I2" s="511"/>
      <c r="J2" s="511"/>
      <c r="K2" s="512"/>
    </row>
    <row r="3" spans="1:12" x14ac:dyDescent="0.25">
      <c r="A3" s="236"/>
      <c r="B3" s="232">
        <f>'Profit &amp; Loss'!B3</f>
        <v>42460</v>
      </c>
      <c r="C3" s="232">
        <f>'Profit &amp; Loss'!C3</f>
        <v>42825</v>
      </c>
      <c r="D3" s="232">
        <f>'Profit &amp; Loss'!D3</f>
        <v>43190</v>
      </c>
      <c r="E3" s="232">
        <f>'Profit &amp; Loss'!E3</f>
        <v>43555</v>
      </c>
      <c r="F3" s="232">
        <f>'Profit &amp; Loss'!F3</f>
        <v>43921</v>
      </c>
      <c r="G3" s="232">
        <f>'Profit &amp; Loss'!G3</f>
        <v>44286</v>
      </c>
      <c r="H3" s="232">
        <f>'Profit &amp; Loss'!H3</f>
        <v>44651</v>
      </c>
      <c r="I3" s="232">
        <f>'Profit &amp; Loss'!I3</f>
        <v>45016</v>
      </c>
      <c r="J3" s="232">
        <f>'Profit &amp; Loss'!J3</f>
        <v>45382</v>
      </c>
      <c r="K3" s="237">
        <f>'Profit &amp; Loss'!K3</f>
        <v>45747</v>
      </c>
      <c r="L3" s="253" t="s">
        <v>251</v>
      </c>
    </row>
    <row r="4" spans="1:12" x14ac:dyDescent="0.25">
      <c r="A4" s="80" t="s">
        <v>17</v>
      </c>
      <c r="B4" s="233"/>
      <c r="C4" s="233">
        <f>'Profit &amp; Loss'!C5</f>
        <v>0.10851991239521985</v>
      </c>
      <c r="D4" s="233">
        <f>'Profit &amp; Loss'!D5</f>
        <v>-0.16115362253486876</v>
      </c>
      <c r="E4" s="233">
        <f>'Profit &amp; Loss'!E5</f>
        <v>9.7263213368637969E-2</v>
      </c>
      <c r="F4" s="233">
        <f>'Profit &amp; Loss'!F5</f>
        <v>0.12975991462163061</v>
      </c>
      <c r="G4" s="233">
        <f>'Profit &amp; Loss'!G5</f>
        <v>2.0118462124095959E-2</v>
      </c>
      <c r="H4" s="233">
        <f>'Profit &amp; Loss'!H5</f>
        <v>0.15392944205260339</v>
      </c>
      <c r="I4" s="233">
        <f>'Profit &amp; Loss'!I5</f>
        <v>0.1353320144697292</v>
      </c>
      <c r="J4" s="233">
        <f>'Profit &amp; Loss'!J5</f>
        <v>0.10507231516066295</v>
      </c>
      <c r="K4" s="238">
        <f>'Profit &amp; Loss'!K5</f>
        <v>8.4161961034582733E-2</v>
      </c>
      <c r="L4" s="7" t="s">
        <v>234</v>
      </c>
    </row>
    <row r="5" spans="1:12" x14ac:dyDescent="0.25">
      <c r="A5" s="80" t="s">
        <v>180</v>
      </c>
      <c r="B5" s="233"/>
      <c r="C5" s="233">
        <f>'Profit &amp; Loss'!C20</f>
        <v>0.37701712012394539</v>
      </c>
      <c r="D5" s="233">
        <f>'Profit &amp; Loss'!D20</f>
        <v>-0.61549182293733229</v>
      </c>
      <c r="E5" s="233">
        <f>'Profit &amp; Loss'!E20</f>
        <v>9.5206066145825829E-2</v>
      </c>
      <c r="F5" s="233">
        <f>'Profit &amp; Loss'!F20</f>
        <v>0.31478400083985081</v>
      </c>
      <c r="G5" s="233">
        <f>'Profit &amp; Loss'!G20</f>
        <v>-0.44119778265287235</v>
      </c>
      <c r="H5" s="233">
        <f>'Profit &amp; Loss'!H20</f>
        <v>0.60083161568495669</v>
      </c>
      <c r="I5" s="233">
        <f>'Profit &amp; Loss'!I20</f>
        <v>1.0994773861273033</v>
      </c>
      <c r="J5" s="233">
        <f>'Profit &amp; Loss'!J20</f>
        <v>0.17850587186172384</v>
      </c>
      <c r="K5" s="238">
        <f>'Profit &amp; Loss'!K20</f>
        <v>0.24028376904893611</v>
      </c>
      <c r="L5" s="7" t="s">
        <v>234</v>
      </c>
    </row>
    <row r="6" spans="1:12" x14ac:dyDescent="0.25">
      <c r="A6" s="80" t="s">
        <v>215</v>
      </c>
      <c r="B6" s="233"/>
      <c r="C6" s="233">
        <f>'Profit &amp; Loss'!C24</f>
        <v>0.38527380914500253</v>
      </c>
      <c r="D6" s="233">
        <f>'Profit &amp; Loss'!D24</f>
        <v>-0.67230197925041169</v>
      </c>
      <c r="E6" s="233">
        <f>'Profit &amp; Loss'!E24</f>
        <v>0.24976440259507826</v>
      </c>
      <c r="F6" s="233">
        <f>'Profit &amp; Loss'!F24</f>
        <v>0.30457230815250558</v>
      </c>
      <c r="G6" s="233">
        <f>'Profit &amp; Loss'!G24</f>
        <v>-0.45431225354030236</v>
      </c>
      <c r="H6" s="233">
        <f>'Profit &amp; Loss'!H24</f>
        <v>0.49072080116252481</v>
      </c>
      <c r="I6" s="233">
        <f>'Profit &amp; Loss'!I24</f>
        <v>1.5135914405341468</v>
      </c>
      <c r="J6" s="233">
        <f>'Profit &amp; Loss'!J24</f>
        <v>0.12704360787025548</v>
      </c>
      <c r="K6" s="238">
        <f>'Profit &amp; Loss'!K24</f>
        <v>0.13801816666735833</v>
      </c>
      <c r="L6" s="7" t="s">
        <v>234</v>
      </c>
    </row>
    <row r="7" spans="1:12" x14ac:dyDescent="0.25">
      <c r="A7" s="80" t="s">
        <v>229</v>
      </c>
      <c r="B7" s="233"/>
      <c r="C7" s="233">
        <f>'Data Sheet'!C31/'Data Sheet'!B31-1</f>
        <v>2.4894041386187982</v>
      </c>
      <c r="D7" s="233">
        <f>'Data Sheet'!D31/'Data Sheet'!C31-1</f>
        <v>-0.42857483090406778</v>
      </c>
      <c r="E7" s="233">
        <f>'Data Sheet'!E31/'Data Sheet'!D31-1</f>
        <v>0.37500520985287356</v>
      </c>
      <c r="F7" s="233">
        <f>'Data Sheet'!F31/'Data Sheet'!E31-1</f>
        <v>0.45453994331701564</v>
      </c>
      <c r="G7" s="233">
        <f>'Data Sheet'!G31/'Data Sheet'!F31-1</f>
        <v>0.87500520985287378</v>
      </c>
      <c r="H7" s="233">
        <f>'Data Sheet'!H31/'Data Sheet'!G31-1</f>
        <v>0.33332962855936166</v>
      </c>
      <c r="I7" s="233">
        <f>'Data Sheet'!I31/'Data Sheet'!H31-1</f>
        <v>0.15000208394114933</v>
      </c>
      <c r="J7" s="233">
        <f>'Data Sheet'!J31/'Data Sheet'!I31-1</f>
        <v>0.1739127283270514</v>
      </c>
      <c r="K7" s="238">
        <f>'Data Sheet'!K31/'Data Sheet'!J31-1</f>
        <v>0.18518335566491517</v>
      </c>
      <c r="L7" s="7" t="s">
        <v>235</v>
      </c>
    </row>
    <row r="8" spans="1:12" x14ac:dyDescent="0.25">
      <c r="A8" s="80" t="s">
        <v>221</v>
      </c>
      <c r="B8" s="233"/>
      <c r="C8" s="233">
        <f>'Cash Flow'!C5</f>
        <v>5.9281827618286931E-2</v>
      </c>
      <c r="D8" s="233">
        <f>'Cash Flow'!D5</f>
        <v>-0.44831486216872984</v>
      </c>
      <c r="E8" s="233">
        <f>'Cash Flow'!E5</f>
        <v>-0.43783832205059958</v>
      </c>
      <c r="F8" s="233">
        <f>'Cash Flow'!F5</f>
        <v>1.9842564137585654</v>
      </c>
      <c r="G8" s="233">
        <f>'Cash Flow'!G5</f>
        <v>-5.8644315513740497E-2</v>
      </c>
      <c r="H8" s="233">
        <f>'Cash Flow'!H5</f>
        <v>0.45607799856410569</v>
      </c>
      <c r="I8" s="233">
        <f>'Cash Flow'!I5</f>
        <v>-0.44801514601749237</v>
      </c>
      <c r="J8" s="233">
        <f>'Cash Flow'!J5</f>
        <v>1.4468990770930752</v>
      </c>
      <c r="K8" s="238">
        <f>'Cash Flow'!K5</f>
        <v>0.15963025897034866</v>
      </c>
      <c r="L8" s="7" t="s">
        <v>234</v>
      </c>
    </row>
    <row r="9" spans="1:12" x14ac:dyDescent="0.25">
      <c r="A9" s="80" t="s">
        <v>222</v>
      </c>
      <c r="B9" s="233"/>
      <c r="C9" s="233">
        <f>'Cash Flow'!C15</f>
        <v>7.8461350101557414E-2</v>
      </c>
      <c r="D9" s="233">
        <f>'Cash Flow'!D15</f>
        <v>-0.48432314893517925</v>
      </c>
      <c r="E9" s="233">
        <f>'Cash Flow'!E15</f>
        <v>-0.53953254700073106</v>
      </c>
      <c r="F9" s="233">
        <f>'Cash Flow'!F15</f>
        <v>2.645695546906127</v>
      </c>
      <c r="G9" s="233">
        <f>'Cash Flow'!G15</f>
        <v>-0.12011224374849738</v>
      </c>
      <c r="H9" s="233">
        <f>'Cash Flow'!H15</f>
        <v>0.4958888823071943</v>
      </c>
      <c r="I9" s="233">
        <f>'Cash Flow'!I15</f>
        <v>-0.57574081501787056</v>
      </c>
      <c r="J9" s="233">
        <f>'Cash Flow'!J15</f>
        <v>2.2809085516946523</v>
      </c>
      <c r="K9" s="238">
        <f>'Cash Flow'!K15</f>
        <v>0.21574326097689456</v>
      </c>
      <c r="L9" s="7" t="s">
        <v>234</v>
      </c>
    </row>
    <row r="10" spans="1:12" x14ac:dyDescent="0.25">
      <c r="A10" s="80"/>
      <c r="B10" s="12"/>
      <c r="C10" s="12"/>
      <c r="D10" s="12"/>
      <c r="E10" s="12"/>
      <c r="F10" s="12"/>
      <c r="G10" s="12"/>
      <c r="H10" s="12"/>
      <c r="I10" s="12"/>
      <c r="J10" s="12"/>
      <c r="K10" s="239"/>
    </row>
    <row r="11" spans="1:12" x14ac:dyDescent="0.25">
      <c r="A11" s="80" t="s">
        <v>214</v>
      </c>
      <c r="B11" s="234">
        <f>'Profit &amp; Loss'!B13</f>
        <v>0.28693408895205985</v>
      </c>
      <c r="C11" s="234">
        <f>'Profit &amp; Loss'!C13</f>
        <v>0.31990243976586547</v>
      </c>
      <c r="D11" s="234">
        <f>'Profit &amp; Loss'!D13</f>
        <v>0.21259097014435169</v>
      </c>
      <c r="E11" s="234">
        <f>'Profit &amp; Loss'!E13</f>
        <v>0.21939722513418652</v>
      </c>
      <c r="F11" s="234">
        <f>'Profit &amp; Loss'!F13</f>
        <v>0.21264834411876676</v>
      </c>
      <c r="G11" s="234">
        <f>'Profit &amp; Loss'!G13</f>
        <v>0.25284866562740499</v>
      </c>
      <c r="H11" s="234">
        <f>'Profit &amp; Loss'!H13</f>
        <v>0.26536555003053969</v>
      </c>
      <c r="I11" s="234">
        <f>'Profit &amp; Loss'!I13</f>
        <v>0.26547247302536953</v>
      </c>
      <c r="J11" s="234">
        <f>'Profit &amp; Loss'!J13</f>
        <v>0.26842506265870869</v>
      </c>
      <c r="K11" s="240">
        <f>'Profit &amp; Loss'!K13</f>
        <v>0.28746497613850858</v>
      </c>
      <c r="L11" s="7" t="s">
        <v>243</v>
      </c>
    </row>
    <row r="12" spans="1:12" x14ac:dyDescent="0.25">
      <c r="A12" s="80" t="s">
        <v>100</v>
      </c>
      <c r="B12" s="234">
        <f>'Profit &amp; Loss'!B21</f>
        <v>0.23065338857718753</v>
      </c>
      <c r="C12" s="234">
        <f>'Profit &amp; Loss'!C21</f>
        <v>0.28652048676248726</v>
      </c>
      <c r="D12" s="234">
        <f>'Profit &amp; Loss'!D21</f>
        <v>0.13133450059004595</v>
      </c>
      <c r="E12" s="234">
        <f>'Profit &amp; Loss'!E21</f>
        <v>0.13108827488972488</v>
      </c>
      <c r="F12" s="234">
        <f>'Profit &amp; Loss'!F21</f>
        <v>0.15255698515416838</v>
      </c>
      <c r="G12" s="234">
        <f>'Profit &amp; Loss'!G21</f>
        <v>8.356792347276594E-2</v>
      </c>
      <c r="H12" s="234">
        <f>'Profit &amp; Loss'!H21</f>
        <v>0.11593271570779995</v>
      </c>
      <c r="I12" s="234">
        <f>'Profit &amp; Loss'!I21</f>
        <v>0.21438496566533771</v>
      </c>
      <c r="J12" s="234">
        <f>'Profit &amp; Loss'!J21</f>
        <v>0.22863113789864697</v>
      </c>
      <c r="K12" s="240">
        <f>'Profit &amp; Loss'!K21</f>
        <v>0.26155454593175459</v>
      </c>
      <c r="L12" s="7" t="s">
        <v>243</v>
      </c>
    </row>
    <row r="13" spans="1:12" x14ac:dyDescent="0.25">
      <c r="A13" s="80" t="s">
        <v>216</v>
      </c>
      <c r="B13" s="234">
        <f>'Profit &amp; Loss'!B25</f>
        <v>0.19857668560042935</v>
      </c>
      <c r="C13" s="234">
        <f>'Profit &amp; Loss'!C25</f>
        <v>0.24815348699935771</v>
      </c>
      <c r="D13" s="234">
        <f>'Profit &amp; Loss'!D25</f>
        <v>9.6941953516606158E-2</v>
      </c>
      <c r="E13" s="234">
        <f>'Profit &amp; Loss'!E25</f>
        <v>0.11041525966329639</v>
      </c>
      <c r="F13" s="234">
        <f>'Profit &amp; Loss'!F25</f>
        <v>0.12750026646364684</v>
      </c>
      <c r="G13" s="234">
        <f>'Profit &amp; Loss'!G25</f>
        <v>6.820318978904498E-2</v>
      </c>
      <c r="H13" s="234">
        <f>'Profit &amp; Loss'!H25</f>
        <v>8.8109298557554283E-2</v>
      </c>
      <c r="I13" s="234">
        <f>'Profit &amp; Loss'!I25</f>
        <v>0.19507137635784608</v>
      </c>
      <c r="J13" s="234">
        <f>'Profit &amp; Loss'!J25</f>
        <v>0.19894982870021449</v>
      </c>
      <c r="K13" s="240">
        <f>'Profit &amp; Loss'!K25</f>
        <v>0.20883274589356404</v>
      </c>
      <c r="L13" s="7" t="s">
        <v>243</v>
      </c>
    </row>
    <row r="14" spans="1:12" x14ac:dyDescent="0.25">
      <c r="A14" s="80"/>
      <c r="B14" s="12"/>
      <c r="C14" s="12"/>
      <c r="D14" s="12"/>
      <c r="E14" s="12"/>
      <c r="F14" s="12"/>
      <c r="G14" s="12"/>
      <c r="H14" s="12"/>
      <c r="I14" s="12"/>
      <c r="J14" s="12"/>
      <c r="K14" s="239"/>
    </row>
    <row r="15" spans="1:12" x14ac:dyDescent="0.25">
      <c r="A15" s="80" t="str">
        <f>'Balance Sheet'!A22</f>
        <v>Debtor Days</v>
      </c>
      <c r="B15" s="235">
        <f>'Balance Sheet'!B22</f>
        <v>86.815505161471719</v>
      </c>
      <c r="C15" s="235">
        <f>'Balance Sheet'!C22</f>
        <v>83.251504824177516</v>
      </c>
      <c r="D15" s="235">
        <f>'Balance Sheet'!D22</f>
        <v>107.68725372280144</v>
      </c>
      <c r="E15" s="235">
        <f>'Balance Sheet'!E22</f>
        <v>111.5648194052758</v>
      </c>
      <c r="F15" s="235">
        <f>'Balance Sheet'!F22</f>
        <v>104.72029234868671</v>
      </c>
      <c r="G15" s="235">
        <f>'Balance Sheet'!G22</f>
        <v>98.734168523983726</v>
      </c>
      <c r="H15" s="235">
        <f>'Balance Sheet'!H22</f>
        <v>99.002091348249579</v>
      </c>
      <c r="I15" s="235">
        <f>'Balance Sheet'!I22</f>
        <v>95.134817325378123</v>
      </c>
      <c r="J15" s="235">
        <f>'Balance Sheet'!J22</f>
        <v>84.665706123181209</v>
      </c>
      <c r="K15" s="241">
        <f>'Balance Sheet'!K22</f>
        <v>90.56621212040524</v>
      </c>
      <c r="L15" s="7" t="s">
        <v>245</v>
      </c>
    </row>
    <row r="16" spans="1:12" x14ac:dyDescent="0.25">
      <c r="A16" s="80" t="str">
        <f>'Balance Sheet'!A23</f>
        <v>Inventory Turnover</v>
      </c>
      <c r="B16" s="235">
        <f>'Balance Sheet'!B23</f>
        <v>4.4354772410915304</v>
      </c>
      <c r="C16" s="235">
        <f>'Balance Sheet'!C23</f>
        <v>4.6215890680408203</v>
      </c>
      <c r="D16" s="235">
        <f>'Balance Sheet'!D23</f>
        <v>3.8498261075560736</v>
      </c>
      <c r="E16" s="235">
        <f>'Balance Sheet'!E23</f>
        <v>3.6857701896276684</v>
      </c>
      <c r="F16" s="235">
        <f>'Balance Sheet'!F23</f>
        <v>4.1698465648845273</v>
      </c>
      <c r="G16" s="235">
        <f>'Balance Sheet'!G23</f>
        <v>3.723248364458454</v>
      </c>
      <c r="H16" s="235">
        <f>'Balance Sheet'!H23</f>
        <v>4.3309722099285954</v>
      </c>
      <c r="I16" s="235">
        <f>'Balance Sheet'!I23</f>
        <v>4.1744003880890892</v>
      </c>
      <c r="J16" s="235">
        <f>'Balance Sheet'!J23</f>
        <v>4.9144127300677214</v>
      </c>
      <c r="K16" s="241">
        <f>'Balance Sheet'!K23</f>
        <v>5.1329440718984944</v>
      </c>
      <c r="L16" s="7" t="s">
        <v>244</v>
      </c>
    </row>
    <row r="17" spans="1:12" x14ac:dyDescent="0.25">
      <c r="A17" s="80" t="str">
        <f>'Balance Sheet'!A24</f>
        <v>Fixed Asset Turnover</v>
      </c>
      <c r="B17" s="235">
        <f>'Balance Sheet'!B24</f>
        <v>1.794769487627778</v>
      </c>
      <c r="C17" s="235">
        <f>'Balance Sheet'!C24</f>
        <v>1.7865989407739784</v>
      </c>
      <c r="D17" s="235">
        <f>'Balance Sheet'!D24</f>
        <v>1.4050788615924019</v>
      </c>
      <c r="E17" s="235">
        <f>'Balance Sheet'!E24</f>
        <v>1.3310675592378645</v>
      </c>
      <c r="F17" s="235">
        <f>'Balance Sheet'!F24</f>
        <v>1.4372840791161694</v>
      </c>
      <c r="G17" s="235">
        <f>'Balance Sheet'!G24</f>
        <v>1.5542231283098671</v>
      </c>
      <c r="H17" s="235">
        <f>'Balance Sheet'!H24</f>
        <v>1.7054585098891866</v>
      </c>
      <c r="I17" s="235">
        <f>'Balance Sheet'!I24</f>
        <v>1.8235976570550965</v>
      </c>
      <c r="J17" s="235">
        <f>'Balance Sheet'!J24</f>
        <v>2.0860520084393812</v>
      </c>
      <c r="K17" s="241">
        <f>'Balance Sheet'!K24</f>
        <v>2.3278928623925679</v>
      </c>
      <c r="L17" s="7" t="s">
        <v>244</v>
      </c>
    </row>
    <row r="18" spans="1:12" x14ac:dyDescent="0.25">
      <c r="A18" s="80" t="s">
        <v>98</v>
      </c>
      <c r="B18" s="235">
        <f>'Balance Sheet'!B25</f>
        <v>0.25761434555557977</v>
      </c>
      <c r="C18" s="235">
        <f>'Balance Sheet'!C25</f>
        <v>0.26833675084955733</v>
      </c>
      <c r="D18" s="235">
        <f>'Balance Sheet'!D25</f>
        <v>0.27105601565585108</v>
      </c>
      <c r="E18" s="235">
        <f>'Balance Sheet'!E25</f>
        <v>0.25391448151684681</v>
      </c>
      <c r="F18" s="235">
        <f>'Balance Sheet'!F25</f>
        <v>0.18369559334091101</v>
      </c>
      <c r="G18" s="235">
        <f>'Balance Sheet'!G25</f>
        <v>8.3261914160108377E-2</v>
      </c>
      <c r="H18" s="235">
        <f>'Balance Sheet'!H25</f>
        <v>2.6874967976235554E-2</v>
      </c>
      <c r="I18" s="235">
        <f>'Balance Sheet'!I25</f>
        <v>0.12297210948474678</v>
      </c>
      <c r="J18" s="235">
        <f>'Balance Sheet'!J25</f>
        <v>5.1418833221422489E-2</v>
      </c>
      <c r="K18" s="241">
        <f>'Balance Sheet'!K25</f>
        <v>3.270914932311908E-2</v>
      </c>
      <c r="L18" s="7" t="s">
        <v>246</v>
      </c>
    </row>
    <row r="19" spans="1:12" x14ac:dyDescent="0.25">
      <c r="A19" s="80" t="s">
        <v>224</v>
      </c>
      <c r="B19" s="233">
        <f>'Balance Sheet'!B6/'Balance Sheet'!B14</f>
        <v>0.15329502503270037</v>
      </c>
      <c r="C19" s="233">
        <f>'Balance Sheet'!C6/'Balance Sheet'!C14</f>
        <v>0.16092474971540435</v>
      </c>
      <c r="D19" s="233">
        <f>'Balance Sheet'!D6/'Balance Sheet'!D14</f>
        <v>0.1615193089486214</v>
      </c>
      <c r="E19" s="233">
        <f>'Balance Sheet'!E6/'Balance Sheet'!E14</f>
        <v>0.16278737436237731</v>
      </c>
      <c r="F19" s="233">
        <f>'Balance Sheet'!F6/'Balance Sheet'!F14</f>
        <v>0.12192921639221563</v>
      </c>
      <c r="G19" s="233">
        <f>'Balance Sheet'!G6/'Balance Sheet'!G14</f>
        <v>5.7208710391347693E-2</v>
      </c>
      <c r="H19" s="233">
        <f>'Balance Sheet'!H6/'Balance Sheet'!H14</f>
        <v>1.8492055495944085E-2</v>
      </c>
      <c r="I19" s="233">
        <f>'Balance Sheet'!I6/'Balance Sheet'!I14</f>
        <v>8.5314185392736386E-2</v>
      </c>
      <c r="J19" s="233">
        <f>'Balance Sheet'!J6/'Balance Sheet'!J14</f>
        <v>3.8365812591653906E-2</v>
      </c>
      <c r="K19" s="238">
        <f>'Balance Sheet'!K6/'Balance Sheet'!K14</f>
        <v>2.5701640790467526E-2</v>
      </c>
      <c r="L19" s="7" t="s">
        <v>247</v>
      </c>
    </row>
    <row r="20" spans="1:12" x14ac:dyDescent="0.25">
      <c r="A20" s="80" t="s">
        <v>219</v>
      </c>
      <c r="B20" s="235">
        <f>'Profit &amp; Loss'!B18</f>
        <v>13.557583518079653</v>
      </c>
      <c r="C20" s="235">
        <f>'Profit &amp; Loss'!C18</f>
        <v>23.630990495247616</v>
      </c>
      <c r="D20" s="235">
        <f>'Profit &amp; Loss'!D18</f>
        <v>7.7217574434375988</v>
      </c>
      <c r="E20" s="235">
        <f>'Profit &amp; Loss'!E18</f>
        <v>7.8621341737955941</v>
      </c>
      <c r="F20" s="235">
        <f>'Profit &amp; Loss'!F18</f>
        <v>17.548046113698685</v>
      </c>
      <c r="G20" s="235">
        <f>'Profit &amp; Loss'!G18</f>
        <v>20.793325319946256</v>
      </c>
      <c r="H20" s="235">
        <f>'Profit &amp; Loss'!H18</f>
        <v>36.189006674519014</v>
      </c>
      <c r="I20" s="235">
        <f>'Profit &amp; Loss'!I18</f>
        <v>55.700174418604639</v>
      </c>
      <c r="J20" s="235">
        <f>'Profit &amp; Loss'!J18</f>
        <v>47.49595336939656</v>
      </c>
      <c r="K20" s="241">
        <f>'Profit &amp; Loss'!K18</f>
        <v>60.440395919778716</v>
      </c>
      <c r="L20" s="7" t="s">
        <v>248</v>
      </c>
    </row>
    <row r="21" spans="1:12" x14ac:dyDescent="0.25">
      <c r="A21" s="80" t="str">
        <f>'Balance Sheet'!A26</f>
        <v>Return on Equity</v>
      </c>
      <c r="B21" s="233">
        <f>'Balance Sheet'!B26</f>
        <v>0.17151105677923548</v>
      </c>
      <c r="C21" s="233">
        <f>'Balance Sheet'!C26</f>
        <v>0.21387474286749847</v>
      </c>
      <c r="D21" s="233">
        <f>'Balance Sheet'!D26</f>
        <v>6.7023349883371899E-2</v>
      </c>
      <c r="E21" s="233">
        <f>'Balance Sheet'!E26</f>
        <v>7.7502845995538264E-2</v>
      </c>
      <c r="F21" s="233">
        <f>'Balance Sheet'!F26</f>
        <v>9.2496208393120963E-2</v>
      </c>
      <c r="G21" s="233">
        <f>'Balance Sheet'!G26</f>
        <v>4.9172262184914453E-2</v>
      </c>
      <c r="H21" s="233">
        <f>'Balance Sheet'!H26</f>
        <v>7.0938001575464982E-2</v>
      </c>
      <c r="I21" s="233">
        <f>'Balance Sheet'!I26</f>
        <v>0.15288475584950043</v>
      </c>
      <c r="J21" s="233">
        <f>'Balance Sheet'!J26</f>
        <v>0.15154597965185904</v>
      </c>
      <c r="K21" s="238">
        <f>'Balance Sheet'!K26</f>
        <v>0.15204100029327869</v>
      </c>
      <c r="L21" s="7" t="s">
        <v>249</v>
      </c>
    </row>
    <row r="22" spans="1:12" x14ac:dyDescent="0.25">
      <c r="A22" s="80" t="str">
        <f>'Balance Sheet'!A27</f>
        <v>Return on Capital Employed</v>
      </c>
      <c r="B22" s="233">
        <f>'Balance Sheet'!B27</f>
        <v>0.1710221788055904</v>
      </c>
      <c r="C22" s="233">
        <f>'Balance Sheet'!C27</f>
        <v>0.20330056482002701</v>
      </c>
      <c r="D22" s="233">
        <f>'Balance Sheet'!D27</f>
        <v>8.2065726504115616E-2</v>
      </c>
      <c r="E22" s="233">
        <f>'Balance Sheet'!E27</f>
        <v>8.4074777817023674E-2</v>
      </c>
      <c r="F22" s="233">
        <f>'Balance Sheet'!F27</f>
        <v>9.9148682896930657E-2</v>
      </c>
      <c r="G22" s="233">
        <f>'Balance Sheet'!G27</f>
        <v>5.8428780783988339E-2</v>
      </c>
      <c r="H22" s="233">
        <f>'Balance Sheet'!H27</f>
        <v>9.3479267982001291E-2</v>
      </c>
      <c r="I22" s="233">
        <f>'Balance Sheet'!I27</f>
        <v>0.15235749925454722</v>
      </c>
      <c r="J22" s="233">
        <f>'Balance Sheet'!J27</f>
        <v>0.16920061152887891</v>
      </c>
      <c r="K22" s="238">
        <f>'Balance Sheet'!K27</f>
        <v>0.18749598586541935</v>
      </c>
      <c r="L22" s="7" t="s">
        <v>249</v>
      </c>
    </row>
    <row r="23" spans="1:12" ht="13.8" thickBot="1" x14ac:dyDescent="0.3">
      <c r="A23" s="242" t="s">
        <v>218</v>
      </c>
      <c r="B23" s="243">
        <f>'Cash Flow'!B13</f>
        <v>6370.78</v>
      </c>
      <c r="C23" s="243">
        <f>'Cash Flow'!C13</f>
        <v>6870.64</v>
      </c>
      <c r="D23" s="243">
        <f>'Cash Flow'!D13</f>
        <v>3543.03</v>
      </c>
      <c r="E23" s="243">
        <f>'Cash Flow'!E13</f>
        <v>1631.4499999999998</v>
      </c>
      <c r="F23" s="243">
        <f>'Cash Flow'!F13</f>
        <v>5947.77</v>
      </c>
      <c r="G23" s="243">
        <f>'Cash Flow'!G13</f>
        <v>5233.37</v>
      </c>
      <c r="H23" s="243">
        <f>'Cash Flow'!H13</f>
        <v>7828.5400000000009</v>
      </c>
      <c r="I23" s="243">
        <f>'Cash Flow'!I13</f>
        <v>3321.33</v>
      </c>
      <c r="J23" s="243">
        <f>'Cash Flow'!J13</f>
        <v>10896.98</v>
      </c>
      <c r="K23" s="244">
        <f>'Cash Flow'!K13</f>
        <v>13247.93</v>
      </c>
      <c r="L23" s="7" t="s">
        <v>250</v>
      </c>
    </row>
  </sheetData>
  <mergeCells count="2">
    <mergeCell ref="A1:K1"/>
    <mergeCell ref="A2: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2CD1-85F9-460E-836A-2AEA757F9EF8}">
  <dimension ref="A2:T79"/>
  <sheetViews>
    <sheetView workbookViewId="0"/>
  </sheetViews>
  <sheetFormatPr defaultRowHeight="14.4" x14ac:dyDescent="0.3"/>
  <cols>
    <col min="1" max="1" width="16" customWidth="1"/>
    <col min="2" max="11" width="7.88671875" bestFit="1" customWidth="1"/>
  </cols>
  <sheetData>
    <row r="2" spans="18:20" ht="15" thickBot="1" x14ac:dyDescent="0.35"/>
    <row r="3" spans="18:20" x14ac:dyDescent="0.3">
      <c r="R3" s="513" t="s">
        <v>236</v>
      </c>
      <c r="S3" s="514"/>
      <c r="T3" s="515"/>
    </row>
    <row r="4" spans="18:20" x14ac:dyDescent="0.3">
      <c r="R4" s="516"/>
      <c r="S4" s="517"/>
      <c r="T4" s="518"/>
    </row>
    <row r="5" spans="18:20" x14ac:dyDescent="0.3">
      <c r="R5" s="516"/>
      <c r="S5" s="517"/>
      <c r="T5" s="518"/>
    </row>
    <row r="6" spans="18:20" x14ac:dyDescent="0.3">
      <c r="R6" s="516"/>
      <c r="S6" s="517"/>
      <c r="T6" s="518"/>
    </row>
    <row r="7" spans="18:20" x14ac:dyDescent="0.3">
      <c r="R7" s="516"/>
      <c r="S7" s="517"/>
      <c r="T7" s="518"/>
    </row>
    <row r="8" spans="18:20" x14ac:dyDescent="0.3">
      <c r="R8" s="516"/>
      <c r="S8" s="517"/>
      <c r="T8" s="518"/>
    </row>
    <row r="9" spans="18:20" x14ac:dyDescent="0.3">
      <c r="R9" s="516"/>
      <c r="S9" s="517"/>
      <c r="T9" s="518"/>
    </row>
    <row r="10" spans="18:20" ht="15" thickBot="1" x14ac:dyDescent="0.35">
      <c r="R10" s="519"/>
      <c r="S10" s="520"/>
      <c r="T10" s="521"/>
    </row>
    <row r="47" spans="1:13" x14ac:dyDescent="0.3">
      <c r="A47" s="245"/>
      <c r="B47" s="245"/>
      <c r="C47" s="245"/>
      <c r="D47" s="245"/>
      <c r="E47" s="245"/>
      <c r="F47" s="245"/>
      <c r="G47" s="245"/>
      <c r="H47" s="245"/>
      <c r="I47" s="245"/>
      <c r="J47" s="245"/>
      <c r="K47" s="245"/>
      <c r="L47" s="245"/>
      <c r="M47" s="245"/>
    </row>
    <row r="48" spans="1:13" x14ac:dyDescent="0.3">
      <c r="A48" s="246" t="s">
        <v>240</v>
      </c>
      <c r="B48" s="245"/>
      <c r="C48" s="245"/>
      <c r="D48" s="245"/>
      <c r="E48" s="245"/>
      <c r="F48" s="245"/>
      <c r="G48" s="245"/>
      <c r="H48" s="245"/>
      <c r="I48" s="245"/>
      <c r="J48" s="245"/>
      <c r="K48" s="245"/>
      <c r="L48" s="245"/>
      <c r="M48" s="245"/>
    </row>
    <row r="49" spans="1:13" x14ac:dyDescent="0.3">
      <c r="A49" s="246" t="s">
        <v>225</v>
      </c>
      <c r="B49" s="247"/>
      <c r="C49" s="247"/>
      <c r="D49" s="247"/>
      <c r="E49" s="247"/>
      <c r="F49" s="247"/>
      <c r="G49" s="247"/>
      <c r="H49" s="247"/>
      <c r="I49" s="247"/>
      <c r="J49" s="247"/>
      <c r="K49" s="247"/>
      <c r="L49" s="245"/>
      <c r="M49" s="245"/>
    </row>
    <row r="50" spans="1:13" x14ac:dyDescent="0.3">
      <c r="A50" s="245"/>
      <c r="B50" s="248">
        <f>'Key Ratios'!B3</f>
        <v>42460</v>
      </c>
      <c r="C50" s="248">
        <f>'Key Ratios'!C3</f>
        <v>42825</v>
      </c>
      <c r="D50" s="248">
        <f>'Key Ratios'!D3</f>
        <v>43190</v>
      </c>
      <c r="E50" s="248">
        <f>'Key Ratios'!E3</f>
        <v>43555</v>
      </c>
      <c r="F50" s="248">
        <f>'Key Ratios'!F3</f>
        <v>43921</v>
      </c>
      <c r="G50" s="248">
        <f>'Key Ratios'!G3</f>
        <v>44286</v>
      </c>
      <c r="H50" s="248">
        <f>'Key Ratios'!H3</f>
        <v>44651</v>
      </c>
      <c r="I50" s="248">
        <f>'Key Ratios'!I3</f>
        <v>45016</v>
      </c>
      <c r="J50" s="248">
        <f>'Key Ratios'!J3</f>
        <v>45382</v>
      </c>
      <c r="K50" s="248">
        <f>'Key Ratios'!K3</f>
        <v>45747</v>
      </c>
      <c r="L50" s="245"/>
      <c r="M50" s="245"/>
    </row>
    <row r="51" spans="1:13" x14ac:dyDescent="0.3">
      <c r="A51" s="245" t="str">
        <f>'Key Ratios'!A11</f>
        <v>Operating Margin</v>
      </c>
      <c r="B51" s="249">
        <f>'Key Ratios'!B11</f>
        <v>0.28693408895205985</v>
      </c>
      <c r="C51" s="249">
        <f>'Key Ratios'!C11</f>
        <v>0.31990243976586547</v>
      </c>
      <c r="D51" s="249">
        <f>'Key Ratios'!D11</f>
        <v>0.21259097014435169</v>
      </c>
      <c r="E51" s="249">
        <f>'Key Ratios'!E11</f>
        <v>0.21939722513418652</v>
      </c>
      <c r="F51" s="249">
        <f>'Key Ratios'!F11</f>
        <v>0.21264834411876676</v>
      </c>
      <c r="G51" s="249">
        <f>'Key Ratios'!G11</f>
        <v>0.25284866562740499</v>
      </c>
      <c r="H51" s="249">
        <f>'Key Ratios'!H11</f>
        <v>0.26536555003053969</v>
      </c>
      <c r="I51" s="249">
        <f>'Key Ratios'!I11</f>
        <v>0.26547247302536953</v>
      </c>
      <c r="J51" s="249">
        <f>'Key Ratios'!J11</f>
        <v>0.26842506265870869</v>
      </c>
      <c r="K51" s="249">
        <f>'Key Ratios'!K11</f>
        <v>0.28746497613850858</v>
      </c>
      <c r="L51" s="245"/>
      <c r="M51" s="245"/>
    </row>
    <row r="52" spans="1:13" x14ac:dyDescent="0.3">
      <c r="A52" s="245" t="str">
        <f>'Key Ratios'!A12</f>
        <v>PBT Margin</v>
      </c>
      <c r="B52" s="249">
        <f>'Key Ratios'!B12</f>
        <v>0.23065338857718753</v>
      </c>
      <c r="C52" s="249">
        <f>'Key Ratios'!C12</f>
        <v>0.28652048676248726</v>
      </c>
      <c r="D52" s="249">
        <f>'Key Ratios'!D12</f>
        <v>0.13133450059004595</v>
      </c>
      <c r="E52" s="249">
        <f>'Key Ratios'!E12</f>
        <v>0.13108827488972488</v>
      </c>
      <c r="F52" s="249">
        <f>'Key Ratios'!F12</f>
        <v>0.15255698515416838</v>
      </c>
      <c r="G52" s="249">
        <f>'Key Ratios'!G12</f>
        <v>8.356792347276594E-2</v>
      </c>
      <c r="H52" s="249">
        <f>'Key Ratios'!H12</f>
        <v>0.11593271570779995</v>
      </c>
      <c r="I52" s="249">
        <f>'Key Ratios'!I12</f>
        <v>0.21438496566533771</v>
      </c>
      <c r="J52" s="249">
        <f>'Key Ratios'!J12</f>
        <v>0.22863113789864697</v>
      </c>
      <c r="K52" s="249">
        <f>'Key Ratios'!K12</f>
        <v>0.26155454593175459</v>
      </c>
      <c r="L52" s="245"/>
      <c r="M52" s="245"/>
    </row>
    <row r="53" spans="1:13" x14ac:dyDescent="0.3">
      <c r="A53" s="245" t="str">
        <f>'Key Ratios'!A13</f>
        <v>Net Margin</v>
      </c>
      <c r="B53" s="249">
        <f>'Key Ratios'!B13</f>
        <v>0.19857668560042935</v>
      </c>
      <c r="C53" s="249">
        <f>'Key Ratios'!C13</f>
        <v>0.24815348699935771</v>
      </c>
      <c r="D53" s="249">
        <f>'Key Ratios'!D13</f>
        <v>9.6941953516606158E-2</v>
      </c>
      <c r="E53" s="249">
        <f>'Key Ratios'!E13</f>
        <v>0.11041525966329639</v>
      </c>
      <c r="F53" s="249">
        <f>'Key Ratios'!F13</f>
        <v>0.12750026646364684</v>
      </c>
      <c r="G53" s="249">
        <f>'Key Ratios'!G13</f>
        <v>6.820318978904498E-2</v>
      </c>
      <c r="H53" s="249">
        <f>'Key Ratios'!H13</f>
        <v>8.8109298557554283E-2</v>
      </c>
      <c r="I53" s="249">
        <f>'Key Ratios'!I13</f>
        <v>0.19507137635784608</v>
      </c>
      <c r="J53" s="249">
        <f>'Key Ratios'!J13</f>
        <v>0.19894982870021449</v>
      </c>
      <c r="K53" s="249">
        <f>'Key Ratios'!K13</f>
        <v>0.20883274589356404</v>
      </c>
      <c r="L53" s="245"/>
      <c r="M53" s="245"/>
    </row>
    <row r="54" spans="1:13" x14ac:dyDescent="0.3">
      <c r="A54" s="245"/>
      <c r="B54" s="245"/>
      <c r="C54" s="245"/>
      <c r="D54" s="245"/>
      <c r="E54" s="245"/>
      <c r="F54" s="245"/>
      <c r="G54" s="245"/>
      <c r="H54" s="245"/>
      <c r="I54" s="245"/>
      <c r="J54" s="245"/>
      <c r="K54" s="245"/>
      <c r="L54" s="245"/>
      <c r="M54" s="245"/>
    </row>
    <row r="55" spans="1:13" x14ac:dyDescent="0.3">
      <c r="A55" s="246" t="s">
        <v>226</v>
      </c>
      <c r="B55" s="245"/>
      <c r="C55" s="245"/>
      <c r="D55" s="245"/>
      <c r="E55" s="245"/>
      <c r="F55" s="245"/>
      <c r="G55" s="245"/>
      <c r="H55" s="245"/>
      <c r="I55" s="245"/>
      <c r="J55" s="245"/>
      <c r="K55" s="245"/>
      <c r="L55" s="245"/>
      <c r="M55" s="245"/>
    </row>
    <row r="56" spans="1:13" x14ac:dyDescent="0.3">
      <c r="A56" s="245"/>
      <c r="B56" s="248">
        <f>B50</f>
        <v>42460</v>
      </c>
      <c r="C56" s="248">
        <f t="shared" ref="C56:K56" si="0">C50</f>
        <v>42825</v>
      </c>
      <c r="D56" s="248">
        <f t="shared" si="0"/>
        <v>43190</v>
      </c>
      <c r="E56" s="248">
        <f t="shared" si="0"/>
        <v>43555</v>
      </c>
      <c r="F56" s="248">
        <f t="shared" si="0"/>
        <v>43921</v>
      </c>
      <c r="G56" s="248">
        <f t="shared" si="0"/>
        <v>44286</v>
      </c>
      <c r="H56" s="248">
        <f t="shared" si="0"/>
        <v>44651</v>
      </c>
      <c r="I56" s="248">
        <f t="shared" si="0"/>
        <v>45016</v>
      </c>
      <c r="J56" s="248">
        <f t="shared" si="0"/>
        <v>45382</v>
      </c>
      <c r="K56" s="248">
        <f t="shared" si="0"/>
        <v>45747</v>
      </c>
      <c r="L56" s="245"/>
      <c r="M56" s="245"/>
    </row>
    <row r="57" spans="1:13" x14ac:dyDescent="0.3">
      <c r="A57" s="245" t="s">
        <v>227</v>
      </c>
      <c r="B57" s="249">
        <f>'Key Ratios'!B21</f>
        <v>0.17151105677923548</v>
      </c>
      <c r="C57" s="249">
        <f>'Key Ratios'!C21</f>
        <v>0.21387474286749847</v>
      </c>
      <c r="D57" s="249">
        <f>'Key Ratios'!D21</f>
        <v>6.7023349883371899E-2</v>
      </c>
      <c r="E57" s="249">
        <f>'Key Ratios'!E21</f>
        <v>7.7502845995538264E-2</v>
      </c>
      <c r="F57" s="249">
        <f>'Key Ratios'!F21</f>
        <v>9.2496208393120963E-2</v>
      </c>
      <c r="G57" s="249">
        <f>'Key Ratios'!G21</f>
        <v>4.9172262184914453E-2</v>
      </c>
      <c r="H57" s="249">
        <f>'Key Ratios'!H21</f>
        <v>7.0938001575464982E-2</v>
      </c>
      <c r="I57" s="249">
        <f>'Key Ratios'!I21</f>
        <v>0.15288475584950043</v>
      </c>
      <c r="J57" s="249">
        <f>'Key Ratios'!J21</f>
        <v>0.15154597965185904</v>
      </c>
      <c r="K57" s="249">
        <f>'Key Ratios'!K21</f>
        <v>0.15204100029327869</v>
      </c>
      <c r="L57" s="245"/>
      <c r="M57" s="245"/>
    </row>
    <row r="58" spans="1:13" x14ac:dyDescent="0.3">
      <c r="A58" s="245" t="s">
        <v>228</v>
      </c>
      <c r="B58" s="249">
        <f>'Key Ratios'!B22</f>
        <v>0.1710221788055904</v>
      </c>
      <c r="C58" s="249">
        <f>'Key Ratios'!C22</f>
        <v>0.20330056482002701</v>
      </c>
      <c r="D58" s="249">
        <f>'Key Ratios'!D22</f>
        <v>8.2065726504115616E-2</v>
      </c>
      <c r="E58" s="249">
        <f>'Key Ratios'!E22</f>
        <v>8.4074777817023674E-2</v>
      </c>
      <c r="F58" s="249">
        <f>'Key Ratios'!F22</f>
        <v>9.9148682896930657E-2</v>
      </c>
      <c r="G58" s="249">
        <f>'Key Ratios'!G22</f>
        <v>5.8428780783988339E-2</v>
      </c>
      <c r="H58" s="249">
        <f>'Key Ratios'!H22</f>
        <v>9.3479267982001291E-2</v>
      </c>
      <c r="I58" s="249">
        <f>'Key Ratios'!I22</f>
        <v>0.15235749925454722</v>
      </c>
      <c r="J58" s="249">
        <f>'Key Ratios'!J22</f>
        <v>0.16920061152887891</v>
      </c>
      <c r="K58" s="249">
        <f>'Key Ratios'!K22</f>
        <v>0.18749598586541935</v>
      </c>
      <c r="L58" s="245"/>
      <c r="M58" s="245"/>
    </row>
    <row r="59" spans="1:13" x14ac:dyDescent="0.3">
      <c r="A59" s="245"/>
      <c r="B59" s="245"/>
      <c r="C59" s="245"/>
      <c r="D59" s="245"/>
      <c r="E59" s="245"/>
      <c r="F59" s="245"/>
      <c r="G59" s="245"/>
      <c r="H59" s="245"/>
      <c r="I59" s="245"/>
      <c r="J59" s="245"/>
      <c r="K59" s="245"/>
      <c r="L59" s="245"/>
      <c r="M59" s="245"/>
    </row>
    <row r="60" spans="1:13" x14ac:dyDescent="0.3">
      <c r="A60" s="246" t="s">
        <v>230</v>
      </c>
      <c r="B60" s="245"/>
      <c r="C60" s="245"/>
      <c r="D60" s="245"/>
      <c r="E60" s="245"/>
      <c r="F60" s="245"/>
      <c r="G60" s="245"/>
      <c r="H60" s="245"/>
      <c r="I60" s="245"/>
      <c r="J60" s="245"/>
      <c r="K60" s="245"/>
      <c r="L60" s="245"/>
      <c r="M60" s="245"/>
    </row>
    <row r="61" spans="1:13" x14ac:dyDescent="0.3">
      <c r="A61" s="245"/>
      <c r="B61" s="248">
        <f t="shared" ref="B61:J61" si="1">C56</f>
        <v>42825</v>
      </c>
      <c r="C61" s="248">
        <f t="shared" si="1"/>
        <v>43190</v>
      </c>
      <c r="D61" s="248">
        <f t="shared" si="1"/>
        <v>43555</v>
      </c>
      <c r="E61" s="248">
        <f t="shared" si="1"/>
        <v>43921</v>
      </c>
      <c r="F61" s="248">
        <f t="shared" si="1"/>
        <v>44286</v>
      </c>
      <c r="G61" s="248">
        <f t="shared" si="1"/>
        <v>44651</v>
      </c>
      <c r="H61" s="248">
        <f t="shared" si="1"/>
        <v>45016</v>
      </c>
      <c r="I61" s="248">
        <f t="shared" si="1"/>
        <v>45382</v>
      </c>
      <c r="J61" s="248">
        <f t="shared" si="1"/>
        <v>45747</v>
      </c>
      <c r="K61" s="245"/>
      <c r="L61" s="245"/>
      <c r="M61" s="245"/>
    </row>
    <row r="62" spans="1:13" x14ac:dyDescent="0.3">
      <c r="A62" s="245" t="s">
        <v>231</v>
      </c>
      <c r="B62" s="249">
        <f>'Key Ratios'!C4</f>
        <v>0.10851991239521985</v>
      </c>
      <c r="C62" s="249">
        <f>'Key Ratios'!D4</f>
        <v>-0.16115362253486876</v>
      </c>
      <c r="D62" s="249">
        <f>'Key Ratios'!E4</f>
        <v>9.7263213368637969E-2</v>
      </c>
      <c r="E62" s="249">
        <f>'Key Ratios'!F4</f>
        <v>0.12975991462163061</v>
      </c>
      <c r="F62" s="249">
        <f>'Key Ratios'!G4</f>
        <v>2.0118462124095959E-2</v>
      </c>
      <c r="G62" s="249">
        <f>'Key Ratios'!H4</f>
        <v>0.15392944205260339</v>
      </c>
      <c r="H62" s="249">
        <f>'Key Ratios'!I4</f>
        <v>0.1353320144697292</v>
      </c>
      <c r="I62" s="249">
        <f>'Key Ratios'!J4</f>
        <v>0.10507231516066295</v>
      </c>
      <c r="J62" s="249">
        <f>'Key Ratios'!K4</f>
        <v>8.4161961034582733E-2</v>
      </c>
      <c r="K62" s="245"/>
      <c r="L62" s="245"/>
      <c r="M62" s="245"/>
    </row>
    <row r="63" spans="1:13" x14ac:dyDescent="0.3">
      <c r="A63" s="245" t="s">
        <v>180</v>
      </c>
      <c r="B63" s="249">
        <f>'Key Ratios'!C5</f>
        <v>0.37701712012394539</v>
      </c>
      <c r="C63" s="249">
        <f>'Key Ratios'!D5</f>
        <v>-0.61549182293733229</v>
      </c>
      <c r="D63" s="249">
        <f>'Key Ratios'!E5</f>
        <v>9.5206066145825829E-2</v>
      </c>
      <c r="E63" s="249">
        <f>'Key Ratios'!F5</f>
        <v>0.31478400083985081</v>
      </c>
      <c r="F63" s="249">
        <f>'Key Ratios'!G5</f>
        <v>-0.44119778265287235</v>
      </c>
      <c r="G63" s="249">
        <f>'Key Ratios'!H5</f>
        <v>0.60083161568495669</v>
      </c>
      <c r="H63" s="249">
        <f>'Key Ratios'!I5</f>
        <v>1.0994773861273033</v>
      </c>
      <c r="I63" s="249">
        <f>'Key Ratios'!J5</f>
        <v>0.17850587186172384</v>
      </c>
      <c r="J63" s="249">
        <f>'Key Ratios'!K5</f>
        <v>0.24028376904893611</v>
      </c>
      <c r="K63" s="245"/>
      <c r="L63" s="245"/>
      <c r="M63" s="245"/>
    </row>
    <row r="64" spans="1:13" x14ac:dyDescent="0.3">
      <c r="A64" s="245" t="s">
        <v>215</v>
      </c>
      <c r="B64" s="249">
        <f>'Key Ratios'!C6</f>
        <v>0.38527380914500253</v>
      </c>
      <c r="C64" s="249">
        <f>'Key Ratios'!D6</f>
        <v>-0.67230197925041169</v>
      </c>
      <c r="D64" s="249">
        <f>'Key Ratios'!E6</f>
        <v>0.24976440259507826</v>
      </c>
      <c r="E64" s="249">
        <f>'Key Ratios'!F6</f>
        <v>0.30457230815250558</v>
      </c>
      <c r="F64" s="249">
        <f>'Key Ratios'!G6</f>
        <v>-0.45431225354030236</v>
      </c>
      <c r="G64" s="249">
        <f>'Key Ratios'!H6</f>
        <v>0.49072080116252481</v>
      </c>
      <c r="H64" s="249">
        <f>'Key Ratios'!I6</f>
        <v>1.5135914405341468</v>
      </c>
      <c r="I64" s="249">
        <f>'Key Ratios'!J6</f>
        <v>0.12704360787025548</v>
      </c>
      <c r="J64" s="249">
        <f>'Key Ratios'!K6</f>
        <v>0.13801816666735833</v>
      </c>
      <c r="K64" s="245"/>
      <c r="L64" s="245"/>
      <c r="M64" s="245"/>
    </row>
    <row r="65" spans="1:13" x14ac:dyDescent="0.3">
      <c r="A65" s="245"/>
      <c r="B65" s="245"/>
      <c r="C65" s="245"/>
      <c r="D65" s="245"/>
      <c r="E65" s="245"/>
      <c r="F65" s="245"/>
      <c r="G65" s="245"/>
      <c r="H65" s="245"/>
      <c r="I65" s="245"/>
      <c r="J65" s="245"/>
      <c r="K65" s="245"/>
      <c r="L65" s="245"/>
      <c r="M65" s="245"/>
    </row>
    <row r="66" spans="1:13" x14ac:dyDescent="0.3">
      <c r="A66" s="246" t="s">
        <v>232</v>
      </c>
      <c r="B66" s="247"/>
      <c r="C66" s="247"/>
      <c r="D66" s="247"/>
      <c r="E66" s="247"/>
      <c r="F66" s="247"/>
      <c r="G66" s="247"/>
      <c r="H66" s="247"/>
      <c r="I66" s="247"/>
      <c r="J66" s="247"/>
      <c r="K66" s="247"/>
      <c r="L66" s="245"/>
      <c r="M66" s="245"/>
    </row>
    <row r="67" spans="1:13" x14ac:dyDescent="0.3">
      <c r="A67" s="245"/>
      <c r="B67" s="248">
        <f>B56</f>
        <v>42460</v>
      </c>
      <c r="C67" s="248">
        <f t="shared" ref="C67:K67" si="2">C56</f>
        <v>42825</v>
      </c>
      <c r="D67" s="248">
        <f t="shared" si="2"/>
        <v>43190</v>
      </c>
      <c r="E67" s="248">
        <f t="shared" si="2"/>
        <v>43555</v>
      </c>
      <c r="F67" s="248">
        <f t="shared" si="2"/>
        <v>43921</v>
      </c>
      <c r="G67" s="248">
        <f t="shared" si="2"/>
        <v>44286</v>
      </c>
      <c r="H67" s="248">
        <f t="shared" si="2"/>
        <v>44651</v>
      </c>
      <c r="I67" s="248">
        <f t="shared" si="2"/>
        <v>45016</v>
      </c>
      <c r="J67" s="248">
        <f t="shared" si="2"/>
        <v>45382</v>
      </c>
      <c r="K67" s="248">
        <f t="shared" si="2"/>
        <v>45747</v>
      </c>
      <c r="L67" s="245"/>
      <c r="M67" s="245"/>
    </row>
    <row r="68" spans="1:13" x14ac:dyDescent="0.3">
      <c r="A68" s="245" t="s">
        <v>233</v>
      </c>
      <c r="B68" s="250">
        <f>'Profit &amp; Loss'!B4</f>
        <v>28487.03</v>
      </c>
      <c r="C68" s="250">
        <f>'Profit &amp; Loss'!C4</f>
        <v>31578.44</v>
      </c>
      <c r="D68" s="250">
        <f>'Profit &amp; Loss'!D4</f>
        <v>26489.46</v>
      </c>
      <c r="E68" s="250">
        <f>'Profit &amp; Loss'!E4</f>
        <v>29065.91</v>
      </c>
      <c r="F68" s="250">
        <f>'Profit &amp; Loss'!F4</f>
        <v>32837.5</v>
      </c>
      <c r="G68" s="250">
        <f>'Profit &amp; Loss'!G4</f>
        <v>33498.14</v>
      </c>
      <c r="H68" s="250">
        <f>'Profit &amp; Loss'!H4</f>
        <v>38654.49</v>
      </c>
      <c r="I68" s="250">
        <f>'Profit &amp; Loss'!I4</f>
        <v>43885.68</v>
      </c>
      <c r="J68" s="250">
        <f>'Profit &amp; Loss'!J4</f>
        <v>48496.85</v>
      </c>
      <c r="K68" s="250">
        <f>'Profit &amp; Loss'!K4</f>
        <v>52578.44</v>
      </c>
      <c r="L68" s="245"/>
      <c r="M68" s="245"/>
    </row>
    <row r="69" spans="1:13" x14ac:dyDescent="0.3">
      <c r="A69" s="245" t="s">
        <v>132</v>
      </c>
      <c r="B69" s="250">
        <f>'Profit &amp; Loss'!B19</f>
        <v>6570.6299999999983</v>
      </c>
      <c r="C69" s="250">
        <f>'Profit &amp; Loss'!C19</f>
        <v>9047.8699999999972</v>
      </c>
      <c r="D69" s="250">
        <f>'Profit &amp; Loss'!D19</f>
        <v>3478.9799999999982</v>
      </c>
      <c r="E69" s="250">
        <f>'Profit &amp; Loss'!E19</f>
        <v>3810.2000000000035</v>
      </c>
      <c r="F69" s="250">
        <f>'Profit &amp; Loss'!F19</f>
        <v>5009.5900000000038</v>
      </c>
      <c r="G69" s="250">
        <f>'Profit &amp; Loss'!G19</f>
        <v>2799.3699999999994</v>
      </c>
      <c r="H69" s="250">
        <f>'Profit &amp; Loss'!H19</f>
        <v>4481.3199999999961</v>
      </c>
      <c r="I69" s="250">
        <f>'Profit &amp; Loss'!I19</f>
        <v>9408.4299999999985</v>
      </c>
      <c r="J69" s="250">
        <f>'Profit &amp; Loss'!J19</f>
        <v>11087.889999999998</v>
      </c>
      <c r="K69" s="250">
        <f>'Profit &amp; Loss'!K19</f>
        <v>13752.130000000005</v>
      </c>
      <c r="L69" s="245"/>
      <c r="M69" s="245"/>
    </row>
    <row r="70" spans="1:13" x14ac:dyDescent="0.3">
      <c r="A70" s="245" t="s">
        <v>173</v>
      </c>
      <c r="B70" s="250">
        <f>'Profit &amp; Loss'!B23</f>
        <v>5656.8599999999988</v>
      </c>
      <c r="C70" s="250">
        <f>'Profit &amp; Loss'!C23</f>
        <v>7836.2999999999975</v>
      </c>
      <c r="D70" s="250">
        <f>'Profit &amp; Loss'!D23</f>
        <v>2567.9399999999982</v>
      </c>
      <c r="E70" s="250">
        <f>'Profit &amp; Loss'!E23</f>
        <v>3209.3200000000033</v>
      </c>
      <c r="F70" s="250">
        <f>'Profit &amp; Loss'!F23</f>
        <v>4186.7900000000036</v>
      </c>
      <c r="G70" s="250">
        <f>'Profit &amp; Loss'!G23</f>
        <v>2284.6799999999994</v>
      </c>
      <c r="H70" s="250">
        <f>'Profit &amp; Loss'!H23</f>
        <v>3405.8199999999961</v>
      </c>
      <c r="I70" s="250">
        <f>'Profit &amp; Loss'!I23</f>
        <v>8560.8399999999983</v>
      </c>
      <c r="J70" s="250">
        <f>'Profit &amp; Loss'!J23</f>
        <v>9648.4399999999969</v>
      </c>
      <c r="K70" s="250">
        <f>'Profit &amp; Loss'!K23</f>
        <v>10980.100000000004</v>
      </c>
      <c r="L70" s="245"/>
      <c r="M70" s="245"/>
    </row>
    <row r="71" spans="1:13" x14ac:dyDescent="0.3">
      <c r="A71" s="245"/>
      <c r="B71" s="245"/>
      <c r="C71" s="245"/>
      <c r="D71" s="245"/>
      <c r="E71" s="245"/>
      <c r="F71" s="245"/>
      <c r="G71" s="245"/>
      <c r="H71" s="245"/>
      <c r="I71" s="245"/>
      <c r="J71" s="245"/>
      <c r="K71" s="245"/>
      <c r="L71" s="245"/>
      <c r="M71" s="245"/>
    </row>
    <row r="72" spans="1:13" x14ac:dyDescent="0.3">
      <c r="A72" s="246" t="s">
        <v>237</v>
      </c>
      <c r="B72" s="247"/>
      <c r="C72" s="247"/>
      <c r="D72" s="247"/>
      <c r="E72" s="247"/>
      <c r="F72" s="247"/>
      <c r="G72" s="247"/>
      <c r="H72" s="247"/>
      <c r="I72" s="247"/>
      <c r="J72" s="247"/>
      <c r="K72" s="247"/>
      <c r="L72" s="245"/>
      <c r="M72" s="245"/>
    </row>
    <row r="73" spans="1:13" x14ac:dyDescent="0.3">
      <c r="A73" s="245"/>
      <c r="B73" s="248">
        <f>B67</f>
        <v>42460</v>
      </c>
      <c r="C73" s="248">
        <f t="shared" ref="C73:K73" si="3">C67</f>
        <v>42825</v>
      </c>
      <c r="D73" s="248">
        <f t="shared" si="3"/>
        <v>43190</v>
      </c>
      <c r="E73" s="248">
        <f t="shared" si="3"/>
        <v>43555</v>
      </c>
      <c r="F73" s="248">
        <f t="shared" si="3"/>
        <v>43921</v>
      </c>
      <c r="G73" s="248">
        <f t="shared" si="3"/>
        <v>44286</v>
      </c>
      <c r="H73" s="248">
        <f t="shared" si="3"/>
        <v>44651</v>
      </c>
      <c r="I73" s="248">
        <f t="shared" si="3"/>
        <v>45016</v>
      </c>
      <c r="J73" s="248">
        <f t="shared" si="3"/>
        <v>45382</v>
      </c>
      <c r="K73" s="248">
        <f t="shared" si="3"/>
        <v>45747</v>
      </c>
      <c r="L73" s="245"/>
      <c r="M73" s="245"/>
    </row>
    <row r="74" spans="1:13" x14ac:dyDescent="0.3">
      <c r="A74" s="245" t="s">
        <v>238</v>
      </c>
      <c r="B74" s="250">
        <f>'Cash Flow'!B4</f>
        <v>6685.86</v>
      </c>
      <c r="C74" s="250">
        <f>'Cash Flow'!C4</f>
        <v>7082.21</v>
      </c>
      <c r="D74" s="250">
        <f>'Cash Flow'!D4</f>
        <v>3907.15</v>
      </c>
      <c r="E74" s="250">
        <f>'Cash Flow'!E4</f>
        <v>2196.4499999999998</v>
      </c>
      <c r="F74" s="250">
        <f>'Cash Flow'!F4</f>
        <v>6554.77</v>
      </c>
      <c r="G74" s="250">
        <f>'Cash Flow'!G4</f>
        <v>6170.37</v>
      </c>
      <c r="H74" s="250">
        <f>'Cash Flow'!H4</f>
        <v>8984.5400000000009</v>
      </c>
      <c r="I74" s="250">
        <f>'Cash Flow'!I4</f>
        <v>4959.33</v>
      </c>
      <c r="J74" s="250">
        <f>'Cash Flow'!J4</f>
        <v>12134.98</v>
      </c>
      <c r="K74" s="250">
        <f>'Cash Flow'!K4</f>
        <v>14072.09</v>
      </c>
      <c r="L74" s="245"/>
      <c r="M74" s="245"/>
    </row>
    <row r="75" spans="1:13" x14ac:dyDescent="0.3">
      <c r="A75" s="245" t="s">
        <v>239</v>
      </c>
      <c r="B75" s="250">
        <f>'Cash Flow'!B13</f>
        <v>6370.78</v>
      </c>
      <c r="C75" s="250">
        <f>'Cash Flow'!C13</f>
        <v>6870.64</v>
      </c>
      <c r="D75" s="250">
        <f>'Cash Flow'!D13</f>
        <v>3543.03</v>
      </c>
      <c r="E75" s="250">
        <f>'Cash Flow'!E13</f>
        <v>1631.4499999999998</v>
      </c>
      <c r="F75" s="250">
        <f>'Cash Flow'!F13</f>
        <v>5947.77</v>
      </c>
      <c r="G75" s="250">
        <f>'Cash Flow'!G13</f>
        <v>5233.37</v>
      </c>
      <c r="H75" s="250">
        <f>'Cash Flow'!H13</f>
        <v>7828.5400000000009</v>
      </c>
      <c r="I75" s="250">
        <f>'Cash Flow'!I13</f>
        <v>3321.33</v>
      </c>
      <c r="J75" s="250">
        <f>'Cash Flow'!J13</f>
        <v>10896.98</v>
      </c>
      <c r="K75" s="250">
        <f>'Cash Flow'!K13</f>
        <v>13247.93</v>
      </c>
      <c r="L75" s="245"/>
      <c r="M75" s="245"/>
    </row>
    <row r="76" spans="1:13" x14ac:dyDescent="0.3">
      <c r="A76" s="245"/>
      <c r="B76" s="250"/>
      <c r="C76" s="250"/>
      <c r="D76" s="250"/>
      <c r="E76" s="250"/>
      <c r="F76" s="250"/>
      <c r="G76" s="250"/>
      <c r="H76" s="250"/>
      <c r="I76" s="250"/>
      <c r="J76" s="250"/>
      <c r="K76" s="250"/>
      <c r="L76" s="245"/>
      <c r="M76" s="245"/>
    </row>
    <row r="77" spans="1:13" x14ac:dyDescent="0.3">
      <c r="A77" s="245"/>
      <c r="B77" s="245"/>
      <c r="C77" s="245"/>
      <c r="D77" s="245"/>
      <c r="E77" s="245"/>
      <c r="F77" s="245"/>
      <c r="G77" s="245"/>
      <c r="H77" s="245"/>
      <c r="I77" s="245"/>
      <c r="J77" s="245"/>
      <c r="K77" s="245"/>
      <c r="L77" s="245"/>
      <c r="M77" s="245"/>
    </row>
    <row r="78" spans="1:13" x14ac:dyDescent="0.3">
      <c r="A78" s="245"/>
      <c r="B78" s="245"/>
      <c r="C78" s="245"/>
      <c r="D78" s="245"/>
      <c r="E78" s="245"/>
      <c r="F78" s="245"/>
      <c r="G78" s="245"/>
      <c r="H78" s="245"/>
      <c r="I78" s="245"/>
      <c r="J78" s="245"/>
      <c r="K78" s="245"/>
      <c r="L78" s="245"/>
      <c r="M78" s="245"/>
    </row>
    <row r="79" spans="1:13" x14ac:dyDescent="0.3">
      <c r="A79" s="245"/>
      <c r="B79" s="245"/>
      <c r="C79" s="245"/>
      <c r="D79" s="245"/>
      <c r="E79" s="245"/>
      <c r="F79" s="245"/>
      <c r="G79" s="245"/>
      <c r="H79" s="245"/>
      <c r="I79" s="245"/>
      <c r="J79" s="245"/>
      <c r="K79" s="245"/>
      <c r="L79" s="245"/>
      <c r="M79" s="245"/>
    </row>
  </sheetData>
  <mergeCells count="1">
    <mergeCell ref="R3:T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DCD7-B3DF-4568-A908-CAEE3C206890}">
  <dimension ref="A1:Q35"/>
  <sheetViews>
    <sheetView topLeftCell="A10" workbookViewId="0">
      <selection activeCell="K36" sqref="K36"/>
    </sheetView>
  </sheetViews>
  <sheetFormatPr defaultColWidth="8.77734375" defaultRowHeight="13.2" x14ac:dyDescent="0.25"/>
  <cols>
    <col min="1" max="1" width="21.109375" style="7" bestFit="1" customWidth="1"/>
    <col min="2" max="11" width="6.77734375" style="7" bestFit="1" customWidth="1"/>
    <col min="12" max="16384" width="8.77734375" style="7"/>
  </cols>
  <sheetData>
    <row r="1" spans="1:17" ht="16.2" thickBot="1" x14ac:dyDescent="0.35">
      <c r="A1" s="522" t="s">
        <v>168</v>
      </c>
      <c r="B1" s="523"/>
      <c r="C1" s="523"/>
      <c r="D1" s="523"/>
      <c r="E1" s="523"/>
      <c r="F1" s="523"/>
      <c r="G1" s="523"/>
      <c r="H1" s="523"/>
      <c r="I1" s="523"/>
      <c r="J1" s="523"/>
      <c r="K1" s="524"/>
    </row>
    <row r="2" spans="1:17" x14ac:dyDescent="0.25">
      <c r="A2" s="170" t="s">
        <v>179</v>
      </c>
      <c r="B2" s="103">
        <v>39538</v>
      </c>
      <c r="C2" s="103">
        <v>39903</v>
      </c>
      <c r="D2" s="103">
        <v>40268</v>
      </c>
      <c r="E2" s="103">
        <v>40633</v>
      </c>
      <c r="F2" s="103">
        <v>40999</v>
      </c>
      <c r="G2" s="103">
        <v>41364</v>
      </c>
      <c r="H2" s="103">
        <v>41729</v>
      </c>
      <c r="I2" s="103">
        <v>42094</v>
      </c>
      <c r="J2" s="103">
        <v>42460</v>
      </c>
      <c r="K2" s="171">
        <v>42825</v>
      </c>
      <c r="M2" s="513" t="s">
        <v>204</v>
      </c>
      <c r="N2" s="525"/>
      <c r="O2" s="525"/>
      <c r="P2" s="525"/>
      <c r="Q2" s="526"/>
    </row>
    <row r="3" spans="1:17" x14ac:dyDescent="0.25">
      <c r="A3" s="172" t="s">
        <v>4</v>
      </c>
      <c r="B3" s="105">
        <v>1</v>
      </c>
      <c r="C3" s="105">
        <v>1</v>
      </c>
      <c r="D3" s="105">
        <v>1</v>
      </c>
      <c r="E3" s="105">
        <v>1</v>
      </c>
      <c r="F3" s="105">
        <v>1</v>
      </c>
      <c r="G3" s="105">
        <v>1</v>
      </c>
      <c r="H3" s="105">
        <v>1</v>
      </c>
      <c r="I3" s="105">
        <v>1</v>
      </c>
      <c r="J3" s="105">
        <v>1</v>
      </c>
      <c r="K3" s="179">
        <v>1</v>
      </c>
      <c r="M3" s="527"/>
      <c r="N3" s="528"/>
      <c r="O3" s="528"/>
      <c r="P3" s="528"/>
      <c r="Q3" s="529"/>
    </row>
    <row r="4" spans="1:17" x14ac:dyDescent="0.25">
      <c r="A4" s="172" t="s">
        <v>74</v>
      </c>
      <c r="B4" s="32">
        <f>'Data Sheet'!B18/'Data Sheet'!B$17</f>
        <v>0.23604250776581481</v>
      </c>
      <c r="C4" s="32">
        <f>'Data Sheet'!C18/'Data Sheet'!C$17</f>
        <v>0.26607932500782183</v>
      </c>
      <c r="D4" s="32">
        <f>'Data Sheet'!D18/'Data Sheet'!D$17</f>
        <v>0.27157896008450155</v>
      </c>
      <c r="E4" s="32">
        <f>'Data Sheet'!E18/'Data Sheet'!E$17</f>
        <v>0.28562945388601285</v>
      </c>
      <c r="F4" s="32">
        <f>'Data Sheet'!F18/'Data Sheet'!F$17</f>
        <v>0.27193300342596116</v>
      </c>
      <c r="G4" s="32">
        <f>'Data Sheet'!G18/'Data Sheet'!G$17</f>
        <v>0.27847217785823331</v>
      </c>
      <c r="H4" s="32">
        <f>'Data Sheet'!H18/'Data Sheet'!H$17</f>
        <v>0.27058046814225206</v>
      </c>
      <c r="I4" s="32">
        <f>'Data Sheet'!I18/'Data Sheet'!I$17</f>
        <v>0.25860531271248388</v>
      </c>
      <c r="J4" s="32">
        <f>'Data Sheet'!J18/'Data Sheet'!J$17</f>
        <v>0.21383821835851194</v>
      </c>
      <c r="K4" s="173">
        <f>'Data Sheet'!K18/'Data Sheet'!K$17</f>
        <v>0.20154744035768271</v>
      </c>
      <c r="M4" s="527"/>
      <c r="N4" s="528"/>
      <c r="O4" s="528"/>
      <c r="P4" s="528"/>
      <c r="Q4" s="529"/>
    </row>
    <row r="5" spans="1:17" x14ac:dyDescent="0.25">
      <c r="A5" s="172" t="s">
        <v>75</v>
      </c>
      <c r="B5" s="32">
        <f>'Data Sheet'!B19/'Data Sheet'!B$17</f>
        <v>1.382278180631677E-2</v>
      </c>
      <c r="C5" s="32">
        <f>'Data Sheet'!C19/'Data Sheet'!C$17</f>
        <v>8.601754868194882E-3</v>
      </c>
      <c r="D5" s="32">
        <f>'Data Sheet'!D19/'Data Sheet'!D$17</f>
        <v>-8.7091243083097947E-3</v>
      </c>
      <c r="E5" s="32">
        <f>'Data Sheet'!E19/'Data Sheet'!E$17</f>
        <v>1.4900961297960395E-2</v>
      </c>
      <c r="F5" s="32">
        <f>'Data Sheet'!F19/'Data Sheet'!F$17</f>
        <v>-9.1617814998096701E-3</v>
      </c>
      <c r="G5" s="32">
        <f>'Data Sheet'!G19/'Data Sheet'!G$17</f>
        <v>1.9052401118390454E-2</v>
      </c>
      <c r="H5" s="32">
        <f>'Data Sheet'!H19/'Data Sheet'!H$17</f>
        <v>2.7838939279757669E-3</v>
      </c>
      <c r="I5" s="32">
        <f>'Data Sheet'!I19/'Data Sheet'!I$17</f>
        <v>1.5652258322076812E-2</v>
      </c>
      <c r="J5" s="32">
        <f>'Data Sheet'!J19/'Data Sheet'!J$17</f>
        <v>-6.0236901984355683E-3</v>
      </c>
      <c r="K5" s="173">
        <f>'Data Sheet'!K19/'Data Sheet'!K$17</f>
        <v>-2.8587763349388075E-3</v>
      </c>
      <c r="M5" s="527"/>
      <c r="N5" s="528"/>
      <c r="O5" s="528"/>
      <c r="P5" s="528"/>
      <c r="Q5" s="529"/>
    </row>
    <row r="6" spans="1:17" x14ac:dyDescent="0.25">
      <c r="A6" s="172" t="s">
        <v>76</v>
      </c>
      <c r="B6" s="32">
        <f>'Data Sheet'!B20/'Data Sheet'!B$17</f>
        <v>1.9146959160010718E-2</v>
      </c>
      <c r="C6" s="32">
        <f>'Data Sheet'!C20/'Data Sheet'!C$17</f>
        <v>1.6628117158415681E-2</v>
      </c>
      <c r="D6" s="32">
        <f>'Data Sheet'!D20/'Data Sheet'!D$17</f>
        <v>2.1139351274053909E-2</v>
      </c>
      <c r="E6" s="32">
        <f>'Data Sheet'!E20/'Data Sheet'!E$17</f>
        <v>2.1110641297657634E-2</v>
      </c>
      <c r="F6" s="32">
        <f>'Data Sheet'!F20/'Data Sheet'!F$17</f>
        <v>1.8938408831366577E-2</v>
      </c>
      <c r="G6" s="32">
        <f>'Data Sheet'!G20/'Data Sheet'!G$17</f>
        <v>1.8720143864704133E-2</v>
      </c>
      <c r="H6" s="32">
        <f>'Data Sheet'!H20/'Data Sheet'!H$17</f>
        <v>1.818107029739624E-2</v>
      </c>
      <c r="I6" s="32">
        <f>'Data Sheet'!I20/'Data Sheet'!I$17</f>
        <v>1.8913914516079048E-2</v>
      </c>
      <c r="J6" s="32">
        <f>'Data Sheet'!J20/'Data Sheet'!J$17</f>
        <v>1.5687204426679258E-2</v>
      </c>
      <c r="K6" s="173">
        <f>'Data Sheet'!K20/'Data Sheet'!K$17</f>
        <v>1.4272009591764228E-2</v>
      </c>
      <c r="M6" s="527"/>
      <c r="N6" s="528"/>
      <c r="O6" s="528"/>
      <c r="P6" s="528"/>
      <c r="Q6" s="529"/>
    </row>
    <row r="7" spans="1:17" x14ac:dyDescent="0.25">
      <c r="A7" s="172" t="s">
        <v>77</v>
      </c>
      <c r="B7" s="32">
        <f>'Data Sheet'!B21/'Data Sheet'!B$17</f>
        <v>6.3486786793849698E-2</v>
      </c>
      <c r="C7" s="32">
        <f>'Data Sheet'!C21/'Data Sheet'!C$17</f>
        <v>6.2493904068725376E-2</v>
      </c>
      <c r="D7" s="32">
        <f>'Data Sheet'!D21/'Data Sheet'!D$17</f>
        <v>6.9021792063711382E-2</v>
      </c>
      <c r="E7" s="32">
        <f>'Data Sheet'!E21/'Data Sheet'!E$17</f>
        <v>6.4842628357412516E-2</v>
      </c>
      <c r="F7" s="32">
        <f>'Data Sheet'!F21/'Data Sheet'!F$17</f>
        <v>5.1465550057099352E-2</v>
      </c>
      <c r="G7" s="32">
        <f>'Data Sheet'!G21/'Data Sheet'!G$17</f>
        <v>5.1458976528249031E-2</v>
      </c>
      <c r="H7" s="32">
        <f>'Data Sheet'!H21/'Data Sheet'!H$17</f>
        <v>4.8654373657497488E-2</v>
      </c>
      <c r="I7" s="32">
        <f>'Data Sheet'!I21/'Data Sheet'!I$17</f>
        <v>4.413216338450264E-2</v>
      </c>
      <c r="J7" s="32">
        <f>'Data Sheet'!J21/'Data Sheet'!J$17</f>
        <v>4.5087876841485582E-2</v>
      </c>
      <c r="K7" s="173">
        <f>'Data Sheet'!K21/'Data Sheet'!K$17</f>
        <v>4.3006981568871186E-2</v>
      </c>
      <c r="M7" s="527"/>
      <c r="N7" s="528"/>
      <c r="O7" s="528"/>
      <c r="P7" s="528"/>
      <c r="Q7" s="529"/>
    </row>
    <row r="8" spans="1:17" x14ac:dyDescent="0.25">
      <c r="A8" s="172" t="s">
        <v>78</v>
      </c>
      <c r="B8" s="32">
        <f>'Data Sheet'!B22/'Data Sheet'!B$17</f>
        <v>0.1675257125786718</v>
      </c>
      <c r="C8" s="32">
        <f>'Data Sheet'!C22/'Data Sheet'!C$17</f>
        <v>0.15524199422137383</v>
      </c>
      <c r="D8" s="32">
        <f>'Data Sheet'!D22/'Data Sheet'!D$17</f>
        <v>0.20261077424756868</v>
      </c>
      <c r="E8" s="32">
        <f>'Data Sheet'!E22/'Data Sheet'!E$17</f>
        <v>0.20529513784361131</v>
      </c>
      <c r="F8" s="32">
        <f>'Data Sheet'!F22/'Data Sheet'!F$17</f>
        <v>0.19375256947087935</v>
      </c>
      <c r="G8" s="32">
        <f>'Data Sheet'!G22/'Data Sheet'!G$17</f>
        <v>0.20485406055380984</v>
      </c>
      <c r="H8" s="32">
        <f>'Data Sheet'!H22/'Data Sheet'!H$17</f>
        <v>0.18887404800839439</v>
      </c>
      <c r="I8" s="32">
        <f>'Data Sheet'!I22/'Data Sheet'!I$17</f>
        <v>0.18903728961246585</v>
      </c>
      <c r="J8" s="32">
        <f>'Data Sheet'!J22/'Data Sheet'!J$17</f>
        <v>0.19442623593078726</v>
      </c>
      <c r="K8" s="173">
        <f>'Data Sheet'!K22/'Data Sheet'!K$17</f>
        <v>0.1896807893121211</v>
      </c>
      <c r="M8" s="527"/>
      <c r="N8" s="528"/>
      <c r="O8" s="528"/>
      <c r="P8" s="528"/>
      <c r="Q8" s="529"/>
    </row>
    <row r="9" spans="1:17" x14ac:dyDescent="0.25">
      <c r="A9" s="172" t="s">
        <v>101</v>
      </c>
      <c r="B9" s="32">
        <f>'Data Sheet'!B23/'Data Sheet'!B$17</f>
        <v>0.18321320263993823</v>
      </c>
      <c r="C9" s="32">
        <f>'Data Sheet'!C23/'Data Sheet'!C$17</f>
        <v>0.16544864154150743</v>
      </c>
      <c r="D9" s="32">
        <f>'Data Sheet'!D23/'Data Sheet'!D$17</f>
        <v>0.17844833379011879</v>
      </c>
      <c r="E9" s="32">
        <f>'Data Sheet'!E23/'Data Sheet'!E$17</f>
        <v>0.18407577811945333</v>
      </c>
      <c r="F9" s="32">
        <f>'Data Sheet'!F23/'Data Sheet'!F$17</f>
        <v>0.21302992006090599</v>
      </c>
      <c r="G9" s="32">
        <f>'Data Sheet'!G23/'Data Sheet'!G$17</f>
        <v>0.18757489221789628</v>
      </c>
      <c r="H9" s="32">
        <f>'Data Sheet'!H23/'Data Sheet'!H$17</f>
        <v>0.19058277576550617</v>
      </c>
      <c r="I9" s="32">
        <f>'Data Sheet'!I23/'Data Sheet'!I$17</f>
        <v>0.21606956984601813</v>
      </c>
      <c r="J9" s="32">
        <f>'Data Sheet'!J23/'Data Sheet'!J$17</f>
        <v>0.22750322959120026</v>
      </c>
      <c r="K9" s="173">
        <f>'Data Sheet'!K23/'Data Sheet'!K$17</f>
        <v>0.23247019120384704</v>
      </c>
      <c r="M9" s="527"/>
      <c r="N9" s="528"/>
      <c r="O9" s="528"/>
      <c r="P9" s="528"/>
      <c r="Q9" s="529"/>
    </row>
    <row r="10" spans="1:17" ht="13.8" thickBot="1" x14ac:dyDescent="0.3">
      <c r="A10" s="172" t="s">
        <v>80</v>
      </c>
      <c r="B10" s="32">
        <f>'Data Sheet'!B24/'Data Sheet'!B$17</f>
        <v>5.7473523915971589E-2</v>
      </c>
      <c r="C10" s="32">
        <f>'Data Sheet'!C24/'Data Sheet'!C$17</f>
        <v>2.2807333104485215E-2</v>
      </c>
      <c r="D10" s="32">
        <f>'Data Sheet'!D24/'Data Sheet'!D$17</f>
        <v>3.5900694087384194E-2</v>
      </c>
      <c r="E10" s="32">
        <f>'Data Sheet'!E24/'Data Sheet'!E$17</f>
        <v>3.4550096659626349E-2</v>
      </c>
      <c r="F10" s="32">
        <f>'Data Sheet'!F24/'Data Sheet'!F$17</f>
        <v>2.907042253521127E-2</v>
      </c>
      <c r="G10" s="32">
        <f>'Data Sheet'!G24/'Data Sheet'!G$17</f>
        <v>2.5123484468092858E-2</v>
      </c>
      <c r="H10" s="32">
        <f>'Data Sheet'!H24/'Data Sheet'!H$17</f>
        <v>2.0545608026389689E-2</v>
      </c>
      <c r="I10" s="32">
        <f>'Data Sheet'!I24/'Data Sheet'!I$17</f>
        <v>2.3421535225157726E-2</v>
      </c>
      <c r="J10" s="32">
        <f>'Data Sheet'!J24/'Data Sheet'!J$17</f>
        <v>2.9008481994191374E-2</v>
      </c>
      <c r="K10" s="173">
        <f>'Data Sheet'!K24/'Data Sheet'!K$17</f>
        <v>2.8698835492266411E-2</v>
      </c>
      <c r="M10" s="530"/>
      <c r="N10" s="531"/>
      <c r="O10" s="531"/>
      <c r="P10" s="531"/>
      <c r="Q10" s="532"/>
    </row>
    <row r="11" spans="1:17" x14ac:dyDescent="0.25">
      <c r="A11" s="180" t="s">
        <v>6</v>
      </c>
      <c r="B11" s="106">
        <f>('Data Sheet'!B17-'Data Sheet'!B18-'Data Sheet'!B19-'Data Sheet'!B20-'Data Sheet'!B21-'Data Sheet'!B22-'Data Sheet'!B23-'Data Sheet'!B24)/'Data Sheet'!B$17</f>
        <v>0.25928852533942631</v>
      </c>
      <c r="C11" s="106">
        <f>('Data Sheet'!C17-'Data Sheet'!C18-'Data Sheet'!C19-'Data Sheet'!C20-'Data Sheet'!C21-'Data Sheet'!C22-'Data Sheet'!C23-'Data Sheet'!C24)/'Data Sheet'!C$17</f>
        <v>0.30269893002947584</v>
      </c>
      <c r="D11" s="106">
        <f>('Data Sheet'!D17-'Data Sheet'!D18-'Data Sheet'!D19-'Data Sheet'!D20-'Data Sheet'!D21-'Data Sheet'!D22-'Data Sheet'!D23-'Data Sheet'!D24)/'Data Sheet'!D$17</f>
        <v>0.23000921876097141</v>
      </c>
      <c r="E11" s="106">
        <f>('Data Sheet'!E17-'Data Sheet'!E18-'Data Sheet'!E19-'Data Sheet'!E20-'Data Sheet'!E21-'Data Sheet'!E22-'Data Sheet'!E23-'Data Sheet'!E24)/'Data Sheet'!E$17</f>
        <v>0.18959530253826576</v>
      </c>
      <c r="F11" s="106">
        <f>('Data Sheet'!F17-'Data Sheet'!F18-'Data Sheet'!F19-'Data Sheet'!F20-'Data Sheet'!F21-'Data Sheet'!F22-'Data Sheet'!F23-'Data Sheet'!F24)/'Data Sheet'!F$17</f>
        <v>0.23097190711838597</v>
      </c>
      <c r="G11" s="106">
        <f>('Data Sheet'!G17-'Data Sheet'!G18-'Data Sheet'!G19-'Data Sheet'!G20-'Data Sheet'!G21-'Data Sheet'!G22-'Data Sheet'!G23-'Data Sheet'!G24)/'Data Sheet'!G$17</f>
        <v>0.2147438633906241</v>
      </c>
      <c r="H11" s="106">
        <f>('Data Sheet'!H17-'Data Sheet'!H18-'Data Sheet'!H19-'Data Sheet'!H20-'Data Sheet'!H21-'Data Sheet'!H22-'Data Sheet'!H23-'Data Sheet'!H24)/'Data Sheet'!H$17</f>
        <v>0.25979776217458816</v>
      </c>
      <c r="I11" s="106">
        <f>('Data Sheet'!I17-'Data Sheet'!I18-'Data Sheet'!I19-'Data Sheet'!I20-'Data Sheet'!I21-'Data Sheet'!I22-'Data Sheet'!I23-'Data Sheet'!I24)/'Data Sheet'!I$17</f>
        <v>0.2341679563812159</v>
      </c>
      <c r="J11" s="106">
        <f>('Data Sheet'!J17-'Data Sheet'!J18-'Data Sheet'!J19-'Data Sheet'!J20-'Data Sheet'!J21-'Data Sheet'!J22-'Data Sheet'!J23-'Data Sheet'!J24)/'Data Sheet'!J$17</f>
        <v>0.28047244305557978</v>
      </c>
      <c r="K11" s="181">
        <f>('Data Sheet'!K17-'Data Sheet'!K18-'Data Sheet'!K19-'Data Sheet'!K20-'Data Sheet'!K21-'Data Sheet'!K22-'Data Sheet'!K23-'Data Sheet'!K24)/'Data Sheet'!K$17</f>
        <v>0.29318252880838602</v>
      </c>
    </row>
    <row r="12" spans="1:17" x14ac:dyDescent="0.25">
      <c r="A12" s="172" t="s">
        <v>7</v>
      </c>
      <c r="B12" s="32">
        <f>'Data Sheet'!B25/'Data Sheet'!B$17</f>
        <v>-1.4919070187380012E-3</v>
      </c>
      <c r="C12" s="32">
        <f>'Data Sheet'!C25/'Data Sheet'!C$17</f>
        <v>1.93296438962786E-2</v>
      </c>
      <c r="D12" s="32">
        <f>'Data Sheet'!D25/'Data Sheet'!D$17</f>
        <v>-5.0974991562681912E-3</v>
      </c>
      <c r="E12" s="32">
        <f>'Data Sheet'!E25/'Data Sheet'!E$17</f>
        <v>-8.8860111381339844E-3</v>
      </c>
      <c r="F12" s="32">
        <f>'Data Sheet'!F25/'Data Sheet'!F$17</f>
        <v>1.1640959269128283E-2</v>
      </c>
      <c r="G12" s="32">
        <f>'Data Sheet'!G25/'Data Sheet'!G$17</f>
        <v>-0.10296720952267797</v>
      </c>
      <c r="H12" s="32">
        <f>'Data Sheet'!H25/'Data Sheet'!H$17</f>
        <v>-9.0679245800423192E-2</v>
      </c>
      <c r="I12" s="32">
        <f>'Data Sheet'!I25/'Data Sheet'!I$17</f>
        <v>1.046856286606474E-2</v>
      </c>
      <c r="J12" s="32">
        <f>'Data Sheet'!J25/'Data Sheet'!J$17</f>
        <v>1.7840952556712447E-2</v>
      </c>
      <c r="K12" s="173">
        <f>'Data Sheet'!K25/'Data Sheet'!K$17</f>
        <v>2.7471716543891373E-2</v>
      </c>
    </row>
    <row r="13" spans="1:17" x14ac:dyDescent="0.25">
      <c r="A13" s="172" t="s">
        <v>8</v>
      </c>
      <c r="B13" s="32">
        <f>'Data Sheet'!B26/'Data Sheet'!B$17</f>
        <v>3.6421136215323252E-2</v>
      </c>
      <c r="C13" s="32">
        <f>'Data Sheet'!C26/'Data Sheet'!C$17</f>
        <v>4.0051060153699802E-2</v>
      </c>
      <c r="D13" s="32">
        <f>'Data Sheet'!D26/'Data Sheet'!D$17</f>
        <v>5.6620255754552942E-2</v>
      </c>
      <c r="E13" s="32">
        <f>'Data Sheet'!E26/'Data Sheet'!E$17</f>
        <v>6.0319804196737693E-2</v>
      </c>
      <c r="F13" s="32">
        <f>'Data Sheet'!F26/'Data Sheet'!F$17</f>
        <v>6.2513285116102019E-2</v>
      </c>
      <c r="G13" s="32">
        <f>'Data Sheet'!G26/'Data Sheet'!G$17</f>
        <v>6.2091507170248854E-2</v>
      </c>
      <c r="H13" s="32">
        <f>'Data Sheet'!H26/'Data Sheet'!H$17</f>
        <v>5.5459016533396244E-2</v>
      </c>
      <c r="I13" s="32">
        <f>'Data Sheet'!I26/'Data Sheet'!I$17</f>
        <v>5.7636796330830464E-2</v>
      </c>
      <c r="J13" s="32">
        <f>'Data Sheet'!J26/'Data Sheet'!J$17</f>
        <v>5.2717650734016741E-2</v>
      </c>
      <c r="K13" s="173">
        <f>'Data Sheet'!K26/'Data Sheet'!K$17</f>
        <v>4.898186404921865E-2</v>
      </c>
    </row>
    <row r="14" spans="1:17" x14ac:dyDescent="0.25">
      <c r="A14" s="172" t="s">
        <v>9</v>
      </c>
      <c r="B14" s="32">
        <f>'Data Sheet'!B27/'Data Sheet'!B$17</f>
        <v>1.8367657140811101E-2</v>
      </c>
      <c r="C14" s="32">
        <f>'Data Sheet'!C27/'Data Sheet'!C$17</f>
        <v>1.2660536745957053E-2</v>
      </c>
      <c r="D14" s="32">
        <f>'Data Sheet'!D27/'Data Sheet'!D$17</f>
        <v>1.9538714643484618E-2</v>
      </c>
      <c r="E14" s="32">
        <f>'Data Sheet'!E27/'Data Sheet'!E$17</f>
        <v>1.9103134909589963E-2</v>
      </c>
      <c r="F14" s="32">
        <f>'Data Sheet'!F27/'Data Sheet'!F$17</f>
        <v>9.2190331176246667E-3</v>
      </c>
      <c r="G14" s="32">
        <f>'Data Sheet'!G27/'Data Sheet'!G$17</f>
        <v>4.2220254617122031E-3</v>
      </c>
      <c r="H14" s="32">
        <f>'Data Sheet'!H27/'Data Sheet'!H$17</f>
        <v>3.2945719889203042E-3</v>
      </c>
      <c r="I14" s="32">
        <f>'Data Sheet'!I27/'Data Sheet'!I$17</f>
        <v>3.9192738952660636E-3</v>
      </c>
      <c r="J14" s="32">
        <f>'Data Sheet'!J27/'Data Sheet'!J$17</f>
        <v>4.9172265827574372E-3</v>
      </c>
      <c r="K14" s="173">
        <f>'Data Sheet'!K27/'Data Sheet'!K$17</f>
        <v>4.4002827014266686E-3</v>
      </c>
    </row>
    <row r="15" spans="1:17" x14ac:dyDescent="0.25">
      <c r="A15" s="180" t="s">
        <v>172</v>
      </c>
      <c r="B15" s="106">
        <f>'Data Sheet'!B28/'Data Sheet'!B$17</f>
        <v>0.23065338857718759</v>
      </c>
      <c r="C15" s="106">
        <f>'Data Sheet'!C28/'Data Sheet'!C$17</f>
        <v>0.28652048676248737</v>
      </c>
      <c r="D15" s="106">
        <f>'Data Sheet'!D28/'Data Sheet'!D$17</f>
        <v>0.131334500590046</v>
      </c>
      <c r="E15" s="106">
        <f>'Data Sheet'!E28/'Data Sheet'!E$17</f>
        <v>0.13108827488972477</v>
      </c>
      <c r="F15" s="106">
        <f>'Data Sheet'!F28/'Data Sheet'!F$17</f>
        <v>0.15255698515416827</v>
      </c>
      <c r="G15" s="106">
        <f>'Data Sheet'!G28/'Data Sheet'!G$17</f>
        <v>8.3567923472765954E-2</v>
      </c>
      <c r="H15" s="106">
        <f>'Data Sheet'!H28/'Data Sheet'!H$17</f>
        <v>0.11593271570780005</v>
      </c>
      <c r="I15" s="106">
        <f>'Data Sheet'!I28/'Data Sheet'!I$17</f>
        <v>0.21438496566533777</v>
      </c>
      <c r="J15" s="106">
        <f>'Data Sheet'!J28/'Data Sheet'!J$17</f>
        <v>0.22863113789864703</v>
      </c>
      <c r="K15" s="181">
        <f>'Data Sheet'!K28/'Data Sheet'!K$17</f>
        <v>0.26155454593175453</v>
      </c>
    </row>
    <row r="16" spans="1:17" x14ac:dyDescent="0.25">
      <c r="A16" s="172" t="s">
        <v>11</v>
      </c>
      <c r="B16" s="32">
        <f>'Data Sheet'!B29/'Data Sheet'!B$17</f>
        <v>3.2076702976758194E-2</v>
      </c>
      <c r="C16" s="32">
        <f>'Data Sheet'!C29/'Data Sheet'!C$17</f>
        <v>3.8366999763129531E-2</v>
      </c>
      <c r="D16" s="32">
        <f>'Data Sheet'!D29/'Data Sheet'!D$17</f>
        <v>3.4392547073439778E-2</v>
      </c>
      <c r="E16" s="32">
        <f>'Data Sheet'!E29/'Data Sheet'!E$17</f>
        <v>2.0673015226428487E-2</v>
      </c>
      <c r="F16" s="32">
        <f>'Data Sheet'!F29/'Data Sheet'!F$17</f>
        <v>2.5056718690521507E-2</v>
      </c>
      <c r="G16" s="32">
        <f>'Data Sheet'!G29/'Data Sheet'!G$17</f>
        <v>1.5364733683720948E-2</v>
      </c>
      <c r="H16" s="32">
        <f>'Data Sheet'!H29/'Data Sheet'!H$17</f>
        <v>2.7823417150245677E-2</v>
      </c>
      <c r="I16" s="32">
        <f>'Data Sheet'!I29/'Data Sheet'!I$17</f>
        <v>1.9313589307491646E-2</v>
      </c>
      <c r="J16" s="32">
        <f>'Data Sheet'!J29/'Data Sheet'!J$17</f>
        <v>2.9681309198432478E-2</v>
      </c>
      <c r="K16" s="173">
        <f>'Data Sheet'!K29/'Data Sheet'!K$17</f>
        <v>5.2721800038190561E-2</v>
      </c>
    </row>
    <row r="17" spans="1:11" x14ac:dyDescent="0.25">
      <c r="A17" s="180" t="s">
        <v>173</v>
      </c>
      <c r="B17" s="106">
        <f>'Data Sheet'!B30/'Data Sheet'!B$17</f>
        <v>0.15957121539170635</v>
      </c>
      <c r="C17" s="106">
        <f>'Data Sheet'!C30/'Data Sheet'!C$17</f>
        <v>0.22054192670695577</v>
      </c>
      <c r="D17" s="106">
        <f>'Data Sheet'!D30/'Data Sheet'!D$17</f>
        <v>7.9114485535001458E-2</v>
      </c>
      <c r="E17" s="106">
        <f>'Data Sheet'!E30/'Data Sheet'!E$17</f>
        <v>9.170261657040843E-2</v>
      </c>
      <c r="F17" s="106">
        <f>'Data Sheet'!F30/'Data Sheet'!F$17</f>
        <v>0.11465336886181957</v>
      </c>
      <c r="G17" s="106">
        <f>'Data Sheet'!G30/'Data Sheet'!G$17</f>
        <v>8.6686007043973196E-2</v>
      </c>
      <c r="H17" s="106">
        <f>'Data Sheet'!H30/'Data Sheet'!H$17</f>
        <v>8.4666231529636024E-2</v>
      </c>
      <c r="I17" s="106">
        <f>'Data Sheet'!I30/'Data Sheet'!I$17</f>
        <v>0.19308302845028263</v>
      </c>
      <c r="J17" s="106">
        <f>'Data Sheet'!J30/'Data Sheet'!J$17</f>
        <v>0.19746395899939892</v>
      </c>
      <c r="K17" s="181">
        <f>'Data Sheet'!K30/'Data Sheet'!K$17</f>
        <v>0.20786162541148046</v>
      </c>
    </row>
    <row r="18" spans="1:11" ht="13.8" thickBot="1" x14ac:dyDescent="0.3">
      <c r="A18" s="182" t="s">
        <v>64</v>
      </c>
      <c r="B18" s="183">
        <f>'Data Sheet'!B31/'Data Sheet'!B$17</f>
        <v>8.4480551324585262E-3</v>
      </c>
      <c r="C18" s="183">
        <f>'Data Sheet'!C31/'Data Sheet'!C$17</f>
        <v>2.659282725809128E-2</v>
      </c>
      <c r="D18" s="183">
        <f>'Data Sheet'!D31/'Data Sheet'!D$17</f>
        <v>1.8115129564740089E-2</v>
      </c>
      <c r="E18" s="183">
        <f>'Data Sheet'!E31/'Data Sheet'!E$17</f>
        <v>2.2700476262398114E-2</v>
      </c>
      <c r="F18" s="183">
        <f>'Data Sheet'!F31/'Data Sheet'!F$17</f>
        <v>2.922634183479254E-2</v>
      </c>
      <c r="G18" s="183">
        <f>'Data Sheet'!G31/'Data Sheet'!G$17</f>
        <v>5.3718803491775963E-2</v>
      </c>
      <c r="H18" s="183">
        <f>'Data Sheet'!H31/'Data Sheet'!H$17</f>
        <v>6.2070408896870724E-2</v>
      </c>
      <c r="I18" s="183">
        <f>'Data Sheet'!I31/'Data Sheet'!I$17</f>
        <v>6.2872444952430953E-2</v>
      </c>
      <c r="J18" s="183">
        <f>'Data Sheet'!J31/'Data Sheet'!J$17</f>
        <v>6.6789080115512656E-2</v>
      </c>
      <c r="K18" s="184">
        <f>'Data Sheet'!K31/'Data Sheet'!K$17</f>
        <v>7.3012436276161857E-2</v>
      </c>
    </row>
    <row r="19" spans="1:11" ht="13.8" thickBot="1" x14ac:dyDescent="0.3"/>
    <row r="20" spans="1:11" ht="15.6" x14ac:dyDescent="0.3">
      <c r="A20" s="522" t="s">
        <v>169</v>
      </c>
      <c r="B20" s="523"/>
      <c r="C20" s="523"/>
      <c r="D20" s="523"/>
      <c r="E20" s="523"/>
      <c r="F20" s="523"/>
      <c r="G20" s="523"/>
      <c r="H20" s="523"/>
      <c r="I20" s="523"/>
      <c r="J20" s="523"/>
      <c r="K20" s="524"/>
    </row>
    <row r="21" spans="1:11" x14ac:dyDescent="0.25">
      <c r="A21" s="170" t="s">
        <v>179</v>
      </c>
      <c r="B21" s="103">
        <v>39538</v>
      </c>
      <c r="C21" s="103">
        <v>39903</v>
      </c>
      <c r="D21" s="103">
        <v>40268</v>
      </c>
      <c r="E21" s="103">
        <v>40633</v>
      </c>
      <c r="F21" s="103">
        <v>40999</v>
      </c>
      <c r="G21" s="103">
        <v>41364</v>
      </c>
      <c r="H21" s="103">
        <v>41729</v>
      </c>
      <c r="I21" s="103">
        <v>42094</v>
      </c>
      <c r="J21" s="103">
        <v>42460</v>
      </c>
      <c r="K21" s="171">
        <v>42825</v>
      </c>
    </row>
    <row r="22" spans="1:11" x14ac:dyDescent="0.25">
      <c r="A22" s="172" t="s">
        <v>19</v>
      </c>
      <c r="B22" s="32">
        <f>'Data Sheet'!B57/'Data Sheet'!B$61</f>
        <v>4.3418880519597676E-3</v>
      </c>
      <c r="C22" s="32">
        <f>'Data Sheet'!C57/'Data Sheet'!C$61</f>
        <v>3.9271336899883713E-3</v>
      </c>
      <c r="D22" s="32">
        <f>'Data Sheet'!D57/'Data Sheet'!D$61</f>
        <v>3.7315667090063844E-3</v>
      </c>
      <c r="E22" s="32">
        <f>'Data Sheet'!E57/'Data Sheet'!E$61</f>
        <v>3.7146887428968754E-3</v>
      </c>
      <c r="F22" s="32">
        <f>'Data Sheet'!F57/'Data Sheet'!F$61</f>
        <v>3.5183282126722577E-3</v>
      </c>
      <c r="G22" s="32">
        <f>'Data Sheet'!G57/'Data Sheet'!G$61</f>
        <v>3.5480941027963885E-3</v>
      </c>
      <c r="H22" s="32">
        <f>'Data Sheet'!H57/'Data Sheet'!H$61</f>
        <v>3.4385793033727542E-3</v>
      </c>
      <c r="I22" s="32">
        <f>'Data Sheet'!I57/'Data Sheet'!I$61</f>
        <v>2.9726719356129644E-3</v>
      </c>
      <c r="J22" s="32">
        <f>'Data Sheet'!J57/'Data Sheet'!J$61</f>
        <v>2.8118623487142936E-3</v>
      </c>
      <c r="K22" s="173">
        <f>'Data Sheet'!K57/'Data Sheet'!K$61</f>
        <v>2.6105413513971671E-3</v>
      </c>
    </row>
    <row r="23" spans="1:11" x14ac:dyDescent="0.25">
      <c r="A23" s="172" t="s">
        <v>20</v>
      </c>
      <c r="B23" s="32">
        <f>'Data Sheet'!B58/'Data Sheet'!B$61</f>
        <v>0.59071435659194438</v>
      </c>
      <c r="C23" s="32">
        <f>'Data Sheet'!C58/'Data Sheet'!C$61</f>
        <v>0.59578479248454674</v>
      </c>
      <c r="D23" s="32">
        <f>'Data Sheet'!D58/'Data Sheet'!D$61</f>
        <v>0.59215747326602219</v>
      </c>
      <c r="E23" s="32">
        <f>'Data Sheet'!E58/'Data Sheet'!E$61</f>
        <v>0.63739633962346531</v>
      </c>
      <c r="F23" s="32">
        <f>'Data Sheet'!F58/'Data Sheet'!F$61</f>
        <v>0.66023856532332892</v>
      </c>
      <c r="G23" s="32">
        <f>'Data Sheet'!G58/'Data Sheet'!G$61</f>
        <v>0.68354529029067657</v>
      </c>
      <c r="H23" s="32">
        <f>'Data Sheet'!H58/'Data Sheet'!H$61</f>
        <v>0.68463872416712301</v>
      </c>
      <c r="I23" s="32">
        <f>'Data Sheet'!I58/'Data Sheet'!I$61</f>
        <v>0.69079590494090715</v>
      </c>
      <c r="J23" s="32">
        <f>'Data Sheet'!J58/'Data Sheet'!J$61</f>
        <v>0.74333133437535415</v>
      </c>
      <c r="K23" s="173">
        <f>'Data Sheet'!K58/'Data Sheet'!K$61</f>
        <v>0.78315250422867877</v>
      </c>
    </row>
    <row r="24" spans="1:11" x14ac:dyDescent="0.25">
      <c r="A24" s="172" t="s">
        <v>65</v>
      </c>
      <c r="B24" s="32">
        <f>'Data Sheet'!B59/'Data Sheet'!B$61</f>
        <v>0.15329502503270037</v>
      </c>
      <c r="C24" s="32">
        <f>'Data Sheet'!C59/'Data Sheet'!C$61</f>
        <v>0.16092474971540435</v>
      </c>
      <c r="D24" s="32">
        <f>'Data Sheet'!D59/'Data Sheet'!D$61</f>
        <v>0.1615193089486214</v>
      </c>
      <c r="E24" s="32">
        <f>'Data Sheet'!E59/'Data Sheet'!E$61</f>
        <v>0.16278737436237731</v>
      </c>
      <c r="F24" s="32">
        <f>'Data Sheet'!F59/'Data Sheet'!F$61</f>
        <v>0.12192921639221563</v>
      </c>
      <c r="G24" s="32">
        <f>'Data Sheet'!G59/'Data Sheet'!G$61</f>
        <v>5.7208710391347693E-2</v>
      </c>
      <c r="H24" s="32">
        <f>'Data Sheet'!H59/'Data Sheet'!H$61</f>
        <v>1.8492055495944085E-2</v>
      </c>
      <c r="I24" s="32">
        <f>'Data Sheet'!I59/'Data Sheet'!I$61</f>
        <v>8.5314185392736386E-2</v>
      </c>
      <c r="J24" s="32">
        <f>'Data Sheet'!J59/'Data Sheet'!J$61</f>
        <v>3.8365812591653906E-2</v>
      </c>
      <c r="K24" s="173">
        <f>'Data Sheet'!K59/'Data Sheet'!K$61</f>
        <v>2.5701640790467526E-2</v>
      </c>
    </row>
    <row r="25" spans="1:11" x14ac:dyDescent="0.25">
      <c r="A25" s="172" t="s">
        <v>66</v>
      </c>
      <c r="B25" s="32">
        <f>'Data Sheet'!B60/'Data Sheet'!B$61</f>
        <v>0.25164873032339541</v>
      </c>
      <c r="C25" s="32">
        <f>'Data Sheet'!C60/'Data Sheet'!C$61</f>
        <v>0.23936332411006059</v>
      </c>
      <c r="D25" s="32">
        <f>'Data Sheet'!D60/'Data Sheet'!D$61</f>
        <v>0.24259165107635008</v>
      </c>
      <c r="E25" s="32">
        <f>'Data Sheet'!E60/'Data Sheet'!E$61</f>
        <v>0.19610159727126053</v>
      </c>
      <c r="F25" s="32">
        <f>'Data Sheet'!F60/'Data Sheet'!F$61</f>
        <v>0.21431389007178309</v>
      </c>
      <c r="G25" s="32">
        <f>'Data Sheet'!G60/'Data Sheet'!G$61</f>
        <v>0.25569790521517927</v>
      </c>
      <c r="H25" s="32">
        <f>'Data Sheet'!H60/'Data Sheet'!H$61</f>
        <v>0.29343064103356015</v>
      </c>
      <c r="I25" s="32">
        <f>'Data Sheet'!I60/'Data Sheet'!I$61</f>
        <v>0.22091723773074359</v>
      </c>
      <c r="J25" s="32">
        <f>'Data Sheet'!J60/'Data Sheet'!J$61</f>
        <v>0.21549099068427766</v>
      </c>
      <c r="K25" s="173">
        <f>'Data Sheet'!K60/'Data Sheet'!K$61</f>
        <v>0.18853531362945655</v>
      </c>
    </row>
    <row r="26" spans="1:11" x14ac:dyDescent="0.25">
      <c r="A26" s="174" t="s">
        <v>170</v>
      </c>
      <c r="B26" s="104">
        <v>1</v>
      </c>
      <c r="C26" s="104">
        <v>1</v>
      </c>
      <c r="D26" s="104">
        <v>1</v>
      </c>
      <c r="E26" s="104">
        <v>1</v>
      </c>
      <c r="F26" s="104">
        <v>1</v>
      </c>
      <c r="G26" s="104">
        <v>1</v>
      </c>
      <c r="H26" s="104">
        <v>1</v>
      </c>
      <c r="I26" s="104">
        <v>1</v>
      </c>
      <c r="J26" s="104">
        <v>1</v>
      </c>
      <c r="K26" s="175">
        <v>1</v>
      </c>
    </row>
    <row r="27" spans="1:11" x14ac:dyDescent="0.25">
      <c r="A27" s="172" t="s">
        <v>22</v>
      </c>
      <c r="B27" s="32">
        <f>'Data Sheet'!B62/'Data Sheet'!B$66</f>
        <v>0.28636056109332009</v>
      </c>
      <c r="C27" s="32">
        <f>'Data Sheet'!C62/'Data Sheet'!C$66</f>
        <v>0.28930419532060081</v>
      </c>
      <c r="D27" s="32">
        <f>'Data Sheet'!D62/'Data Sheet'!D$66</f>
        <v>0.29321019095798445</v>
      </c>
      <c r="E27" s="32">
        <f>'Data Sheet'!E62/'Data Sheet'!E$66</f>
        <v>0.33808172934529795</v>
      </c>
      <c r="F27" s="32">
        <f>'Data Sheet'!F62/'Data Sheet'!F$66</f>
        <v>0.33502658285910025</v>
      </c>
      <c r="G27" s="32">
        <f>'Data Sheet'!G62/'Data Sheet'!G$66</f>
        <v>0.31872630031962867</v>
      </c>
      <c r="H27" s="32">
        <f>'Data Sheet'!H62/'Data Sheet'!H$66</f>
        <v>0.3248278668096195</v>
      </c>
      <c r="I27" s="32">
        <f>'Data Sheet'!I62/'Data Sheet'!I$66</f>
        <v>0.298164706815228</v>
      </c>
      <c r="J27" s="32">
        <f>'Data Sheet'!J62/'Data Sheet'!J$66</f>
        <v>0.27245695687184684</v>
      </c>
      <c r="K27" s="173">
        <f>'Data Sheet'!K62/'Data Sheet'!K$66</f>
        <v>0.24574841793120825</v>
      </c>
    </row>
    <row r="28" spans="1:11" x14ac:dyDescent="0.25">
      <c r="A28" s="172" t="s">
        <v>23</v>
      </c>
      <c r="B28" s="32">
        <f>'Data Sheet'!B63/'Data Sheet'!B$66</f>
        <v>3.9248567949122723E-2</v>
      </c>
      <c r="C28" s="32">
        <f>'Data Sheet'!C63/'Data Sheet'!C$66</f>
        <v>4.5852514385277467E-2</v>
      </c>
      <c r="D28" s="32">
        <f>'Data Sheet'!D63/'Data Sheet'!D$66</f>
        <v>3.8339969942792387E-2</v>
      </c>
      <c r="E28" s="32">
        <f>'Data Sheet'!E63/'Data Sheet'!E$66</f>
        <v>2.1847968238815178E-2</v>
      </c>
      <c r="F28" s="32">
        <f>'Data Sheet'!F63/'Data Sheet'!F$66</f>
        <v>1.7895038765691918E-2</v>
      </c>
      <c r="G28" s="32">
        <f>'Data Sheet'!G63/'Data Sheet'!G$66</f>
        <v>2.3170342529423019E-2</v>
      </c>
      <c r="H28" s="32">
        <f>'Data Sheet'!H63/'Data Sheet'!H$66</f>
        <v>1.8441894917601218E-2</v>
      </c>
      <c r="I28" s="32">
        <f>'Data Sheet'!I63/'Data Sheet'!I$66</f>
        <v>6.1616192903400861E-2</v>
      </c>
      <c r="J28" s="32">
        <f>'Data Sheet'!J63/'Data Sheet'!J$66</f>
        <v>6.2744857214747984E-2</v>
      </c>
      <c r="K28" s="173">
        <f>'Data Sheet'!K63/'Data Sheet'!K$66</f>
        <v>7.2289135652184894E-2</v>
      </c>
    </row>
    <row r="29" spans="1:11" x14ac:dyDescent="0.25">
      <c r="A29" s="172" t="s">
        <v>24</v>
      </c>
      <c r="B29" s="32">
        <f>'Data Sheet'!B64/'Data Sheet'!B$66</f>
        <v>3.3013937125073299E-2</v>
      </c>
      <c r="C29" s="32">
        <f>'Data Sheet'!C64/'Data Sheet'!C$66</f>
        <v>1.9508490403131497E-2</v>
      </c>
      <c r="D29" s="32">
        <f>'Data Sheet'!D64/'Data Sheet'!D$66</f>
        <v>0.11109113449239541</v>
      </c>
      <c r="E29" s="32">
        <f>'Data Sheet'!E64/'Data Sheet'!E$66</f>
        <v>0.12235001555205618</v>
      </c>
      <c r="F29" s="32">
        <f>'Data Sheet'!F64/'Data Sheet'!F$66</f>
        <v>0.14873834067118785</v>
      </c>
      <c r="G29" s="32">
        <f>'Data Sheet'!G64/'Data Sheet'!G$66</f>
        <v>0.14214928170060079</v>
      </c>
      <c r="H29" s="32">
        <f>'Data Sheet'!H64/'Data Sheet'!H$66</f>
        <v>0.18414077294011644</v>
      </c>
      <c r="I29" s="32">
        <f>'Data Sheet'!I64/'Data Sheet'!I$66</f>
        <v>0.18366981820524608</v>
      </c>
      <c r="J29" s="32">
        <f>'Data Sheet'!J64/'Data Sheet'!J$66</f>
        <v>0.17609468146309662</v>
      </c>
      <c r="K29" s="173">
        <f>'Data Sheet'!K64/'Data Sheet'!K$66</f>
        <v>0.1996972194193028</v>
      </c>
    </row>
    <row r="30" spans="1:11" x14ac:dyDescent="0.25">
      <c r="A30" s="172" t="s">
        <v>67</v>
      </c>
      <c r="B30" s="32">
        <f>'Data Sheet'!B65/'Data Sheet'!B$66</f>
        <v>0.64137693383248384</v>
      </c>
      <c r="C30" s="32">
        <f>'Data Sheet'!C65/'Data Sheet'!C$66</f>
        <v>0.64533479989099019</v>
      </c>
      <c r="D30" s="32">
        <f>'Data Sheet'!D65/'Data Sheet'!D$66</f>
        <v>0.55735870460682768</v>
      </c>
      <c r="E30" s="32">
        <f>'Data Sheet'!E65/'Data Sheet'!E$66</f>
        <v>0.51772028686383065</v>
      </c>
      <c r="F30" s="32">
        <f>'Data Sheet'!F65/'Data Sheet'!F$66</f>
        <v>0.49834003770401986</v>
      </c>
      <c r="G30" s="32">
        <f>'Data Sheet'!G65/'Data Sheet'!G$66</f>
        <v>0.51595407545034755</v>
      </c>
      <c r="H30" s="32">
        <f>'Data Sheet'!H65/'Data Sheet'!H$66</f>
        <v>0.47258946533266277</v>
      </c>
      <c r="I30" s="32">
        <f>'Data Sheet'!I65/'Data Sheet'!I$66</f>
        <v>0.45654928207612511</v>
      </c>
      <c r="J30" s="32">
        <f>'Data Sheet'!J65/'Data Sheet'!J$66</f>
        <v>0.48870350445030863</v>
      </c>
      <c r="K30" s="173">
        <f>'Data Sheet'!K65/'Data Sheet'!K$66</f>
        <v>0.48226522699730401</v>
      </c>
    </row>
    <row r="31" spans="1:11" x14ac:dyDescent="0.25">
      <c r="A31" s="174" t="s">
        <v>171</v>
      </c>
      <c r="B31" s="104">
        <v>1</v>
      </c>
      <c r="C31" s="104">
        <v>1</v>
      </c>
      <c r="D31" s="104">
        <v>1</v>
      </c>
      <c r="E31" s="104">
        <v>1</v>
      </c>
      <c r="F31" s="104">
        <v>1</v>
      </c>
      <c r="G31" s="104">
        <v>1</v>
      </c>
      <c r="H31" s="104">
        <v>1</v>
      </c>
      <c r="I31" s="104">
        <v>1</v>
      </c>
      <c r="J31" s="104">
        <v>1</v>
      </c>
      <c r="K31" s="175">
        <v>1</v>
      </c>
    </row>
    <row r="32" spans="1:11" x14ac:dyDescent="0.25">
      <c r="A32" s="172" t="s">
        <v>72</v>
      </c>
      <c r="B32" s="32">
        <f>'Data Sheet'!B67/'Data Sheet'!B$66</f>
        <v>0.12224365161697713</v>
      </c>
      <c r="C32" s="32">
        <f>'Data Sheet'!C67/'Data Sheet'!C$66</f>
        <v>0.11789110318362497</v>
      </c>
      <c r="D32" s="32">
        <f>'Data Sheet'!D67/'Data Sheet'!D$66</f>
        <v>0.12154894623249871</v>
      </c>
      <c r="E32" s="32">
        <f>'Data Sheet'!E67/'Data Sheet'!E$66</f>
        <v>0.13754860888444306</v>
      </c>
      <c r="F32" s="32">
        <f>'Data Sheet'!F67/'Data Sheet'!F$66</f>
        <v>0.13815285495918134</v>
      </c>
      <c r="G32" s="32">
        <f>'Data Sheet'!G67/'Data Sheet'!G$66</f>
        <v>0.13400033302662939</v>
      </c>
      <c r="H32" s="32">
        <f>'Data Sheet'!H67/'Data Sheet'!H$66</f>
        <v>0.15026088516796127</v>
      </c>
      <c r="I32" s="32">
        <f>'Data Sheet'!I67/'Data Sheet'!I$66</f>
        <v>0.14172024199653335</v>
      </c>
      <c r="J32" s="32">
        <f>'Data Sheet'!J67/'Data Sheet'!J$66</f>
        <v>0.13183711895034433</v>
      </c>
      <c r="K32" s="173">
        <f>'Data Sheet'!K67/'Data Sheet'!K$66</f>
        <v>0.14194727474628471</v>
      </c>
    </row>
    <row r="33" spans="1:11" x14ac:dyDescent="0.25">
      <c r="A33" s="172" t="s">
        <v>40</v>
      </c>
      <c r="B33" s="32">
        <f>'Data Sheet'!B68/'Data Sheet'!B$66</f>
        <v>0.11587280681971945</v>
      </c>
      <c r="C33" s="32">
        <f>'Data Sheet'!C68/'Data Sheet'!C$66</f>
        <v>0.11183827928266345</v>
      </c>
      <c r="D33" s="32">
        <f>'Data Sheet'!D68/'Data Sheet'!D$66</f>
        <v>0.10701351952233208</v>
      </c>
      <c r="E33" s="32">
        <f>'Data Sheet'!E68/'Data Sheet'!E$66</f>
        <v>0.12209378207272913</v>
      </c>
      <c r="F33" s="32">
        <f>'Data Sheet'!F68/'Data Sheet'!F$66</f>
        <v>0.11547867916272204</v>
      </c>
      <c r="G33" s="32">
        <f>'Data Sheet'!G68/'Data Sheet'!G$66</f>
        <v>0.13304827910115935</v>
      </c>
      <c r="H33" s="32">
        <f>'Data Sheet'!H68/'Data Sheet'!H$66</f>
        <v>0.12791133788151238</v>
      </c>
      <c r="I33" s="32">
        <f>'Data Sheet'!I68/'Data Sheet'!I$66</f>
        <v>0.13025402697743454</v>
      </c>
      <c r="J33" s="32">
        <f>'Data Sheet'!J68/'Data Sheet'!J$66</f>
        <v>0.11565153626971941</v>
      </c>
      <c r="K33" s="173">
        <f>'Data Sheet'!K68/'Data Sheet'!K$66</f>
        <v>0.1114518257033599</v>
      </c>
    </row>
    <row r="34" spans="1:11" x14ac:dyDescent="0.25">
      <c r="A34" s="172" t="s">
        <v>81</v>
      </c>
      <c r="B34" s="32">
        <f>'Data Sheet'!B69/'Data Sheet'!B$66</f>
        <v>0.23781787019078976</v>
      </c>
      <c r="C34" s="32">
        <f>'Data Sheet'!C69/'Data Sheet'!C$66</f>
        <v>0.24782271020182356</v>
      </c>
      <c r="D34" s="32">
        <f>'Data Sheet'!D69/'Data Sheet'!D$66</f>
        <v>0.15442897448870008</v>
      </c>
      <c r="E34" s="32">
        <f>'Data Sheet'!E69/'Data Sheet'!E$66</f>
        <v>0.11264364363697957</v>
      </c>
      <c r="F34" s="32">
        <f>'Data Sheet'!F69/'Data Sheet'!F$66</f>
        <v>9.5133289693335163E-2</v>
      </c>
      <c r="G34" s="32">
        <f>'Data Sheet'!G69/'Data Sheet'!G$66</f>
        <v>9.5316450716938908E-2</v>
      </c>
      <c r="H34" s="32">
        <f>'Data Sheet'!H69/'Data Sheet'!H$66</f>
        <v>7.2135927714880393E-2</v>
      </c>
      <c r="I34" s="32">
        <f>'Data Sheet'!I69/'Data Sheet'!I$66</f>
        <v>7.1492431723203145E-2</v>
      </c>
      <c r="J34" s="32">
        <f>'Data Sheet'!J69/'Data Sheet'!J$66</f>
        <v>0.12329722825353852</v>
      </c>
      <c r="K34" s="173">
        <f>'Data Sheet'!K69/'Data Sheet'!K$66</f>
        <v>0.12329288787696063</v>
      </c>
    </row>
    <row r="35" spans="1:11" ht="13.8" thickBot="1" x14ac:dyDescent="0.3">
      <c r="A35" s="176"/>
      <c r="B35" s="177"/>
      <c r="C35" s="177"/>
      <c r="D35" s="177"/>
      <c r="E35" s="177"/>
      <c r="F35" s="177"/>
      <c r="G35" s="177"/>
      <c r="H35" s="177"/>
      <c r="I35" s="177"/>
      <c r="J35" s="177"/>
      <c r="K35" s="178"/>
    </row>
  </sheetData>
  <mergeCells count="3">
    <mergeCell ref="A1:K1"/>
    <mergeCell ref="A20:K20"/>
    <mergeCell ref="M2:Q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0A00-A0D5-4FFF-90D7-C49DAC877E8D}">
  <dimension ref="A1:M27"/>
  <sheetViews>
    <sheetView topLeftCell="A6" workbookViewId="0">
      <selection activeCell="D24" sqref="D24"/>
    </sheetView>
  </sheetViews>
  <sheetFormatPr defaultColWidth="8.77734375" defaultRowHeight="13.2" x14ac:dyDescent="0.25"/>
  <cols>
    <col min="1" max="1" width="4.77734375" style="7" bestFit="1" customWidth="1"/>
    <col min="2" max="2" width="9.33203125" style="7" customWidth="1"/>
    <col min="3" max="3" width="10.88671875" style="7" bestFit="1" customWidth="1"/>
    <col min="4" max="4" width="16.21875" style="7" bestFit="1" customWidth="1"/>
    <col min="5" max="5" width="13" style="7" bestFit="1" customWidth="1"/>
    <col min="6" max="6" width="6.77734375" style="7" customWidth="1"/>
    <col min="7" max="7" width="8.77734375" style="7"/>
    <col min="8" max="8" width="4.77734375" style="7" bestFit="1" customWidth="1"/>
    <col min="9" max="9" width="8.44140625" style="7" customWidth="1"/>
    <col min="10" max="10" width="10.88671875" style="7" bestFit="1" customWidth="1"/>
    <col min="11" max="11" width="16.21875" style="7" bestFit="1" customWidth="1"/>
    <col min="12" max="12" width="13" style="7" bestFit="1" customWidth="1"/>
    <col min="13" max="13" width="7" style="7" customWidth="1"/>
    <col min="14" max="16384" width="8.77734375" style="7"/>
  </cols>
  <sheetData>
    <row r="1" spans="1:13" ht="19.2" x14ac:dyDescent="0.35">
      <c r="A1" s="533" t="s">
        <v>198</v>
      </c>
      <c r="B1" s="534"/>
      <c r="C1" s="534"/>
      <c r="D1" s="534"/>
      <c r="E1" s="534"/>
      <c r="F1" s="534"/>
      <c r="G1" s="534"/>
      <c r="H1" s="534"/>
      <c r="I1" s="534"/>
      <c r="J1" s="534"/>
      <c r="K1" s="534"/>
      <c r="L1" s="534"/>
      <c r="M1" s="535"/>
    </row>
    <row r="2" spans="1:13" ht="13.8" thickBot="1" x14ac:dyDescent="0.3">
      <c r="A2" s="536" t="s">
        <v>199</v>
      </c>
      <c r="B2" s="537"/>
      <c r="C2" s="537"/>
      <c r="D2" s="537"/>
      <c r="E2" s="537"/>
      <c r="F2" s="537"/>
      <c r="G2" s="537"/>
      <c r="H2" s="537"/>
      <c r="I2" s="537"/>
      <c r="J2" s="537"/>
      <c r="K2" s="537"/>
      <c r="L2" s="537"/>
      <c r="M2" s="538"/>
    </row>
    <row r="4" spans="1:13" x14ac:dyDescent="0.25">
      <c r="A4" s="542" t="str">
        <f>'Data Sheet'!B1</f>
        <v>SUN PHARMACEUTICAL INDUSTRIES LTD</v>
      </c>
      <c r="B4" s="542"/>
      <c r="C4" s="542"/>
      <c r="D4" s="542"/>
      <c r="H4" s="542" t="str">
        <f>A4</f>
        <v>SUN PHARMACEUTICAL INDUSTRIES LTD</v>
      </c>
      <c r="I4" s="542"/>
      <c r="J4" s="542"/>
      <c r="K4" s="542"/>
    </row>
    <row r="5" spans="1:13" x14ac:dyDescent="0.25">
      <c r="A5" s="542" t="s">
        <v>200</v>
      </c>
      <c r="B5" s="542"/>
      <c r="C5" s="542"/>
      <c r="D5" s="542"/>
      <c r="E5" s="540"/>
      <c r="F5" s="541"/>
      <c r="H5" s="542" t="s">
        <v>201</v>
      </c>
      <c r="I5" s="542"/>
      <c r="J5" s="542"/>
      <c r="K5" s="542"/>
      <c r="L5" s="540"/>
      <c r="M5" s="541"/>
    </row>
    <row r="6" spans="1:13" x14ac:dyDescent="0.25">
      <c r="A6" s="33" t="s">
        <v>109</v>
      </c>
      <c r="B6" s="34"/>
      <c r="C6" s="35" t="s">
        <v>110</v>
      </c>
      <c r="D6" s="34" t="s">
        <v>111</v>
      </c>
      <c r="E6" s="539" t="s">
        <v>112</v>
      </c>
      <c r="F6" s="539"/>
      <c r="H6" s="33" t="s">
        <v>109</v>
      </c>
      <c r="I6" s="34"/>
      <c r="J6" s="35" t="s">
        <v>110</v>
      </c>
      <c r="K6" s="34" t="s">
        <v>111</v>
      </c>
      <c r="L6" s="539" t="s">
        <v>112</v>
      </c>
      <c r="M6" s="539"/>
    </row>
    <row r="7" spans="1:13" x14ac:dyDescent="0.25">
      <c r="A7" s="28">
        <v>0</v>
      </c>
      <c r="B7" s="12" t="s">
        <v>129</v>
      </c>
      <c r="C7" s="29"/>
      <c r="D7" s="31">
        <f>'Balance Sheet'!K19</f>
        <v>5828.69</v>
      </c>
      <c r="E7" s="27" t="s">
        <v>113</v>
      </c>
      <c r="F7" s="36">
        <v>0.15</v>
      </c>
      <c r="H7" s="28">
        <v>0</v>
      </c>
      <c r="I7" s="12" t="s">
        <v>129</v>
      </c>
      <c r="J7" s="29"/>
      <c r="K7" s="31">
        <f>D7</f>
        <v>5828.69</v>
      </c>
      <c r="L7" s="27" t="s">
        <v>113</v>
      </c>
      <c r="M7" s="36">
        <v>0.2</v>
      </c>
    </row>
    <row r="8" spans="1:13" x14ac:dyDescent="0.25">
      <c r="A8" s="28">
        <v>1</v>
      </c>
      <c r="B8" s="12" t="s">
        <v>114</v>
      </c>
      <c r="C8" s="30">
        <f>'Cash Flow'!B14*(1+$F$7)</f>
        <v>10528.725333333332</v>
      </c>
      <c r="D8" s="31">
        <f>C8/((1+$F$10)^A8)</f>
        <v>9400.6476190476169</v>
      </c>
      <c r="E8" s="27" t="s">
        <v>115</v>
      </c>
      <c r="F8" s="36">
        <v>0.1</v>
      </c>
      <c r="H8" s="28">
        <v>1</v>
      </c>
      <c r="I8" s="12" t="s">
        <v>114</v>
      </c>
      <c r="J8" s="30">
        <f>'Cash Flow'!B14*(1+$M$7)</f>
        <v>10986.495999999997</v>
      </c>
      <c r="K8" s="31">
        <f>J8/((1+$M$10)^H8)</f>
        <v>9809.371428571425</v>
      </c>
      <c r="L8" s="27" t="s">
        <v>115</v>
      </c>
      <c r="M8" s="36">
        <v>0.15</v>
      </c>
    </row>
    <row r="9" spans="1:13" x14ac:dyDescent="0.25">
      <c r="A9" s="28">
        <v>2</v>
      </c>
      <c r="B9" s="12" t="s">
        <v>116</v>
      </c>
      <c r="C9" s="30">
        <f>C8*(1+$F$7)</f>
        <v>12108.034133333331</v>
      </c>
      <c r="D9" s="31">
        <f t="shared" ref="D9:D18" si="0">C9/((1+$F$10)^A9)</f>
        <v>9652.4506802721062</v>
      </c>
      <c r="E9" s="27" t="s">
        <v>117</v>
      </c>
      <c r="F9" s="36">
        <v>0.05</v>
      </c>
      <c r="H9" s="28">
        <v>2</v>
      </c>
      <c r="I9" s="12" t="s">
        <v>116</v>
      </c>
      <c r="J9" s="30">
        <f>J8*(1+$M$7)</f>
        <v>13183.795199999997</v>
      </c>
      <c r="K9" s="31">
        <f t="shared" ref="K9:K18" si="1">J9/((1+$M$10)^H9)</f>
        <v>10510.040816326527</v>
      </c>
      <c r="L9" s="27" t="s">
        <v>117</v>
      </c>
      <c r="M9" s="36">
        <v>0.1</v>
      </c>
    </row>
    <row r="10" spans="1:13" x14ac:dyDescent="0.25">
      <c r="A10" s="28">
        <v>3</v>
      </c>
      <c r="B10" s="12" t="s">
        <v>118</v>
      </c>
      <c r="C10" s="30">
        <f>C9*(1+$F$7)</f>
        <v>13924.23925333333</v>
      </c>
      <c r="D10" s="31">
        <f t="shared" si="0"/>
        <v>9910.9984663508203</v>
      </c>
      <c r="E10" s="27" t="s">
        <v>120</v>
      </c>
      <c r="F10" s="36">
        <v>0.12</v>
      </c>
      <c r="H10" s="28">
        <v>3</v>
      </c>
      <c r="I10" s="12" t="s">
        <v>118</v>
      </c>
      <c r="J10" s="30">
        <f>J9*(1+$M$7)</f>
        <v>15820.554239999996</v>
      </c>
      <c r="K10" s="31">
        <f t="shared" si="1"/>
        <v>11260.758017492704</v>
      </c>
      <c r="L10" s="27" t="s">
        <v>120</v>
      </c>
      <c r="M10" s="36">
        <v>0.12</v>
      </c>
    </row>
    <row r="11" spans="1:13" x14ac:dyDescent="0.25">
      <c r="A11" s="28">
        <v>4</v>
      </c>
      <c r="B11" s="12" t="s">
        <v>119</v>
      </c>
      <c r="C11" s="30">
        <f>C10*(1+$F$8)</f>
        <v>15316.663178666664</v>
      </c>
      <c r="D11" s="31">
        <f t="shared" si="0"/>
        <v>9734.0163508802707</v>
      </c>
      <c r="H11" s="28">
        <v>4</v>
      </c>
      <c r="I11" s="12" t="s">
        <v>119</v>
      </c>
      <c r="J11" s="30">
        <f>J10*(1+$M$8)</f>
        <v>18193.637375999995</v>
      </c>
      <c r="K11" s="31">
        <f t="shared" si="1"/>
        <v>11562.385464389832</v>
      </c>
    </row>
    <row r="12" spans="1:13" x14ac:dyDescent="0.25">
      <c r="A12" s="28">
        <v>5</v>
      </c>
      <c r="B12" s="12" t="s">
        <v>121</v>
      </c>
      <c r="C12" s="30">
        <f t="shared" ref="C12:C13" si="2">C11*(1+$F$8)</f>
        <v>16848.329496533333</v>
      </c>
      <c r="D12" s="31">
        <f t="shared" si="0"/>
        <v>9560.1946303288387</v>
      </c>
      <c r="E12" s="543" t="s">
        <v>205</v>
      </c>
      <c r="F12" s="543"/>
      <c r="H12" s="28">
        <v>5</v>
      </c>
      <c r="I12" s="12" t="s">
        <v>121</v>
      </c>
      <c r="J12" s="30">
        <f t="shared" ref="J12:J13" si="3">J11*(1+$M$8)</f>
        <v>20922.682982399994</v>
      </c>
      <c r="K12" s="31">
        <f t="shared" si="1"/>
        <v>11872.092217900274</v>
      </c>
    </row>
    <row r="13" spans="1:13" x14ac:dyDescent="0.25">
      <c r="A13" s="28">
        <v>6</v>
      </c>
      <c r="B13" s="12" t="s">
        <v>122</v>
      </c>
      <c r="C13" s="30">
        <f t="shared" si="2"/>
        <v>18533.162446186667</v>
      </c>
      <c r="D13" s="31">
        <f t="shared" si="0"/>
        <v>9389.4768690729652</v>
      </c>
      <c r="E13" s="101" t="s">
        <v>4</v>
      </c>
      <c r="F13" s="107">
        <f>('Profit &amp; Loss'!K4/'Profit &amp; Loss'!F4)^(1/5)-1</f>
        <v>9.8721244921464724E-2</v>
      </c>
      <c r="H13" s="28">
        <v>6</v>
      </c>
      <c r="I13" s="12" t="s">
        <v>122</v>
      </c>
      <c r="J13" s="30">
        <f t="shared" si="3"/>
        <v>24061.085429759991</v>
      </c>
      <c r="K13" s="31">
        <f t="shared" si="1"/>
        <v>12190.094688022598</v>
      </c>
    </row>
    <row r="14" spans="1:13" x14ac:dyDescent="0.25">
      <c r="A14" s="28">
        <v>7</v>
      </c>
      <c r="B14" s="12" t="s">
        <v>123</v>
      </c>
      <c r="C14" s="30">
        <f>C13*(1+$F$9)</f>
        <v>19459.820568496001</v>
      </c>
      <c r="D14" s="31">
        <f t="shared" si="0"/>
        <v>8802.6345647559065</v>
      </c>
      <c r="E14" s="101" t="s">
        <v>132</v>
      </c>
      <c r="F14" s="107">
        <f>('Profit &amp; Loss'!K19/'Profit &amp; Loss'!F19)^(1/5)-1</f>
        <v>0.2238087589035771</v>
      </c>
      <c r="H14" s="28">
        <v>7</v>
      </c>
      <c r="I14" s="12" t="s">
        <v>123</v>
      </c>
      <c r="J14" s="30">
        <f>J13*(1+$M$9)</f>
        <v>26467.193972735993</v>
      </c>
      <c r="K14" s="31">
        <f t="shared" si="1"/>
        <v>11972.414425736482</v>
      </c>
    </row>
    <row r="15" spans="1:13" x14ac:dyDescent="0.25">
      <c r="A15" s="28">
        <v>8</v>
      </c>
      <c r="B15" s="12" t="s">
        <v>124</v>
      </c>
      <c r="C15" s="30">
        <f t="shared" ref="C15:C17" si="4">C14*(1+$F$9)</f>
        <v>20432.811596920801</v>
      </c>
      <c r="D15" s="31">
        <f t="shared" si="0"/>
        <v>8252.4699044586614</v>
      </c>
      <c r="E15" s="101" t="s">
        <v>130</v>
      </c>
      <c r="F15" s="107">
        <f>('Cash Flow'!K13/'Cash Flow'!F13)^(1/5)-1</f>
        <v>0.17370450556185513</v>
      </c>
      <c r="H15" s="28">
        <v>8</v>
      </c>
      <c r="I15" s="12" t="s">
        <v>124</v>
      </c>
      <c r="J15" s="30">
        <f t="shared" ref="J15:J17" si="5">J14*(1+$M$9)</f>
        <v>29113.913370009595</v>
      </c>
      <c r="K15" s="31">
        <f t="shared" si="1"/>
        <v>11758.621310991188</v>
      </c>
    </row>
    <row r="16" spans="1:13" x14ac:dyDescent="0.25">
      <c r="A16" s="28">
        <v>9</v>
      </c>
      <c r="B16" s="12" t="s">
        <v>125</v>
      </c>
      <c r="C16" s="30">
        <f t="shared" si="4"/>
        <v>21454.452176766841</v>
      </c>
      <c r="D16" s="31">
        <f t="shared" si="0"/>
        <v>7736.6905354299943</v>
      </c>
      <c r="H16" s="28">
        <v>9</v>
      </c>
      <c r="I16" s="12" t="s">
        <v>125</v>
      </c>
      <c r="J16" s="30">
        <f t="shared" si="5"/>
        <v>32025.304707010557</v>
      </c>
      <c r="K16" s="31">
        <f t="shared" si="1"/>
        <v>11548.645930437775</v>
      </c>
    </row>
    <row r="17" spans="1:11" x14ac:dyDescent="0.25">
      <c r="A17" s="28">
        <v>10</v>
      </c>
      <c r="B17" s="12" t="s">
        <v>126</v>
      </c>
      <c r="C17" s="30">
        <f t="shared" si="4"/>
        <v>22527.174785605184</v>
      </c>
      <c r="D17" s="31">
        <f t="shared" si="0"/>
        <v>7253.1473769656195</v>
      </c>
      <c r="H17" s="28">
        <v>10</v>
      </c>
      <c r="I17" s="12" t="s">
        <v>126</v>
      </c>
      <c r="J17" s="30">
        <f t="shared" si="5"/>
        <v>35227.835177711619</v>
      </c>
      <c r="K17" s="31">
        <f t="shared" si="1"/>
        <v>11342.420110251387</v>
      </c>
    </row>
    <row r="18" spans="1:11" x14ac:dyDescent="0.25">
      <c r="A18" s="28">
        <v>10</v>
      </c>
      <c r="B18" s="12"/>
      <c r="C18" s="38">
        <f>C17*10</f>
        <v>225271.74785605184</v>
      </c>
      <c r="D18" s="31">
        <f t="shared" si="0"/>
        <v>72531.473769656193</v>
      </c>
      <c r="H18" s="28">
        <v>10</v>
      </c>
      <c r="I18" s="12"/>
      <c r="J18" s="37">
        <f>J17*15</f>
        <v>528417.52766567422</v>
      </c>
      <c r="K18" s="31">
        <f t="shared" si="1"/>
        <v>170136.30165377079</v>
      </c>
    </row>
    <row r="19" spans="1:11" x14ac:dyDescent="0.25">
      <c r="A19" s="544" t="s">
        <v>133</v>
      </c>
      <c r="B19" s="545"/>
      <c r="C19" s="546"/>
      <c r="D19" s="39">
        <f>SUM(D7:D18)</f>
        <v>168052.89076721901</v>
      </c>
      <c r="H19" s="544" t="s">
        <v>133</v>
      </c>
      <c r="I19" s="545"/>
      <c r="J19" s="546"/>
      <c r="K19" s="39">
        <f>SUM(K7:K18)</f>
        <v>289791.83606389101</v>
      </c>
    </row>
    <row r="20" spans="1:11" x14ac:dyDescent="0.25">
      <c r="A20" s="544" t="s">
        <v>127</v>
      </c>
      <c r="B20" s="545"/>
      <c r="C20" s="546"/>
      <c r="D20" s="40">
        <f>'Data Sheet'!B9</f>
        <v>388206.4</v>
      </c>
      <c r="H20" s="544" t="s">
        <v>127</v>
      </c>
      <c r="I20" s="545"/>
      <c r="J20" s="546"/>
      <c r="K20" s="40">
        <f>D20</f>
        <v>388206.4</v>
      </c>
    </row>
    <row r="21" spans="1:11" x14ac:dyDescent="0.25">
      <c r="A21" s="544" t="s">
        <v>128</v>
      </c>
      <c r="B21" s="545"/>
      <c r="C21" s="546"/>
      <c r="D21" s="32">
        <f>D20/D19-1</f>
        <v>1.3100251249931185</v>
      </c>
      <c r="H21" s="544" t="s">
        <v>128</v>
      </c>
      <c r="I21" s="545"/>
      <c r="J21" s="546"/>
      <c r="K21" s="32">
        <f>K20/K19-1</f>
        <v>0.33960433555626923</v>
      </c>
    </row>
    <row r="23" spans="1:11" x14ac:dyDescent="0.25">
      <c r="A23" s="127" t="s">
        <v>185</v>
      </c>
    </row>
    <row r="24" spans="1:11" ht="13.8" thickBot="1" x14ac:dyDescent="0.3"/>
    <row r="25" spans="1:11" ht="13.05" customHeight="1" x14ac:dyDescent="0.25">
      <c r="A25" s="513" t="s">
        <v>213</v>
      </c>
      <c r="B25" s="514"/>
      <c r="C25" s="514"/>
      <c r="D25" s="514"/>
      <c r="E25" s="514"/>
      <c r="F25" s="514"/>
      <c r="G25" s="514"/>
      <c r="H25" s="514"/>
      <c r="I25" s="514"/>
      <c r="J25" s="514"/>
      <c r="K25" s="515"/>
    </row>
    <row r="26" spans="1:11" x14ac:dyDescent="0.25">
      <c r="A26" s="516"/>
      <c r="B26" s="517"/>
      <c r="C26" s="517"/>
      <c r="D26" s="517"/>
      <c r="E26" s="517"/>
      <c r="F26" s="517"/>
      <c r="G26" s="517"/>
      <c r="H26" s="517"/>
      <c r="I26" s="517"/>
      <c r="J26" s="517"/>
      <c r="K26" s="518"/>
    </row>
    <row r="27" spans="1:11" ht="13.8" thickBot="1" x14ac:dyDescent="0.3">
      <c r="A27" s="519"/>
      <c r="B27" s="520"/>
      <c r="C27" s="520"/>
      <c r="D27" s="520"/>
      <c r="E27" s="520"/>
      <c r="F27" s="520"/>
      <c r="G27" s="520"/>
      <c r="H27" s="520"/>
      <c r="I27" s="520"/>
      <c r="J27" s="520"/>
      <c r="K27" s="521"/>
    </row>
  </sheetData>
  <mergeCells count="18">
    <mergeCell ref="E12:F12"/>
    <mergeCell ref="A19:C19"/>
    <mergeCell ref="A20:C20"/>
    <mergeCell ref="A25:K27"/>
    <mergeCell ref="A21:C21"/>
    <mergeCell ref="H19:J19"/>
    <mergeCell ref="H20:J20"/>
    <mergeCell ref="H21:J21"/>
    <mergeCell ref="A1:M1"/>
    <mergeCell ref="A2:M2"/>
    <mergeCell ref="L6:M6"/>
    <mergeCell ref="E5:F5"/>
    <mergeCell ref="L5:M5"/>
    <mergeCell ref="A4:D4"/>
    <mergeCell ref="H4:K4"/>
    <mergeCell ref="A5:D5"/>
    <mergeCell ref="H5:K5"/>
    <mergeCell ref="E6:F6"/>
  </mergeCells>
  <hyperlinks>
    <hyperlink ref="A23" r:id="rId1" display="Note: See the explanation of this model here" xr:uid="{3A1B8835-469E-42AF-AD6D-C9D8252FF3E9}"/>
    <hyperlink ref="A2:M2" r:id="rId2" display="Read the book - The Dhandho Investor by Mohnish Pabrai" xr:uid="{E154C3A4-29CB-44BF-B3CB-B131F029EEEA}"/>
  </hyperlinks>
  <pageMargins left="0.7" right="0.7" top="0.75" bottom="0.75" header="0.3" footer="0.3"/>
  <pageSetup orientation="portrait"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DFBE-87D7-4EDE-A582-1B7206ED356B}">
  <dimension ref="A1:I20"/>
  <sheetViews>
    <sheetView workbookViewId="0">
      <selection sqref="A1:B1"/>
    </sheetView>
  </sheetViews>
  <sheetFormatPr defaultColWidth="8.77734375" defaultRowHeight="13.2" x14ac:dyDescent="0.25"/>
  <cols>
    <col min="1" max="1" width="26.33203125" style="7" bestFit="1" customWidth="1"/>
    <col min="2" max="2" width="21.33203125" style="7" bestFit="1" customWidth="1"/>
    <col min="3" max="3" width="8.77734375" style="7"/>
    <col min="4" max="4" width="26.21875" style="7" bestFit="1" customWidth="1"/>
    <col min="5" max="5" width="21.33203125" style="7" bestFit="1" customWidth="1"/>
    <col min="6" max="6" width="8.77734375" style="7"/>
    <col min="7" max="8" width="4.77734375" style="7" bestFit="1" customWidth="1"/>
    <col min="9" max="9" width="26.33203125" style="7" bestFit="1" customWidth="1"/>
    <col min="10" max="10" width="8.77734375" style="7"/>
    <col min="11" max="11" width="6.88671875" style="7" bestFit="1" customWidth="1"/>
    <col min="12" max="16384" width="8.77734375" style="7"/>
  </cols>
  <sheetData>
    <row r="1" spans="1:9" ht="19.8" thickBot="1" x14ac:dyDescent="0.4">
      <c r="A1" s="547" t="s">
        <v>207</v>
      </c>
      <c r="B1" s="548"/>
      <c r="D1" s="547" t="s">
        <v>208</v>
      </c>
      <c r="E1" s="548"/>
    </row>
    <row r="3" spans="1:9" x14ac:dyDescent="0.25">
      <c r="A3" s="12" t="s">
        <v>89</v>
      </c>
      <c r="B3" s="13" t="str">
        <f>'Profit &amp; Loss'!A2</f>
        <v>SUN PHARMACEUTICAL INDUSTRIES LTD</v>
      </c>
      <c r="D3" s="12" t="s">
        <v>89</v>
      </c>
      <c r="E3" s="13" t="str">
        <f>B3</f>
        <v>SUN PHARMACEUTICAL INDUSTRIES LTD</v>
      </c>
    </row>
    <row r="4" spans="1:9" x14ac:dyDescent="0.25">
      <c r="A4" s="12" t="s">
        <v>88</v>
      </c>
      <c r="B4" s="14">
        <f>'Profit &amp; Loss'!K3</f>
        <v>45747</v>
      </c>
      <c r="D4" s="12" t="s">
        <v>88</v>
      </c>
      <c r="E4" s="14">
        <f>B4</f>
        <v>45747</v>
      </c>
    </row>
    <row r="5" spans="1:9" x14ac:dyDescent="0.25">
      <c r="B5" s="15"/>
      <c r="E5" s="15"/>
    </row>
    <row r="6" spans="1:9" x14ac:dyDescent="0.25">
      <c r="A6" s="12" t="s">
        <v>108</v>
      </c>
      <c r="B6" s="16">
        <f>AVERAGE('Profit &amp; Loss'!G23:K23)</f>
        <v>6975.9759999999997</v>
      </c>
      <c r="D6" s="12" t="s">
        <v>108</v>
      </c>
      <c r="E6" s="16">
        <f>B6</f>
        <v>6975.9759999999997</v>
      </c>
    </row>
    <row r="7" spans="1:9" x14ac:dyDescent="0.25">
      <c r="A7" s="12" t="s">
        <v>87</v>
      </c>
      <c r="B7" s="16">
        <v>8.5</v>
      </c>
      <c r="D7" s="12" t="s">
        <v>87</v>
      </c>
      <c r="E7" s="16">
        <f>B7</f>
        <v>8.5</v>
      </c>
    </row>
    <row r="8" spans="1:9" x14ac:dyDescent="0.25">
      <c r="A8" s="12" t="s">
        <v>105</v>
      </c>
      <c r="B8" s="26">
        <f>(('Profit &amp; Loss'!K23/'Profit &amp; Loss'!F23)^(1/5)-1)*100*50%</f>
        <v>10.633833631121991</v>
      </c>
      <c r="D8" s="12" t="s">
        <v>105</v>
      </c>
      <c r="E8" s="26">
        <f>(('Profit &amp; Loss'!K23/'Profit &amp; Loss'!F23)^(1/5)-1)*100</f>
        <v>21.267667262243982</v>
      </c>
    </row>
    <row r="9" spans="1:9" x14ac:dyDescent="0.25">
      <c r="B9" s="18"/>
      <c r="E9" s="18"/>
      <c r="H9" s="19"/>
      <c r="I9" s="17"/>
    </row>
    <row r="10" spans="1:9" x14ac:dyDescent="0.25">
      <c r="A10" s="12" t="s">
        <v>107</v>
      </c>
      <c r="B10" s="25">
        <f>B6*(B7+2*B8)</f>
        <v>207658.53239739971</v>
      </c>
      <c r="D10" s="12" t="s">
        <v>107</v>
      </c>
      <c r="E10" s="25">
        <f>E6*(E7+2*E8)</f>
        <v>356021.26879479946</v>
      </c>
    </row>
    <row r="11" spans="1:9" x14ac:dyDescent="0.25">
      <c r="A11" s="12" t="s">
        <v>106</v>
      </c>
      <c r="B11" s="25">
        <f>'Data Sheet'!B9</f>
        <v>388206.4</v>
      </c>
      <c r="D11" s="12" t="s">
        <v>106</v>
      </c>
      <c r="E11" s="25">
        <f>B11</f>
        <v>388206.4</v>
      </c>
      <c r="F11" s="19"/>
    </row>
    <row r="12" spans="1:9" x14ac:dyDescent="0.25">
      <c r="B12" s="18"/>
    </row>
    <row r="13" spans="1:9" x14ac:dyDescent="0.25">
      <c r="A13" s="48" t="s">
        <v>206</v>
      </c>
      <c r="B13" s="18"/>
    </row>
    <row r="14" spans="1:9" x14ac:dyDescent="0.25">
      <c r="A14" s="6" t="s">
        <v>188</v>
      </c>
    </row>
    <row r="15" spans="1:9" x14ac:dyDescent="0.25">
      <c r="A15" s="10" t="s">
        <v>189</v>
      </c>
    </row>
    <row r="17" spans="1:1" x14ac:dyDescent="0.25">
      <c r="A17" s="6" t="s">
        <v>190</v>
      </c>
    </row>
    <row r="18" spans="1:1" x14ac:dyDescent="0.25">
      <c r="A18" s="10" t="s">
        <v>191</v>
      </c>
    </row>
    <row r="20" spans="1:1" x14ac:dyDescent="0.25">
      <c r="A20" s="6" t="s">
        <v>192</v>
      </c>
    </row>
  </sheetData>
  <mergeCells count="2">
    <mergeCell ref="A1:B1"/>
    <mergeCell ref="D1:E1"/>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1C8D-1BA5-4829-B6F3-908F22FF23F9}">
  <dimension ref="A1:F32"/>
  <sheetViews>
    <sheetView workbookViewId="0">
      <selection activeCell="A9" sqref="A9"/>
    </sheetView>
  </sheetViews>
  <sheetFormatPr defaultColWidth="12.77734375" defaultRowHeight="13.2" x14ac:dyDescent="0.25"/>
  <cols>
    <col min="1" max="1" width="32.44140625" style="7" bestFit="1" customWidth="1"/>
    <col min="2" max="2" width="8.88671875" style="7" bestFit="1" customWidth="1"/>
    <col min="3" max="3" width="7.21875" style="7" bestFit="1" customWidth="1"/>
    <col min="4" max="4" width="12.77734375" style="7" bestFit="1" customWidth="1"/>
    <col min="5" max="5" width="8.88671875" style="7" bestFit="1" customWidth="1"/>
    <col min="6" max="6" width="33.44140625" style="7" bestFit="1" customWidth="1"/>
    <col min="7" max="9" width="12.77734375" style="7"/>
    <col min="10" max="10" width="12.77734375" style="7" customWidth="1"/>
    <col min="11" max="16384" width="12.77734375" style="7"/>
  </cols>
  <sheetData>
    <row r="1" spans="1:6" ht="19.2" x14ac:dyDescent="0.35">
      <c r="A1" s="551" t="s">
        <v>161</v>
      </c>
      <c r="B1" s="552"/>
      <c r="C1" s="552"/>
      <c r="D1" s="552"/>
      <c r="E1" s="552"/>
      <c r="F1" s="553"/>
    </row>
    <row r="2" spans="1:6" ht="13.8" thickBot="1" x14ac:dyDescent="0.3">
      <c r="A2" s="554" t="str">
        <f>'Data Sheet'!B1</f>
        <v>SUN PHARMACEUTICAL INDUSTRIES LTD</v>
      </c>
      <c r="B2" s="555"/>
      <c r="C2" s="555"/>
      <c r="D2" s="555"/>
      <c r="E2" s="555"/>
      <c r="F2" s="556"/>
    </row>
    <row r="3" spans="1:6" ht="13.8" thickBot="1" x14ac:dyDescent="0.3">
      <c r="A3" s="41"/>
      <c r="B3" s="41"/>
      <c r="C3" s="41"/>
    </row>
    <row r="4" spans="1:6" ht="13.8" thickBot="1" x14ac:dyDescent="0.3">
      <c r="A4" s="7" t="s">
        <v>162</v>
      </c>
      <c r="B4" s="42">
        <f>'Cash Flow'!B14</f>
        <v>9155.413333333332</v>
      </c>
      <c r="E4" s="111">
        <f>B29</f>
        <v>208415.27076678097</v>
      </c>
      <c r="F4" s="102" t="s">
        <v>165</v>
      </c>
    </row>
    <row r="5" spans="1:6" ht="13.8" thickBot="1" x14ac:dyDescent="0.3">
      <c r="E5" s="112">
        <f>'Data Sheet'!B9</f>
        <v>388206.4</v>
      </c>
      <c r="F5" s="102" t="s">
        <v>160</v>
      </c>
    </row>
    <row r="6" spans="1:6" ht="13.8" thickBot="1" x14ac:dyDescent="0.3">
      <c r="A6" s="43" t="s">
        <v>136</v>
      </c>
      <c r="B6" s="44" t="s">
        <v>137</v>
      </c>
      <c r="C6" s="45" t="s">
        <v>138</v>
      </c>
      <c r="D6" s="46"/>
      <c r="E6" s="104">
        <f>E4/E5</f>
        <v>0.53686716851340155</v>
      </c>
      <c r="F6" s="102" t="s">
        <v>211</v>
      </c>
    </row>
    <row r="7" spans="1:6" ht="13.8" thickBot="1" x14ac:dyDescent="0.3">
      <c r="A7" s="7" t="s">
        <v>139</v>
      </c>
      <c r="B7" s="97">
        <v>0.15</v>
      </c>
      <c r="C7" s="98">
        <v>0.12</v>
      </c>
      <c r="D7" s="47"/>
    </row>
    <row r="8" spans="1:6" ht="13.8" thickBot="1" x14ac:dyDescent="0.3">
      <c r="A8" s="7" t="s">
        <v>120</v>
      </c>
      <c r="B8" s="99">
        <v>0.12</v>
      </c>
      <c r="C8" s="48"/>
    </row>
    <row r="9" spans="1:6" ht="13.8" thickBot="1" x14ac:dyDescent="0.3">
      <c r="A9" s="7" t="s">
        <v>140</v>
      </c>
      <c r="B9" s="100">
        <v>0.02</v>
      </c>
      <c r="C9" s="48"/>
      <c r="F9" s="49"/>
    </row>
    <row r="10" spans="1:6" ht="13.8" thickBot="1" x14ac:dyDescent="0.3">
      <c r="B10" s="50"/>
      <c r="C10" s="48"/>
      <c r="F10" s="49"/>
    </row>
    <row r="11" spans="1:6" ht="13.8" thickBot="1" x14ac:dyDescent="0.3">
      <c r="A11" s="20" t="s">
        <v>163</v>
      </c>
      <c r="B11" s="42">
        <f>'Balance Sheet'!K6-'Balance Sheet'!K19</f>
        <v>-3466.4999999999995</v>
      </c>
      <c r="C11" s="48"/>
      <c r="D11" s="17"/>
    </row>
    <row r="12" spans="1:6" ht="13.8" thickBot="1" x14ac:dyDescent="0.3"/>
    <row r="13" spans="1:6" x14ac:dyDescent="0.25">
      <c r="A13" s="51" t="s">
        <v>109</v>
      </c>
      <c r="B13" s="52" t="s">
        <v>130</v>
      </c>
      <c r="C13" s="52" t="s">
        <v>141</v>
      </c>
      <c r="D13" s="53" t="s">
        <v>142</v>
      </c>
    </row>
    <row r="14" spans="1:6" x14ac:dyDescent="0.25">
      <c r="A14" s="54">
        <v>1</v>
      </c>
      <c r="B14" s="55">
        <f>(B4*C14)+B4</f>
        <v>10528.725333333332</v>
      </c>
      <c r="C14" s="56">
        <f>$B$7</f>
        <v>0.15</v>
      </c>
      <c r="D14" s="57">
        <f t="shared" ref="D14:D23" si="0">B14/((1+$B$8)^A14)</f>
        <v>9400.6476190476169</v>
      </c>
    </row>
    <row r="15" spans="1:6" x14ac:dyDescent="0.25">
      <c r="A15" s="54">
        <v>2</v>
      </c>
      <c r="B15" s="55">
        <f t="shared" ref="B15:B23" si="1">(B14*C15)+B14</f>
        <v>12108.034133333331</v>
      </c>
      <c r="C15" s="56">
        <f>$B$7</f>
        <v>0.15</v>
      </c>
      <c r="D15" s="57">
        <f t="shared" si="0"/>
        <v>9652.4506802721062</v>
      </c>
    </row>
    <row r="16" spans="1:6" x14ac:dyDescent="0.25">
      <c r="A16" s="54">
        <v>3</v>
      </c>
      <c r="B16" s="55">
        <f t="shared" si="1"/>
        <v>13924.23925333333</v>
      </c>
      <c r="C16" s="56">
        <f>$B$7</f>
        <v>0.15</v>
      </c>
      <c r="D16" s="57">
        <f t="shared" si="0"/>
        <v>9910.9984663508203</v>
      </c>
      <c r="F16" s="58"/>
    </row>
    <row r="17" spans="1:6" x14ac:dyDescent="0.25">
      <c r="A17" s="54">
        <v>4</v>
      </c>
      <c r="B17" s="55">
        <f t="shared" si="1"/>
        <v>16012.875141333328</v>
      </c>
      <c r="C17" s="56">
        <f>$B$7</f>
        <v>0.15</v>
      </c>
      <c r="D17" s="57">
        <f t="shared" si="0"/>
        <v>10176.471639556647</v>
      </c>
      <c r="F17" s="49"/>
    </row>
    <row r="18" spans="1:6" x14ac:dyDescent="0.25">
      <c r="A18" s="54">
        <v>5</v>
      </c>
      <c r="B18" s="55">
        <f t="shared" si="1"/>
        <v>18414.806412533326</v>
      </c>
      <c r="C18" s="56">
        <f>$B$7</f>
        <v>0.15</v>
      </c>
      <c r="D18" s="57">
        <f t="shared" si="0"/>
        <v>10449.055701330484</v>
      </c>
      <c r="F18" s="49"/>
    </row>
    <row r="19" spans="1:6" x14ac:dyDescent="0.25">
      <c r="A19" s="54">
        <v>6</v>
      </c>
      <c r="B19" s="55">
        <f t="shared" si="1"/>
        <v>20624.583182037324</v>
      </c>
      <c r="C19" s="56">
        <f>$C$7</f>
        <v>0.12</v>
      </c>
      <c r="D19" s="57">
        <f t="shared" si="0"/>
        <v>10449.055701330482</v>
      </c>
      <c r="F19" s="49"/>
    </row>
    <row r="20" spans="1:6" x14ac:dyDescent="0.25">
      <c r="A20" s="54">
        <v>7</v>
      </c>
      <c r="B20" s="55">
        <f t="shared" si="1"/>
        <v>23099.533163881802</v>
      </c>
      <c r="C20" s="56">
        <f>$C$7</f>
        <v>0.12</v>
      </c>
      <c r="D20" s="57">
        <f t="shared" si="0"/>
        <v>10449.055701330481</v>
      </c>
      <c r="F20" s="49"/>
    </row>
    <row r="21" spans="1:6" x14ac:dyDescent="0.25">
      <c r="A21" s="54">
        <v>8</v>
      </c>
      <c r="B21" s="55">
        <f t="shared" si="1"/>
        <v>25871.477143547618</v>
      </c>
      <c r="C21" s="56">
        <f>$C$7</f>
        <v>0.12</v>
      </c>
      <c r="D21" s="57">
        <f t="shared" si="0"/>
        <v>10449.055701330481</v>
      </c>
    </row>
    <row r="22" spans="1:6" x14ac:dyDescent="0.25">
      <c r="A22" s="54">
        <v>9</v>
      </c>
      <c r="B22" s="55">
        <f t="shared" si="1"/>
        <v>28976.054400773333</v>
      </c>
      <c r="C22" s="56">
        <f>$C$7</f>
        <v>0.12</v>
      </c>
      <c r="D22" s="57">
        <f t="shared" si="0"/>
        <v>10449.055701330481</v>
      </c>
    </row>
    <row r="23" spans="1:6" ht="13.8" thickBot="1" x14ac:dyDescent="0.3">
      <c r="A23" s="59">
        <v>10</v>
      </c>
      <c r="B23" s="60">
        <f t="shared" si="1"/>
        <v>32453.180928866132</v>
      </c>
      <c r="C23" s="61">
        <f>$C$7</f>
        <v>0.12</v>
      </c>
      <c r="D23" s="62">
        <f t="shared" si="0"/>
        <v>10449.055701330479</v>
      </c>
    </row>
    <row r="24" spans="1:6" ht="13.8" thickBot="1" x14ac:dyDescent="0.3">
      <c r="A24" s="63"/>
      <c r="B24" s="64"/>
      <c r="C24" s="65"/>
      <c r="D24" s="66"/>
    </row>
    <row r="25" spans="1:6" x14ac:dyDescent="0.25">
      <c r="A25" s="549" t="s">
        <v>143</v>
      </c>
      <c r="B25" s="550"/>
      <c r="C25" s="65"/>
      <c r="D25" s="66"/>
    </row>
    <row r="26" spans="1:6" x14ac:dyDescent="0.25">
      <c r="A26" s="67" t="s">
        <v>144</v>
      </c>
      <c r="B26" s="57">
        <f>(B23*B9)+B23</f>
        <v>33102.244547443457</v>
      </c>
      <c r="C26" s="65"/>
      <c r="D26" s="64"/>
    </row>
    <row r="27" spans="1:6" x14ac:dyDescent="0.25">
      <c r="A27" s="68" t="s">
        <v>145</v>
      </c>
      <c r="B27" s="57">
        <f>SUM(D14:D23)</f>
        <v>101834.90261321008</v>
      </c>
      <c r="C27" s="20"/>
    </row>
    <row r="28" spans="1:6" x14ac:dyDescent="0.25">
      <c r="A28" s="67" t="s">
        <v>146</v>
      </c>
      <c r="B28" s="57">
        <f>((B26)/($B$8-$B$9))/(1+$B$8)^A23</f>
        <v>106580.36815357089</v>
      </c>
      <c r="C28" s="20"/>
    </row>
    <row r="29" spans="1:6" x14ac:dyDescent="0.25">
      <c r="A29" s="67" t="s">
        <v>147</v>
      </c>
      <c r="B29" s="57">
        <f>B27+B28</f>
        <v>208415.27076678097</v>
      </c>
      <c r="C29" s="20"/>
    </row>
    <row r="30" spans="1:6" x14ac:dyDescent="0.25">
      <c r="A30" s="67" t="s">
        <v>157</v>
      </c>
      <c r="B30" s="57">
        <f>'Data Sheet'!B9</f>
        <v>388206.4</v>
      </c>
      <c r="C30" s="20"/>
    </row>
    <row r="32" spans="1:6" x14ac:dyDescent="0.25">
      <c r="A32" s="128" t="s">
        <v>193</v>
      </c>
      <c r="D32" s="17"/>
    </row>
  </sheetData>
  <mergeCells count="3">
    <mergeCell ref="A25:B25"/>
    <mergeCell ref="A1:F1"/>
    <mergeCell ref="A2:F2"/>
  </mergeCells>
  <hyperlinks>
    <hyperlink ref="A32" r:id="rId1" display="Note: See the explanation of DCF here" xr:uid="{91503647-C77F-463A-9B2F-E18BF48EAA17}"/>
  </hyperlinks>
  <pageMargins left="0.7" right="0.7" top="0.75" bottom="0.75" header="0.3" footer="0.3"/>
  <pageSetup orientation="portrait"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4E50A-9683-4BE8-9E21-BF16FCEC8D13}">
  <dimension ref="A1:M18"/>
  <sheetViews>
    <sheetView workbookViewId="0">
      <selection activeCell="A4" sqref="A4"/>
    </sheetView>
  </sheetViews>
  <sheetFormatPr defaultColWidth="9.21875" defaultRowHeight="13.8" x14ac:dyDescent="0.3"/>
  <cols>
    <col min="1" max="1" width="41.109375" style="83" bestFit="1" customWidth="1"/>
    <col min="2" max="2" width="8.88671875" style="83" bestFit="1" customWidth="1"/>
    <col min="3" max="10" width="6.6640625" style="83" bestFit="1" customWidth="1"/>
    <col min="11" max="11" width="7.6640625" style="83" bestFit="1" customWidth="1"/>
    <col min="12" max="13" width="4.6640625" style="83" bestFit="1" customWidth="1"/>
    <col min="14" max="16384" width="9.21875" style="83"/>
  </cols>
  <sheetData>
    <row r="1" spans="1:13" ht="19.2" x14ac:dyDescent="0.35">
      <c r="A1" s="557" t="s">
        <v>166</v>
      </c>
      <c r="B1" s="558"/>
      <c r="C1" s="558"/>
      <c r="D1" s="558"/>
      <c r="E1" s="558"/>
      <c r="F1" s="558"/>
      <c r="G1" s="558"/>
      <c r="H1" s="558"/>
      <c r="I1" s="558"/>
      <c r="J1" s="558"/>
      <c r="K1" s="558"/>
      <c r="L1" s="558"/>
      <c r="M1" s="559"/>
    </row>
    <row r="2" spans="1:13" x14ac:dyDescent="0.3">
      <c r="A2" s="560" t="str">
        <f>'Data Sheet'!B1</f>
        <v>SUN PHARMACEUTICAL INDUSTRIES LTD</v>
      </c>
      <c r="B2" s="561"/>
      <c r="C2" s="561"/>
      <c r="D2" s="561"/>
      <c r="E2" s="561"/>
      <c r="F2" s="561"/>
      <c r="G2" s="561"/>
      <c r="H2" s="561"/>
      <c r="I2" s="561"/>
      <c r="J2" s="561"/>
      <c r="K2" s="561"/>
      <c r="L2" s="561"/>
      <c r="M2" s="562"/>
    </row>
    <row r="3" spans="1:13" x14ac:dyDescent="0.3">
      <c r="A3" s="69" t="s">
        <v>148</v>
      </c>
      <c r="B3" s="70">
        <f>'Data Sheet'!B16</f>
        <v>42460</v>
      </c>
      <c r="C3" s="70">
        <f>'Data Sheet'!C16</f>
        <v>42825</v>
      </c>
      <c r="D3" s="70">
        <f>'Data Sheet'!D16</f>
        <v>43190</v>
      </c>
      <c r="E3" s="70">
        <f>'Data Sheet'!E16</f>
        <v>43555</v>
      </c>
      <c r="F3" s="70">
        <f>'Data Sheet'!F16</f>
        <v>43921</v>
      </c>
      <c r="G3" s="70">
        <f>'Data Sheet'!G16</f>
        <v>44286</v>
      </c>
      <c r="H3" s="70">
        <f>'Data Sheet'!H16</f>
        <v>44651</v>
      </c>
      <c r="I3" s="70">
        <f>'Data Sheet'!I16</f>
        <v>45016</v>
      </c>
      <c r="J3" s="70">
        <f>'Data Sheet'!J16</f>
        <v>45382</v>
      </c>
      <c r="K3" s="70">
        <f>'Data Sheet'!K16</f>
        <v>45747</v>
      </c>
      <c r="L3" s="84" t="s">
        <v>152</v>
      </c>
      <c r="M3" s="85" t="s">
        <v>149</v>
      </c>
    </row>
    <row r="4" spans="1:13" x14ac:dyDescent="0.3">
      <c r="A4" s="71" t="s">
        <v>155</v>
      </c>
      <c r="B4" s="86">
        <f>'Data Sheet'!B30</f>
        <v>4545.71</v>
      </c>
      <c r="C4" s="86">
        <f>'Data Sheet'!C30</f>
        <v>6964.37</v>
      </c>
      <c r="D4" s="86">
        <f>'Data Sheet'!D30</f>
        <v>2095.6999999999998</v>
      </c>
      <c r="E4" s="86">
        <f>'Data Sheet'!E30</f>
        <v>2665.42</v>
      </c>
      <c r="F4" s="86">
        <f>'Data Sheet'!F30</f>
        <v>3764.93</v>
      </c>
      <c r="G4" s="86">
        <f>'Data Sheet'!G30</f>
        <v>2903.82</v>
      </c>
      <c r="H4" s="86">
        <f>'Data Sheet'!H30</f>
        <v>3272.73</v>
      </c>
      <c r="I4" s="86">
        <f>'Data Sheet'!I30</f>
        <v>8473.58</v>
      </c>
      <c r="J4" s="86">
        <f>'Data Sheet'!J30</f>
        <v>9576.3799999999992</v>
      </c>
      <c r="K4" s="86">
        <f>'Data Sheet'!K30</f>
        <v>10929.04</v>
      </c>
      <c r="L4" s="88">
        <f>(K4/B4)^(1/9)-1</f>
        <v>0.10237953770189989</v>
      </c>
      <c r="M4" s="89">
        <f>(K4/F4)^(1/5)-1</f>
        <v>0.23755646113399664</v>
      </c>
    </row>
    <row r="5" spans="1:13" x14ac:dyDescent="0.3">
      <c r="A5" s="72" t="s">
        <v>91</v>
      </c>
      <c r="B5" s="73">
        <f>B4/'Data Sheet'!B17</f>
        <v>0.15957121539170635</v>
      </c>
      <c r="C5" s="73">
        <f>C4/'Data Sheet'!C17</f>
        <v>0.22054192670695577</v>
      </c>
      <c r="D5" s="73">
        <f>D4/'Data Sheet'!D17</f>
        <v>7.9114485535001458E-2</v>
      </c>
      <c r="E5" s="73">
        <f>E4/'Data Sheet'!E17</f>
        <v>9.170261657040843E-2</v>
      </c>
      <c r="F5" s="73">
        <f>F4/'Data Sheet'!F17</f>
        <v>0.11465336886181957</v>
      </c>
      <c r="G5" s="73">
        <f>G4/'Data Sheet'!G17</f>
        <v>8.6686007043973196E-2</v>
      </c>
      <c r="H5" s="73">
        <f>H4/'Data Sheet'!H17</f>
        <v>8.4666231529636024E-2</v>
      </c>
      <c r="I5" s="73">
        <f>I4/'Data Sheet'!I17</f>
        <v>0.19308302845028263</v>
      </c>
      <c r="J5" s="73">
        <f>J4/'Data Sheet'!J17</f>
        <v>0.19746395899939892</v>
      </c>
      <c r="K5" s="73">
        <f>K4/'Data Sheet'!K17</f>
        <v>0.20786162541148046</v>
      </c>
      <c r="L5" s="90"/>
      <c r="M5" s="91"/>
    </row>
    <row r="6" spans="1:13" ht="14.4" thickBot="1" x14ac:dyDescent="0.35">
      <c r="A6" s="74" t="s">
        <v>55</v>
      </c>
      <c r="B6" s="75">
        <f>'Balance Sheet'!B26</f>
        <v>0.17151105677923548</v>
      </c>
      <c r="C6" s="75">
        <f>'Balance Sheet'!C26</f>
        <v>0.21387474286749847</v>
      </c>
      <c r="D6" s="75">
        <f>'Balance Sheet'!D26</f>
        <v>6.7023349883371899E-2</v>
      </c>
      <c r="E6" s="75">
        <f>'Balance Sheet'!E26</f>
        <v>7.7502845995538264E-2</v>
      </c>
      <c r="F6" s="75">
        <f>'Balance Sheet'!F26</f>
        <v>9.2496208393120963E-2</v>
      </c>
      <c r="G6" s="75">
        <f>'Balance Sheet'!G26</f>
        <v>4.9172262184914453E-2</v>
      </c>
      <c r="H6" s="75">
        <f>'Balance Sheet'!H26</f>
        <v>7.0938001575464982E-2</v>
      </c>
      <c r="I6" s="75">
        <f>'Balance Sheet'!I26</f>
        <v>0.15288475584950043</v>
      </c>
      <c r="J6" s="75">
        <f>'Balance Sheet'!J26</f>
        <v>0.15154597965185904</v>
      </c>
      <c r="K6" s="75">
        <f>'Balance Sheet'!K26</f>
        <v>0.15204100029327869</v>
      </c>
      <c r="L6" s="92"/>
      <c r="M6" s="93"/>
    </row>
    <row r="7" spans="1:13" x14ac:dyDescent="0.3">
      <c r="A7" s="76"/>
      <c r="B7" s="77"/>
      <c r="C7" s="77"/>
      <c r="D7" s="77"/>
      <c r="E7" s="77"/>
      <c r="F7" s="77"/>
      <c r="G7" s="77"/>
      <c r="H7" s="77"/>
      <c r="I7" s="77"/>
      <c r="J7" s="77"/>
      <c r="K7" s="77"/>
      <c r="L7" s="77"/>
      <c r="M7" s="77"/>
    </row>
    <row r="8" spans="1:13" ht="14.4" thickBot="1" x14ac:dyDescent="0.35">
      <c r="A8" s="6" t="s">
        <v>159</v>
      </c>
      <c r="B8" s="78"/>
      <c r="C8" s="78"/>
      <c r="D8" s="78"/>
      <c r="E8" s="78"/>
      <c r="F8" s="78"/>
      <c r="G8" s="78"/>
      <c r="H8" s="78"/>
      <c r="I8" s="78"/>
      <c r="J8" s="78"/>
      <c r="K8" s="78"/>
      <c r="L8" s="19"/>
      <c r="M8" s="19"/>
    </row>
    <row r="9" spans="1:13" x14ac:dyDescent="0.3">
      <c r="A9" s="79" t="s">
        <v>153</v>
      </c>
      <c r="B9" s="95">
        <v>0.12</v>
      </c>
      <c r="C9" s="7"/>
      <c r="D9" s="7"/>
      <c r="E9" s="7"/>
      <c r="F9" s="7"/>
      <c r="G9" s="7"/>
      <c r="H9" s="7"/>
      <c r="I9" s="7"/>
      <c r="J9" s="7"/>
      <c r="K9" s="7"/>
      <c r="L9" s="7"/>
      <c r="M9" s="7"/>
    </row>
    <row r="10" spans="1:13" x14ac:dyDescent="0.3">
      <c r="A10" s="80" t="s">
        <v>154</v>
      </c>
      <c r="B10" s="81">
        <f>K4*(1+B9)^10</f>
        <v>33943.939302922219</v>
      </c>
      <c r="C10" s="82"/>
      <c r="D10" s="7"/>
      <c r="E10" s="7"/>
      <c r="F10" s="7"/>
      <c r="G10" s="7"/>
      <c r="H10" s="7"/>
      <c r="I10" s="7"/>
      <c r="J10" s="7"/>
      <c r="K10" s="7"/>
      <c r="L10" s="7"/>
      <c r="M10" s="7"/>
    </row>
    <row r="11" spans="1:13" x14ac:dyDescent="0.3">
      <c r="A11" s="80" t="s">
        <v>150</v>
      </c>
      <c r="B11" s="94">
        <f>'Data Sheet'!B9/'Data Sheet'!K30</f>
        <v>35.520631272280092</v>
      </c>
      <c r="C11" s="7"/>
      <c r="D11" s="7"/>
      <c r="E11" s="7"/>
      <c r="F11" s="7"/>
      <c r="G11" s="7"/>
      <c r="H11" s="7"/>
      <c r="I11" s="7"/>
      <c r="J11" s="7"/>
      <c r="K11" s="7"/>
      <c r="L11" s="7"/>
      <c r="M11" s="7"/>
    </row>
    <row r="12" spans="1:13" x14ac:dyDescent="0.3">
      <c r="A12" s="80" t="s">
        <v>151</v>
      </c>
      <c r="B12" s="96">
        <v>20</v>
      </c>
      <c r="C12" s="7"/>
      <c r="D12" s="7"/>
      <c r="E12" s="7"/>
      <c r="F12" s="7"/>
      <c r="G12" s="7"/>
      <c r="H12" s="7"/>
      <c r="I12" s="7"/>
      <c r="J12" s="7"/>
      <c r="K12" s="7"/>
      <c r="L12" s="7"/>
      <c r="M12" s="7"/>
    </row>
    <row r="13" spans="1:13" x14ac:dyDescent="0.3">
      <c r="A13" s="80" t="s">
        <v>156</v>
      </c>
      <c r="B13" s="81">
        <f>B10*B12</f>
        <v>678878.78605844441</v>
      </c>
      <c r="C13" s="7"/>
      <c r="D13" s="7"/>
      <c r="E13" s="7"/>
      <c r="F13" s="7"/>
      <c r="G13" s="7"/>
      <c r="H13" s="7"/>
      <c r="I13" s="7"/>
      <c r="J13" s="7"/>
      <c r="K13" s="7"/>
      <c r="L13" s="7"/>
      <c r="M13" s="7"/>
    </row>
    <row r="14" spans="1:13" x14ac:dyDescent="0.3">
      <c r="A14" s="80" t="s">
        <v>178</v>
      </c>
      <c r="B14" s="87">
        <f>DCF!B8</f>
        <v>0.12</v>
      </c>
      <c r="C14" s="7"/>
      <c r="D14" s="7"/>
      <c r="E14" s="7"/>
      <c r="F14" s="7"/>
      <c r="G14" s="7"/>
      <c r="H14" s="7"/>
      <c r="I14" s="7"/>
      <c r="J14" s="7"/>
      <c r="K14" s="7"/>
      <c r="L14" s="7"/>
      <c r="M14" s="7"/>
    </row>
    <row r="15" spans="1:13" x14ac:dyDescent="0.3">
      <c r="A15" s="80" t="s">
        <v>158</v>
      </c>
      <c r="B15" s="113">
        <f>B13/(1+B14)^10</f>
        <v>218580.80000000002</v>
      </c>
      <c r="C15" s="7"/>
      <c r="D15" s="7"/>
      <c r="E15" s="7"/>
      <c r="F15" s="7"/>
      <c r="G15" s="7"/>
      <c r="H15" s="7"/>
      <c r="I15" s="7"/>
      <c r="J15" s="7"/>
      <c r="K15" s="7"/>
      <c r="L15" s="7"/>
      <c r="M15" s="7"/>
    </row>
    <row r="16" spans="1:13" x14ac:dyDescent="0.3">
      <c r="A16" s="80" t="s">
        <v>157</v>
      </c>
      <c r="B16" s="113">
        <f>'Data Sheet'!B9</f>
        <v>388206.4</v>
      </c>
      <c r="C16" s="7"/>
      <c r="D16" s="7"/>
      <c r="E16" s="7"/>
      <c r="F16" s="7"/>
      <c r="G16" s="7"/>
      <c r="H16" s="7"/>
      <c r="I16" s="7"/>
      <c r="J16" s="7"/>
      <c r="K16" s="7"/>
      <c r="L16" s="7"/>
      <c r="M16" s="7"/>
    </row>
    <row r="17" spans="1:13" x14ac:dyDescent="0.3">
      <c r="A17" s="7"/>
      <c r="B17" s="7"/>
      <c r="C17" s="7"/>
      <c r="D17" s="7"/>
      <c r="E17" s="7"/>
      <c r="F17" s="7"/>
      <c r="G17" s="7"/>
      <c r="H17" s="7"/>
      <c r="I17" s="7"/>
      <c r="J17" s="7"/>
      <c r="K17" s="7"/>
      <c r="L17" s="7"/>
      <c r="M17" s="7"/>
    </row>
    <row r="18" spans="1:13" x14ac:dyDescent="0.3">
      <c r="A18" s="127" t="s">
        <v>194</v>
      </c>
    </row>
  </sheetData>
  <mergeCells count="2">
    <mergeCell ref="A1:M1"/>
    <mergeCell ref="A2:M2"/>
  </mergeCells>
  <hyperlinks>
    <hyperlink ref="A18" r:id="rId1" display="See the explanation of this model here" xr:uid="{0C82AB57-CC6D-432D-ACCA-FA9353EEAB84}"/>
  </hyperlinks>
  <pageMargins left="0.7" right="0.7" top="0.75" bottom="0.75" header="0.3" footer="0.3"/>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FDF3-13FA-4D4B-9E56-32A4D599152A}">
  <dimension ref="A1:I21"/>
  <sheetViews>
    <sheetView workbookViewId="0">
      <selection activeCell="B6" sqref="B6"/>
    </sheetView>
  </sheetViews>
  <sheetFormatPr defaultColWidth="8.77734375" defaultRowHeight="13.2" x14ac:dyDescent="0.25"/>
  <cols>
    <col min="1" max="1" width="18.44140625" style="165" bestFit="1" customWidth="1"/>
    <col min="2" max="3" width="8.6640625" style="165" bestFit="1" customWidth="1"/>
    <col min="4" max="8" width="8.77734375" style="165"/>
    <col min="9" max="9" width="31.44140625" style="165" customWidth="1"/>
    <col min="10" max="16384" width="8.77734375" style="165"/>
  </cols>
  <sheetData>
    <row r="1" spans="1:9" ht="19.2" x14ac:dyDescent="0.35">
      <c r="A1" s="563" t="s">
        <v>195</v>
      </c>
      <c r="B1" s="564"/>
      <c r="C1" s="565"/>
      <c r="F1" s="571" t="s">
        <v>242</v>
      </c>
      <c r="G1" s="572"/>
      <c r="H1" s="572"/>
      <c r="I1" s="573"/>
    </row>
    <row r="2" spans="1:9" x14ac:dyDescent="0.25">
      <c r="A2" s="566" t="str">
        <f>'Data Sheet'!B1</f>
        <v>SUN PHARMACEUTICAL INDUSTRIES LTD</v>
      </c>
      <c r="B2" s="567"/>
      <c r="C2" s="568"/>
      <c r="F2" s="574"/>
      <c r="G2" s="575"/>
      <c r="H2" s="575"/>
      <c r="I2" s="576"/>
    </row>
    <row r="3" spans="1:9" x14ac:dyDescent="0.25">
      <c r="A3" s="166"/>
      <c r="B3" s="167" t="s">
        <v>176</v>
      </c>
      <c r="C3" s="168" t="s">
        <v>177</v>
      </c>
      <c r="F3" s="574"/>
      <c r="G3" s="575"/>
      <c r="H3" s="575"/>
      <c r="I3" s="576"/>
    </row>
    <row r="4" spans="1:9" x14ac:dyDescent="0.25">
      <c r="A4" s="251" t="s">
        <v>134</v>
      </c>
      <c r="B4" s="169">
        <f>'Dhandho IV'!D19</f>
        <v>168052.89076721901</v>
      </c>
      <c r="C4" s="169">
        <f>'Dhandho IV'!K19</f>
        <v>289791.83606389101</v>
      </c>
      <c r="F4" s="574"/>
      <c r="G4" s="575"/>
      <c r="H4" s="575"/>
      <c r="I4" s="576"/>
    </row>
    <row r="5" spans="1:9" x14ac:dyDescent="0.25">
      <c r="A5" s="251" t="s">
        <v>135</v>
      </c>
      <c r="B5" s="169">
        <f>'Ben Graham Formula'!B10</f>
        <v>207658.53239739971</v>
      </c>
      <c r="C5" s="169">
        <f>'Ben Graham Formula'!E10</f>
        <v>356021.26879479946</v>
      </c>
      <c r="F5" s="574"/>
      <c r="G5" s="575"/>
      <c r="H5" s="575"/>
      <c r="I5" s="576"/>
    </row>
    <row r="6" spans="1:9" x14ac:dyDescent="0.25">
      <c r="A6" s="251" t="s">
        <v>164</v>
      </c>
      <c r="B6" s="169">
        <f>DCF!B29</f>
        <v>208415.27076678097</v>
      </c>
      <c r="C6" s="169"/>
      <c r="F6" s="574"/>
      <c r="G6" s="575"/>
      <c r="H6" s="575"/>
      <c r="I6" s="576"/>
    </row>
    <row r="7" spans="1:9" x14ac:dyDescent="0.25">
      <c r="A7" s="251" t="s">
        <v>167</v>
      </c>
      <c r="B7" s="169">
        <f>'Expected Returns'!B15</f>
        <v>218580.80000000002</v>
      </c>
      <c r="C7" s="169"/>
      <c r="F7" s="574"/>
      <c r="G7" s="575"/>
      <c r="H7" s="575"/>
      <c r="I7" s="576"/>
    </row>
    <row r="8" spans="1:9" x14ac:dyDescent="0.25">
      <c r="A8" s="252" t="s">
        <v>212</v>
      </c>
      <c r="B8" s="569">
        <f>'Data Sheet'!B9</f>
        <v>388206.4</v>
      </c>
      <c r="C8" s="570"/>
      <c r="F8" s="574"/>
      <c r="G8" s="575"/>
      <c r="H8" s="575"/>
      <c r="I8" s="576"/>
    </row>
    <row r="9" spans="1:9" ht="13.8" thickBot="1" x14ac:dyDescent="0.3">
      <c r="F9" s="574"/>
      <c r="G9" s="575"/>
      <c r="H9" s="575"/>
      <c r="I9" s="576"/>
    </row>
    <row r="10" spans="1:9" ht="12.45" customHeight="1" x14ac:dyDescent="0.25">
      <c r="A10" s="513" t="s">
        <v>241</v>
      </c>
      <c r="B10" s="514"/>
      <c r="C10" s="515"/>
      <c r="F10" s="574"/>
      <c r="G10" s="575"/>
      <c r="H10" s="575"/>
      <c r="I10" s="576"/>
    </row>
    <row r="11" spans="1:9" x14ac:dyDescent="0.25">
      <c r="A11" s="516"/>
      <c r="B11" s="517"/>
      <c r="C11" s="518"/>
      <c r="F11" s="574"/>
      <c r="G11" s="575"/>
      <c r="H11" s="575"/>
      <c r="I11" s="576"/>
    </row>
    <row r="12" spans="1:9" x14ac:dyDescent="0.25">
      <c r="A12" s="516"/>
      <c r="B12" s="517"/>
      <c r="C12" s="518"/>
      <c r="F12" s="574"/>
      <c r="G12" s="575"/>
      <c r="H12" s="575"/>
      <c r="I12" s="576"/>
    </row>
    <row r="13" spans="1:9" x14ac:dyDescent="0.25">
      <c r="A13" s="516"/>
      <c r="B13" s="517"/>
      <c r="C13" s="518"/>
      <c r="F13" s="574"/>
      <c r="G13" s="575"/>
      <c r="H13" s="575"/>
      <c r="I13" s="576"/>
    </row>
    <row r="14" spans="1:9" x14ac:dyDescent="0.25">
      <c r="A14" s="516"/>
      <c r="B14" s="517"/>
      <c r="C14" s="518"/>
      <c r="F14" s="574"/>
      <c r="G14" s="575"/>
      <c r="H14" s="575"/>
      <c r="I14" s="576"/>
    </row>
    <row r="15" spans="1:9" x14ac:dyDescent="0.25">
      <c r="A15" s="516"/>
      <c r="B15" s="517"/>
      <c r="C15" s="518"/>
      <c r="F15" s="574"/>
      <c r="G15" s="575"/>
      <c r="H15" s="575"/>
      <c r="I15" s="576"/>
    </row>
    <row r="16" spans="1:9" x14ac:dyDescent="0.25">
      <c r="A16" s="516"/>
      <c r="B16" s="517"/>
      <c r="C16" s="518"/>
      <c r="F16" s="574"/>
      <c r="G16" s="575"/>
      <c r="H16" s="575"/>
      <c r="I16" s="576"/>
    </row>
    <row r="17" spans="1:9" ht="13.8" thickBot="1" x14ac:dyDescent="0.3">
      <c r="A17" s="516"/>
      <c r="B17" s="517"/>
      <c r="C17" s="518"/>
      <c r="F17" s="577"/>
      <c r="G17" s="578"/>
      <c r="H17" s="578"/>
      <c r="I17" s="579"/>
    </row>
    <row r="18" spans="1:9" x14ac:dyDescent="0.25">
      <c r="A18" s="516"/>
      <c r="B18" s="517"/>
      <c r="C18" s="518"/>
    </row>
    <row r="19" spans="1:9" x14ac:dyDescent="0.25">
      <c r="A19" s="516"/>
      <c r="B19" s="517"/>
      <c r="C19" s="518"/>
    </row>
    <row r="20" spans="1:9" x14ac:dyDescent="0.25">
      <c r="A20" s="516"/>
      <c r="B20" s="517"/>
      <c r="C20" s="518"/>
    </row>
    <row r="21" spans="1:9" ht="13.8" thickBot="1" x14ac:dyDescent="0.3">
      <c r="A21" s="519"/>
      <c r="B21" s="520"/>
      <c r="C21" s="521"/>
    </row>
  </sheetData>
  <mergeCells count="5">
    <mergeCell ref="A1:C1"/>
    <mergeCell ref="A2:C2"/>
    <mergeCell ref="B8:C8"/>
    <mergeCell ref="F1:I17"/>
    <mergeCell ref="A10:C21"/>
  </mergeCells>
  <hyperlinks>
    <hyperlink ref="A4" location="'Dhandho IV'!A1" display="Dhandho" xr:uid="{E3728223-A55B-4E6F-A02B-7286FDC6C156}"/>
    <hyperlink ref="A5" location="'Ben Graham Formula'!A1" display="Ben Graham" xr:uid="{25E8EF9C-58BF-4054-B6D3-DB7334C079EB}"/>
    <hyperlink ref="A6" location="DCF!A1" display="DCF" xr:uid="{0CBB9F28-20F5-4466-9A4C-7D0677B9E2AC}"/>
    <hyperlink ref="A7" location="'Expected Returns'!A1" display="Expected Return" xr:uid="{86AD994D-6230-4DAA-B45F-F46D4C133A6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L25"/>
  <sheetViews>
    <sheetView workbookViewId="0">
      <pane xSplit="1" ySplit="3" topLeftCell="B4" activePane="bottomRight" state="frozen"/>
      <selection pane="topRight" activeCell="B1" sqref="B1"/>
      <selection pane="bottomLeft" activeCell="A4" sqref="A4"/>
      <selection pane="bottomRight" activeCell="B9" sqref="B9"/>
    </sheetView>
  </sheetViews>
  <sheetFormatPr defaultColWidth="9.21875" defaultRowHeight="13.2" x14ac:dyDescent="0.25"/>
  <cols>
    <col min="1" max="1" width="21.77734375" style="7" bestFit="1" customWidth="1"/>
    <col min="2" max="11" width="7.6640625" style="7" bestFit="1" customWidth="1"/>
    <col min="12" max="16384" width="9.21875" style="7"/>
  </cols>
  <sheetData>
    <row r="1" spans="1:11" s="6" customFormat="1" x14ac:dyDescent="0.25">
      <c r="A1" s="6" t="str">
        <f>'Profit &amp; Loss'!A2</f>
        <v>SUN PHARMACEUTICAL INDUSTRIES LTD</v>
      </c>
      <c r="E1" s="7" t="str">
        <f>UPDATE</f>
        <v/>
      </c>
    </row>
    <row r="2" spans="1:11" x14ac:dyDescent="0.25">
      <c r="A2" s="6" t="s">
        <v>1</v>
      </c>
    </row>
    <row r="3" spans="1:11" s="6" customFormat="1" x14ac:dyDescent="0.25">
      <c r="A3" s="114" t="s">
        <v>2</v>
      </c>
      <c r="B3" s="115">
        <f>'Data Sheet'!B41</f>
        <v>45016</v>
      </c>
      <c r="C3" s="115">
        <f>'Data Sheet'!C41</f>
        <v>45107</v>
      </c>
      <c r="D3" s="115">
        <f>'Data Sheet'!D41</f>
        <v>45199</v>
      </c>
      <c r="E3" s="115">
        <f>'Data Sheet'!E41</f>
        <v>45291</v>
      </c>
      <c r="F3" s="115">
        <f>'Data Sheet'!F41</f>
        <v>45382</v>
      </c>
      <c r="G3" s="115">
        <f>'Data Sheet'!G41</f>
        <v>45473</v>
      </c>
      <c r="H3" s="115">
        <f>'Data Sheet'!H41</f>
        <v>45565</v>
      </c>
      <c r="I3" s="115">
        <f>'Data Sheet'!I41</f>
        <v>45657</v>
      </c>
      <c r="J3" s="115">
        <f>'Data Sheet'!J41</f>
        <v>45747</v>
      </c>
      <c r="K3" s="116">
        <f>'Data Sheet'!K41</f>
        <v>45838</v>
      </c>
    </row>
    <row r="4" spans="1:11" s="6" customFormat="1" x14ac:dyDescent="0.25">
      <c r="A4" s="117" t="s">
        <v>4</v>
      </c>
      <c r="B4" s="108">
        <f>'Data Sheet'!B42</f>
        <v>10930.67</v>
      </c>
      <c r="C4" s="108">
        <f>'Data Sheet'!C42</f>
        <v>11940.84</v>
      </c>
      <c r="D4" s="108">
        <f>'Data Sheet'!D42</f>
        <v>12192.41</v>
      </c>
      <c r="E4" s="108">
        <f>'Data Sheet'!E42</f>
        <v>12380.7</v>
      </c>
      <c r="F4" s="108">
        <f>'Data Sheet'!F42</f>
        <v>11982.9</v>
      </c>
      <c r="G4" s="108">
        <f>'Data Sheet'!G42</f>
        <v>12652.75</v>
      </c>
      <c r="H4" s="108">
        <f>'Data Sheet'!H42</f>
        <v>13291.39</v>
      </c>
      <c r="I4" s="108">
        <f>'Data Sheet'!I42</f>
        <v>13675.46</v>
      </c>
      <c r="J4" s="108">
        <f>'Data Sheet'!J42</f>
        <v>12958.84</v>
      </c>
      <c r="K4" s="118">
        <f>'Data Sheet'!K42</f>
        <v>13851.4</v>
      </c>
    </row>
    <row r="5" spans="1:11" s="10" customFormat="1" x14ac:dyDescent="0.25">
      <c r="A5" s="119" t="s">
        <v>92</v>
      </c>
      <c r="B5" s="120"/>
      <c r="C5" s="120"/>
      <c r="D5" s="120"/>
      <c r="E5" s="120"/>
      <c r="F5" s="107">
        <f>F4/B4-1</f>
        <v>9.6263998455721422E-2</v>
      </c>
      <c r="G5" s="107">
        <f t="shared" ref="G5:K5" si="0">G4/C4-1</f>
        <v>5.9619758743940876E-2</v>
      </c>
      <c r="H5" s="107">
        <f t="shared" si="0"/>
        <v>9.0136404533640135E-2</v>
      </c>
      <c r="I5" s="107">
        <f t="shared" si="0"/>
        <v>0.10457890103144396</v>
      </c>
      <c r="J5" s="107">
        <f t="shared" si="0"/>
        <v>8.1444391591350973E-2</v>
      </c>
      <c r="K5" s="121">
        <f t="shared" si="0"/>
        <v>9.4734346288356308E-2</v>
      </c>
    </row>
    <row r="6" spans="1:11" x14ac:dyDescent="0.25">
      <c r="A6" s="122" t="s">
        <v>5</v>
      </c>
      <c r="B6" s="24">
        <f>'Data Sheet'!B43</f>
        <v>8128.54</v>
      </c>
      <c r="C6" s="24">
        <f>'Data Sheet'!C43</f>
        <v>8609.07</v>
      </c>
      <c r="D6" s="24">
        <f>'Data Sheet'!D43</f>
        <v>9013.0300000000007</v>
      </c>
      <c r="E6" s="24">
        <f>'Data Sheet'!E43</f>
        <v>8903.8700000000008</v>
      </c>
      <c r="F6" s="24">
        <f>'Data Sheet'!F43</f>
        <v>8947.75</v>
      </c>
      <c r="G6" s="24">
        <f>'Data Sheet'!G43</f>
        <v>9045.1299999999992</v>
      </c>
      <c r="H6" s="24">
        <f>'Data Sheet'!H43</f>
        <v>9352.43</v>
      </c>
      <c r="I6" s="24">
        <f>'Data Sheet'!I43</f>
        <v>9666.44</v>
      </c>
      <c r="J6" s="24">
        <f>'Data Sheet'!J43</f>
        <v>9242.75</v>
      </c>
      <c r="K6" s="123">
        <f>'Data Sheet'!K43</f>
        <v>9549.74</v>
      </c>
    </row>
    <row r="7" spans="1:11" s="6" customFormat="1" x14ac:dyDescent="0.25">
      <c r="A7" s="117" t="s">
        <v>6</v>
      </c>
      <c r="B7" s="108">
        <f>'Data Sheet'!B50</f>
        <v>2802.13</v>
      </c>
      <c r="C7" s="108">
        <f>'Data Sheet'!C50</f>
        <v>3331.77</v>
      </c>
      <c r="D7" s="108">
        <f>'Data Sheet'!D50</f>
        <v>3179.38</v>
      </c>
      <c r="E7" s="108">
        <f>'Data Sheet'!E50</f>
        <v>3476.83</v>
      </c>
      <c r="F7" s="108">
        <f>'Data Sheet'!F50</f>
        <v>3035.15</v>
      </c>
      <c r="G7" s="108">
        <f>'Data Sheet'!G50</f>
        <v>3607.62</v>
      </c>
      <c r="H7" s="108">
        <f>'Data Sheet'!H50</f>
        <v>3938.96</v>
      </c>
      <c r="I7" s="108">
        <f>'Data Sheet'!I50</f>
        <v>4009.02</v>
      </c>
      <c r="J7" s="108">
        <f>'Data Sheet'!J50</f>
        <v>3716.09</v>
      </c>
      <c r="K7" s="118">
        <f>'Data Sheet'!K50</f>
        <v>4301.66</v>
      </c>
    </row>
    <row r="8" spans="1:11" x14ac:dyDescent="0.25">
      <c r="A8" s="122" t="s">
        <v>7</v>
      </c>
      <c r="B8" s="24">
        <f>'Data Sheet'!B44</f>
        <v>201.83</v>
      </c>
      <c r="C8" s="24">
        <f>'Data Sheet'!C44</f>
        <v>-118.43</v>
      </c>
      <c r="D8" s="24">
        <f>'Data Sheet'!D44</f>
        <v>293.61</v>
      </c>
      <c r="E8" s="24">
        <f>'Data Sheet'!E44</f>
        <v>180.39</v>
      </c>
      <c r="F8" s="24">
        <f>'Data Sheet'!F44</f>
        <v>504.3</v>
      </c>
      <c r="G8" s="24">
        <f>'Data Sheet'!G44</f>
        <v>532.54999999999995</v>
      </c>
      <c r="H8" s="24">
        <f>'Data Sheet'!H44</f>
        <v>354</v>
      </c>
      <c r="I8" s="24">
        <f>'Data Sheet'!I44</f>
        <v>149.44999999999999</v>
      </c>
      <c r="J8" s="24">
        <f>'Data Sheet'!J44</f>
        <v>251.19</v>
      </c>
      <c r="K8" s="123">
        <f>'Data Sheet'!K44</f>
        <v>-353.54</v>
      </c>
    </row>
    <row r="9" spans="1:11" x14ac:dyDescent="0.25">
      <c r="A9" s="122" t="s">
        <v>8</v>
      </c>
      <c r="B9" s="24">
        <f>'Data Sheet'!B45</f>
        <v>671.53</v>
      </c>
      <c r="C9" s="24">
        <f>'Data Sheet'!C45</f>
        <v>651.32000000000005</v>
      </c>
      <c r="D9" s="24">
        <f>'Data Sheet'!D45</f>
        <v>632.82000000000005</v>
      </c>
      <c r="E9" s="24">
        <f>'Data Sheet'!E45</f>
        <v>622.14</v>
      </c>
      <c r="F9" s="24">
        <f>'Data Sheet'!F45</f>
        <v>650.36</v>
      </c>
      <c r="G9" s="24">
        <f>'Data Sheet'!G45</f>
        <v>655.13</v>
      </c>
      <c r="H9" s="24">
        <f>'Data Sheet'!H45</f>
        <v>625.91</v>
      </c>
      <c r="I9" s="24">
        <f>'Data Sheet'!I45</f>
        <v>630.55999999999995</v>
      </c>
      <c r="J9" s="24">
        <f>'Data Sheet'!J45</f>
        <v>663.79</v>
      </c>
      <c r="K9" s="123">
        <f>'Data Sheet'!K45</f>
        <v>700.55</v>
      </c>
    </row>
    <row r="10" spans="1:11" x14ac:dyDescent="0.25">
      <c r="A10" s="122" t="s">
        <v>9</v>
      </c>
      <c r="B10" s="24">
        <f>'Data Sheet'!B46</f>
        <v>92.74</v>
      </c>
      <c r="C10" s="24">
        <f>'Data Sheet'!C46</f>
        <v>80.88</v>
      </c>
      <c r="D10" s="24">
        <f>'Data Sheet'!D46</f>
        <v>49.29</v>
      </c>
      <c r="E10" s="24">
        <f>'Data Sheet'!E46</f>
        <v>34.729999999999997</v>
      </c>
      <c r="F10" s="24">
        <f>'Data Sheet'!F46</f>
        <v>73.569999999999993</v>
      </c>
      <c r="G10" s="24">
        <f>'Data Sheet'!G46</f>
        <v>61.54</v>
      </c>
      <c r="H10" s="24">
        <f>'Data Sheet'!H46</f>
        <v>69.17</v>
      </c>
      <c r="I10" s="24">
        <f>'Data Sheet'!I46</f>
        <v>51.51</v>
      </c>
      <c r="J10" s="24">
        <f>'Data Sheet'!J46</f>
        <v>49.14</v>
      </c>
      <c r="K10" s="123">
        <f>'Data Sheet'!K46</f>
        <v>74.8</v>
      </c>
    </row>
    <row r="11" spans="1:11" x14ac:dyDescent="0.25">
      <c r="A11" s="122" t="s">
        <v>10</v>
      </c>
      <c r="B11" s="24">
        <f>'Data Sheet'!B47</f>
        <v>2239.69</v>
      </c>
      <c r="C11" s="24">
        <f>'Data Sheet'!C47</f>
        <v>2481.14</v>
      </c>
      <c r="D11" s="24">
        <f>'Data Sheet'!D47</f>
        <v>2790.88</v>
      </c>
      <c r="E11" s="24">
        <f>'Data Sheet'!E47</f>
        <v>3000.35</v>
      </c>
      <c r="F11" s="24">
        <f>'Data Sheet'!F47</f>
        <v>2815.52</v>
      </c>
      <c r="G11" s="24">
        <f>'Data Sheet'!G47</f>
        <v>3423.5</v>
      </c>
      <c r="H11" s="24">
        <f>'Data Sheet'!H47</f>
        <v>3597.88</v>
      </c>
      <c r="I11" s="24">
        <f>'Data Sheet'!I47</f>
        <v>3476.4</v>
      </c>
      <c r="J11" s="24">
        <f>'Data Sheet'!J47</f>
        <v>3254.35</v>
      </c>
      <c r="K11" s="123">
        <f>'Data Sheet'!K47</f>
        <v>3172.77</v>
      </c>
    </row>
    <row r="12" spans="1:11" x14ac:dyDescent="0.25">
      <c r="A12" s="119" t="s">
        <v>100</v>
      </c>
      <c r="B12" s="107">
        <f>B11/B4</f>
        <v>0.20489960816674549</v>
      </c>
      <c r="C12" s="107">
        <f t="shared" ref="C12:K12" si="1">C11/C4</f>
        <v>0.2077860519025462</v>
      </c>
      <c r="D12" s="107">
        <f t="shared" si="1"/>
        <v>0.22890306346325298</v>
      </c>
      <c r="E12" s="107">
        <f t="shared" si="1"/>
        <v>0.24234090156453186</v>
      </c>
      <c r="F12" s="107">
        <f t="shared" si="1"/>
        <v>0.23496148678533577</v>
      </c>
      <c r="G12" s="107">
        <f t="shared" si="1"/>
        <v>0.2705735907213847</v>
      </c>
      <c r="H12" s="107">
        <f t="shared" si="1"/>
        <v>0.27069253102948604</v>
      </c>
      <c r="I12" s="107">
        <f t="shared" si="1"/>
        <v>0.25420717109333069</v>
      </c>
      <c r="J12" s="107">
        <f t="shared" si="1"/>
        <v>0.25112973074750516</v>
      </c>
      <c r="K12" s="121">
        <f t="shared" si="1"/>
        <v>0.22905771257778998</v>
      </c>
    </row>
    <row r="13" spans="1:11" s="10" customFormat="1" x14ac:dyDescent="0.25">
      <c r="A13" s="119" t="s">
        <v>92</v>
      </c>
      <c r="B13" s="120"/>
      <c r="C13" s="120"/>
      <c r="D13" s="120"/>
      <c r="E13" s="120"/>
      <c r="F13" s="107">
        <f>F11/B11-1</f>
        <v>0.25710254544155653</v>
      </c>
      <c r="G13" s="107">
        <f>G11/C11-1</f>
        <v>0.3798092812175049</v>
      </c>
      <c r="H13" s="107">
        <f>H11/D11-1</f>
        <v>0.28915610846758</v>
      </c>
      <c r="I13" s="107">
        <f>I11/E11-1</f>
        <v>0.15866482243738234</v>
      </c>
      <c r="J13" s="107">
        <f>J11/F11-1</f>
        <v>0.15586108427572887</v>
      </c>
      <c r="K13" s="121">
        <f t="shared" ref="K13" si="2">K11/G11-1</f>
        <v>-7.3237914415072325E-2</v>
      </c>
    </row>
    <row r="14" spans="1:11" x14ac:dyDescent="0.25">
      <c r="A14" s="122" t="s">
        <v>11</v>
      </c>
      <c r="B14" s="24">
        <f>'Data Sheet'!B48</f>
        <v>222.91</v>
      </c>
      <c r="C14" s="24">
        <f>'Data Sheet'!C48</f>
        <v>468.1</v>
      </c>
      <c r="D14" s="24">
        <f>'Data Sheet'!D48</f>
        <v>390.1</v>
      </c>
      <c r="E14" s="24">
        <f>'Data Sheet'!E48</f>
        <v>432.32</v>
      </c>
      <c r="F14" s="24">
        <f>'Data Sheet'!F48</f>
        <v>148.93</v>
      </c>
      <c r="G14" s="24">
        <f>'Data Sheet'!G48</f>
        <v>552.25</v>
      </c>
      <c r="H14" s="24">
        <f>'Data Sheet'!H48</f>
        <v>567.21</v>
      </c>
      <c r="I14" s="24">
        <f>'Data Sheet'!I48</f>
        <v>558.86</v>
      </c>
      <c r="J14" s="24">
        <f>'Data Sheet'!J48</f>
        <v>1093.71</v>
      </c>
      <c r="K14" s="123">
        <f>'Data Sheet'!K48</f>
        <v>870.15</v>
      </c>
    </row>
    <row r="15" spans="1:11" s="6" customFormat="1" x14ac:dyDescent="0.25">
      <c r="A15" s="117" t="s">
        <v>12</v>
      </c>
      <c r="B15" s="108">
        <f>'Data Sheet'!B49</f>
        <v>1984.47</v>
      </c>
      <c r="C15" s="108">
        <f>'Data Sheet'!C49</f>
        <v>2022.54</v>
      </c>
      <c r="D15" s="108">
        <f>'Data Sheet'!D49</f>
        <v>2375.5100000000002</v>
      </c>
      <c r="E15" s="108">
        <f>'Data Sheet'!E49</f>
        <v>2523.75</v>
      </c>
      <c r="F15" s="108">
        <f>'Data Sheet'!F49</f>
        <v>2654.58</v>
      </c>
      <c r="G15" s="108">
        <f>'Data Sheet'!G49</f>
        <v>2835.62</v>
      </c>
      <c r="H15" s="108">
        <f>'Data Sheet'!H49</f>
        <v>3040.16</v>
      </c>
      <c r="I15" s="108">
        <f>'Data Sheet'!I49</f>
        <v>2903.38</v>
      </c>
      <c r="J15" s="108">
        <f>'Data Sheet'!J49</f>
        <v>2149.88</v>
      </c>
      <c r="K15" s="118">
        <f>'Data Sheet'!K49</f>
        <v>2278.63</v>
      </c>
    </row>
    <row r="16" spans="1:11" s="10" customFormat="1" x14ac:dyDescent="0.25">
      <c r="A16" s="119" t="s">
        <v>92</v>
      </c>
      <c r="B16" s="120"/>
      <c r="C16" s="120"/>
      <c r="D16" s="120"/>
      <c r="E16" s="120"/>
      <c r="F16" s="107">
        <f>F15/B15-1</f>
        <v>0.33767706238945405</v>
      </c>
      <c r="G16" s="107">
        <f t="shared" ref="G16" si="3">G15/C15-1</f>
        <v>0.40200935457395159</v>
      </c>
      <c r="H16" s="107">
        <f t="shared" ref="H16" si="4">H15/D15-1</f>
        <v>0.27979254981035639</v>
      </c>
      <c r="I16" s="107">
        <f t="shared" ref="I16" si="5">I15/E15-1</f>
        <v>0.15042298167409607</v>
      </c>
      <c r="J16" s="107">
        <f t="shared" ref="J16" si="6">J15/F15-1</f>
        <v>-0.19012423810923007</v>
      </c>
      <c r="K16" s="121">
        <f t="shared" ref="K16" si="7">K15/G15-1</f>
        <v>-0.19642617840190146</v>
      </c>
    </row>
    <row r="17" spans="1:12" s="6" customFormat="1" x14ac:dyDescent="0.25">
      <c r="A17" s="124" t="s">
        <v>15</v>
      </c>
      <c r="B17" s="125">
        <f t="shared" ref="B17:K17" si="8">IF(B4&gt;0,B7/B4,"")</f>
        <v>0.25635482545900662</v>
      </c>
      <c r="C17" s="125">
        <f t="shared" si="8"/>
        <v>0.2790230838031495</v>
      </c>
      <c r="D17" s="125">
        <f t="shared" si="8"/>
        <v>0.26076714939868328</v>
      </c>
      <c r="E17" s="125">
        <f t="shared" si="8"/>
        <v>0.28082660915780205</v>
      </c>
      <c r="F17" s="125">
        <f t="shared" si="8"/>
        <v>0.25329010506638627</v>
      </c>
      <c r="G17" s="125">
        <f t="shared" si="8"/>
        <v>0.28512536800300331</v>
      </c>
      <c r="H17" s="125">
        <f t="shared" si="8"/>
        <v>0.29635425640207685</v>
      </c>
      <c r="I17" s="125">
        <f t="shared" si="8"/>
        <v>0.29315430705804413</v>
      </c>
      <c r="J17" s="125">
        <f t="shared" si="8"/>
        <v>0.28676100638637408</v>
      </c>
      <c r="K17" s="126">
        <f t="shared" si="8"/>
        <v>0.31055777755317154</v>
      </c>
      <c r="L17" s="10"/>
    </row>
    <row r="25" spans="1:12" s="20" customFormat="1" x14ac:dyDescent="0.25"/>
  </sheetData>
  <hyperlinks>
    <hyperlink ref="A2" r:id="rId1" xr:uid="{00000000-0004-0000-01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3"/>
  <sheetViews>
    <sheetView workbookViewId="0">
      <pane xSplit="1" ySplit="1" topLeftCell="B2" activePane="bottomRight" state="frozen"/>
      <selection activeCell="C4" sqref="C4"/>
      <selection pane="topRight" activeCell="C4" sqref="C4"/>
      <selection pane="bottomLeft" activeCell="C4" sqref="C4"/>
      <selection pane="bottomRight"/>
    </sheetView>
  </sheetViews>
  <sheetFormatPr defaultColWidth="9.21875" defaultRowHeight="13.2" x14ac:dyDescent="0.25"/>
  <cols>
    <col min="1" max="1" width="25.21875" style="11" bestFit="1" customWidth="1"/>
    <col min="2" max="2" width="13.88671875" style="11" bestFit="1" customWidth="1"/>
    <col min="3" max="8" width="9.77734375" style="11" bestFit="1" customWidth="1"/>
    <col min="9" max="11" width="10.77734375" style="11" bestFit="1" customWidth="1"/>
    <col min="12" max="16384" width="9.21875" style="11"/>
  </cols>
  <sheetData>
    <row r="1" spans="1:11" s="9" customFormat="1" x14ac:dyDescent="0.25">
      <c r="A1" s="9" t="s">
        <v>0</v>
      </c>
      <c r="B1" s="9" t="s">
        <v>58</v>
      </c>
      <c r="E1" s="580" t="str">
        <f>IF(B2&lt;&gt;B3, "A NEW VERSION OF THE WORKSHEET IS AVAILABLE", "")</f>
        <v/>
      </c>
      <c r="F1" s="580"/>
      <c r="G1" s="580"/>
      <c r="H1" s="580"/>
      <c r="I1" s="580"/>
      <c r="J1" s="580"/>
      <c r="K1" s="580"/>
    </row>
    <row r="2" spans="1:11" x14ac:dyDescent="0.25">
      <c r="A2" s="9" t="s">
        <v>56</v>
      </c>
      <c r="B2" s="11">
        <v>2.1</v>
      </c>
      <c r="E2" s="581" t="s">
        <v>31</v>
      </c>
      <c r="F2" s="581"/>
      <c r="G2" s="581"/>
      <c r="H2" s="581"/>
      <c r="I2" s="581"/>
      <c r="J2" s="581"/>
      <c r="K2" s="581"/>
    </row>
    <row r="3" spans="1:11" x14ac:dyDescent="0.25">
      <c r="A3" s="9" t="s">
        <v>57</v>
      </c>
      <c r="B3" s="11">
        <v>2.1</v>
      </c>
    </row>
    <row r="4" spans="1:11" x14ac:dyDescent="0.25">
      <c r="A4" s="9"/>
    </row>
    <row r="5" spans="1:11" x14ac:dyDescent="0.25">
      <c r="A5" s="9" t="s">
        <v>59</v>
      </c>
    </row>
    <row r="6" spans="1:11" x14ac:dyDescent="0.25">
      <c r="A6" s="11" t="s">
        <v>37</v>
      </c>
      <c r="B6" s="11">
        <f>IF(B9&gt;0, B9/B8, 0)</f>
        <v>239.30859326840095</v>
      </c>
    </row>
    <row r="7" spans="1:11" x14ac:dyDescent="0.25">
      <c r="A7" s="11" t="s">
        <v>26</v>
      </c>
      <c r="B7" s="7">
        <v>1</v>
      </c>
    </row>
    <row r="8" spans="1:11" x14ac:dyDescent="0.25">
      <c r="A8" s="11" t="s">
        <v>38</v>
      </c>
      <c r="B8" s="7">
        <v>1622.2</v>
      </c>
    </row>
    <row r="9" spans="1:11" x14ac:dyDescent="0.25">
      <c r="A9" s="11" t="s">
        <v>73</v>
      </c>
      <c r="B9" s="7">
        <v>388206.4</v>
      </c>
    </row>
    <row r="15" spans="1:11" x14ac:dyDescent="0.25">
      <c r="A15" s="9" t="s">
        <v>32</v>
      </c>
    </row>
    <row r="16" spans="1:11" s="22" customFormat="1" x14ac:dyDescent="0.25">
      <c r="A16" s="21" t="s">
        <v>33</v>
      </c>
      <c r="B16" s="8">
        <v>42460</v>
      </c>
      <c r="C16" s="8">
        <v>42825</v>
      </c>
      <c r="D16" s="8">
        <v>43190</v>
      </c>
      <c r="E16" s="8">
        <v>43555</v>
      </c>
      <c r="F16" s="8">
        <v>43921</v>
      </c>
      <c r="G16" s="8">
        <v>44286</v>
      </c>
      <c r="H16" s="8">
        <v>44651</v>
      </c>
      <c r="I16" s="8">
        <v>45016</v>
      </c>
      <c r="J16" s="8">
        <v>45382</v>
      </c>
      <c r="K16" s="8">
        <v>45747</v>
      </c>
    </row>
    <row r="17" spans="1:11" x14ac:dyDescent="0.25">
      <c r="A17" s="11" t="s">
        <v>4</v>
      </c>
      <c r="B17" s="7">
        <v>28487.03</v>
      </c>
      <c r="C17" s="7">
        <v>31578.44</v>
      </c>
      <c r="D17" s="7">
        <v>26489.46</v>
      </c>
      <c r="E17" s="7">
        <v>29065.91</v>
      </c>
      <c r="F17" s="7">
        <v>32837.5</v>
      </c>
      <c r="G17" s="7">
        <v>33498.14</v>
      </c>
      <c r="H17" s="7">
        <v>38654.49</v>
      </c>
      <c r="I17" s="7">
        <v>43885.68</v>
      </c>
      <c r="J17" s="7">
        <v>48496.85</v>
      </c>
      <c r="K17" s="7">
        <v>52578.44</v>
      </c>
    </row>
    <row r="18" spans="1:11" ht="14.4" x14ac:dyDescent="0.3">
      <c r="A18" s="11" t="s">
        <v>74</v>
      </c>
      <c r="B18">
        <v>6724.15</v>
      </c>
      <c r="C18">
        <v>8402.3700000000008</v>
      </c>
      <c r="D18">
        <v>7193.98</v>
      </c>
      <c r="E18">
        <v>8302.08</v>
      </c>
      <c r="F18">
        <v>8929.6</v>
      </c>
      <c r="G18">
        <v>9328.2999999999993</v>
      </c>
      <c r="H18">
        <v>10459.15</v>
      </c>
      <c r="I18">
        <v>11349.07</v>
      </c>
      <c r="J18">
        <v>10370.48</v>
      </c>
      <c r="K18">
        <v>10597.05</v>
      </c>
    </row>
    <row r="19" spans="1:11" ht="14.4" x14ac:dyDescent="0.3">
      <c r="A19" s="11" t="s">
        <v>75</v>
      </c>
      <c r="B19">
        <v>393.77</v>
      </c>
      <c r="C19">
        <v>271.63</v>
      </c>
      <c r="D19">
        <v>-230.7</v>
      </c>
      <c r="E19">
        <v>433.11</v>
      </c>
      <c r="F19">
        <v>-300.85000000000002</v>
      </c>
      <c r="G19">
        <v>638.22</v>
      </c>
      <c r="H19">
        <v>107.61</v>
      </c>
      <c r="I19">
        <v>686.91</v>
      </c>
      <c r="J19">
        <v>-292.13</v>
      </c>
      <c r="K19">
        <v>-150.31</v>
      </c>
    </row>
    <row r="20" spans="1:11" x14ac:dyDescent="0.25">
      <c r="A20" s="11" t="s">
        <v>76</v>
      </c>
      <c r="B20" s="7">
        <v>545.44000000000005</v>
      </c>
      <c r="C20" s="7">
        <v>525.09</v>
      </c>
      <c r="D20" s="7">
        <v>559.97</v>
      </c>
      <c r="E20" s="7">
        <v>613.6</v>
      </c>
      <c r="F20" s="7">
        <v>621.89</v>
      </c>
      <c r="G20" s="7">
        <v>627.09</v>
      </c>
      <c r="H20" s="7">
        <v>702.78</v>
      </c>
      <c r="I20" s="7">
        <v>830.05</v>
      </c>
      <c r="J20" s="7">
        <v>760.78</v>
      </c>
      <c r="K20" s="7">
        <v>750.4</v>
      </c>
    </row>
    <row r="21" spans="1:11" x14ac:dyDescent="0.25">
      <c r="A21" s="11" t="s">
        <v>77</v>
      </c>
      <c r="B21" s="7">
        <v>1808.55</v>
      </c>
      <c r="C21" s="7">
        <v>1973.46</v>
      </c>
      <c r="D21" s="7">
        <v>1828.35</v>
      </c>
      <c r="E21" s="7">
        <v>1884.71</v>
      </c>
      <c r="F21" s="7">
        <v>1690</v>
      </c>
      <c r="G21" s="7">
        <v>1723.78</v>
      </c>
      <c r="H21" s="7">
        <v>1880.71</v>
      </c>
      <c r="I21" s="7">
        <v>1936.77</v>
      </c>
      <c r="J21" s="7">
        <v>2186.62</v>
      </c>
      <c r="K21" s="7">
        <v>2261.2399999999998</v>
      </c>
    </row>
    <row r="22" spans="1:11" x14ac:dyDescent="0.25">
      <c r="A22" s="11" t="s">
        <v>78</v>
      </c>
      <c r="B22" s="7">
        <v>4772.3100000000004</v>
      </c>
      <c r="C22" s="7">
        <v>4902.3</v>
      </c>
      <c r="D22" s="7">
        <v>5367.05</v>
      </c>
      <c r="E22" s="7">
        <v>5967.09</v>
      </c>
      <c r="F22" s="7">
        <v>6362.35</v>
      </c>
      <c r="G22" s="7">
        <v>6862.23</v>
      </c>
      <c r="H22" s="7">
        <v>7300.83</v>
      </c>
      <c r="I22" s="7">
        <v>8296.0300000000007</v>
      </c>
      <c r="J22" s="7">
        <v>9429.06</v>
      </c>
      <c r="K22" s="7">
        <v>9973.1200000000008</v>
      </c>
    </row>
    <row r="23" spans="1:11" x14ac:dyDescent="0.25">
      <c r="A23" s="11" t="s">
        <v>79</v>
      </c>
      <c r="B23" s="7">
        <v>5219.2</v>
      </c>
      <c r="C23" s="7">
        <v>5224.6099999999997</v>
      </c>
      <c r="D23" s="7">
        <v>4727</v>
      </c>
      <c r="E23" s="7">
        <v>5350.33</v>
      </c>
      <c r="F23" s="7">
        <v>6995.37</v>
      </c>
      <c r="G23" s="7">
        <v>6283.41</v>
      </c>
      <c r="H23" s="7">
        <v>7366.88</v>
      </c>
      <c r="I23" s="7">
        <v>9482.36</v>
      </c>
      <c r="J23" s="7">
        <v>11033.19</v>
      </c>
      <c r="K23" s="7">
        <v>12222.92</v>
      </c>
    </row>
    <row r="24" spans="1:11" x14ac:dyDescent="0.25">
      <c r="A24" s="11" t="s">
        <v>80</v>
      </c>
      <c r="B24" s="7">
        <v>1637.25</v>
      </c>
      <c r="C24" s="7">
        <v>720.22</v>
      </c>
      <c r="D24" s="7">
        <v>950.99</v>
      </c>
      <c r="E24" s="7">
        <v>1004.23</v>
      </c>
      <c r="F24" s="7">
        <v>954.6</v>
      </c>
      <c r="G24" s="7">
        <v>841.59</v>
      </c>
      <c r="H24" s="7">
        <v>794.18</v>
      </c>
      <c r="I24" s="7">
        <v>1027.8699999999999</v>
      </c>
      <c r="J24" s="7">
        <v>1406.82</v>
      </c>
      <c r="K24" s="7">
        <v>1508.94</v>
      </c>
    </row>
    <row r="25" spans="1:11" x14ac:dyDescent="0.25">
      <c r="A25" s="11" t="s">
        <v>7</v>
      </c>
      <c r="B25" s="7">
        <v>-42.5</v>
      </c>
      <c r="C25" s="7">
        <v>610.4</v>
      </c>
      <c r="D25" s="7">
        <v>-135.03</v>
      </c>
      <c r="E25" s="7">
        <v>-258.27999999999997</v>
      </c>
      <c r="F25" s="7">
        <v>382.26</v>
      </c>
      <c r="G25" s="7">
        <v>-3449.21</v>
      </c>
      <c r="H25" s="7">
        <v>-3505.16</v>
      </c>
      <c r="I25" s="7">
        <v>459.42</v>
      </c>
      <c r="J25" s="7">
        <v>865.23</v>
      </c>
      <c r="K25" s="7">
        <v>1444.42</v>
      </c>
    </row>
    <row r="26" spans="1:11" x14ac:dyDescent="0.25">
      <c r="A26" s="11" t="s">
        <v>8</v>
      </c>
      <c r="B26" s="7">
        <v>1037.53</v>
      </c>
      <c r="C26" s="7">
        <v>1264.75</v>
      </c>
      <c r="D26" s="7">
        <v>1499.84</v>
      </c>
      <c r="E26" s="7">
        <v>1753.25</v>
      </c>
      <c r="F26" s="7">
        <v>2052.7800000000002</v>
      </c>
      <c r="G26" s="7">
        <v>2079.9499999999998</v>
      </c>
      <c r="H26" s="7">
        <v>2143.7399999999998</v>
      </c>
      <c r="I26" s="7">
        <v>2529.4299999999998</v>
      </c>
      <c r="J26" s="7">
        <v>2556.64</v>
      </c>
      <c r="K26" s="7">
        <v>2575.39</v>
      </c>
    </row>
    <row r="27" spans="1:11" ht="14.4" x14ac:dyDescent="0.3">
      <c r="A27" s="11" t="s">
        <v>9</v>
      </c>
      <c r="B27" s="7">
        <v>523.24</v>
      </c>
      <c r="C27" s="7">
        <v>399.8</v>
      </c>
      <c r="D27" s="7">
        <v>517.57000000000005</v>
      </c>
      <c r="E27" s="7">
        <v>555.25</v>
      </c>
      <c r="F27" s="7">
        <v>302.73</v>
      </c>
      <c r="G27" s="7">
        <v>141.43</v>
      </c>
      <c r="H27" s="7">
        <v>127.35</v>
      </c>
      <c r="I27" s="7">
        <v>172</v>
      </c>
      <c r="J27">
        <v>238.47</v>
      </c>
      <c r="K27">
        <v>231.36</v>
      </c>
    </row>
    <row r="28" spans="1:11" x14ac:dyDescent="0.25">
      <c r="A28" s="11" t="s">
        <v>10</v>
      </c>
      <c r="B28" s="7">
        <v>6570.63</v>
      </c>
      <c r="C28" s="7">
        <v>9047.8700000000008</v>
      </c>
      <c r="D28" s="7">
        <v>3478.98</v>
      </c>
      <c r="E28" s="7">
        <v>3810.2</v>
      </c>
      <c r="F28" s="7">
        <v>5009.59</v>
      </c>
      <c r="G28" s="7">
        <v>2799.37</v>
      </c>
      <c r="H28" s="7">
        <v>4481.32</v>
      </c>
      <c r="I28" s="7">
        <v>9408.43</v>
      </c>
      <c r="J28" s="7">
        <v>11087.89</v>
      </c>
      <c r="K28" s="7">
        <v>13752.13</v>
      </c>
    </row>
    <row r="29" spans="1:11" x14ac:dyDescent="0.25">
      <c r="A29" s="11" t="s">
        <v>11</v>
      </c>
      <c r="B29" s="7">
        <v>913.77</v>
      </c>
      <c r="C29" s="7">
        <v>1211.57</v>
      </c>
      <c r="D29" s="7">
        <v>911.04</v>
      </c>
      <c r="E29" s="7">
        <v>600.88</v>
      </c>
      <c r="F29" s="7">
        <v>822.8</v>
      </c>
      <c r="G29" s="7">
        <v>514.69000000000005</v>
      </c>
      <c r="H29" s="7">
        <v>1075.5</v>
      </c>
      <c r="I29" s="7">
        <v>847.59</v>
      </c>
      <c r="J29" s="7">
        <v>1439.45</v>
      </c>
      <c r="K29" s="7">
        <v>2772.03</v>
      </c>
    </row>
    <row r="30" spans="1:11" x14ac:dyDescent="0.25">
      <c r="A30" s="11" t="s">
        <v>12</v>
      </c>
      <c r="B30" s="7">
        <v>4545.71</v>
      </c>
      <c r="C30" s="7">
        <v>6964.37</v>
      </c>
      <c r="D30" s="7">
        <v>2095.6999999999998</v>
      </c>
      <c r="E30" s="7">
        <v>2665.42</v>
      </c>
      <c r="F30" s="7">
        <v>3764.93</v>
      </c>
      <c r="G30" s="7">
        <v>2903.82</v>
      </c>
      <c r="H30" s="7">
        <v>3272.73</v>
      </c>
      <c r="I30" s="7">
        <v>8473.58</v>
      </c>
      <c r="J30" s="7">
        <v>9576.3799999999992</v>
      </c>
      <c r="K30" s="7">
        <v>10929.04</v>
      </c>
    </row>
    <row r="31" spans="1:11" x14ac:dyDescent="0.25">
      <c r="A31" s="11" t="s">
        <v>64</v>
      </c>
      <c r="B31" s="7">
        <v>240.66</v>
      </c>
      <c r="C31" s="7">
        <v>839.76</v>
      </c>
      <c r="D31" s="7">
        <v>479.86</v>
      </c>
      <c r="E31" s="7">
        <v>659.81</v>
      </c>
      <c r="F31" s="7">
        <v>959.72</v>
      </c>
      <c r="G31" s="7">
        <v>1799.48</v>
      </c>
      <c r="H31" s="7">
        <v>2399.3000000000002</v>
      </c>
      <c r="I31" s="7">
        <v>2759.2</v>
      </c>
      <c r="J31" s="7">
        <v>3239.06</v>
      </c>
      <c r="K31" s="7">
        <v>3838.88</v>
      </c>
    </row>
    <row r="40" spans="1:11" x14ac:dyDescent="0.25">
      <c r="A40" s="9" t="s">
        <v>34</v>
      </c>
    </row>
    <row r="41" spans="1:11" s="22" customFormat="1" x14ac:dyDescent="0.25">
      <c r="A41" s="21" t="s">
        <v>33</v>
      </c>
      <c r="B41" s="8">
        <v>45016</v>
      </c>
      <c r="C41" s="8">
        <v>45107</v>
      </c>
      <c r="D41" s="8">
        <v>45199</v>
      </c>
      <c r="E41" s="8">
        <v>45291</v>
      </c>
      <c r="F41" s="8">
        <v>45382</v>
      </c>
      <c r="G41" s="8">
        <v>45473</v>
      </c>
      <c r="H41" s="8">
        <v>45565</v>
      </c>
      <c r="I41" s="8">
        <v>45657</v>
      </c>
      <c r="J41" s="8">
        <v>45747</v>
      </c>
      <c r="K41" s="8">
        <v>45838</v>
      </c>
    </row>
    <row r="42" spans="1:11" x14ac:dyDescent="0.25">
      <c r="A42" s="11" t="s">
        <v>4</v>
      </c>
      <c r="B42" s="7">
        <v>10930.67</v>
      </c>
      <c r="C42" s="7">
        <v>11940.84</v>
      </c>
      <c r="D42" s="7">
        <v>12192.41</v>
      </c>
      <c r="E42" s="7">
        <v>12380.7</v>
      </c>
      <c r="F42" s="7">
        <v>11982.9</v>
      </c>
      <c r="G42" s="7">
        <v>12652.75</v>
      </c>
      <c r="H42" s="7">
        <v>13291.39</v>
      </c>
      <c r="I42" s="7">
        <v>13675.46</v>
      </c>
      <c r="J42" s="7">
        <v>12958.84</v>
      </c>
      <c r="K42" s="7">
        <v>13851.4</v>
      </c>
    </row>
    <row r="43" spans="1:11" x14ac:dyDescent="0.25">
      <c r="A43" s="11" t="s">
        <v>5</v>
      </c>
      <c r="B43" s="7">
        <v>8128.54</v>
      </c>
      <c r="C43" s="7">
        <v>8609.07</v>
      </c>
      <c r="D43" s="7">
        <v>9013.0300000000007</v>
      </c>
      <c r="E43" s="7">
        <v>8903.8700000000008</v>
      </c>
      <c r="F43" s="7">
        <v>8947.75</v>
      </c>
      <c r="G43" s="7">
        <v>9045.1299999999992</v>
      </c>
      <c r="H43" s="7">
        <v>9352.43</v>
      </c>
      <c r="I43" s="7">
        <v>9666.44</v>
      </c>
      <c r="J43" s="7">
        <v>9242.75</v>
      </c>
      <c r="K43" s="7">
        <v>9549.74</v>
      </c>
    </row>
    <row r="44" spans="1:11" x14ac:dyDescent="0.25">
      <c r="A44" s="11" t="s">
        <v>7</v>
      </c>
      <c r="B44" s="7">
        <v>201.83</v>
      </c>
      <c r="C44" s="7">
        <v>-118.43</v>
      </c>
      <c r="D44" s="7">
        <v>293.61</v>
      </c>
      <c r="E44" s="7">
        <v>180.39</v>
      </c>
      <c r="F44" s="7">
        <v>504.3</v>
      </c>
      <c r="G44" s="7">
        <v>532.54999999999995</v>
      </c>
      <c r="H44" s="7">
        <v>354</v>
      </c>
      <c r="I44" s="7">
        <v>149.44999999999999</v>
      </c>
      <c r="J44" s="7">
        <v>251.19</v>
      </c>
      <c r="K44" s="7">
        <v>-353.54</v>
      </c>
    </row>
    <row r="45" spans="1:11" x14ac:dyDescent="0.25">
      <c r="A45" s="11" t="s">
        <v>8</v>
      </c>
      <c r="B45" s="7">
        <v>671.53</v>
      </c>
      <c r="C45" s="7">
        <v>651.32000000000005</v>
      </c>
      <c r="D45" s="7">
        <v>632.82000000000005</v>
      </c>
      <c r="E45" s="7">
        <v>622.14</v>
      </c>
      <c r="F45" s="7">
        <v>650.36</v>
      </c>
      <c r="G45" s="7">
        <v>655.13</v>
      </c>
      <c r="H45" s="7">
        <v>625.91</v>
      </c>
      <c r="I45" s="7">
        <v>630.55999999999995</v>
      </c>
      <c r="J45" s="7">
        <v>663.79</v>
      </c>
      <c r="K45" s="7">
        <v>700.55</v>
      </c>
    </row>
    <row r="46" spans="1:11" ht="14.4" x14ac:dyDescent="0.3">
      <c r="A46" s="11" t="s">
        <v>9</v>
      </c>
      <c r="B46">
        <v>92.74</v>
      </c>
      <c r="C46">
        <v>80.88</v>
      </c>
      <c r="D46">
        <v>49.29</v>
      </c>
      <c r="E46">
        <v>34.729999999999997</v>
      </c>
      <c r="F46">
        <v>73.569999999999993</v>
      </c>
      <c r="G46">
        <v>61.54</v>
      </c>
      <c r="H46">
        <v>69.17</v>
      </c>
      <c r="I46">
        <v>51.51</v>
      </c>
      <c r="J46">
        <v>49.14</v>
      </c>
      <c r="K46">
        <v>74.8</v>
      </c>
    </row>
    <row r="47" spans="1:11" x14ac:dyDescent="0.25">
      <c r="A47" s="11" t="s">
        <v>10</v>
      </c>
      <c r="B47" s="7">
        <v>2239.69</v>
      </c>
      <c r="C47" s="7">
        <v>2481.14</v>
      </c>
      <c r="D47" s="7">
        <v>2790.88</v>
      </c>
      <c r="E47" s="7">
        <v>3000.35</v>
      </c>
      <c r="F47" s="7">
        <v>2815.52</v>
      </c>
      <c r="G47" s="7">
        <v>3423.5</v>
      </c>
      <c r="H47" s="7">
        <v>3597.88</v>
      </c>
      <c r="I47" s="7">
        <v>3476.4</v>
      </c>
      <c r="J47" s="7">
        <v>3254.35</v>
      </c>
      <c r="K47" s="7">
        <v>3172.77</v>
      </c>
    </row>
    <row r="48" spans="1:11" x14ac:dyDescent="0.25">
      <c r="A48" s="11" t="s">
        <v>11</v>
      </c>
      <c r="B48" s="7">
        <v>222.91</v>
      </c>
      <c r="C48" s="7">
        <v>468.1</v>
      </c>
      <c r="D48" s="7">
        <v>390.1</v>
      </c>
      <c r="E48" s="7">
        <v>432.32</v>
      </c>
      <c r="F48" s="7">
        <v>148.93</v>
      </c>
      <c r="G48" s="7">
        <v>552.25</v>
      </c>
      <c r="H48" s="7">
        <v>567.21</v>
      </c>
      <c r="I48" s="7">
        <v>558.86</v>
      </c>
      <c r="J48" s="7">
        <v>1093.71</v>
      </c>
      <c r="K48" s="7">
        <v>870.15</v>
      </c>
    </row>
    <row r="49" spans="1:11" x14ac:dyDescent="0.25">
      <c r="A49" s="11" t="s">
        <v>12</v>
      </c>
      <c r="B49" s="7">
        <v>1984.47</v>
      </c>
      <c r="C49" s="7">
        <v>2022.54</v>
      </c>
      <c r="D49" s="7">
        <v>2375.5100000000002</v>
      </c>
      <c r="E49" s="7">
        <v>2523.75</v>
      </c>
      <c r="F49" s="7">
        <v>2654.58</v>
      </c>
      <c r="G49" s="7">
        <v>2835.62</v>
      </c>
      <c r="H49" s="7">
        <v>3040.16</v>
      </c>
      <c r="I49" s="7">
        <v>2903.38</v>
      </c>
      <c r="J49" s="7">
        <v>2149.88</v>
      </c>
      <c r="K49" s="7">
        <v>2278.63</v>
      </c>
    </row>
    <row r="50" spans="1:11" x14ac:dyDescent="0.25">
      <c r="A50" s="11" t="s">
        <v>6</v>
      </c>
      <c r="B50" s="7">
        <v>2802.13</v>
      </c>
      <c r="C50" s="7">
        <v>3331.77</v>
      </c>
      <c r="D50" s="7">
        <v>3179.38</v>
      </c>
      <c r="E50" s="7">
        <v>3476.83</v>
      </c>
      <c r="F50" s="7">
        <v>3035.15</v>
      </c>
      <c r="G50" s="7">
        <v>3607.62</v>
      </c>
      <c r="H50" s="7">
        <v>3938.96</v>
      </c>
      <c r="I50" s="7">
        <v>4009.02</v>
      </c>
      <c r="J50" s="7">
        <v>3716.09</v>
      </c>
      <c r="K50" s="7">
        <v>4301.66</v>
      </c>
    </row>
    <row r="55" spans="1:11" x14ac:dyDescent="0.25">
      <c r="A55" s="9" t="s">
        <v>35</v>
      </c>
    </row>
    <row r="56" spans="1:11" s="22" customFormat="1" x14ac:dyDescent="0.25">
      <c r="A56" s="21" t="s">
        <v>33</v>
      </c>
      <c r="B56" s="8">
        <v>42460</v>
      </c>
      <c r="C56" s="8">
        <v>42825</v>
      </c>
      <c r="D56" s="8">
        <v>43190</v>
      </c>
      <c r="E56" s="8">
        <v>43555</v>
      </c>
      <c r="F56" s="8">
        <v>43921</v>
      </c>
      <c r="G56" s="8">
        <v>44286</v>
      </c>
      <c r="H56" s="8">
        <v>44651</v>
      </c>
      <c r="I56" s="8">
        <v>45016</v>
      </c>
      <c r="J56" s="8">
        <v>45382</v>
      </c>
      <c r="K56" s="8">
        <v>45747</v>
      </c>
    </row>
    <row r="57" spans="1:11" x14ac:dyDescent="0.25">
      <c r="A57" s="11" t="s">
        <v>19</v>
      </c>
      <c r="B57" s="7">
        <v>240.66</v>
      </c>
      <c r="C57" s="7">
        <v>239.93</v>
      </c>
      <c r="D57" s="7">
        <v>239.93</v>
      </c>
      <c r="E57" s="7">
        <v>239.93</v>
      </c>
      <c r="F57" s="7">
        <v>239.93</v>
      </c>
      <c r="G57" s="7">
        <v>239.93</v>
      </c>
      <c r="H57" s="7">
        <v>239.93</v>
      </c>
      <c r="I57" s="7">
        <v>239.93</v>
      </c>
      <c r="J57" s="7">
        <v>239.93</v>
      </c>
      <c r="K57" s="7">
        <v>239.93</v>
      </c>
    </row>
    <row r="58" spans="1:11" x14ac:dyDescent="0.25">
      <c r="A58" s="11" t="s">
        <v>20</v>
      </c>
      <c r="B58" s="7">
        <v>32741.82</v>
      </c>
      <c r="C58" s="7">
        <v>36399.74</v>
      </c>
      <c r="D58" s="7">
        <v>38074.18</v>
      </c>
      <c r="E58" s="7">
        <v>41169.129999999997</v>
      </c>
      <c r="F58" s="7">
        <v>45024.52</v>
      </c>
      <c r="G58" s="7">
        <v>46222.85</v>
      </c>
      <c r="H58" s="7">
        <v>47771.29</v>
      </c>
      <c r="I58" s="7">
        <v>55755.45</v>
      </c>
      <c r="J58" s="7">
        <v>63426.82</v>
      </c>
      <c r="K58" s="7">
        <v>71978.09</v>
      </c>
    </row>
    <row r="59" spans="1:11" ht="14.4" x14ac:dyDescent="0.3">
      <c r="A59" s="11" t="s">
        <v>65</v>
      </c>
      <c r="B59">
        <v>8496.76</v>
      </c>
      <c r="C59">
        <v>9831.77</v>
      </c>
      <c r="D59">
        <v>10385.27</v>
      </c>
      <c r="E59">
        <v>10514.36</v>
      </c>
      <c r="F59">
        <v>8314.8799999999992</v>
      </c>
      <c r="G59">
        <v>3868.58</v>
      </c>
      <c r="H59">
        <v>1290.3</v>
      </c>
      <c r="I59">
        <v>6885.87</v>
      </c>
      <c r="J59">
        <v>3273.67</v>
      </c>
      <c r="K59">
        <v>2362.19</v>
      </c>
    </row>
    <row r="60" spans="1:11" x14ac:dyDescent="0.25">
      <c r="A60" s="11" t="s">
        <v>66</v>
      </c>
      <c r="B60" s="7">
        <v>13948.26</v>
      </c>
      <c r="C60" s="7">
        <v>14624.01</v>
      </c>
      <c r="D60" s="7">
        <v>15598.01</v>
      </c>
      <c r="E60" s="7">
        <v>12666.11</v>
      </c>
      <c r="F60" s="7">
        <v>14614.99</v>
      </c>
      <c r="G60" s="7">
        <v>17290.86</v>
      </c>
      <c r="H60" s="7">
        <v>20474.39</v>
      </c>
      <c r="I60" s="7">
        <v>17830.650000000001</v>
      </c>
      <c r="J60" s="7">
        <v>18387.37</v>
      </c>
      <c r="K60" s="7">
        <v>17327.93</v>
      </c>
    </row>
    <row r="61" spans="1:11" s="9" customFormat="1" x14ac:dyDescent="0.25">
      <c r="A61" s="9" t="s">
        <v>21</v>
      </c>
      <c r="B61" s="7">
        <v>55427.5</v>
      </c>
      <c r="C61" s="7">
        <v>61095.45</v>
      </c>
      <c r="D61" s="7">
        <v>64297.39</v>
      </c>
      <c r="E61" s="7">
        <v>64589.53</v>
      </c>
      <c r="F61" s="7">
        <v>68194.320000000007</v>
      </c>
      <c r="G61" s="7">
        <v>67622.22</v>
      </c>
      <c r="H61" s="7">
        <v>69775.91</v>
      </c>
      <c r="I61" s="7">
        <v>80711.899999999994</v>
      </c>
      <c r="J61" s="7">
        <v>85327.79</v>
      </c>
      <c r="K61" s="7">
        <v>91908.14</v>
      </c>
    </row>
    <row r="62" spans="1:11" x14ac:dyDescent="0.25">
      <c r="A62" s="11" t="s">
        <v>22</v>
      </c>
      <c r="B62" s="7">
        <v>15872.25</v>
      </c>
      <c r="C62" s="7">
        <v>17675.169999999998</v>
      </c>
      <c r="D62" s="7">
        <v>18852.650000000001</v>
      </c>
      <c r="E62" s="7">
        <v>21836.54</v>
      </c>
      <c r="F62" s="7">
        <v>22846.91</v>
      </c>
      <c r="G62" s="7">
        <v>21552.98</v>
      </c>
      <c r="H62" s="7">
        <v>22665.16</v>
      </c>
      <c r="I62" s="7">
        <v>24065.439999999999</v>
      </c>
      <c r="J62" s="7">
        <v>23248.15</v>
      </c>
      <c r="K62" s="7">
        <v>22586.28</v>
      </c>
    </row>
    <row r="63" spans="1:11" x14ac:dyDescent="0.25">
      <c r="A63" s="11" t="s">
        <v>23</v>
      </c>
      <c r="B63" s="7">
        <v>2175.4499999999998</v>
      </c>
      <c r="C63" s="7">
        <v>2801.38</v>
      </c>
      <c r="D63" s="7">
        <v>2465.16</v>
      </c>
      <c r="E63" s="7">
        <v>1411.15</v>
      </c>
      <c r="F63" s="7">
        <v>1220.3399999999999</v>
      </c>
      <c r="G63" s="7">
        <v>1566.83</v>
      </c>
      <c r="H63" s="7">
        <v>1286.8</v>
      </c>
      <c r="I63" s="7">
        <v>4973.16</v>
      </c>
      <c r="J63" s="7">
        <v>5353.88</v>
      </c>
      <c r="K63" s="7">
        <v>6643.96</v>
      </c>
    </row>
    <row r="64" spans="1:11" ht="14.4" x14ac:dyDescent="0.3">
      <c r="A64" s="11" t="s">
        <v>24</v>
      </c>
      <c r="B64" s="7">
        <v>1829.88</v>
      </c>
      <c r="C64">
        <v>1191.8800000000001</v>
      </c>
      <c r="D64" s="7">
        <v>7142.87</v>
      </c>
      <c r="E64" s="7">
        <v>7902.53</v>
      </c>
      <c r="F64" s="7">
        <v>10143.11</v>
      </c>
      <c r="G64" s="7">
        <v>9612.4500000000007</v>
      </c>
      <c r="H64" s="7">
        <v>12848.59</v>
      </c>
      <c r="I64" s="7">
        <v>14824.34</v>
      </c>
      <c r="J64" s="7">
        <v>15025.77</v>
      </c>
      <c r="K64" s="7">
        <v>18353.8</v>
      </c>
    </row>
    <row r="65" spans="1:11" x14ac:dyDescent="0.25">
      <c r="A65" s="11" t="s">
        <v>67</v>
      </c>
      <c r="B65" s="7">
        <v>35549.919999999998</v>
      </c>
      <c r="C65" s="7">
        <v>39427.019999999997</v>
      </c>
      <c r="D65" s="7">
        <v>35836.71</v>
      </c>
      <c r="E65" s="7">
        <v>33439.31</v>
      </c>
      <c r="F65" s="7">
        <v>33983.96</v>
      </c>
      <c r="G65" s="7">
        <v>34889.96</v>
      </c>
      <c r="H65" s="7">
        <v>32975.360000000001</v>
      </c>
      <c r="I65" s="7">
        <v>36848.959999999999</v>
      </c>
      <c r="J65" s="7">
        <v>41699.99</v>
      </c>
      <c r="K65" s="7">
        <v>44324.1</v>
      </c>
    </row>
    <row r="66" spans="1:11" s="9" customFormat="1" x14ac:dyDescent="0.25">
      <c r="A66" s="9" t="s">
        <v>21</v>
      </c>
      <c r="B66" s="7">
        <v>55427.5</v>
      </c>
      <c r="C66" s="7">
        <v>61095.45</v>
      </c>
      <c r="D66" s="7">
        <v>64297.39</v>
      </c>
      <c r="E66" s="7">
        <v>64589.53</v>
      </c>
      <c r="F66" s="7">
        <v>68194.320000000007</v>
      </c>
      <c r="G66" s="7">
        <v>67622.22</v>
      </c>
      <c r="H66" s="7">
        <v>69775.91</v>
      </c>
      <c r="I66" s="7">
        <v>80711.899999999994</v>
      </c>
      <c r="J66" s="7">
        <v>85327.79</v>
      </c>
      <c r="K66" s="7">
        <v>91908.14</v>
      </c>
    </row>
    <row r="67" spans="1:11" x14ac:dyDescent="0.25">
      <c r="A67" s="11" t="s">
        <v>72</v>
      </c>
      <c r="B67" s="7">
        <v>6775.66</v>
      </c>
      <c r="C67" s="7">
        <v>7202.61</v>
      </c>
      <c r="D67" s="7">
        <v>7815.28</v>
      </c>
      <c r="E67" s="7">
        <v>8884.2000000000007</v>
      </c>
      <c r="F67" s="7">
        <v>9421.24</v>
      </c>
      <c r="G67" s="7">
        <v>9061.4</v>
      </c>
      <c r="H67" s="7">
        <v>10484.59</v>
      </c>
      <c r="I67" s="7">
        <v>11438.51</v>
      </c>
      <c r="J67" s="7">
        <v>11249.37</v>
      </c>
      <c r="K67" s="7">
        <v>13046.11</v>
      </c>
    </row>
    <row r="68" spans="1:11" ht="14.4" x14ac:dyDescent="0.3">
      <c r="A68" s="11" t="s">
        <v>40</v>
      </c>
      <c r="B68">
        <v>6422.54</v>
      </c>
      <c r="C68">
        <v>6832.81</v>
      </c>
      <c r="D68">
        <v>6880.69</v>
      </c>
      <c r="E68">
        <v>7885.98</v>
      </c>
      <c r="F68">
        <v>7874.99</v>
      </c>
      <c r="G68">
        <v>8997.02</v>
      </c>
      <c r="H68">
        <v>8925.1299999999992</v>
      </c>
      <c r="I68">
        <v>10513.05</v>
      </c>
      <c r="J68">
        <v>9868.2900000000009</v>
      </c>
      <c r="K68">
        <v>10243.33</v>
      </c>
    </row>
    <row r="69" spans="1:11" x14ac:dyDescent="0.25">
      <c r="A69" s="11" t="s">
        <v>81</v>
      </c>
      <c r="B69" s="7">
        <v>13181.65</v>
      </c>
      <c r="C69" s="7">
        <v>15140.84</v>
      </c>
      <c r="D69" s="7">
        <v>9929.3799999999992</v>
      </c>
      <c r="E69" s="7">
        <v>7275.6</v>
      </c>
      <c r="F69" s="7">
        <v>6487.55</v>
      </c>
      <c r="G69" s="7">
        <v>6445.51</v>
      </c>
      <c r="H69" s="7">
        <v>5033.3500000000004</v>
      </c>
      <c r="I69" s="7">
        <v>5770.29</v>
      </c>
      <c r="J69" s="7">
        <v>10520.68</v>
      </c>
      <c r="K69" s="7">
        <v>11331.62</v>
      </c>
    </row>
    <row r="70" spans="1:11" x14ac:dyDescent="0.25">
      <c r="A70" s="11" t="s">
        <v>68</v>
      </c>
      <c r="B70" s="7">
        <v>2406605118</v>
      </c>
      <c r="C70" s="7">
        <v>2399260815</v>
      </c>
      <c r="D70" s="7">
        <v>2399260815</v>
      </c>
      <c r="E70" s="7">
        <v>2399334970</v>
      </c>
      <c r="F70" s="7">
        <v>2399334970</v>
      </c>
      <c r="G70" s="7">
        <v>2399334970</v>
      </c>
      <c r="H70" s="7">
        <v>2399334970</v>
      </c>
      <c r="I70" s="7">
        <v>2399334970</v>
      </c>
      <c r="J70" s="7">
        <v>2399334970</v>
      </c>
      <c r="K70" s="7">
        <v>2399334970</v>
      </c>
    </row>
    <row r="71" spans="1:11" x14ac:dyDescent="0.25">
      <c r="A71" s="11" t="s">
        <v>69</v>
      </c>
    </row>
    <row r="72" spans="1:11" x14ac:dyDescent="0.25">
      <c r="A72" s="11" t="s">
        <v>82</v>
      </c>
      <c r="B72" s="7">
        <v>1</v>
      </c>
      <c r="C72" s="7">
        <v>1</v>
      </c>
      <c r="D72" s="7">
        <v>1</v>
      </c>
      <c r="E72" s="7">
        <v>1</v>
      </c>
      <c r="F72" s="7">
        <v>1</v>
      </c>
      <c r="G72" s="7">
        <v>1</v>
      </c>
      <c r="H72" s="7">
        <v>1</v>
      </c>
      <c r="I72" s="7">
        <v>1</v>
      </c>
      <c r="J72" s="7">
        <v>1</v>
      </c>
      <c r="K72" s="7">
        <v>1</v>
      </c>
    </row>
    <row r="80" spans="1:11" x14ac:dyDescent="0.25">
      <c r="A80" s="9" t="s">
        <v>36</v>
      </c>
    </row>
    <row r="81" spans="1:12" s="22" customFormat="1" x14ac:dyDescent="0.25">
      <c r="A81" s="21" t="s">
        <v>33</v>
      </c>
      <c r="B81" s="8">
        <v>42460</v>
      </c>
      <c r="C81" s="8">
        <v>42825</v>
      </c>
      <c r="D81" s="8">
        <v>43190</v>
      </c>
      <c r="E81" s="8">
        <v>43555</v>
      </c>
      <c r="F81" s="8">
        <v>43921</v>
      </c>
      <c r="G81" s="8">
        <v>44286</v>
      </c>
      <c r="H81" s="8">
        <v>44651</v>
      </c>
      <c r="I81" s="8">
        <v>45016</v>
      </c>
      <c r="J81" s="8">
        <v>45382</v>
      </c>
      <c r="K81" s="8">
        <v>45747</v>
      </c>
      <c r="L81" s="8"/>
    </row>
    <row r="82" spans="1:12" s="9" customFormat="1" x14ac:dyDescent="0.25">
      <c r="A82" s="11" t="s">
        <v>27</v>
      </c>
      <c r="B82" s="7">
        <v>6685.86</v>
      </c>
      <c r="C82" s="7">
        <v>7082.21</v>
      </c>
      <c r="D82" s="7">
        <v>3907.15</v>
      </c>
      <c r="E82" s="7">
        <v>2196.4499999999998</v>
      </c>
      <c r="F82" s="7">
        <v>6554.77</v>
      </c>
      <c r="G82" s="7">
        <v>6170.37</v>
      </c>
      <c r="H82" s="7">
        <v>8984.5400000000009</v>
      </c>
      <c r="I82" s="7">
        <v>4959.33</v>
      </c>
      <c r="J82" s="7">
        <v>12134.98</v>
      </c>
      <c r="K82" s="7">
        <v>14072.09</v>
      </c>
    </row>
    <row r="83" spans="1:12" x14ac:dyDescent="0.25">
      <c r="A83" s="11" t="s">
        <v>28</v>
      </c>
      <c r="B83" s="7">
        <v>-3949.13</v>
      </c>
      <c r="C83" s="7">
        <v>-4186.1499999999996</v>
      </c>
      <c r="D83" s="7">
        <v>-3103.8</v>
      </c>
      <c r="E83" s="7">
        <v>-310.08</v>
      </c>
      <c r="F83" s="7">
        <v>-2225.3200000000002</v>
      </c>
      <c r="G83" s="7">
        <v>406.53</v>
      </c>
      <c r="H83" s="7">
        <v>-5555.86</v>
      </c>
      <c r="I83" s="7">
        <v>-7219.92</v>
      </c>
      <c r="J83" s="7">
        <v>-762.9</v>
      </c>
      <c r="K83" s="7">
        <v>-5183.1499999999996</v>
      </c>
    </row>
    <row r="84" spans="1:12" x14ac:dyDescent="0.25">
      <c r="A84" s="11" t="s">
        <v>29</v>
      </c>
      <c r="B84" s="7">
        <v>-1888.53</v>
      </c>
      <c r="C84" s="7">
        <v>-2285.39</v>
      </c>
      <c r="D84" s="7">
        <v>-1539.26</v>
      </c>
      <c r="E84" s="7">
        <v>-2730.52</v>
      </c>
      <c r="F84" s="7">
        <v>-5715.14</v>
      </c>
      <c r="G84" s="7">
        <v>-5980.48</v>
      </c>
      <c r="H84" s="7">
        <v>-5193.46</v>
      </c>
      <c r="I84" s="7">
        <v>2376.0700000000002</v>
      </c>
      <c r="J84" s="7">
        <v>-6710.16</v>
      </c>
      <c r="K84" s="7">
        <v>-7905.82</v>
      </c>
    </row>
    <row r="85" spans="1:12" s="9" customFormat="1" x14ac:dyDescent="0.25">
      <c r="A85" s="11" t="s">
        <v>30</v>
      </c>
      <c r="B85" s="7">
        <v>848.2</v>
      </c>
      <c r="C85" s="7">
        <v>610.66999999999996</v>
      </c>
      <c r="D85" s="7">
        <v>-735.91</v>
      </c>
      <c r="E85" s="7">
        <v>-844.15</v>
      </c>
      <c r="F85" s="7">
        <v>-1385.69</v>
      </c>
      <c r="G85" s="7">
        <v>596.41999999999996</v>
      </c>
      <c r="H85" s="7">
        <v>-1764.78</v>
      </c>
      <c r="I85" s="7">
        <v>115.48</v>
      </c>
      <c r="J85" s="7">
        <v>4661.92</v>
      </c>
      <c r="K85" s="7">
        <v>983.12</v>
      </c>
    </row>
    <row r="90" spans="1:12" s="9" customFormat="1" x14ac:dyDescent="0.25">
      <c r="A90" s="9" t="s">
        <v>71</v>
      </c>
      <c r="B90" s="7">
        <v>820</v>
      </c>
      <c r="C90" s="7">
        <v>688.15</v>
      </c>
      <c r="D90" s="7">
        <v>495.1</v>
      </c>
      <c r="E90" s="7">
        <v>478.85</v>
      </c>
      <c r="F90" s="7">
        <v>352.3</v>
      </c>
      <c r="G90" s="7">
        <v>597.79999999999995</v>
      </c>
      <c r="H90" s="7">
        <v>914.75</v>
      </c>
      <c r="I90" s="7">
        <v>983.1</v>
      </c>
      <c r="J90" s="7">
        <v>1620.55</v>
      </c>
      <c r="K90" s="7">
        <v>1734.7</v>
      </c>
    </row>
    <row r="92" spans="1:12" s="9" customFormat="1" x14ac:dyDescent="0.25">
      <c r="A92" s="9" t="s">
        <v>70</v>
      </c>
    </row>
    <row r="93" spans="1:12" x14ac:dyDescent="0.25">
      <c r="A93" s="11" t="s">
        <v>83</v>
      </c>
      <c r="B93" s="23">
        <v>240.67</v>
      </c>
      <c r="C93" s="23">
        <v>239.93</v>
      </c>
      <c r="D93" s="23">
        <v>239.93</v>
      </c>
      <c r="E93" s="23">
        <v>239.93</v>
      </c>
      <c r="F93" s="23">
        <v>239.93</v>
      </c>
      <c r="G93" s="23">
        <v>239.93</v>
      </c>
      <c r="H93" s="23">
        <v>239.93</v>
      </c>
      <c r="I93" s="23">
        <v>239.93</v>
      </c>
      <c r="J93" s="23">
        <v>239.93</v>
      </c>
      <c r="K93" s="23">
        <v>239.93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workbookViewId="0">
      <selection activeCell="A16" sqref="A16"/>
    </sheetView>
  </sheetViews>
  <sheetFormatPr defaultColWidth="9.21875" defaultRowHeight="14.4" x14ac:dyDescent="0.3"/>
  <cols>
    <col min="1" max="1" width="9.21875" style="1"/>
    <col min="2" max="2" width="10.5546875" customWidth="1"/>
    <col min="3" max="3" width="13.21875" style="3" customWidth="1"/>
    <col min="6" max="6" width="6.77734375" customWidth="1"/>
  </cols>
  <sheetData>
    <row r="1" spans="1:7" ht="21" x14ac:dyDescent="0.4">
      <c r="A1" s="2" t="s">
        <v>52</v>
      </c>
    </row>
    <row r="3" spans="1:7" x14ac:dyDescent="0.3">
      <c r="A3" s="1" t="s">
        <v>43</v>
      </c>
    </row>
    <row r="4" spans="1:7" x14ac:dyDescent="0.3">
      <c r="A4" s="1" t="s">
        <v>252</v>
      </c>
      <c r="B4" t="s">
        <v>84</v>
      </c>
    </row>
    <row r="5" spans="1:7" x14ac:dyDescent="0.3">
      <c r="B5" t="s">
        <v>44</v>
      </c>
    </row>
    <row r="7" spans="1:7" x14ac:dyDescent="0.3">
      <c r="A7" s="1" t="s">
        <v>45</v>
      </c>
    </row>
    <row r="8" spans="1:7" x14ac:dyDescent="0.3">
      <c r="B8" t="s">
        <v>46</v>
      </c>
      <c r="C8" s="4" t="s">
        <v>85</v>
      </c>
    </row>
    <row r="10" spans="1:7" x14ac:dyDescent="0.3">
      <c r="A10" s="1" t="s">
        <v>47</v>
      </c>
    </row>
    <row r="11" spans="1:7" x14ac:dyDescent="0.3">
      <c r="B11" t="s">
        <v>48</v>
      </c>
    </row>
    <row r="14" spans="1:7" x14ac:dyDescent="0.3">
      <c r="A14" s="1" t="s">
        <v>49</v>
      </c>
    </row>
    <row r="15" spans="1:7" x14ac:dyDescent="0.3">
      <c r="B15" t="s">
        <v>50</v>
      </c>
    </row>
    <row r="16" spans="1:7" x14ac:dyDescent="0.3">
      <c r="B16" t="s">
        <v>51</v>
      </c>
      <c r="G16" s="5" t="s">
        <v>86</v>
      </c>
    </row>
  </sheetData>
  <hyperlinks>
    <hyperlink ref="C8" r:id="rId1" display=" http://www.screener.in/excel"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Cover</vt:lpstr>
      <vt:lpstr>Summary</vt:lpstr>
      <vt:lpstr>SUN P DCF</vt:lpstr>
      <vt:lpstr>COMPS</vt:lpstr>
      <vt:lpstr>WACC</vt:lpstr>
      <vt:lpstr>Sheet4</vt:lpstr>
      <vt:lpstr>Balance Sheet</vt:lpstr>
      <vt:lpstr>Profit &amp; Loss</vt:lpstr>
      <vt:lpstr>Cash Flow</vt:lpstr>
      <vt:lpstr>Key Ratios</vt:lpstr>
      <vt:lpstr>Charts</vt:lpstr>
      <vt:lpstr>Common Size Analysis</vt:lpstr>
      <vt:lpstr>Dhandho IV</vt:lpstr>
      <vt:lpstr>Ben Graham Formula</vt:lpstr>
      <vt:lpstr>DCF</vt:lpstr>
      <vt:lpstr>Expected Returns</vt:lpstr>
      <vt:lpstr>Intrinsic Values</vt:lpstr>
      <vt:lpstr>Quarters</vt:lpstr>
      <vt:lpstr>Data Sheet</vt:lpstr>
      <vt:lpstr>Customization</vt:lpstr>
      <vt:lpstr>tgr</vt:lpstr>
      <vt:lpstr>UPDATE</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Siddhant Bhardwaj</cp:lastModifiedBy>
  <cp:lastPrinted>2012-12-06T18:14:13Z</cp:lastPrinted>
  <dcterms:created xsi:type="dcterms:W3CDTF">2012-08-17T09:55:37Z</dcterms:created>
  <dcterms:modified xsi:type="dcterms:W3CDTF">2025-09-01T22:08:19Z</dcterms:modified>
</cp:coreProperties>
</file>