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5.xml" ContentType="application/vnd.openxmlformats-officedocument.drawing+xml"/>
  <Override PartName="/xl/comments9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gv03\Desktop\Al Metalscape\Code\"/>
    </mc:Choice>
  </mc:AlternateContent>
  <xr:revisionPtr revIDLastSave="0" documentId="13_ncr:1_{EE58B799-516A-4EDB-8255-0746FFCE1117}" xr6:coauthVersionLast="47" xr6:coauthVersionMax="47" xr10:uidLastSave="{00000000-0000-0000-0000-000000000000}"/>
  <bookViews>
    <workbookView xWindow="8244" yWindow="708" windowWidth="13248" windowHeight="8880" firstSheet="2" activeTab="8" xr2:uid="{00000000-000D-0000-FFFF-FFFF00000000}"/>
  </bookViews>
  <sheets>
    <sheet name="Mining and Bayer" sheetId="4" r:id="rId1"/>
    <sheet name="Electrolysis" sheetId="5" r:id="rId2"/>
    <sheet name="Recycling" sheetId="7" r:id="rId3"/>
    <sheet name="Casting" sheetId="6" r:id="rId4"/>
    <sheet name="Rolling (F1)" sheetId="8" r:id="rId5"/>
    <sheet name="Extrusion (F2)" sheetId="9" r:id="rId6"/>
    <sheet name="Deformation" sheetId="3" r:id="rId7"/>
    <sheet name="demand" sheetId="14" r:id="rId8"/>
    <sheet name="scrap" sheetId="15" r:id="rId9"/>
    <sheet name="import CF" sheetId="11" r:id="rId10"/>
    <sheet name="Data Export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5" l="1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G80" i="3" l="1"/>
  <c r="G79" i="3"/>
  <c r="F82" i="3"/>
  <c r="F81" i="3"/>
  <c r="F80" i="3"/>
  <c r="F79" i="3"/>
  <c r="F78" i="3"/>
  <c r="C81" i="3"/>
  <c r="D81" i="3"/>
  <c r="E81" i="3"/>
  <c r="B81" i="3"/>
  <c r="B80" i="3"/>
  <c r="C80" i="3"/>
  <c r="D80" i="3"/>
  <c r="E80" i="3"/>
  <c r="C79" i="3"/>
  <c r="D79" i="3"/>
  <c r="E79" i="3"/>
  <c r="B79" i="3"/>
  <c r="C78" i="3"/>
  <c r="D78" i="3"/>
  <c r="E78" i="3"/>
  <c r="B78" i="3"/>
  <c r="I36" i="6"/>
  <c r="I35" i="6"/>
  <c r="H37" i="6"/>
  <c r="G37" i="6"/>
  <c r="G36" i="6"/>
  <c r="G35" i="6"/>
  <c r="K36" i="11"/>
  <c r="L42" i="11"/>
  <c r="L37" i="11"/>
  <c r="L36" i="11"/>
  <c r="E36" i="11" l="1"/>
  <c r="D36" i="11"/>
  <c r="C36" i="11"/>
  <c r="B46" i="11" l="1"/>
  <c r="C46" i="11"/>
  <c r="D46" i="11"/>
  <c r="E46" i="11"/>
  <c r="F46" i="11"/>
  <c r="B38" i="11"/>
  <c r="C38" i="11"/>
  <c r="D38" i="11"/>
  <c r="E38" i="11"/>
  <c r="F38" i="11"/>
  <c r="B39" i="11"/>
  <c r="C39" i="11"/>
  <c r="D39" i="11"/>
  <c r="E39" i="11"/>
  <c r="F39" i="11"/>
  <c r="C37" i="11"/>
  <c r="D37" i="11"/>
  <c r="E37" i="11"/>
  <c r="F37" i="11"/>
  <c r="B42" i="11"/>
  <c r="C42" i="11"/>
  <c r="D42" i="11"/>
  <c r="E42" i="11"/>
  <c r="F42" i="11"/>
  <c r="F41" i="11"/>
  <c r="C41" i="11"/>
  <c r="D41" i="11"/>
  <c r="E41" i="11"/>
  <c r="B41" i="11"/>
  <c r="S9" i="11"/>
  <c r="S8" i="11"/>
  <c r="S3" i="11"/>
  <c r="S4" i="11"/>
  <c r="S2" i="11"/>
  <c r="J17" i="11"/>
  <c r="J16" i="11"/>
  <c r="J14" i="11" l="1"/>
  <c r="F60" i="5"/>
  <c r="J15" i="11" l="1"/>
  <c r="L13" i="11"/>
  <c r="L14" i="11" s="1"/>
  <c r="T44" i="5"/>
  <c r="L15" i="11" l="1"/>
  <c r="L20" i="11" s="1"/>
  <c r="J2" i="14"/>
  <c r="K20" i="11" l="1"/>
  <c r="F18" i="11" s="1"/>
  <c r="L38" i="11" s="1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Y3" i="11"/>
  <c r="Y4" i="11" s="1"/>
  <c r="Y5" i="11" s="1"/>
  <c r="Y6" i="11" s="1"/>
  <c r="Y7" i="11" s="1"/>
  <c r="Y8" i="11" s="1"/>
  <c r="Y9" i="11" s="1"/>
  <c r="Y10" i="11" s="1"/>
  <c r="Y11" i="11" s="1"/>
  <c r="Y12" i="11" s="1"/>
  <c r="Y13" i="11" s="1"/>
  <c r="Y14" i="11" s="1"/>
  <c r="Y15" i="11" s="1"/>
  <c r="Y16" i="11" s="1"/>
  <c r="Y17" i="11" s="1"/>
  <c r="Y18" i="11" s="1"/>
  <c r="Y19" i="11" s="1"/>
  <c r="Y20" i="11" s="1"/>
  <c r="Y21" i="11" s="1"/>
  <c r="Z33" i="11"/>
  <c r="Z2" i="11"/>
  <c r="Z3" i="11"/>
  <c r="Y22" i="11" l="1"/>
  <c r="Z21" i="11"/>
  <c r="G40" i="3"/>
  <c r="F38" i="3"/>
  <c r="Q43" i="4"/>
  <c r="Y23" i="11" l="1"/>
  <c r="Z22" i="11"/>
  <c r="Z4" i="11"/>
  <c r="O28" i="6"/>
  <c r="C4" i="13" s="1"/>
  <c r="V71" i="9"/>
  <c r="I71" i="9"/>
  <c r="F71" i="9"/>
  <c r="S71" i="9"/>
  <c r="R80" i="8"/>
  <c r="AD80" i="8"/>
  <c r="F84" i="8"/>
  <c r="H4" i="13"/>
  <c r="G4" i="13"/>
  <c r="D4" i="13"/>
  <c r="Y24" i="11" l="1"/>
  <c r="Z23" i="11"/>
  <c r="Z5" i="11"/>
  <c r="G86" i="8"/>
  <c r="T16" i="6"/>
  <c r="H26" i="11"/>
  <c r="G26" i="11"/>
  <c r="C28" i="11"/>
  <c r="C21" i="11"/>
  <c r="C22" i="11" s="1"/>
  <c r="C18" i="11"/>
  <c r="D18" i="11" s="1"/>
  <c r="E18" i="11" s="1"/>
  <c r="C17" i="11"/>
  <c r="C16" i="11"/>
  <c r="D16" i="11" l="1"/>
  <c r="E16" i="11" s="1"/>
  <c r="F16" i="11" s="1"/>
  <c r="C19" i="11"/>
  <c r="Y25" i="11"/>
  <c r="Z24" i="11"/>
  <c r="Z6" i="11"/>
  <c r="C25" i="11"/>
  <c r="D17" i="11"/>
  <c r="E17" i="11" s="1"/>
  <c r="H27" i="11"/>
  <c r="C27" i="11"/>
  <c r="C29" i="11" s="1"/>
  <c r="AA52" i="4"/>
  <c r="I45" i="5"/>
  <c r="K44" i="5"/>
  <c r="I44" i="5"/>
  <c r="AO54" i="8"/>
  <c r="K89" i="8"/>
  <c r="L89" i="8" s="1"/>
  <c r="W85" i="8"/>
  <c r="AO47" i="8"/>
  <c r="AO46" i="8"/>
  <c r="S83" i="9"/>
  <c r="Y76" i="9"/>
  <c r="X75" i="9"/>
  <c r="Y75" i="9" s="1"/>
  <c r="W75" i="9"/>
  <c r="F83" i="9"/>
  <c r="L76" i="9"/>
  <c r="K75" i="9"/>
  <c r="L75" i="9" s="1"/>
  <c r="J75" i="9"/>
  <c r="F70" i="3"/>
  <c r="AD92" i="8"/>
  <c r="AJ85" i="8"/>
  <c r="AI84" i="8"/>
  <c r="AJ84" i="8" s="1"/>
  <c r="AH84" i="8"/>
  <c r="R92" i="8"/>
  <c r="X85" i="8"/>
  <c r="W84" i="8"/>
  <c r="V84" i="8"/>
  <c r="K88" i="8"/>
  <c r="F96" i="8"/>
  <c r="L92" i="8"/>
  <c r="J88" i="8"/>
  <c r="H44" i="3"/>
  <c r="Y26" i="11" l="1"/>
  <c r="Z25" i="11"/>
  <c r="Z7" i="11"/>
  <c r="L88" i="8"/>
  <c r="X84" i="8"/>
  <c r="AN53" i="8"/>
  <c r="AN27" i="8"/>
  <c r="Y27" i="11" l="1"/>
  <c r="Z26" i="11"/>
  <c r="Z8" i="11"/>
  <c r="Q49" i="5"/>
  <c r="Q50" i="5" s="1"/>
  <c r="Q53" i="5" s="1"/>
  <c r="Q52" i="5"/>
  <c r="F62" i="5"/>
  <c r="F59" i="5"/>
  <c r="F58" i="5"/>
  <c r="F57" i="5"/>
  <c r="E58" i="5"/>
  <c r="E59" i="5"/>
  <c r="E60" i="5"/>
  <c r="E61" i="5"/>
  <c r="E62" i="5"/>
  <c r="E57" i="5"/>
  <c r="D63" i="5"/>
  <c r="D57" i="5"/>
  <c r="D8" i="11"/>
  <c r="C8" i="11"/>
  <c r="R9" i="11"/>
  <c r="R8" i="11"/>
  <c r="O9" i="11"/>
  <c r="O8" i="11"/>
  <c r="O4" i="11"/>
  <c r="O3" i="11"/>
  <c r="O2" i="11"/>
  <c r="B37" i="11" s="1"/>
  <c r="J5" i="11"/>
  <c r="J6" i="11"/>
  <c r="J7" i="11"/>
  <c r="J4" i="11"/>
  <c r="H63" i="5" l="1"/>
  <c r="Y28" i="11"/>
  <c r="Z27" i="11"/>
  <c r="Z9" i="11"/>
  <c r="G1" i="11"/>
  <c r="E2" i="11" s="1"/>
  <c r="Y29" i="11" l="1"/>
  <c r="Z28" i="11"/>
  <c r="Z10" i="11"/>
  <c r="F2" i="11"/>
  <c r="D2" i="11"/>
  <c r="G2" i="11" s="1"/>
  <c r="G8" i="11"/>
  <c r="I8" i="11" s="1"/>
  <c r="K22" i="11" s="1"/>
  <c r="E22" i="11" s="1"/>
  <c r="Y30" i="11" l="1"/>
  <c r="Z29" i="11"/>
  <c r="Z11" i="11"/>
  <c r="Y31" i="11" l="1"/>
  <c r="Z30" i="11"/>
  <c r="Z12" i="11"/>
  <c r="Y32" i="11" l="1"/>
  <c r="Z32" i="11" s="1"/>
  <c r="Z31" i="11"/>
  <c r="Z13" i="11"/>
  <c r="Z14" i="11" l="1"/>
  <c r="Z15" i="11" l="1"/>
  <c r="AN47" i="8"/>
  <c r="AN46" i="8"/>
  <c r="AN43" i="8"/>
  <c r="AN42" i="8"/>
  <c r="Z16" i="11" l="1"/>
  <c r="AN48" i="8"/>
  <c r="AN51" i="8" s="1"/>
  <c r="AN44" i="8"/>
  <c r="AN25" i="8"/>
  <c r="AN24" i="8"/>
  <c r="B34" i="3" s="1"/>
  <c r="AO14" i="8"/>
  <c r="AO13" i="8"/>
  <c r="AN13" i="8"/>
  <c r="AN10" i="8"/>
  <c r="AN9" i="8"/>
  <c r="AN14" i="8" s="1"/>
  <c r="AN5" i="8"/>
  <c r="AN17" i="8" s="1"/>
  <c r="AN4" i="8"/>
  <c r="AN18" i="8" s="1"/>
  <c r="F40" i="6"/>
  <c r="Q25" i="6"/>
  <c r="Z41" i="7"/>
  <c r="O65" i="7"/>
  <c r="F64" i="7"/>
  <c r="Q48" i="5"/>
  <c r="F52" i="5"/>
  <c r="F53" i="5"/>
  <c r="AB48" i="4"/>
  <c r="Q42" i="4"/>
  <c r="F29" i="4"/>
  <c r="Q44" i="5"/>
  <c r="Q43" i="5"/>
  <c r="Q45" i="5" s="1"/>
  <c r="Q40" i="5"/>
  <c r="Q41" i="5" s="1"/>
  <c r="Q39" i="5"/>
  <c r="F49" i="5"/>
  <c r="F50" i="5" s="1"/>
  <c r="F45" i="5"/>
  <c r="F46" i="5" s="1"/>
  <c r="F44" i="5"/>
  <c r="Q21" i="6"/>
  <c r="Q20" i="6"/>
  <c r="Q17" i="6"/>
  <c r="T17" i="6" s="1"/>
  <c r="Q16" i="6"/>
  <c r="S72" i="9"/>
  <c r="F72" i="9"/>
  <c r="AD81" i="8"/>
  <c r="AH81" i="8" s="1"/>
  <c r="AH80" i="8"/>
  <c r="R81" i="8"/>
  <c r="V81" i="8" s="1"/>
  <c r="F85" i="8"/>
  <c r="I31" i="6"/>
  <c r="F36" i="6"/>
  <c r="F35" i="6"/>
  <c r="F32" i="6"/>
  <c r="F33" i="6" s="1"/>
  <c r="F31" i="6"/>
  <c r="O60" i="7"/>
  <c r="F60" i="7"/>
  <c r="O59" i="7"/>
  <c r="F59" i="7"/>
  <c r="O56" i="7"/>
  <c r="R56" i="7" s="1"/>
  <c r="F56" i="7"/>
  <c r="I56" i="7" s="1"/>
  <c r="O55" i="7"/>
  <c r="R55" i="7" s="1"/>
  <c r="F55" i="7"/>
  <c r="F57" i="7" s="1"/>
  <c r="Z38" i="7"/>
  <c r="Z40" i="7" s="1"/>
  <c r="Z37" i="7"/>
  <c r="AB37" i="7" s="1"/>
  <c r="Z36" i="7"/>
  <c r="AB36" i="7" s="1"/>
  <c r="Z33" i="7"/>
  <c r="Z34" i="7" s="1"/>
  <c r="Z32" i="7"/>
  <c r="AB44" i="4"/>
  <c r="AB43" i="4"/>
  <c r="AB45" i="4" s="1"/>
  <c r="AB47" i="4" s="1"/>
  <c r="AB40" i="4"/>
  <c r="AB41" i="4" s="1"/>
  <c r="AB39" i="4"/>
  <c r="Q38" i="4"/>
  <c r="Q37" i="4"/>
  <c r="Q39" i="4" s="1"/>
  <c r="Q41" i="4" s="1"/>
  <c r="Q34" i="4"/>
  <c r="Q35" i="4" s="1"/>
  <c r="Q33" i="4"/>
  <c r="F26" i="4"/>
  <c r="F28" i="4" s="1"/>
  <c r="F25" i="4"/>
  <c r="H25" i="4" s="1"/>
  <c r="F24" i="4"/>
  <c r="F21" i="4"/>
  <c r="F22" i="4" s="1"/>
  <c r="F20" i="4"/>
  <c r="F2" i="3"/>
  <c r="F3" i="3"/>
  <c r="Z17" i="11" l="1"/>
  <c r="S73" i="9"/>
  <c r="S82" i="9" s="1"/>
  <c r="F73" i="9"/>
  <c r="F82" i="9" s="1"/>
  <c r="V72" i="9"/>
  <c r="I72" i="9"/>
  <c r="B39" i="3"/>
  <c r="B45" i="3" s="1"/>
  <c r="B38" i="3"/>
  <c r="B44" i="3" s="1"/>
  <c r="B46" i="3" s="1"/>
  <c r="J84" i="8"/>
  <c r="W80" i="8"/>
  <c r="AO15" i="8"/>
  <c r="AD82" i="8"/>
  <c r="AN28" i="8"/>
  <c r="AN54" i="8"/>
  <c r="AN50" i="8"/>
  <c r="F5" i="3"/>
  <c r="AN15" i="8"/>
  <c r="B26" i="3" s="1"/>
  <c r="AN19" i="8"/>
  <c r="AP17" i="8" s="1"/>
  <c r="Q22" i="6"/>
  <c r="Q24" i="6" s="1"/>
  <c r="Q18" i="6"/>
  <c r="Q47" i="5"/>
  <c r="S44" i="5"/>
  <c r="S43" i="5"/>
  <c r="H49" i="5"/>
  <c r="H48" i="5"/>
  <c r="F86" i="8"/>
  <c r="F95" i="8" s="1"/>
  <c r="W81" i="8"/>
  <c r="R82" i="8"/>
  <c r="U80" i="8"/>
  <c r="V80" i="8"/>
  <c r="J85" i="8"/>
  <c r="U81" i="8"/>
  <c r="F37" i="6"/>
  <c r="F39" i="6" s="1"/>
  <c r="I55" i="7"/>
  <c r="O57" i="7"/>
  <c r="F61" i="7"/>
  <c r="F63" i="7" s="1"/>
  <c r="O61" i="7"/>
  <c r="O64" i="7" s="1"/>
  <c r="AD44" i="4"/>
  <c r="AD43" i="4"/>
  <c r="S38" i="4"/>
  <c r="H24" i="4"/>
  <c r="S37" i="4"/>
  <c r="C60" i="3"/>
  <c r="B60" i="3"/>
  <c r="Z18" i="11" l="1"/>
  <c r="V75" i="9"/>
  <c r="C73" i="3"/>
  <c r="I75" i="9"/>
  <c r="B73" i="3"/>
  <c r="F75" i="9"/>
  <c r="I76" i="9"/>
  <c r="F76" i="9" s="1"/>
  <c r="S75" i="9"/>
  <c r="V76" i="9"/>
  <c r="S76" i="9" s="1"/>
  <c r="B40" i="3"/>
  <c r="AD91" i="8"/>
  <c r="AG84" i="8" s="1"/>
  <c r="E47" i="3"/>
  <c r="I88" i="8"/>
  <c r="I89" i="8" s="1"/>
  <c r="F89" i="8" s="1"/>
  <c r="E39" i="3" s="1"/>
  <c r="E45" i="3" s="1"/>
  <c r="R91" i="8"/>
  <c r="U84" i="8" s="1"/>
  <c r="R84" i="8" s="1"/>
  <c r="AN29" i="8"/>
  <c r="B47" i="3" s="1"/>
  <c r="AP18" i="8"/>
  <c r="AN22" i="8"/>
  <c r="AN21" i="8"/>
  <c r="B41" i="3" s="1"/>
  <c r="S21" i="6"/>
  <c r="S20" i="6"/>
  <c r="H36" i="6"/>
  <c r="H35" i="6"/>
  <c r="H60" i="7"/>
  <c r="Q60" i="7"/>
  <c r="H59" i="7"/>
  <c r="Q59" i="7"/>
  <c r="C52" i="3"/>
  <c r="B52" i="3"/>
  <c r="E34" i="3"/>
  <c r="D34" i="3"/>
  <c r="C34" i="3"/>
  <c r="B28" i="3"/>
  <c r="E26" i="3"/>
  <c r="D26" i="3"/>
  <c r="C26" i="3"/>
  <c r="Z20" i="11" l="1"/>
  <c r="Z19" i="11"/>
  <c r="V82" i="9"/>
  <c r="S77" i="9"/>
  <c r="U75" i="9" s="1"/>
  <c r="C64" i="3"/>
  <c r="C70" i="3" s="1"/>
  <c r="C65" i="3"/>
  <c r="C71" i="3" s="1"/>
  <c r="B65" i="3"/>
  <c r="B71" i="3" s="1"/>
  <c r="I82" i="9"/>
  <c r="F77" i="9"/>
  <c r="B64" i="3"/>
  <c r="C47" i="3"/>
  <c r="F88" i="8"/>
  <c r="I95" i="8" s="1"/>
  <c r="U85" i="8"/>
  <c r="R85" i="8" s="1"/>
  <c r="C39" i="3" s="1"/>
  <c r="C45" i="3" s="1"/>
  <c r="AD84" i="8"/>
  <c r="AG85" i="8"/>
  <c r="AD85" i="8" s="1"/>
  <c r="D47" i="3"/>
  <c r="C38" i="3"/>
  <c r="C54" i="3"/>
  <c r="C28" i="3"/>
  <c r="D28" i="3"/>
  <c r="E28" i="3"/>
  <c r="B54" i="3"/>
  <c r="L3" i="3"/>
  <c r="L4" i="3"/>
  <c r="L2" i="3"/>
  <c r="J5" i="3"/>
  <c r="U76" i="9" l="1"/>
  <c r="E38" i="3"/>
  <c r="E44" i="3" s="1"/>
  <c r="E46" i="3" s="1"/>
  <c r="F90" i="8"/>
  <c r="H88" i="8" s="1"/>
  <c r="R86" i="8"/>
  <c r="T84" i="8" s="1"/>
  <c r="U91" i="8"/>
  <c r="B66" i="3"/>
  <c r="B70" i="3"/>
  <c r="B72" i="3" s="1"/>
  <c r="C72" i="3"/>
  <c r="H75" i="9"/>
  <c r="F79" i="9"/>
  <c r="B67" i="3" s="1"/>
  <c r="F80" i="9"/>
  <c r="H76" i="9"/>
  <c r="C66" i="3"/>
  <c r="S80" i="9"/>
  <c r="S79" i="9"/>
  <c r="C67" i="3" s="1"/>
  <c r="AG91" i="8"/>
  <c r="AD86" i="8"/>
  <c r="AF84" i="8" s="1"/>
  <c r="D38" i="3"/>
  <c r="D39" i="3"/>
  <c r="D45" i="3" s="1"/>
  <c r="C44" i="3"/>
  <c r="C46" i="3" s="1"/>
  <c r="C40" i="3"/>
  <c r="T85" i="8"/>
  <c r="E40" i="3"/>
  <c r="H16" i="3"/>
  <c r="H15" i="3"/>
  <c r="H14" i="3"/>
  <c r="H9" i="3"/>
  <c r="H10" i="3"/>
  <c r="H8" i="3"/>
  <c r="E20" i="3"/>
  <c r="G20" i="3"/>
  <c r="H20" i="3"/>
  <c r="I20" i="3" s="1"/>
  <c r="H3" i="3"/>
  <c r="H4" i="3"/>
  <c r="H2" i="3"/>
  <c r="R89" i="8" l="1"/>
  <c r="R88" i="8"/>
  <c r="C41" i="3" s="1"/>
  <c r="F93" i="8"/>
  <c r="F92" i="8"/>
  <c r="E41" i="3" s="1"/>
  <c r="H89" i="8"/>
  <c r="AF85" i="8"/>
  <c r="D44" i="3"/>
  <c r="D46" i="3" s="1"/>
  <c r="D40" i="3"/>
  <c r="AD89" i="8"/>
  <c r="AD88" i="8"/>
  <c r="D41" i="3" s="1"/>
  <c r="F17" i="3"/>
  <c r="F11" i="3"/>
  <c r="G15" i="3" l="1"/>
  <c r="G17" i="3"/>
  <c r="G16" i="3"/>
  <c r="G14" i="3"/>
  <c r="D17" i="3"/>
  <c r="B17" i="3"/>
  <c r="D11" i="3"/>
  <c r="B11" i="3"/>
  <c r="D5" i="3"/>
  <c r="B5" i="3"/>
  <c r="C14" i="3" l="1"/>
  <c r="E14" i="3"/>
  <c r="E16" i="3"/>
  <c r="E15" i="3"/>
  <c r="H17" i="3"/>
  <c r="I17" i="3" s="1"/>
  <c r="I16" i="3"/>
  <c r="I14" i="3"/>
  <c r="I15" i="3"/>
  <c r="G8" i="3"/>
  <c r="G10" i="3"/>
  <c r="G9" i="3"/>
  <c r="H11" i="3"/>
  <c r="I11" i="3" s="1"/>
  <c r="B53" i="3" s="1"/>
  <c r="E9" i="3"/>
  <c r="E10" i="3"/>
  <c r="C11" i="3"/>
  <c r="E8" i="3"/>
  <c r="C9" i="3"/>
  <c r="C10" i="3"/>
  <c r="I8" i="3"/>
  <c r="I9" i="3"/>
  <c r="I10" i="3"/>
  <c r="G11" i="3"/>
  <c r="E11" i="3"/>
  <c r="C53" i="3" s="1"/>
  <c r="E17" i="3"/>
  <c r="C2" i="3"/>
  <c r="G2" i="3"/>
  <c r="K3" i="3"/>
  <c r="K4" i="3"/>
  <c r="M2" i="3"/>
  <c r="K2" i="3"/>
  <c r="L5" i="3"/>
  <c r="M5" i="3" s="1"/>
  <c r="K5" i="3"/>
  <c r="B27" i="3" s="1"/>
  <c r="I4" i="3"/>
  <c r="E2" i="3"/>
  <c r="M4" i="3"/>
  <c r="M3" i="3"/>
  <c r="C3" i="3"/>
  <c r="E3" i="3"/>
  <c r="C4" i="3"/>
  <c r="D27" i="3" s="1"/>
  <c r="C5" i="3"/>
  <c r="G4" i="3"/>
  <c r="H5" i="3"/>
  <c r="I5" i="3" s="1"/>
  <c r="G3" i="3"/>
  <c r="E4" i="3"/>
  <c r="I2" i="3"/>
  <c r="I3" i="3"/>
  <c r="G5" i="3"/>
  <c r="E5" i="3"/>
  <c r="C15" i="3"/>
  <c r="C16" i="3"/>
  <c r="C8" i="3"/>
  <c r="E6" i="3" l="1"/>
  <c r="C27" i="3" s="1"/>
  <c r="D29" i="3"/>
  <c r="N3" i="11"/>
  <c r="A38" i="11" s="1"/>
  <c r="C29" i="3"/>
  <c r="N4" i="11"/>
  <c r="A39" i="11" s="1"/>
  <c r="B29" i="3"/>
  <c r="C55" i="3"/>
  <c r="N9" i="11"/>
  <c r="A42" i="11" s="1"/>
  <c r="B55" i="3"/>
  <c r="N8" i="11"/>
  <c r="A41" i="11" s="1"/>
  <c r="D54" i="3"/>
  <c r="M6" i="3"/>
  <c r="E27" i="3" s="1"/>
  <c r="D52" i="3"/>
  <c r="M7" i="3" l="1"/>
  <c r="D55" i="3"/>
  <c r="C59" i="3" s="1"/>
  <c r="C61" i="3" s="1"/>
  <c r="N2" i="11"/>
  <c r="A37" i="11" s="1"/>
  <c r="D4" i="11"/>
  <c r="C40" i="11" s="1"/>
  <c r="C4" i="11"/>
  <c r="B40" i="11" s="1"/>
  <c r="E4" i="11"/>
  <c r="D40" i="11" s="1"/>
  <c r="F4" i="11"/>
  <c r="E40" i="11" s="1"/>
  <c r="F5" i="11"/>
  <c r="E5" i="11"/>
  <c r="C5" i="11"/>
  <c r="D5" i="11"/>
  <c r="C43" i="11" s="1"/>
  <c r="E29" i="3"/>
  <c r="H60" i="3"/>
  <c r="L25" i="3"/>
  <c r="L26" i="3" s="1"/>
  <c r="F28" i="3"/>
  <c r="K34" i="3" s="1"/>
  <c r="C6" i="11" l="1"/>
  <c r="B44" i="11" s="1"/>
  <c r="B43" i="11"/>
  <c r="E6" i="11"/>
  <c r="D44" i="11" s="1"/>
  <c r="D43" i="11"/>
  <c r="F6" i="11"/>
  <c r="E44" i="11" s="1"/>
  <c r="E43" i="11"/>
  <c r="C7" i="11"/>
  <c r="B45" i="11" s="1"/>
  <c r="C9" i="11"/>
  <c r="F7" i="11"/>
  <c r="E45" i="11" s="1"/>
  <c r="E7" i="11"/>
  <c r="D45" i="11" s="1"/>
  <c r="F29" i="3"/>
  <c r="E30" i="3" s="1"/>
  <c r="B56" i="3"/>
  <c r="C56" i="3"/>
  <c r="B59" i="3"/>
  <c r="B61" i="3" s="1"/>
  <c r="D61" i="3" s="1"/>
  <c r="D72" i="3"/>
  <c r="F3" i="13" s="1"/>
  <c r="D6" i="11"/>
  <c r="G5" i="11"/>
  <c r="D7" i="11"/>
  <c r="G4" i="11"/>
  <c r="D67" i="3"/>
  <c r="G3" i="13" s="1"/>
  <c r="D65" i="3"/>
  <c r="G6" i="11" l="1"/>
  <c r="C44" i="11"/>
  <c r="I4" i="11"/>
  <c r="F40" i="11"/>
  <c r="G7" i="11"/>
  <c r="C45" i="11"/>
  <c r="I5" i="11"/>
  <c r="F43" i="11"/>
  <c r="D9" i="11"/>
  <c r="D10" i="11" s="1"/>
  <c r="B33" i="3"/>
  <c r="B35" i="3" s="1"/>
  <c r="C33" i="3"/>
  <c r="C35" i="3" s="1"/>
  <c r="E33" i="3"/>
  <c r="E35" i="3" s="1"/>
  <c r="D33" i="3"/>
  <c r="D35" i="3" s="1"/>
  <c r="H59" i="3"/>
  <c r="C3" i="13" s="1"/>
  <c r="D60" i="3"/>
  <c r="D3" i="13" s="1"/>
  <c r="D73" i="3"/>
  <c r="D64" i="3"/>
  <c r="D66" i="3" s="1"/>
  <c r="E65" i="3" s="1"/>
  <c r="D71" i="3" s="1"/>
  <c r="B30" i="3"/>
  <c r="C30" i="3"/>
  <c r="D30" i="3"/>
  <c r="F35" i="3"/>
  <c r="E73" i="3"/>
  <c r="F46" i="3"/>
  <c r="F2" i="13" s="1"/>
  <c r="F39" i="3"/>
  <c r="D59" i="3"/>
  <c r="F33" i="3"/>
  <c r="I7" i="11" l="1"/>
  <c r="F45" i="11"/>
  <c r="I6" i="11"/>
  <c r="F44" i="11"/>
  <c r="F34" i="3"/>
  <c r="E2" i="13" s="1"/>
  <c r="F47" i="3"/>
  <c r="K33" i="3"/>
  <c r="C2" i="13" s="1"/>
  <c r="F41" i="3"/>
  <c r="G2" i="13" s="1"/>
  <c r="E64" i="3"/>
  <c r="K21" i="11" l="1"/>
  <c r="E21" i="11" s="1"/>
  <c r="L41" i="11" s="1"/>
  <c r="D70" i="3"/>
  <c r="E72" i="3" s="1"/>
  <c r="H3" i="13"/>
  <c r="C30" i="11" l="1"/>
  <c r="F17" i="11" s="1"/>
  <c r="F40" i="3" l="1"/>
  <c r="G39" i="3"/>
  <c r="F45" i="3" s="1"/>
  <c r="G38" i="3"/>
  <c r="H2" i="13" s="1"/>
  <c r="F44" i="3" l="1"/>
  <c r="G4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Allen Deng</author>
  </authors>
  <commentList>
    <comment ref="K45" authorId="0" shapeId="0" xr:uid="{24045652-A133-43A3-B25B-007EC284E0DA}">
      <text>
        <r>
          <rPr>
            <b/>
            <sz val="9"/>
            <color indexed="81"/>
            <rFont val="Tahoma"/>
            <family val="2"/>
          </rPr>
          <t>AA LCA p68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7" authorId="0" shapeId="0" xr:uid="{9F41B1CD-1A28-4503-90DD-CB977FB266E7}">
      <text>
        <r>
          <rPr>
            <sz val="9"/>
            <color indexed="81"/>
            <rFont val="Tahoma"/>
            <family val="2"/>
          </rPr>
          <t>24 gCO₂-eq/kWh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9" authorId="0" shapeId="0" xr:uid="{14070B30-109E-46C9-916B-C7CFC7CEE229}">
      <text>
        <r>
          <rPr>
            <sz val="9"/>
            <color indexed="81"/>
            <rFont val="Tahoma"/>
            <family val="2"/>
          </rPr>
          <t xml:space="preserve">4 gCO2e/kWh
</t>
        </r>
      </text>
    </comment>
    <comment ref="F62" authorId="0" shapeId="0" xr:uid="{E0AAD921-4C38-42FE-A789-BB9E558D03D9}">
      <text>
        <r>
          <rPr>
            <b/>
            <sz val="9"/>
            <color indexed="81"/>
            <rFont val="Tahoma"/>
            <family val="2"/>
          </rPr>
          <t>73.3 g CO2/MJPE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tc={F6F1ADAD-1DFE-D74C-A02C-AA459A34FAEC}</author>
    <author>tc={FA080B19-D9B0-4444-A570-70D83FB66350}</author>
    <author>Allen Deng</author>
    <author>Microsoft Office User</author>
  </authors>
  <commentList>
    <comment ref="C7" authorId="0" shapeId="0" xr:uid="{F6F1ADAD-1DFE-D74C-A02C-AA459A34FA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recycled aluminum</t>
      </text>
    </comment>
    <comment ref="M7" authorId="1" shapeId="0" xr:uid="{FA080B19-D9B0-4444-A570-70D83FB663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recycled aluminum</t>
      </text>
    </comment>
    <comment ref="Z32" authorId="2" shapeId="0" xr:uid="{06682FB1-92DB-E34C-BFC9-C026EDB98092}">
      <text>
        <r>
          <rPr>
            <sz val="9"/>
            <color indexed="81"/>
            <rFont val="Tahoma"/>
            <family val="2"/>
          </rPr>
          <t>AA LCA Report 7.2.1.2.1:
The metal content of dross varies widely and can range from 5 to 80 percent"</t>
        </r>
        <r>
          <rPr>
            <sz val="9"/>
            <color indexed="81"/>
            <rFont val="Tahoma"/>
            <family val="2"/>
          </rPr>
          <t xml:space="preserve">
Salt cake typically contains 3 to 5 percent metal.</t>
        </r>
      </text>
    </comment>
    <comment ref="G64" authorId="3" shapeId="0" xr:uid="{BE1F2525-9446-E84C-B5E1-BC19CB91371D}">
      <text>
        <r>
          <rPr>
            <sz val="10"/>
            <color rgb="FF000000"/>
            <rFont val="Calibri"/>
            <family val="2"/>
          </rPr>
          <t>To convert it to MJ/kg-in for R1 and R2, multiple it by the corresponding efficiency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Allen Deng</author>
  </authors>
  <commentList>
    <comment ref="P6" authorId="0" shapeId="0" xr:uid="{33B9C44E-26F7-F14B-B23F-0E3C9A8D2310}">
      <text>
        <r>
          <rPr>
            <b/>
            <sz val="10"/>
            <color rgb="FF000000"/>
            <rFont val="Tahoma"/>
            <family val="2"/>
          </rPr>
          <t xml:space="preserve">Assumed to consist of:
</t>
        </r>
        <r>
          <rPr>
            <b/>
            <sz val="10"/>
            <color rgb="FF000000"/>
            <rFont val="Tahoma"/>
            <family val="2"/>
          </rPr>
          <t xml:space="preserve">- 1.000 kg of new foundry ingot
</t>
        </r>
        <r>
          <rPr>
            <b/>
            <sz val="10"/>
            <color rgb="FF000000"/>
            <rFont val="Tahoma"/>
            <family val="2"/>
          </rPr>
          <t>- 0.045 kg of internal recovered scrap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Q16" authorId="0" shapeId="0" xr:uid="{4A420A0C-9481-064C-B805-2FD485A6A47C}">
      <text>
        <r>
          <rPr>
            <sz val="10"/>
            <color rgb="FF000000"/>
            <rFont val="Tahoma"/>
            <family val="2"/>
          </rPr>
          <t xml:space="preserve">157 kg primary + 888 kg secondary merges in the refiner to make 1045 kg casting ingot, then recast again to produce 1000 kg shape cast part.
</t>
        </r>
      </text>
    </comment>
    <comment ref="P18" authorId="0" shapeId="0" xr:uid="{0F221DDF-BF6F-EA49-B81F-4399F3F04A50}">
      <text>
        <r>
          <rPr>
            <sz val="10"/>
            <color rgb="FF000000"/>
            <rFont val="Tahoma"/>
            <family val="2"/>
          </rPr>
          <t xml:space="preserve">Nominal efficiency (eta): 
</t>
        </r>
        <r>
          <rPr>
            <sz val="10"/>
            <color rgb="FF000000"/>
            <rFont val="Tahoma"/>
            <family val="2"/>
          </rPr>
          <t>valuable output/total input</t>
        </r>
      </text>
    </comment>
    <comment ref="O27" authorId="1" shapeId="0" xr:uid="{65CA0612-15C2-41A9-8396-D51657BE0285}">
      <text>
        <r>
          <rPr>
            <b/>
            <sz val="9"/>
            <color indexed="81"/>
            <rFont val="Tahoma"/>
            <family val="2"/>
          </rPr>
          <t>https://elicit.com/notebook/640ac5eb-90c3-4f52-9770-2a3fd032ed52#17dff303e7010e9d903531d918349e45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Allen Deng</author>
    <author>Microsoft Office User</author>
  </authors>
  <commentList>
    <comment ref="AM1" authorId="0" shapeId="0" xr:uid="{5668606F-E2D4-4454-AB46-39E919886892}">
      <text>
        <r>
          <rPr>
            <sz val="9"/>
            <color indexed="81"/>
            <rFont val="Tahoma"/>
            <family val="2"/>
          </rPr>
          <t>https://www.aluminum.org/sites/default/files/2021-10/2021AluminumCanLCAReportFullVersion.pdf</t>
        </r>
      </text>
    </comment>
    <comment ref="AO13" authorId="1" shapeId="0" xr:uid="{8E6A1D51-58BF-FC48-84F1-19295DC4FBB9}">
      <text>
        <r>
          <rPr>
            <sz val="10"/>
            <color rgb="FF000000"/>
            <rFont val="Tahoma"/>
            <family val="2"/>
          </rPr>
          <t xml:space="preserve">Sphera p30
</t>
        </r>
      </text>
    </comment>
    <comment ref="Q21" authorId="0" shapeId="0" xr:uid="{FA7209BC-956B-45C4-A738-9D1FED7421F0}">
      <text>
        <r>
          <rPr>
            <b/>
            <sz val="9"/>
            <color indexed="81"/>
            <rFont val="Tahoma"/>
            <family val="2"/>
          </rPr>
          <t>438 kg direct primary
334 kg sweetener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2" authorId="0" shapeId="0" xr:uid="{E259F19A-BDC5-4C08-8455-39E2D99D63ED}">
      <text>
        <r>
          <rPr>
            <b/>
            <sz val="9"/>
            <color rgb="FF000000"/>
            <rFont val="Tahoma"/>
            <family val="2"/>
          </rPr>
          <t>all primary is used as sweetener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N27" authorId="1" shapeId="0" xr:uid="{31400D5F-9BF5-8142-8D8F-23ED1FAF7E98}">
      <text>
        <r>
          <rPr>
            <b/>
            <sz val="10"/>
            <color rgb="FF000000"/>
            <rFont val="Tahoma"/>
            <family val="2"/>
          </rPr>
          <t xml:space="preserve">Sphera p 45: 7.19 kgCO2e/1000 cans
</t>
        </r>
        <r>
          <rPr>
            <b/>
            <sz val="10"/>
            <color rgb="FF000000"/>
            <rFont val="Tahoma"/>
            <family val="2"/>
          </rPr>
          <t xml:space="preserve">"A total metallic weight of 12.99 kg per 1,000 cans with an average size of 13.6 oz per can"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M31" authorId="0" shapeId="0" xr:uid="{A418444C-9FFF-424B-9AB1-F7DA177EAE88}">
      <text>
        <r>
          <rPr>
            <sz val="9"/>
            <color rgb="FF000000"/>
            <rFont val="Tahoma"/>
            <family val="2"/>
          </rPr>
          <t xml:space="preserve">Sphera p39
</t>
        </r>
      </text>
    </comment>
    <comment ref="C40" authorId="0" shapeId="0" xr:uid="{DA0296B5-0881-4A10-967D-646FDD1B26F0}">
      <text>
        <r>
          <rPr>
            <b/>
            <sz val="9"/>
            <color indexed="81"/>
            <rFont val="Tahoma"/>
            <family val="2"/>
          </rPr>
          <t xml:space="preserve">primary appears to be just used as a sweetener in remelting.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53" authorId="1" shapeId="0" xr:uid="{CAD28FD2-22DD-7941-8E52-7CC9A2B8345F}">
      <text>
        <r>
          <rPr>
            <sz val="10"/>
            <color rgb="FF000000"/>
            <rFont val="Calibri"/>
            <family val="2"/>
            <scheme val="minor"/>
          </rPr>
          <t>Sphera p 45: 23.4 kgCO2e/1000 cans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 total metallic weight of 12.99 kg per 1,000 cans with an average size of 13.6 oz per can;</t>
        </r>
      </text>
    </comment>
    <comment ref="F84" authorId="0" shapeId="0" xr:uid="{FFF92EAF-C4C5-440C-9B84-D421D058D439}">
      <text>
        <r>
          <rPr>
            <b/>
            <sz val="9"/>
            <color indexed="81"/>
            <rFont val="Tahoma"/>
            <family val="2"/>
          </rPr>
          <t>YX Conversion Factor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8" authorId="0" shapeId="0" xr:uid="{2F53AE15-03C4-454C-AC6B-D68E6D6B124A}">
      <text>
        <r>
          <rPr>
            <b/>
            <sz val="9"/>
            <color indexed="81"/>
            <rFont val="Tahoma"/>
            <family val="2"/>
          </rPr>
          <t>x = (y -E*c2)/(E*(c1-c2))</t>
        </r>
      </text>
    </comment>
    <comment ref="L88" authorId="0" shapeId="0" xr:uid="{10C52B25-EA52-4540-BD66-76B08CF8FC51}">
      <text>
        <r>
          <rPr>
            <b/>
            <sz val="9"/>
            <color indexed="81"/>
            <rFont val="Tahoma"/>
            <family val="2"/>
          </rPr>
          <t>c1</t>
        </r>
      </text>
    </comment>
    <comment ref="L89" authorId="0" shapeId="0" xr:uid="{988E042E-CBA0-49C8-B529-7570B21E820C}">
      <text>
        <r>
          <rPr>
            <b/>
            <sz val="9"/>
            <color indexed="81"/>
            <rFont val="Tahoma"/>
            <family val="2"/>
          </rPr>
          <t>c2</t>
        </r>
      </text>
    </comment>
    <comment ref="L92" authorId="0" shapeId="0" xr:uid="{79D9023D-B572-4143-9710-4B6D800412E7}">
      <text>
        <r>
          <rPr>
            <b/>
            <sz val="9"/>
            <color indexed="81"/>
            <rFont val="Tahoma"/>
            <family val="2"/>
          </rPr>
          <t>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7" authorId="0" shapeId="0" xr:uid="{EF043834-0B07-4FB0-A6C8-3121B3DEC253}">
      <text>
        <r>
          <rPr>
            <sz val="9"/>
            <color indexed="81"/>
            <rFont val="Tahoma"/>
            <family val="2"/>
          </rPr>
          <t xml:space="preserve">Note: For Rolling and Extrusion, we need to use gate-to-gate primary energy consumption and the known gate-to-gate carbon intensity to backtrack the delivered energy breakdown. (The LCI above is cradle-to-gate thus not applicable.)
</t>
        </r>
        <r>
          <rPr>
            <b/>
            <sz val="9"/>
            <color indexed="81"/>
            <rFont val="Tahoma"/>
            <family val="2"/>
          </rPr>
          <t>x: the % of primary energy demand attributed to/associated with NG
y: kgCO2/kg-in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See Tab "Deformation" for the summary of emissions and carbon intensity results.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Allen Deng</author>
  </authors>
  <commentList>
    <comment ref="C25" authorId="0" shapeId="0" xr:uid="{C2B60ADE-3CA2-4940-85CF-73498D43F2DE}">
      <text>
        <r>
          <rPr>
            <b/>
            <sz val="9"/>
            <color indexed="81"/>
            <rFont val="Tahoma"/>
            <family val="2"/>
          </rPr>
          <t>Produced from remelt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43" authorId="0" shapeId="0" xr:uid="{B8F29395-4A86-A04B-A1BA-409B5B044D72}">
      <text>
        <r>
          <rPr>
            <b/>
            <sz val="10"/>
            <color rgb="FF000000"/>
            <rFont val="Tahoma"/>
            <family val="2"/>
          </rPr>
          <t>AA LCA P154-155</t>
        </r>
      </text>
    </comment>
    <comment ref="A69" authorId="0" shapeId="0" xr:uid="{5386A2C1-B025-4DA2-AFC3-4855595CC50C}">
      <text>
        <r>
          <rPr>
            <b/>
            <sz val="10"/>
            <color rgb="FF000000"/>
            <rFont val="Tahoma"/>
            <family val="2"/>
          </rPr>
          <t>AA LCA P154-155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Allen Deng</author>
  </authors>
  <commentList>
    <comment ref="B1" authorId="0" shapeId="0" xr:uid="{64E8389C-4EAF-48B5-BF6B-BE862A0F489F}">
      <text>
        <r>
          <rPr>
            <b/>
            <sz val="9"/>
            <color indexed="81"/>
            <rFont val="Tahoma"/>
            <charset val="1"/>
          </rPr>
          <t>B&amp;C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" authorId="0" shapeId="0" xr:uid="{C1AF3D99-744E-4D48-BE5F-908836098F02}">
      <text>
        <r>
          <rPr>
            <b/>
            <sz val="9"/>
            <color indexed="81"/>
            <rFont val="Tahoma"/>
            <charset val="1"/>
          </rPr>
          <t>Transportation Other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1" authorId="0" shapeId="0" xr:uid="{315FB750-B276-42B2-B753-A37166C7C4AF}">
      <text>
        <r>
          <rPr>
            <b/>
            <sz val="9"/>
            <color indexed="81"/>
            <rFont val="Tahoma"/>
            <charset val="1"/>
          </rPr>
          <t>Transportation Other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" authorId="0" shapeId="0" xr:uid="{B20A9C57-F8B9-4332-BEFB-1CBBC87196CF}">
      <text>
        <r>
          <rPr>
            <b/>
            <sz val="9"/>
            <color indexed="81"/>
            <rFont val="Tahoma"/>
            <charset val="1"/>
          </rPr>
          <t>Consumer Durables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" authorId="0" shapeId="0" xr:uid="{6BDE173E-8651-4ABB-97CD-3B4479BFBDD6}">
      <text>
        <r>
          <rPr>
            <b/>
            <sz val="9"/>
            <color indexed="81"/>
            <rFont val="Tahoma"/>
            <charset val="1"/>
          </rPr>
          <t>Electrical</t>
        </r>
      </text>
    </comment>
    <comment ref="G1" authorId="0" shapeId="0" xr:uid="{7B89872A-9E45-436A-9A08-D89EC1281B68}">
      <text>
        <r>
          <rPr>
            <b/>
            <sz val="9"/>
            <color indexed="81"/>
            <rFont val="Tahoma"/>
            <charset val="1"/>
          </rPr>
          <t>Machinery</t>
        </r>
      </text>
    </comment>
    <comment ref="H1" authorId="0" shapeId="0" xr:uid="{9AFFC8B7-FDA7-4F1E-8BEE-561F0D7BA3CE}">
      <text>
        <r>
          <rPr>
            <b/>
            <sz val="9"/>
            <color indexed="81"/>
            <rFont val="Tahoma"/>
            <charset val="1"/>
          </rPr>
          <t>Container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1" authorId="0" shapeId="0" xr:uid="{2EF8FDD3-4F82-49F0-9AAB-793D5067401F}">
      <text>
        <r>
          <rPr>
            <sz val="9"/>
            <color indexed="81"/>
            <rFont val="Tahoma"/>
            <charset val="1"/>
          </rPr>
          <t xml:space="preserve">Other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Sidi Deng</author>
    <author>Allen Deng</author>
  </authors>
  <commentList>
    <comment ref="B1" authorId="0" shapeId="0" xr:uid="{0BACC2D8-B95B-4C1E-8AC7-D2E06130A918}">
      <text>
        <r>
          <rPr>
            <b/>
            <sz val="9"/>
            <color indexed="81"/>
            <rFont val="Tahoma"/>
            <charset val="1"/>
          </rPr>
          <t>Alissa DMFA Row 289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" authorId="1" shapeId="0" xr:uid="{6EB3BD97-9930-45D2-87CF-33E4A00E8A54}">
      <text>
        <r>
          <rPr>
            <b/>
            <sz val="9"/>
            <color indexed="81"/>
            <rFont val="Tahoma"/>
            <charset val="1"/>
          </rPr>
          <t>Alissa DMFA - Row 348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Allen Deng</author>
    <author>Sidi Deng</author>
  </authors>
  <commentList>
    <comment ref="V1" authorId="0" shapeId="0" xr:uid="{F2225C0C-A279-41B6-88DA-95A83EF8DF46}">
      <text>
        <r>
          <rPr>
            <b/>
            <sz val="9"/>
            <color indexed="81"/>
            <rFont val="Tahoma"/>
            <family val="2"/>
          </rPr>
          <t>Global primary aluminum Cradle-to-gate
kgCO2e/kg-Al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1" shapeId="0" xr:uid="{3672366F-C25E-40C8-8832-1CE375662FE9}">
      <text>
        <r>
          <rPr>
            <sz val="9"/>
            <color indexed="81"/>
            <rFont val="Tahoma"/>
            <family val="2"/>
          </rPr>
          <t xml:space="preserve">Input.xlsx - Display
Primary Metal Consumption
</t>
        </r>
      </text>
    </comment>
    <comment ref="J14" authorId="0" shapeId="0" xr:uid="{C41F4A7C-447F-41E9-BAD9-2DAA3846FEB9}">
      <text>
        <r>
          <rPr>
            <sz val="9"/>
            <color indexed="81"/>
            <rFont val="Tahoma"/>
            <family val="2"/>
          </rPr>
          <t>AA report p69, for 1000 kg primary aluminum ingot in the N.A., 812 kg from NA.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" authorId="1" shapeId="0" xr:uid="{047BAD22-8E27-4B13-A5AA-0CD70092F73E}">
      <text>
        <r>
          <rPr>
            <b/>
            <sz val="9"/>
            <color indexed="81"/>
            <rFont val="Tahoma"/>
            <charset val="1"/>
          </rPr>
          <t>Simulated. Need to update the intensity for imported primary metal, alumina, and bauxite first!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1" authorId="0" shapeId="0" xr:uid="{852227F0-E06A-4BB2-98CF-5803E14B9C33}">
      <text>
        <r>
          <rPr>
            <b/>
            <sz val="9"/>
            <color indexed="81"/>
            <rFont val="Tahoma"/>
            <family val="2"/>
          </rPr>
          <t>Not Used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0" shapeId="0" xr:uid="{5A18BE93-BE20-4C75-A087-A80B805AA0AE}">
      <text>
        <r>
          <rPr>
            <sz val="9"/>
            <color indexed="81"/>
            <rFont val="Tahoma"/>
            <family val="2"/>
          </rPr>
          <t xml:space="preserve">
C1.CO2_ctg
Simulated embodied_CO2 per kg C1 output
</t>
        </r>
      </text>
    </comment>
    <comment ref="C22" authorId="0" shapeId="0" xr:uid="{3CB7F5B0-0651-4845-9587-34314FFFB943}">
      <text>
        <r>
          <rPr>
            <b/>
            <sz val="9"/>
            <color indexed="81"/>
            <rFont val="Tahoma"/>
            <family val="2"/>
          </rPr>
          <t>Not Used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2" authorId="0" shapeId="0" xr:uid="{03D92BB4-9C8D-44CD-B440-D048C54EAFF1}">
      <text>
        <r>
          <rPr>
            <sz val="9"/>
            <color indexed="81"/>
            <rFont val="Tahoma"/>
            <family val="2"/>
          </rPr>
          <t xml:space="preserve">C2.CO2_ctg
Simulated embodied_CO2 per kg C2 output
</t>
        </r>
      </text>
    </comment>
    <comment ref="C26" authorId="0" shapeId="0" xr:uid="{15EA7D27-5978-47C9-85FE-84078E435065}">
      <text>
        <r>
          <rPr>
            <sz val="9"/>
            <color indexed="81"/>
            <rFont val="Tahoma"/>
            <family val="2"/>
          </rPr>
          <t>Based on
i) energy modeling, calculated in input.xlsx;
ii process emission in the Bayer tab.</t>
        </r>
      </text>
    </comment>
    <comment ref="C28" authorId="0" shapeId="0" xr:uid="{74C643B1-4B35-4F1C-BBA9-533DFB26842B}">
      <text>
        <r>
          <rPr>
            <b/>
            <sz val="9"/>
            <color indexed="81"/>
            <rFont val="Tahoma"/>
            <family val="2"/>
          </rPr>
          <t>AA Report P61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5" authorId="1" shapeId="0" xr:uid="{C30A6A84-3654-407E-A490-5BBBD26E116F}">
      <text>
        <r>
          <rPr>
            <b/>
            <sz val="9"/>
            <color indexed="81"/>
            <rFont val="Tahoma"/>
            <family val="2"/>
          </rPr>
          <t xml:space="preserve">inputs.xlsx - upstream
</t>
        </r>
        <r>
          <rPr>
            <sz val="9"/>
            <color indexed="81"/>
            <rFont val="Tahoma"/>
            <family val="2"/>
          </rPr>
          <t xml:space="preserve">Alumina: M.CO2_ctg
Primary: B.CO2_ctg
Remelted: R1.CO2_ctg
Recycled: R2.CO2_ctg
Wrought: C1.CO2_ctg
Foundry: C2.CO2_ctg
</t>
        </r>
      </text>
    </comment>
  </commentList>
</comments>
</file>

<file path=xl/sharedStrings.xml><?xml version="1.0" encoding="utf-8"?>
<sst xmlns="http://schemas.openxmlformats.org/spreadsheetml/2006/main" count="4006" uniqueCount="546">
  <si>
    <t>Process</t>
  </si>
  <si>
    <t>Electrolysis</t>
  </si>
  <si>
    <t>MJ/kg-in</t>
  </si>
  <si>
    <t>Bauxite mining</t>
  </si>
  <si>
    <t>Domestic alumina production</t>
  </si>
  <si>
    <t>Global alumina production</t>
  </si>
  <si>
    <t>Anode production</t>
  </si>
  <si>
    <t>Cast house</t>
  </si>
  <si>
    <t>100% recycled aluminum scrap processing, remelting and casting</t>
  </si>
  <si>
    <t>95% recycled aluminum scrap processing, remelting and casting</t>
  </si>
  <si>
    <t>Dross &amp; saltcake recycling</t>
  </si>
  <si>
    <t>Extruded aluminum production (billet casting &amp; extrusion)</t>
  </si>
  <si>
    <t>Aluminum sheet production (remelting &amp; casting, hot rolling &amp; cold rolling)</t>
  </si>
  <si>
    <t>Aluminum foil production (remelting &amp; casting, hot rolling &amp; cold rolling</t>
  </si>
  <si>
    <t>Cast aluminum production (shape casting)</t>
  </si>
  <si>
    <t>Aluminum automotive sheet production (remelting &amp; casting, hot rolling &amp; cold rolling)</t>
  </si>
  <si>
    <t>Report unit</t>
  </si>
  <si>
    <t>1000 kg bauxite</t>
  </si>
  <si>
    <t>1000 kg total alumina</t>
  </si>
  <si>
    <t>1000 kg anode</t>
  </si>
  <si>
    <t>1000 kg primary aluminum</t>
  </si>
  <si>
    <t>1000 kg primary aluminum ingot</t>
  </si>
  <si>
    <t>1000 kg recovered aluminum</t>
  </si>
  <si>
    <t>1000 kg secondary aluminum</t>
  </si>
  <si>
    <t>1000 kg extruded aluminum</t>
  </si>
  <si>
    <t>1000 kg aluminum sheet</t>
  </si>
  <si>
    <t>1000 kg aluminum foil</t>
  </si>
  <si>
    <t>1000 kg cast aluminum</t>
  </si>
  <si>
    <t>0.455 and add to scaled global alumina production</t>
  </si>
  <si>
    <t>0.555 and add to scaled domestic alumina production</t>
  </si>
  <si>
    <t>Inputs</t>
  </si>
  <si>
    <t>Parameter</t>
  </si>
  <si>
    <t>Flows</t>
  </si>
  <si>
    <t>Quantities</t>
  </si>
  <si>
    <t>Amount</t>
  </si>
  <si>
    <t>Factor</t>
  </si>
  <si>
    <t>Units</t>
  </si>
  <si>
    <t>Tracked flows</t>
  </si>
  <si>
    <t>Standard deviation</t>
  </si>
  <si>
    <t>Origin</t>
  </si>
  <si>
    <t>Comment</t>
  </si>
  <si>
    <t>Alloying elements [Metals]</t>
  </si>
  <si>
    <t>Mass</t>
  </si>
  <si>
    <t>kg</t>
  </si>
  <si>
    <t>X</t>
  </si>
  <si>
    <t>(No statement)</t>
  </si>
  <si>
    <t>Electricity [Electric power]</t>
  </si>
  <si>
    <t>Energy (net calorific value)</t>
  </si>
  <si>
    <t>MJ</t>
  </si>
  <si>
    <t>x</t>
  </si>
  <si>
    <t>Bauxite [Inorganic intermediate products]</t>
  </si>
  <si>
    <t>Estimated</t>
  </si>
  <si>
    <t>Coke (C carrier) [Organic intermediate products]</t>
  </si>
  <si>
    <t>Aluminium fluoride [Inorganic intermediate products]</t>
  </si>
  <si>
    <t>Aluminium (liquid metal) [Metals]</t>
  </si>
  <si>
    <t>Calculated</t>
  </si>
  <si>
    <t>Argon [Inorganic intermediate products]</t>
  </si>
  <si>
    <t>Aluminium ingot [Metals]</t>
  </si>
  <si>
    <t>Literature</t>
  </si>
  <si>
    <t>Thermal energy from heavy fuel oil (MJ) [Thermal energy]</t>
  </si>
  <si>
    <t>=.495 kg</t>
  </si>
  <si>
    <t>Measured</t>
  </si>
  <si>
    <t>Aluminium oxide (alumina) [Inorganic intermediate products]</t>
  </si>
  <si>
    <t>Aluminum input [Metals]</t>
  </si>
  <si>
    <t>Concentrated dross and saltcake [Waste for recovery]</t>
  </si>
  <si>
    <t>Cardboard (packaging) [Materials from renewable raw materials]</t>
  </si>
  <si>
    <t>Thermal energy from light fuel oil (MJ) [Thermal energy]</t>
  </si>
  <si>
    <t>=1.64 kg (diesel)</t>
  </si>
  <si>
    <t>Lime quicklime (lumpy) [Minerals]</t>
  </si>
  <si>
    <t>Hard coal pitch (C carrier) [Organic intermediate products]</t>
  </si>
  <si>
    <t>Anode (C carrier) [Operating materials]</t>
  </si>
  <si>
    <t>x Anodes (net)/Soderberg Paste</t>
  </si>
  <si>
    <t>Nitrogen gaseous [Inorganic intermediate products]</t>
  </si>
  <si>
    <t>2010 value</t>
  </si>
  <si>
    <t>Cryolite [Inorganic intermediate products]</t>
  </si>
  <si>
    <t>Chlorine [Inorganic intermediate products]</t>
  </si>
  <si>
    <t>Thermal energy (MJ) [Thermal energy]</t>
  </si>
  <si>
    <t>Bauxite [Non renewable resources]</t>
  </si>
  <si>
    <t>from 2005 data, assume 110% of output</t>
  </si>
  <si>
    <t>Sodium hydroxide (100%; caustic soda) [Inorganic intermediate products]</t>
  </si>
  <si>
    <t>Refractory [Minerals]</t>
  </si>
  <si>
    <t>Cathode carbon [Operating materials]</t>
  </si>
  <si>
    <t>x(diesel)</t>
  </si>
  <si>
    <t>Dross [Metals]</t>
  </si>
  <si>
    <t>Outputs</t>
  </si>
  <si>
    <t>Fresh water [Water]</t>
  </si>
  <si>
    <t>Thermal energy from natural gas (MJ) [Thermal energy]</t>
  </si>
  <si>
    <t>Thermal energy (hard coal) [Thermal energy]</t>
  </si>
  <si>
    <t>x From hard coal</t>
  </si>
  <si>
    <t>Filter media [Operating materials]</t>
  </si>
  <si>
    <t>diesel</t>
  </si>
  <si>
    <t>input less than output</t>
  </si>
  <si>
    <t>Potassium chloride [Inorganic intermediate products]</t>
  </si>
  <si>
    <t>Hydraulic oil [Operating materials]</t>
  </si>
  <si>
    <t>Aluminium part [Metal parts]</t>
  </si>
  <si>
    <t>Rain water [Water]</t>
  </si>
  <si>
    <t>x (diesel)</t>
  </si>
  <si>
    <t>Steel part [Metal parts]</t>
  </si>
  <si>
    <t>Aluminium scrap [Waste for recovery]</t>
  </si>
  <si>
    <t>*</t>
  </si>
  <si>
    <t>Sea water [Water]</t>
  </si>
  <si>
    <t>Anodes (used) [Waste for recovery]</t>
  </si>
  <si>
    <t>Sodium chloride (rock salt) [Inorganic intermediate products]</t>
  </si>
  <si>
    <t>Lubricant [Organic intermediate products]</t>
  </si>
  <si>
    <t>Dust (PM2.5 - PM10) [Particles to air]</t>
  </si>
  <si>
    <t>Non-hazardous waste for land-filling [Waste for disposal]</t>
  </si>
  <si>
    <t>inputs smaller than outputs</t>
  </si>
  <si>
    <t>Aluminium DC cast ingot [Metals]</t>
  </si>
  <si>
    <t>Dust (&gt; PM10) [Particles to air]</t>
  </si>
  <si>
    <t>Dross [Waste for recovery]</t>
  </si>
  <si>
    <t>Packaging paper (not creditable) [Packaging]</t>
  </si>
  <si>
    <t>Overburden (deposited) [Stockpile goods]</t>
  </si>
  <si>
    <t>from 2005 data, assumption based on input</t>
  </si>
  <si>
    <t>Dross (Fines) [Hazardous waste for disposal]</t>
  </si>
  <si>
    <t>Dross - landfillx</t>
  </si>
  <si>
    <t>Packaging wooden pallets [Packaging]</t>
  </si>
  <si>
    <t>Paint [Inorganic intermediate products]</t>
  </si>
  <si>
    <t>Processed water to lake [Other emissions to fresh water]</t>
  </si>
  <si>
    <t>Hazardous waste (unspec.) [Hazardous waste]</t>
  </si>
  <si>
    <t>Aluminium (liquid metal; prebaked) [Metals]</t>
  </si>
  <si>
    <t>Filter dust [Hazardous waste]</t>
  </si>
  <si>
    <t>Filter dust - landfillx</t>
  </si>
  <si>
    <t>Aluminium ingot (secondary) [Metals]</t>
  </si>
  <si>
    <t>Plastic packaging [Plastics]</t>
  </si>
  <si>
    <t>Water vapour [Inorganic emissions to air]</t>
  </si>
  <si>
    <t>Red mud (wet) (3% NaOH) [Hazardous waste for disposal]</t>
  </si>
  <si>
    <t>Diff b/w bauxite in and alumina out</t>
  </si>
  <si>
    <t>Aluminium oxide (alumina) [Waste for disposal]</t>
  </si>
  <si>
    <t>to landfill</t>
  </si>
  <si>
    <t>Steel band (packaging) [Metals]</t>
  </si>
  <si>
    <t>Aluminium oxide (alumina) [Waste for recovery]</t>
  </si>
  <si>
    <t>Waste in landfill (inert material, sanitary and residual material landfill) [Consumer waste]</t>
  </si>
  <si>
    <t>Aluminium oxide (imported) [Inorganic intermediate products]</t>
  </si>
  <si>
    <t>Carbon (unspecified) [Waste for recovery]</t>
  </si>
  <si>
    <t>waste carbon (landfill)</t>
  </si>
  <si>
    <t>Carbon (unspecified) [Hazardous waste]</t>
  </si>
  <si>
    <t>Waste carbon or mix</t>
  </si>
  <si>
    <t>Industrial waste for municipal disposal [Consumer waste]</t>
  </si>
  <si>
    <t>other waste x</t>
  </si>
  <si>
    <t>Thermal energy from diesel fuel (MJ) [Thermal energy]</t>
  </si>
  <si>
    <t>Pre-treated comingled aluminum scrap [Metals]</t>
  </si>
  <si>
    <t>Carbon dioxide [Inorganic emissions to air]</t>
  </si>
  <si>
    <t>non-fuel</t>
  </si>
  <si>
    <t>Bauxite remnant [Waste for recovery]</t>
  </si>
  <si>
    <t>Refractory [Hazardous waste]</t>
  </si>
  <si>
    <t>x spent pot lining + refractory to landfill</t>
  </si>
  <si>
    <t>x Refractory waste - landfill</t>
  </si>
  <si>
    <t>Pre-treated post-consumer aluminum scrap [Metals]</t>
  </si>
  <si>
    <t>Pre-treated pre-consumer aluminum scrap [Metals]</t>
  </si>
  <si>
    <t>Cooling water to sea [Other emissions to sea water]</t>
  </si>
  <si>
    <t>Refractories [Waste for recovery]</t>
  </si>
  <si>
    <t>Refractory bricks [Waste for recovery]</t>
  </si>
  <si>
    <t>x Spent pot lining carbon + spent pot lining refractory + refractory</t>
  </si>
  <si>
    <t>x waste for recovery</t>
  </si>
  <si>
    <t>Thermal energy from propane (MJ) [Thermal energy]</t>
  </si>
  <si>
    <t>Saltcake [Waste for disposal]</t>
  </si>
  <si>
    <t>Primary aluminum ingot [Valuable substances]</t>
  </si>
  <si>
    <t>Sludge [Hazardous waste]</t>
  </si>
  <si>
    <t>x reported 0.06 particulates (assumed2.5-10)</t>
  </si>
  <si>
    <t>Untreated comingled aluminum scrap [Metals]</t>
  </si>
  <si>
    <t>Used oil (without water) [Waste for recovery]</t>
  </si>
  <si>
    <t>Process and cooling water [Operating materials]</t>
  </si>
  <si>
    <t>Mercury [Heavy metals to fresh water]</t>
  </si>
  <si>
    <t>Steel scrap (St) [Waste for recovery]</t>
  </si>
  <si>
    <t>= to input</t>
  </si>
  <si>
    <t>Hydrogen chloride [Inorganic emissions to air]</t>
  </si>
  <si>
    <t>Untreated post-consumer aluminum scrap [Metals]</t>
  </si>
  <si>
    <t>Dust (PM10) [Particles to air]</t>
  </si>
  <si>
    <t>Mercury [Heavy metals to air]</t>
  </si>
  <si>
    <t>Unspecified industrial waste [Consumer waste]</t>
  </si>
  <si>
    <t>x Diff b/w solid indust. waste and haz waste</t>
  </si>
  <si>
    <t>Benzo{a}pyrene [Group PAH to air]</t>
  </si>
  <si>
    <t>Nitrogen oxides [Inorganic emissions to air]</t>
  </si>
  <si>
    <t>Untreated pre-consumer aluminum scrap [Metals]</t>
  </si>
  <si>
    <t>Rolling oil additive [Operating materials]</t>
  </si>
  <si>
    <t>Waste for recovery (unspecific) [Waste for recovery]</t>
  </si>
  <si>
    <t>x By-product (other)</t>
  </si>
  <si>
    <t>Polychlorinated dibenzo-p-dioxins (2,3,7,8 - TCDD) [Halogenated organic emissions to air]</t>
  </si>
  <si>
    <t>Water (tap water) [Operating materials]</t>
  </si>
  <si>
    <t>Hydrogen fluoride [Inorganic emissions to air]</t>
  </si>
  <si>
    <t>Secondary aluminum ingot [Valuable substances]</t>
  </si>
  <si>
    <t>Oil (unspecified) [Hydrocarbons to fresh water]</t>
  </si>
  <si>
    <t>x (diff from particulates and M2.5, 2.5-10)</t>
  </si>
  <si>
    <t>x non fuel</t>
  </si>
  <si>
    <t>Processed water to lake, regionalized, US [Other emissions to fresh water]</t>
  </si>
  <si>
    <t>Lead [Heavy metals to air]</t>
  </si>
  <si>
    <t>x Difference b/w particulates and PM&lt;2.5</t>
  </si>
  <si>
    <t>Sulphur dioxide [Inorganic emissions to air]</t>
  </si>
  <si>
    <t>Nitrogen dioxide [Inorganic emissions to air]</t>
  </si>
  <si>
    <t>Solvent [Operating materials]</t>
  </si>
  <si>
    <t>Solids (suspended) [Particles to fresh water]</t>
  </si>
  <si>
    <t>Dust (PM2.5) [Particles to air]</t>
  </si>
  <si>
    <t>Fluoride [Inorganic emissions to air]</t>
  </si>
  <si>
    <t>VOC (unspecified) [Organic emissions to air (group VOC)]</t>
  </si>
  <si>
    <t>Sulphuric acid (100%) [Inorganic intermediate products]</t>
  </si>
  <si>
    <t>x (gaseous fluride)</t>
  </si>
  <si>
    <t>Fluoride [Inorganic emissions to sea water]</t>
  </si>
  <si>
    <t>Dross for internal recycling [Waste for recovery]</t>
  </si>
  <si>
    <t>x gaseous fluoride</t>
  </si>
  <si>
    <t>Polycyclic aromatic hydrocarbons (PAH) [Group PAH to air]</t>
  </si>
  <si>
    <t>Filter media [Waste for disposal]</t>
  </si>
  <si>
    <t>Wood packaging [Materials from renewable raw materials]</t>
  </si>
  <si>
    <t>Thermal energy from LPG (MJ) [Thermal energy]</t>
  </si>
  <si>
    <t>Polycyclic aromatic hydrocarbons (PAH, unspec.) [Hydrocarbons to fresh water]</t>
  </si>
  <si>
    <t>Saltcake [Waste for recovery]</t>
  </si>
  <si>
    <t>Aluminum extrusion (mill finish) [Materials]</t>
  </si>
  <si>
    <t>Thermal energy from waste (MJ) [Thermal energy]</t>
  </si>
  <si>
    <t>Aluminum scrap sold offsite [Waste for recovery]</t>
  </si>
  <si>
    <t>R 116 (hexafluoroethane) [Halogenated organic emissions to air]</t>
  </si>
  <si>
    <t>Internal aluminum scrap [Metals]</t>
  </si>
  <si>
    <t>Water (waste water, untreated) [Production residues in life cycle]</t>
  </si>
  <si>
    <t>Aluminium [Inorganic emissions to fresh water]</t>
  </si>
  <si>
    <t>Tetrafluoromethane [Halogenated organic emissions to air]</t>
  </si>
  <si>
    <t>Biological oxygen demand (BOD) [Analytical measures to fresh water]</t>
  </si>
  <si>
    <t>Hazardous waste for incineration [Hazardous waste for disposal]</t>
  </si>
  <si>
    <t>Aluminum cold rolled sheet [Metals]</t>
  </si>
  <si>
    <t>Cadmium [Heavy metals to fresh water]</t>
  </si>
  <si>
    <t>Aluminum cold rolled foil [Metals]</t>
  </si>
  <si>
    <t>Aluminum rolling mill scrap [Waste for recovery]</t>
  </si>
  <si>
    <t>Chromium [Heavy metals to fresh water]</t>
  </si>
  <si>
    <t>Unspecified oil waste [Hazardous waste]</t>
  </si>
  <si>
    <t>Filter dust [Waste for recovery]</t>
  </si>
  <si>
    <t>Lead [Heavy metals to fresh water]</t>
  </si>
  <si>
    <t>NMVOC (unspecified) [Group NMVOC to air]</t>
  </si>
  <si>
    <t>Chemical oxygen demand (COD) [Analytical measures to fresh water]</t>
  </si>
  <si>
    <t>Chloride [Inorganic emissions to fresh water]</t>
  </si>
  <si>
    <t>Chlorine [Inorganic emissions to air]</t>
  </si>
  <si>
    <t>Heavy metals to water (unspecified) [Heavy metals to fresh water]</t>
  </si>
  <si>
    <t>Methane [Organic emissions to air (group VOC)]</t>
  </si>
  <si>
    <t>Nitrous oxide (laughing gas) [Inorganic emissions to air]</t>
  </si>
  <si>
    <t>Lead dioxide [Inorganic emissions to air]</t>
  </si>
  <si>
    <t>Phosphorus [Inorganic emissions to fresh water]</t>
  </si>
  <si>
    <t>Non-heat treatable sheet</t>
  </si>
  <si>
    <t>Other sheet and plate</t>
  </si>
  <si>
    <t>Foil</t>
  </si>
  <si>
    <t>US_CA shipment</t>
  </si>
  <si>
    <t>Total</t>
  </si>
  <si>
    <t>Sheet</t>
  </si>
  <si>
    <t>Extrusion</t>
  </si>
  <si>
    <t>Extruded Pipe &amp; Tube</t>
  </si>
  <si>
    <t>Rod &amp; Bar</t>
  </si>
  <si>
    <t>Wire/Cable</t>
  </si>
  <si>
    <t>Bare wire</t>
  </si>
  <si>
    <t>ACSR &amp; Bare Cable</t>
  </si>
  <si>
    <t>Insulated or Covered Wire &amp; Cable</t>
  </si>
  <si>
    <t>Foundry castings</t>
  </si>
  <si>
    <t>Extruded Shapes</t>
  </si>
  <si>
    <t>Ingots</t>
  </si>
  <si>
    <t>NG</t>
  </si>
  <si>
    <t>Electricity</t>
  </si>
  <si>
    <t>Valuable inputs and outputs</t>
  </si>
  <si>
    <t>Energy consumption</t>
  </si>
  <si>
    <t>Input</t>
  </si>
  <si>
    <t>Output</t>
  </si>
  <si>
    <t>Efficiency</t>
  </si>
  <si>
    <t>kg Al</t>
  </si>
  <si>
    <t>kg C</t>
  </si>
  <si>
    <t>Input upperbound</t>
  </si>
  <si>
    <t>Efficiency lowerbound</t>
  </si>
  <si>
    <t>input</t>
  </si>
  <si>
    <t>output</t>
  </si>
  <si>
    <t>efficiency</t>
  </si>
  <si>
    <t>sweet/kg-out</t>
  </si>
  <si>
    <t>Energy</t>
  </si>
  <si>
    <t>Trans. Excluded</t>
  </si>
  <si>
    <t>Can</t>
  </si>
  <si>
    <t>Transportation</t>
  </si>
  <si>
    <t>Automotive</t>
  </si>
  <si>
    <t>non-can-non-auto</t>
  </si>
  <si>
    <t>Sweet/kg-out</t>
  </si>
  <si>
    <t>Internal recovery rate</t>
  </si>
  <si>
    <t>Sweet/kg-in</t>
  </si>
  <si>
    <t>sweet/kg-in</t>
  </si>
  <si>
    <t>/kg-in</t>
  </si>
  <si>
    <t>/kg-out</t>
  </si>
  <si>
    <t>direct primary</t>
  </si>
  <si>
    <t>sweet</t>
  </si>
  <si>
    <t>Dross, scrap, etc.</t>
  </si>
  <si>
    <t>Dross recovery %</t>
  </si>
  <si>
    <t>primary</t>
  </si>
  <si>
    <t>#M</t>
  </si>
  <si>
    <t>#E</t>
  </si>
  <si>
    <t>/kg ingot</t>
  </si>
  <si>
    <t>#F2</t>
  </si>
  <si>
    <t>/kg semi</t>
  </si>
  <si>
    <t>#SC1#SC2#SC3</t>
  </si>
  <si>
    <t>Can sheet</t>
  </si>
  <si>
    <t>Auto sheet</t>
  </si>
  <si>
    <t>Foil sheet</t>
  </si>
  <si>
    <t>NCNA sheet</t>
  </si>
  <si>
    <t>F1 conversion factor: kg-ingot/kg-semi</t>
  </si>
  <si>
    <t>F1 efficiency: kg-semi/kg-ingot</t>
  </si>
  <si>
    <t>kg sweet/kg ingot</t>
  </si>
  <si>
    <t>Extruded automotive aluminum production (billet casting &amp; extrusion)</t>
  </si>
  <si>
    <t>Extrusions</t>
  </si>
  <si>
    <t>F2 conversion factor: kg-ingot/kg-semi</t>
  </si>
  <si>
    <t>kg-ingot/kg-sheet</t>
  </si>
  <si>
    <t>F2 efficiency: kg-semi/kg-ingot</t>
  </si>
  <si>
    <t>kg primary/kg ingot</t>
  </si>
  <si>
    <t>NCNA Sheet&amp;Foil</t>
  </si>
  <si>
    <t>Scaling factor</t>
  </si>
  <si>
    <t>MJ/kg-out</t>
  </si>
  <si>
    <t>per kg Bauxite import (in Al content)</t>
  </si>
  <si>
    <t>per kg alumina import (in Al content)</t>
  </si>
  <si>
    <t>per kg anode consumed</t>
  </si>
  <si>
    <t>#R1</t>
  </si>
  <si>
    <t>#R2</t>
  </si>
  <si>
    <t>per secondary ingot produced</t>
  </si>
  <si>
    <t>#C1</t>
  </si>
  <si>
    <t>#C2</t>
  </si>
  <si>
    <t>Mj/kg-out</t>
  </si>
  <si>
    <t>MJ/kg ingot</t>
  </si>
  <si>
    <t>Aluminum ingot for rolling</t>
  </si>
  <si>
    <t>Thermal energy from electricity</t>
  </si>
  <si>
    <t>Thermal energy from LPG</t>
  </si>
  <si>
    <t>Thermal energy from natural gas</t>
  </si>
  <si>
    <t>Aluminum sheet for can production</t>
  </si>
  <si>
    <t>Aluminum scrap for recovery</t>
  </si>
  <si>
    <t>MJ/kg NCNA sheet</t>
  </si>
  <si>
    <t>MJ/kg-ingot</t>
  </si>
  <si>
    <t>MJ/kg can sheet</t>
  </si>
  <si>
    <t>kg sweet/kg-ingot</t>
  </si>
  <si>
    <t>kg sweet/kg-sheet</t>
  </si>
  <si>
    <t>/kg sheet</t>
  </si>
  <si>
    <t>/kg-ingot</t>
  </si>
  <si>
    <t>/kg-sheet</t>
  </si>
  <si>
    <t>sweet/kg in</t>
  </si>
  <si>
    <t>sweet/kg out</t>
  </si>
  <si>
    <t>kg ingot required to produce 1 kg sheet porfolio</t>
  </si>
  <si>
    <t>kg ingot required to produce 1 kg extrusion portfolio</t>
  </si>
  <si>
    <t>Auto extrusions</t>
  </si>
  <si>
    <t>Auto Extrusion</t>
  </si>
  <si>
    <t>Aluminum Can Mfg. (Sphera 2021)</t>
  </si>
  <si>
    <t>Aluminum sheet</t>
  </si>
  <si>
    <t>2-piece aluminum can</t>
  </si>
  <si>
    <t>Aluminum post-industrial scrap for recovery</t>
  </si>
  <si>
    <t>MJ/kg-can sheet</t>
  </si>
  <si>
    <t>MJ/kg can</t>
  </si>
  <si>
    <t>Can product</t>
  </si>
  <si>
    <t>Bauxite</t>
  </si>
  <si>
    <t>Alumina</t>
  </si>
  <si>
    <t>Wrought ingot</t>
  </si>
  <si>
    <t>Foundry ingot</t>
  </si>
  <si>
    <t>Coal</t>
  </si>
  <si>
    <t>Cable</t>
  </si>
  <si>
    <t>Forging</t>
  </si>
  <si>
    <t>RME</t>
  </si>
  <si>
    <t>%</t>
  </si>
  <si>
    <t>M (Bayer)</t>
  </si>
  <si>
    <t>E (Electrolysis)</t>
  </si>
  <si>
    <t>Primary metal</t>
  </si>
  <si>
    <t>Shape casting (SC1-SC3)</t>
  </si>
  <si>
    <t>Deformation (F1 - F4)</t>
  </si>
  <si>
    <t>RNA</t>
  </si>
  <si>
    <t>CF import/US</t>
  </si>
  <si>
    <t>Received</t>
  </si>
  <si>
    <t>MJ-del/kg ingot</t>
  </si>
  <si>
    <t>Sheet subcategories</t>
  </si>
  <si>
    <t>Extrusion subcategory</t>
  </si>
  <si>
    <t>Shape Castings</t>
  </si>
  <si>
    <t>kg CO2e/kg-semi</t>
  </si>
  <si>
    <t xml:space="preserve">kg CO2e/kg-import </t>
  </si>
  <si>
    <t>Semi-product</t>
  </si>
  <si>
    <t>Cradle-to-gate</t>
  </si>
  <si>
    <t>Power source</t>
  </si>
  <si>
    <t>Hydro</t>
  </si>
  <si>
    <t>Other Renewable</t>
  </si>
  <si>
    <t>Nuclear</t>
  </si>
  <si>
    <t>Share</t>
  </si>
  <si>
    <t>AA LCA P67</t>
  </si>
  <si>
    <t>Natural Gas</t>
  </si>
  <si>
    <t>Oil and Other</t>
  </si>
  <si>
    <t>GWh</t>
  </si>
  <si>
    <t xml:space="preserve">Power Cons. </t>
  </si>
  <si>
    <t>kg CO2e/MJ-Delivered</t>
  </si>
  <si>
    <t>kg anode/kg-Al</t>
  </si>
  <si>
    <t>kg CO2e/kg-anode</t>
  </si>
  <si>
    <t>kg CO2e/MJ-Del</t>
  </si>
  <si>
    <t>kgCO2e/kg-Al</t>
  </si>
  <si>
    <t>kg CO2e/kg-ingot</t>
  </si>
  <si>
    <t>kg CO2e/kg-sheet</t>
  </si>
  <si>
    <t>Aluminum Can sheet rolling (Sphera 2021)</t>
  </si>
  <si>
    <t>kg CO2e/kg-can</t>
  </si>
  <si>
    <t>Table 12-4: Breakdown of LCIA Results for Generic Extruded Aluminum, Representing 1,000 kg of Aluminum Extrusion</t>
  </si>
  <si>
    <t>Table 12-7: Breakdown of LCIA Results for Die Cast Aluminum, Representing 1,000 kg of Aluminum Cast Products</t>
  </si>
  <si>
    <t>Primary MJ</t>
  </si>
  <si>
    <t>kg CO2/kg-in</t>
  </si>
  <si>
    <t>kg CO2/kg-out</t>
  </si>
  <si>
    <t>kgCO2e/MJ-del</t>
  </si>
  <si>
    <t>%PE</t>
  </si>
  <si>
    <t>%Delivered</t>
  </si>
  <si>
    <t>kgCO2e/MJ-PE</t>
  </si>
  <si>
    <t xml:space="preserve"> =E*x*c1+E*x*c2</t>
  </si>
  <si>
    <t>Verify</t>
  </si>
  <si>
    <t>kg CO2/MJ-Delivered by NG</t>
  </si>
  <si>
    <t>kg CO2/MJ-Delivered by Electricity</t>
  </si>
  <si>
    <t>kgCO2e/kg-in</t>
  </si>
  <si>
    <t>CO2_CF_direct</t>
  </si>
  <si>
    <t>PFC_CF_direct</t>
  </si>
  <si>
    <t>kgCO2e/kg-out</t>
  </si>
  <si>
    <t>kg CO2/kg-out US</t>
  </si>
  <si>
    <t>Bayer CF import vs US</t>
  </si>
  <si>
    <t>Domestic Alumina feedstock % for Electrolysis</t>
  </si>
  <si>
    <t>Bayer efficiency</t>
  </si>
  <si>
    <t>Electrolysis efficiency</t>
  </si>
  <si>
    <t>kg-ingot/kg-Alumina (Al content)</t>
  </si>
  <si>
    <t>Global Bayer gtg kg CO2e/kg-out</t>
  </si>
  <si>
    <t>Mining</t>
  </si>
  <si>
    <t>C1 (E, R1)</t>
  </si>
  <si>
    <t>C2 (R2)</t>
  </si>
  <si>
    <t>Feedstock for</t>
  </si>
  <si>
    <t>Category</t>
  </si>
  <si>
    <t>Production Process</t>
  </si>
  <si>
    <t>kgCO2e/kg-Alumina</t>
  </si>
  <si>
    <t>kgCO2e/kg-Wrought ingot</t>
  </si>
  <si>
    <t>kgCO2e/kg-Foundry ingot</t>
  </si>
  <si>
    <t>Process Emissions (Non Energy-related emissions)</t>
  </si>
  <si>
    <t>y =E*x*c1+E*(1-x)*c2</t>
  </si>
  <si>
    <t>MJ-PE/MJ-Del</t>
  </si>
  <si>
    <t>Conversion Factor</t>
  </si>
  <si>
    <t>Rolling Ingots</t>
  </si>
  <si>
    <t>Sheet Rolling</t>
  </si>
  <si>
    <t>Mass Fraction</t>
  </si>
  <si>
    <t>Extrusion Ingots</t>
  </si>
  <si>
    <t>kg-sweetener/kg-alloy</t>
  </si>
  <si>
    <t>kg-sweetener/kg-alloy-mix</t>
  </si>
  <si>
    <t>kg-alloy/kg-sheet-mix</t>
  </si>
  <si>
    <t>kg-alloy/kg-extrusion-mix</t>
  </si>
  <si>
    <t>Alloy Consumption Ratio</t>
  </si>
  <si>
    <t>Alloy Consumption %</t>
  </si>
  <si>
    <t>F1</t>
  </si>
  <si>
    <t>F2</t>
  </si>
  <si>
    <t>Rolling</t>
  </si>
  <si>
    <t>Index</t>
  </si>
  <si>
    <t>kg sweetener/kg-ingot</t>
  </si>
  <si>
    <t>CF Ref</t>
  </si>
  <si>
    <t>NG_ratio</t>
  </si>
  <si>
    <t>SC</t>
  </si>
  <si>
    <t>Shape Casting</t>
  </si>
  <si>
    <t>NA</t>
  </si>
  <si>
    <t>MJ_per_kg_in</t>
  </si>
  <si>
    <t>Primary/kg-alloy</t>
  </si>
  <si>
    <t>Primary/kg-alloy-mix</t>
  </si>
  <si>
    <t>Primary/kg-in</t>
  </si>
  <si>
    <t>Primary/kg-out</t>
  </si>
  <si>
    <t>kg primary/kg-ingot</t>
  </si>
  <si>
    <t>N.A.</t>
  </si>
  <si>
    <t>Net efficiency</t>
  </si>
  <si>
    <t>Nominal efficiency eta`</t>
  </si>
  <si>
    <t>/kg-inflow</t>
  </si>
  <si>
    <t>kg-ingot/kg-Bauxite (Al content)</t>
  </si>
  <si>
    <t>Import Cradle-to-Gate</t>
  </si>
  <si>
    <t>kg CO2e/kg-feedstock</t>
  </si>
  <si>
    <t>kgCO2e/kg-Bauxite</t>
  </si>
  <si>
    <t>kgCO2e/kg-metal</t>
  </si>
  <si>
    <t xml:space="preserve"> Per Ingot/Metal</t>
  </si>
  <si>
    <t>Per kg Alumina</t>
  </si>
  <si>
    <t>Per kg Bauxite</t>
  </si>
  <si>
    <t>Attributed gate-to-gate kg CO2</t>
  </si>
  <si>
    <t>C (Wrought Casting), R1 &amp; R2 (recycling)</t>
  </si>
  <si>
    <t>kg CO2e/kg-Alumina Consumed in the U.S. (Al content)</t>
  </si>
  <si>
    <t>C_B': US Bayer gtg kg CO2e/kg-out</t>
  </si>
  <si>
    <t>C_B:  US Bayer gtg kg CO2e/kg-in</t>
  </si>
  <si>
    <t>CF^Process</t>
  </si>
  <si>
    <t>kg CO2e/kg-import</t>
  </si>
  <si>
    <t>Wrought</t>
  </si>
  <si>
    <t>Foundry</t>
  </si>
  <si>
    <t>Primary</t>
  </si>
  <si>
    <t>Fuel</t>
  </si>
  <si>
    <t>Reference</t>
  </si>
  <si>
    <t>MJ-del per kg Alloys Consumed</t>
  </si>
  <si>
    <t>kg CO2e per kg Alloys Consumed</t>
  </si>
  <si>
    <t>Aggregate</t>
  </si>
  <si>
    <t>Fuel ratio</t>
  </si>
  <si>
    <t>CA/US</t>
  </si>
  <si>
    <t>Year</t>
  </si>
  <si>
    <t>primary_ctg</t>
  </si>
  <si>
    <t>primary_ratio</t>
  </si>
  <si>
    <t>secondary_ratio</t>
  </si>
  <si>
    <t>year</t>
  </si>
  <si>
    <t>Source: https://international-aluminium.org/statistics/greenhouse-gas-emissions-primary-aluminium/?publication=greenhouse-gas-emissions-intensity-primary-aluminium</t>
  </si>
  <si>
    <t>Source: https://link.springer.com/article/10.1007/s13563-023-00413-y</t>
  </si>
  <si>
    <t>P1</t>
  </si>
  <si>
    <t>P2</t>
  </si>
  <si>
    <t>P3</t>
  </si>
  <si>
    <t>P4</t>
  </si>
  <si>
    <t>P5</t>
  </si>
  <si>
    <t>P6</t>
  </si>
  <si>
    <t>P7</t>
  </si>
  <si>
    <t>P8</t>
  </si>
  <si>
    <t>Domestic%</t>
  </si>
  <si>
    <t>ROW</t>
  </si>
  <si>
    <t>Canada %</t>
  </si>
  <si>
    <t>ROW primary ingot ctg</t>
  </si>
  <si>
    <t>Non-Auto Sheet</t>
  </si>
  <si>
    <t>Auto Sheet</t>
  </si>
  <si>
    <t>Non-Auto Extrusion</t>
  </si>
  <si>
    <t>Semi Category</t>
  </si>
  <si>
    <t>U.S.</t>
  </si>
  <si>
    <t>China</t>
  </si>
  <si>
    <t>Canada</t>
  </si>
  <si>
    <t>Middle East</t>
  </si>
  <si>
    <t>Aggregate Import</t>
  </si>
  <si>
    <t>Sheets (Aggregate)</t>
  </si>
  <si>
    <t>Extrusions (Aggregate)</t>
  </si>
  <si>
    <t>Wire and Cable</t>
  </si>
  <si>
    <t>Forgings</t>
  </si>
  <si>
    <t>US ctg kg CO2/kg-out</t>
  </si>
  <si>
    <t>Import %</t>
  </si>
  <si>
    <t>Canada/Import</t>
  </si>
  <si>
    <t>ROW/Import</t>
  </si>
  <si>
    <t>Primary Metal</t>
  </si>
  <si>
    <t>NA primary ingot ctg</t>
  </si>
  <si>
    <t>Feedstock</t>
  </si>
  <si>
    <t>Consumed by</t>
  </si>
  <si>
    <t>B</t>
  </si>
  <si>
    <t>E</t>
  </si>
  <si>
    <t>Wrought alloys</t>
  </si>
  <si>
    <t>F1 – F4</t>
  </si>
  <si>
    <t>Foundry alloys</t>
  </si>
  <si>
    <t>SC1 – SC3</t>
  </si>
  <si>
    <t>Import</t>
  </si>
  <si>
    <t>Domestic</t>
  </si>
  <si>
    <t>kg CO2e/kg-Al</t>
  </si>
  <si>
    <t>Remelted metal</t>
  </si>
  <si>
    <t>Recycled metal</t>
  </si>
  <si>
    <t>C1</t>
  </si>
  <si>
    <t>C2</t>
  </si>
  <si>
    <t>C1, C2, R1, R2</t>
  </si>
  <si>
    <t>N/A</t>
  </si>
  <si>
    <t>Produced by</t>
  </si>
  <si>
    <t>M</t>
  </si>
  <si>
    <t>R1</t>
  </si>
  <si>
    <t>R2</t>
  </si>
  <si>
    <t>MJ-Del/1000 kg Metal</t>
  </si>
  <si>
    <t>MJ-del/kg-in</t>
  </si>
  <si>
    <t>w_i^p</t>
  </si>
  <si>
    <t>Source (p)</t>
  </si>
  <si>
    <t>General</t>
  </si>
  <si>
    <t>Auto</t>
  </si>
  <si>
    <t>Summary</t>
  </si>
  <si>
    <t>Sheet Category</t>
  </si>
  <si>
    <t>Fuel (MJ-Del/kg-Alloy)</t>
  </si>
  <si>
    <t>Electricity (MJ-Del/kg-Alloy)</t>
  </si>
  <si>
    <t>omega_i^p</t>
  </si>
  <si>
    <t>Energy Intensity (MJ-Del/kg-in)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</si>
</sst>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0.0%"/>
    <numFmt numFmtId="166" formatCode="_(* #,##0_);_(* \(#,##0\);_(* &quot;-&quot;??_);_(@_)"/>
    <numFmt numFmtId="167" formatCode="0.000%"/>
    <numFmt numFmtId="168" formatCode="0.0000"/>
    <numFmt numFmtId="169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CC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000000"/>
      <name val="Times New Roman"/>
      <family val="1"/>
    </font>
    <font>
      <sz val="10"/>
      <color rgb="FF0000CC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/>
    <xf numFmtId="0" fontId="17" fillId="0" borderId="0" applyNumberFormat="0" applyFill="0" applyBorder="0" applyAlignment="0" applyProtection="0"/>
  </cellStyleXfs>
  <cellXfs count="2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0" xfId="0" applyFont="1" applyAlignment="1">
      <alignment wrapText="1"/>
    </xf>
    <xf numFmtId="9" fontId="0" fillId="0" borderId="0" xfId="0" applyNumberFormat="1"/>
    <xf numFmtId="9" fontId="0" fillId="0" borderId="8" xfId="0" applyNumberFormat="1" applyBorder="1"/>
    <xf numFmtId="9" fontId="0" fillId="0" borderId="5" xfId="0" applyNumberFormat="1" applyBorder="1"/>
    <xf numFmtId="11" fontId="0" fillId="0" borderId="0" xfId="0" applyNumberFormat="1"/>
    <xf numFmtId="0" fontId="0" fillId="0" borderId="8" xfId="0" quotePrefix="1" applyBorder="1"/>
    <xf numFmtId="9" fontId="0" fillId="0" borderId="6" xfId="0" applyNumberFormat="1" applyBorder="1"/>
    <xf numFmtId="11" fontId="0" fillId="0" borderId="5" xfId="0" applyNumberFormat="1" applyBorder="1"/>
    <xf numFmtId="2" fontId="0" fillId="0" borderId="0" xfId="0" applyNumberFormat="1"/>
    <xf numFmtId="0" fontId="0" fillId="0" borderId="9" xfId="0" applyBorder="1"/>
    <xf numFmtId="164" fontId="0" fillId="0" borderId="0" xfId="0" applyNumberFormat="1"/>
    <xf numFmtId="0" fontId="0" fillId="2" borderId="0" xfId="0" applyFill="1"/>
    <xf numFmtId="0" fontId="0" fillId="3" borderId="0" xfId="0" applyFill="1"/>
    <xf numFmtId="11" fontId="0" fillId="2" borderId="0" xfId="0" applyNumberFormat="1" applyFill="1"/>
    <xf numFmtId="165" fontId="0" fillId="0" borderId="0" xfId="2" applyNumberFormat="1" applyFont="1" applyBorder="1"/>
    <xf numFmtId="165" fontId="0" fillId="0" borderId="9" xfId="2" applyNumberFormat="1" applyFont="1" applyBorder="1"/>
    <xf numFmtId="166" fontId="0" fillId="0" borderId="0" xfId="1" applyNumberFormat="1" applyFont="1" applyBorder="1"/>
    <xf numFmtId="166" fontId="0" fillId="0" borderId="9" xfId="1" applyNumberFormat="1" applyFont="1" applyBorder="1"/>
    <xf numFmtId="166" fontId="0" fillId="4" borderId="0" xfId="1" applyNumberFormat="1" applyFont="1" applyFill="1"/>
    <xf numFmtId="166" fontId="0" fillId="0" borderId="0" xfId="1" applyNumberFormat="1" applyFont="1"/>
    <xf numFmtId="0" fontId="0" fillId="4" borderId="9" xfId="0" applyFill="1" applyBorder="1"/>
    <xf numFmtId="166" fontId="0" fillId="0" borderId="0" xfId="0" applyNumberFormat="1"/>
    <xf numFmtId="166" fontId="0" fillId="0" borderId="9" xfId="0" applyNumberFormat="1" applyBorder="1"/>
    <xf numFmtId="165" fontId="0" fillId="0" borderId="0" xfId="0" applyNumberFormat="1"/>
    <xf numFmtId="165" fontId="4" fillId="0" borderId="0" xfId="2" applyNumberFormat="1" applyFont="1" applyBorder="1"/>
    <xf numFmtId="165" fontId="4" fillId="4" borderId="9" xfId="2" applyNumberFormat="1" applyFont="1" applyFill="1" applyBorder="1"/>
    <xf numFmtId="165" fontId="0" fillId="4" borderId="0" xfId="0" applyNumberFormat="1" applyFill="1"/>
    <xf numFmtId="165" fontId="4" fillId="4" borderId="0" xfId="2" applyNumberFormat="1" applyFont="1" applyFill="1" applyBorder="1"/>
    <xf numFmtId="164" fontId="0" fillId="2" borderId="0" xfId="0" applyNumberFormat="1" applyFill="1"/>
    <xf numFmtId="164" fontId="0" fillId="4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64" fontId="1" fillId="0" borderId="0" xfId="0" applyNumberFormat="1" applyFont="1"/>
    <xf numFmtId="2" fontId="1" fillId="0" borderId="0" xfId="0" applyNumberFormat="1" applyFont="1"/>
    <xf numFmtId="164" fontId="0" fillId="3" borderId="0" xfId="0" applyNumberFormat="1" applyFill="1"/>
    <xf numFmtId="164" fontId="1" fillId="4" borderId="0" xfId="0" applyNumberFormat="1" applyFont="1" applyFill="1"/>
    <xf numFmtId="164" fontId="0" fillId="5" borderId="0" xfId="0" applyNumberFormat="1" applyFill="1"/>
    <xf numFmtId="167" fontId="0" fillId="4" borderId="0" xfId="0" applyNumberFormat="1" applyFill="1"/>
    <xf numFmtId="10" fontId="0" fillId="5" borderId="0" xfId="2" applyNumberFormat="1" applyFont="1" applyFill="1"/>
    <xf numFmtId="2" fontId="0" fillId="5" borderId="0" xfId="0" applyNumberFormat="1" applyFill="1"/>
    <xf numFmtId="164" fontId="1" fillId="5" borderId="0" xfId="0" applyNumberFormat="1" applyFont="1" applyFill="1"/>
    <xf numFmtId="167" fontId="1" fillId="4" borderId="10" xfId="0" applyNumberFormat="1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" fontId="0" fillId="4" borderId="0" xfId="0" applyNumberFormat="1" applyFill="1"/>
    <xf numFmtId="164" fontId="0" fillId="4" borderId="15" xfId="0" applyNumberFormat="1" applyFill="1" applyBorder="1"/>
    <xf numFmtId="0" fontId="0" fillId="0" borderId="15" xfId="0" applyBorder="1"/>
    <xf numFmtId="0" fontId="0" fillId="2" borderId="15" xfId="0" applyFill="1" applyBorder="1"/>
    <xf numFmtId="0" fontId="0" fillId="0" borderId="16" xfId="0" applyBorder="1"/>
    <xf numFmtId="164" fontId="0" fillId="2" borderId="9" xfId="0" applyNumberFormat="1" applyFill="1" applyBorder="1"/>
    <xf numFmtId="0" fontId="0" fillId="0" borderId="17" xfId="0" applyBorder="1"/>
    <xf numFmtId="164" fontId="11" fillId="4" borderId="0" xfId="0" applyNumberFormat="1" applyFont="1" applyFill="1"/>
    <xf numFmtId="0" fontId="0" fillId="6" borderId="0" xfId="0" applyFill="1"/>
    <xf numFmtId="0" fontId="11" fillId="0" borderId="0" xfId="0" applyFont="1"/>
    <xf numFmtId="2" fontId="0" fillId="2" borderId="0" xfId="0" applyNumberFormat="1" applyFill="1"/>
    <xf numFmtId="0" fontId="12" fillId="0" borderId="0" xfId="0" applyFont="1"/>
    <xf numFmtId="0" fontId="13" fillId="0" borderId="0" xfId="0" applyFont="1"/>
    <xf numFmtId="165" fontId="13" fillId="3" borderId="11" xfId="0" applyNumberFormat="1" applyFont="1" applyFill="1" applyBorder="1"/>
    <xf numFmtId="165" fontId="13" fillId="3" borderId="12" xfId="0" applyNumberFormat="1" applyFont="1" applyFill="1" applyBorder="1"/>
    <xf numFmtId="165" fontId="13" fillId="3" borderId="13" xfId="0" applyNumberFormat="1" applyFont="1" applyFill="1" applyBorder="1"/>
    <xf numFmtId="165" fontId="12" fillId="0" borderId="0" xfId="0" applyNumberFormat="1" applyFont="1"/>
    <xf numFmtId="165" fontId="12" fillId="4" borderId="14" xfId="0" applyNumberFormat="1" applyFont="1" applyFill="1" applyBorder="1"/>
    <xf numFmtId="165" fontId="12" fillId="4" borderId="15" xfId="0" applyNumberFormat="1" applyFont="1" applyFill="1" applyBorder="1"/>
    <xf numFmtId="165" fontId="12" fillId="0" borderId="0" xfId="2" applyNumberFormat="1" applyFont="1"/>
    <xf numFmtId="164" fontId="12" fillId="4" borderId="14" xfId="0" applyNumberFormat="1" applyFont="1" applyFill="1" applyBorder="1"/>
    <xf numFmtId="164" fontId="12" fillId="4" borderId="0" xfId="0" applyNumberFormat="1" applyFont="1" applyFill="1"/>
    <xf numFmtId="164" fontId="12" fillId="4" borderId="15" xfId="0" applyNumberFormat="1" applyFont="1" applyFill="1" applyBorder="1"/>
    <xf numFmtId="164" fontId="12" fillId="5" borderId="0" xfId="0" applyNumberFormat="1" applyFont="1" applyFill="1"/>
    <xf numFmtId="2" fontId="12" fillId="0" borderId="0" xfId="0" applyNumberFormat="1" applyFont="1"/>
    <xf numFmtId="0" fontId="12" fillId="2" borderId="0" xfId="0" applyFont="1" applyFill="1"/>
    <xf numFmtId="167" fontId="12" fillId="0" borderId="0" xfId="0" applyNumberFormat="1" applyFont="1"/>
    <xf numFmtId="165" fontId="12" fillId="4" borderId="11" xfId="0" applyNumberFormat="1" applyFont="1" applyFill="1" applyBorder="1"/>
    <xf numFmtId="165" fontId="12" fillId="4" borderId="12" xfId="0" applyNumberFormat="1" applyFont="1" applyFill="1" applyBorder="1"/>
    <xf numFmtId="165" fontId="12" fillId="4" borderId="13" xfId="0" applyNumberFormat="1" applyFont="1" applyFill="1" applyBorder="1"/>
    <xf numFmtId="164" fontId="12" fillId="3" borderId="16" xfId="0" applyNumberFormat="1" applyFont="1" applyFill="1" applyBorder="1"/>
    <xf numFmtId="164" fontId="12" fillId="3" borderId="9" xfId="0" applyNumberFormat="1" applyFont="1" applyFill="1" applyBorder="1"/>
    <xf numFmtId="164" fontId="12" fillId="3" borderId="17" xfId="0" applyNumberFormat="1" applyFont="1" applyFill="1" applyBorder="1"/>
    <xf numFmtId="168" fontId="13" fillId="4" borderId="18" xfId="0" applyNumberFormat="1" applyFont="1" applyFill="1" applyBorder="1"/>
    <xf numFmtId="168" fontId="12" fillId="0" borderId="0" xfId="0" applyNumberFormat="1" applyFont="1"/>
    <xf numFmtId="164" fontId="12" fillId="3" borderId="0" xfId="0" applyNumberFormat="1" applyFont="1" applyFill="1"/>
    <xf numFmtId="164" fontId="12" fillId="0" borderId="0" xfId="0" applyNumberFormat="1" applyFont="1"/>
    <xf numFmtId="164" fontId="13" fillId="4" borderId="10" xfId="0" applyNumberFormat="1" applyFont="1" applyFill="1" applyBorder="1"/>
    <xf numFmtId="165" fontId="12" fillId="3" borderId="11" xfId="0" applyNumberFormat="1" applyFont="1" applyFill="1" applyBorder="1"/>
    <xf numFmtId="165" fontId="12" fillId="3" borderId="13" xfId="0" applyNumberFormat="1" applyFont="1" applyFill="1" applyBorder="1"/>
    <xf numFmtId="164" fontId="12" fillId="0" borderId="14" xfId="0" applyNumberFormat="1" applyFont="1" applyBorder="1"/>
    <xf numFmtId="164" fontId="12" fillId="0" borderId="15" xfId="0" applyNumberFormat="1" applyFont="1" applyBorder="1"/>
    <xf numFmtId="167" fontId="13" fillId="4" borderId="10" xfId="0" applyNumberFormat="1" applyFont="1" applyFill="1" applyBorder="1"/>
    <xf numFmtId="168" fontId="13" fillId="5" borderId="18" xfId="0" applyNumberFormat="1" applyFont="1" applyFill="1" applyBorder="1"/>
    <xf numFmtId="167" fontId="12" fillId="4" borderId="0" xfId="0" applyNumberFormat="1" applyFont="1" applyFill="1"/>
    <xf numFmtId="164" fontId="1" fillId="2" borderId="0" xfId="0" applyNumberFormat="1" applyFont="1" applyFill="1"/>
    <xf numFmtId="165" fontId="12" fillId="4" borderId="0" xfId="0" applyNumberFormat="1" applyFont="1" applyFill="1"/>
    <xf numFmtId="165" fontId="12" fillId="4" borderId="16" xfId="0" applyNumberFormat="1" applyFont="1" applyFill="1" applyBorder="1"/>
    <xf numFmtId="165" fontId="12" fillId="4" borderId="17" xfId="0" applyNumberFormat="1" applyFont="1" applyFill="1" applyBorder="1"/>
    <xf numFmtId="165" fontId="12" fillId="4" borderId="9" xfId="0" applyNumberFormat="1" applyFont="1" applyFill="1" applyBorder="1"/>
    <xf numFmtId="168" fontId="0" fillId="0" borderId="0" xfId="0" applyNumberFormat="1"/>
    <xf numFmtId="167" fontId="4" fillId="0" borderId="0" xfId="2" applyNumberFormat="1" applyFont="1"/>
    <xf numFmtId="0" fontId="12" fillId="0" borderId="9" xfId="0" applyFont="1" applyBorder="1"/>
    <xf numFmtId="11" fontId="0" fillId="6" borderId="0" xfId="0" applyNumberFormat="1" applyFill="1"/>
    <xf numFmtId="0" fontId="15" fillId="0" borderId="0" xfId="0" applyFont="1"/>
    <xf numFmtId="166" fontId="15" fillId="0" borderId="0" xfId="1" applyNumberFormat="1" applyFont="1"/>
    <xf numFmtId="165" fontId="15" fillId="4" borderId="0" xfId="2" applyNumberFormat="1" applyFont="1" applyFill="1"/>
    <xf numFmtId="165" fontId="15" fillId="3" borderId="0" xfId="2" applyNumberFormat="1" applyFont="1" applyFill="1"/>
    <xf numFmtId="164" fontId="15" fillId="2" borderId="0" xfId="0" applyNumberFormat="1" applyFont="1" applyFill="1"/>
    <xf numFmtId="0" fontId="16" fillId="0" borderId="0" xfId="0" applyFont="1"/>
    <xf numFmtId="164" fontId="16" fillId="4" borderId="0" xfId="0" applyNumberFormat="1" applyFont="1" applyFill="1"/>
    <xf numFmtId="164" fontId="15" fillId="4" borderId="0" xfId="0" applyNumberFormat="1" applyFont="1" applyFill="1"/>
    <xf numFmtId="165" fontId="15" fillId="2" borderId="0" xfId="2" applyNumberFormat="1" applyFont="1" applyFill="1"/>
    <xf numFmtId="164" fontId="15" fillId="3" borderId="0" xfId="0" applyNumberFormat="1" applyFont="1" applyFill="1"/>
    <xf numFmtId="164" fontId="15" fillId="0" borderId="0" xfId="0" applyNumberFormat="1" applyFont="1"/>
    <xf numFmtId="164" fontId="16" fillId="2" borderId="0" xfId="0" applyNumberFormat="1" applyFont="1" applyFill="1"/>
    <xf numFmtId="164" fontId="15" fillId="5" borderId="0" xfId="0" applyNumberFormat="1" applyFont="1" applyFill="1"/>
    <xf numFmtId="164" fontId="12" fillId="3" borderId="11" xfId="0" applyNumberFormat="1" applyFont="1" applyFill="1" applyBorder="1"/>
    <xf numFmtId="164" fontId="12" fillId="3" borderId="12" xfId="0" applyNumberFormat="1" applyFont="1" applyFill="1" applyBorder="1"/>
    <xf numFmtId="164" fontId="12" fillId="3" borderId="14" xfId="0" applyNumberFormat="1" applyFont="1" applyFill="1" applyBorder="1"/>
    <xf numFmtId="164" fontId="12" fillId="4" borderId="16" xfId="0" applyNumberFormat="1" applyFont="1" applyFill="1" applyBorder="1"/>
    <xf numFmtId="164" fontId="12" fillId="4" borderId="9" xfId="0" applyNumberFormat="1" applyFont="1" applyFill="1" applyBorder="1"/>
    <xf numFmtId="164" fontId="12" fillId="4" borderId="11" xfId="0" applyNumberFormat="1" applyFont="1" applyFill="1" applyBorder="1"/>
    <xf numFmtId="164" fontId="12" fillId="4" borderId="12" xfId="0" applyNumberFormat="1" applyFont="1" applyFill="1" applyBorder="1"/>
    <xf numFmtId="164" fontId="12" fillId="0" borderId="13" xfId="0" applyNumberFormat="1" applyFont="1" applyBorder="1"/>
    <xf numFmtId="164" fontId="13" fillId="4" borderId="3" xfId="0" applyNumberFormat="1" applyFont="1" applyFill="1" applyBorder="1"/>
    <xf numFmtId="164" fontId="13" fillId="4" borderId="6" xfId="0" applyNumberFormat="1" applyFont="1" applyFill="1" applyBorder="1"/>
    <xf numFmtId="0" fontId="17" fillId="0" borderId="0" xfId="4"/>
    <xf numFmtId="164" fontId="15" fillId="2" borderId="1" xfId="0" applyNumberFormat="1" applyFont="1" applyFill="1" applyBorder="1"/>
    <xf numFmtId="164" fontId="15" fillId="4" borderId="3" xfId="0" applyNumberFormat="1" applyFont="1" applyFill="1" applyBorder="1"/>
    <xf numFmtId="164" fontId="15" fillId="4" borderId="7" xfId="0" applyNumberFormat="1" applyFont="1" applyFill="1" applyBorder="1"/>
    <xf numFmtId="164" fontId="15" fillId="4" borderId="8" xfId="0" applyNumberFormat="1" applyFont="1" applyFill="1" applyBorder="1"/>
    <xf numFmtId="164" fontId="15" fillId="4" borderId="4" xfId="0" applyNumberFormat="1" applyFont="1" applyFill="1" applyBorder="1"/>
    <xf numFmtId="164" fontId="15" fillId="4" borderId="6" xfId="0" applyNumberFormat="1" applyFont="1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49" fontId="15" fillId="0" borderId="0" xfId="0" applyNumberFormat="1" applyFont="1"/>
    <xf numFmtId="0" fontId="18" fillId="0" borderId="2" xfId="0" applyFont="1" applyBorder="1"/>
    <xf numFmtId="0" fontId="18" fillId="0" borderId="0" xfId="0" applyFont="1"/>
    <xf numFmtId="165" fontId="15" fillId="2" borderId="24" xfId="2" applyNumberFormat="1" applyFont="1" applyFill="1" applyBorder="1"/>
    <xf numFmtId="165" fontId="15" fillId="4" borderId="25" xfId="0" applyNumberFormat="1" applyFont="1" applyFill="1" applyBorder="1"/>
    <xf numFmtId="2" fontId="15" fillId="2" borderId="0" xfId="0" applyNumberFormat="1" applyFont="1" applyFill="1"/>
    <xf numFmtId="2" fontId="15" fillId="4" borderId="0" xfId="0" applyNumberFormat="1" applyFont="1" applyFill="1"/>
    <xf numFmtId="164" fontId="15" fillId="0" borderId="0" xfId="0" applyNumberFormat="1" applyFont="1" applyAlignment="1">
      <alignment horizontal="center" vertical="center"/>
    </xf>
    <xf numFmtId="165" fontId="19" fillId="0" borderId="23" xfId="0" applyNumberFormat="1" applyFont="1" applyBorder="1" applyAlignment="1">
      <alignment vertical="center"/>
    </xf>
    <xf numFmtId="165" fontId="19" fillId="0" borderId="24" xfId="0" applyNumberFormat="1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164" fontId="15" fillId="0" borderId="11" xfId="0" applyNumberFormat="1" applyFont="1" applyBorder="1" applyAlignment="1">
      <alignment horizontal="center" vertical="center"/>
    </xf>
    <xf numFmtId="164" fontId="15" fillId="0" borderId="12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164" fontId="15" fillId="0" borderId="15" xfId="0" applyNumberFormat="1" applyFont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 vertical="center"/>
    </xf>
    <xf numFmtId="164" fontId="15" fillId="0" borderId="24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0" fontId="15" fillId="0" borderId="16" xfId="0" applyNumberFormat="1" applyFont="1" applyBorder="1" applyAlignment="1">
      <alignment horizontal="center" vertical="center"/>
    </xf>
    <xf numFmtId="10" fontId="15" fillId="0" borderId="9" xfId="0" applyNumberFormat="1" applyFont="1" applyBorder="1" applyAlignment="1">
      <alignment horizontal="center" vertical="center"/>
    </xf>
    <xf numFmtId="10" fontId="15" fillId="0" borderId="17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vertical="center"/>
    </xf>
    <xf numFmtId="164" fontId="16" fillId="0" borderId="25" xfId="0" applyNumberFormat="1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164" fontId="16" fillId="0" borderId="17" xfId="0" applyNumberFormat="1" applyFont="1" applyBorder="1" applyAlignment="1">
      <alignment horizontal="center" vertical="center"/>
    </xf>
    <xf numFmtId="164" fontId="16" fillId="0" borderId="24" xfId="0" applyNumberFormat="1" applyFont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6" fillId="0" borderId="15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164" fontId="20" fillId="0" borderId="17" xfId="0" applyNumberFormat="1" applyFont="1" applyBorder="1" applyAlignment="1">
      <alignment horizontal="center" vertical="center"/>
    </xf>
    <xf numFmtId="164" fontId="20" fillId="0" borderId="15" xfId="0" applyNumberFormat="1" applyFont="1" applyBorder="1" applyAlignment="1">
      <alignment horizontal="center" vertical="center"/>
    </xf>
    <xf numFmtId="164" fontId="16" fillId="4" borderId="23" xfId="0" applyNumberFormat="1" applyFont="1" applyFill="1" applyBorder="1"/>
    <xf numFmtId="164" fontId="15" fillId="4" borderId="24" xfId="0" applyNumberFormat="1" applyFont="1" applyFill="1" applyBorder="1"/>
    <xf numFmtId="164" fontId="15" fillId="4" borderId="25" xfId="0" applyNumberFormat="1" applyFont="1" applyFill="1" applyBorder="1"/>
    <xf numFmtId="164" fontId="16" fillId="0" borderId="0" xfId="0" applyNumberFormat="1" applyFont="1"/>
    <xf numFmtId="165" fontId="16" fillId="4" borderId="0" xfId="0" applyNumberFormat="1" applyFont="1" applyFill="1"/>
    <xf numFmtId="165" fontId="16" fillId="2" borderId="23" xfId="2" applyNumberFormat="1" applyFont="1" applyFill="1" applyBorder="1"/>
    <xf numFmtId="165" fontId="16" fillId="4" borderId="23" xfId="0" applyNumberFormat="1" applyFont="1" applyFill="1" applyBorder="1"/>
    <xf numFmtId="165" fontId="16" fillId="4" borderId="25" xfId="0" applyNumberFormat="1" applyFont="1" applyFill="1" applyBorder="1"/>
    <xf numFmtId="0" fontId="15" fillId="0" borderId="5" xfId="0" applyFont="1" applyBorder="1" applyAlignment="1">
      <alignment horizontal="right" vertical="center" wrapText="1"/>
    </xf>
    <xf numFmtId="164" fontId="23" fillId="0" borderId="8" xfId="0" applyNumberFormat="1" applyFont="1" applyBorder="1" applyAlignment="1">
      <alignment horizontal="right" vertical="center"/>
    </xf>
    <xf numFmtId="164" fontId="23" fillId="0" borderId="6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 wrapText="1"/>
    </xf>
    <xf numFmtId="164" fontId="19" fillId="0" borderId="2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164" fontId="23" fillId="0" borderId="3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164" fontId="19" fillId="2" borderId="0" xfId="0" applyNumberFormat="1" applyFont="1" applyFill="1" applyAlignment="1">
      <alignment horizontal="right" vertical="center"/>
    </xf>
    <xf numFmtId="164" fontId="19" fillId="2" borderId="5" xfId="0" applyNumberFormat="1" applyFont="1" applyFill="1" applyBorder="1" applyAlignment="1">
      <alignment horizontal="right" vertical="center"/>
    </xf>
    <xf numFmtId="0" fontId="15" fillId="0" borderId="11" xfId="0" applyFont="1" applyBorder="1" applyAlignment="1">
      <alignment vertical="center"/>
    </xf>
    <xf numFmtId="165" fontId="15" fillId="0" borderId="0" xfId="0" applyNumberFormat="1" applyFont="1"/>
    <xf numFmtId="0" fontId="15" fillId="0" borderId="26" xfId="0" applyFont="1" applyBorder="1" applyAlignment="1">
      <alignment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5" fillId="0" borderId="14" xfId="0" applyFont="1" applyBorder="1" applyAlignment="1">
      <alignment vertical="center"/>
    </xf>
    <xf numFmtId="165" fontId="15" fillId="0" borderId="0" xfId="0" applyNumberFormat="1" applyFont="1" applyAlignment="1">
      <alignment vertical="center"/>
    </xf>
    <xf numFmtId="165" fontId="15" fillId="0" borderId="15" xfId="0" applyNumberFormat="1" applyFont="1" applyBorder="1" applyAlignment="1">
      <alignment vertical="center"/>
    </xf>
    <xf numFmtId="164" fontId="15" fillId="0" borderId="12" xfId="0" applyNumberFormat="1" applyFont="1" applyBorder="1" applyAlignment="1">
      <alignment vertical="center"/>
    </xf>
    <xf numFmtId="164" fontId="15" fillId="0" borderId="13" xfId="0" applyNumberFormat="1" applyFont="1" applyBorder="1" applyAlignment="1">
      <alignment vertical="center"/>
    </xf>
    <xf numFmtId="165" fontId="13" fillId="0" borderId="23" xfId="2" applyNumberFormat="1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164" fontId="15" fillId="0" borderId="9" xfId="0" applyNumberFormat="1" applyFont="1" applyBorder="1" applyAlignment="1">
      <alignment vertical="center"/>
    </xf>
    <xf numFmtId="164" fontId="15" fillId="0" borderId="17" xfId="0" applyNumberFormat="1" applyFont="1" applyBorder="1" applyAlignment="1">
      <alignment vertical="center"/>
    </xf>
    <xf numFmtId="165" fontId="13" fillId="0" borderId="25" xfId="2" applyNumberFormat="1" applyFont="1" applyBorder="1" applyAlignment="1">
      <alignment vertical="center"/>
    </xf>
    <xf numFmtId="164" fontId="16" fillId="0" borderId="17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164" fontId="1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165" fontId="15" fillId="0" borderId="17" xfId="0" applyNumberFormat="1" applyFont="1" applyBorder="1" applyAlignment="1">
      <alignment vertical="center"/>
    </xf>
    <xf numFmtId="169" fontId="24" fillId="0" borderId="11" xfId="0" applyNumberFormat="1" applyFont="1" applyBorder="1" applyAlignment="1">
      <alignment vertical="center"/>
    </xf>
    <xf numFmtId="169" fontId="24" fillId="0" borderId="14" xfId="0" applyNumberFormat="1" applyFont="1" applyBorder="1" applyAlignment="1">
      <alignment vertical="center"/>
    </xf>
    <xf numFmtId="169" fontId="24" fillId="0" borderId="16" xfId="0" applyNumberFormat="1" applyFont="1" applyBorder="1" applyAlignment="1">
      <alignment vertical="center"/>
    </xf>
    <xf numFmtId="165" fontId="16" fillId="0" borderId="13" xfId="2" applyNumberFormat="1" applyFont="1" applyBorder="1" applyAlignment="1">
      <alignment vertical="center"/>
    </xf>
    <xf numFmtId="165" fontId="16" fillId="0" borderId="15" xfId="2" applyNumberFormat="1" applyFont="1" applyBorder="1" applyAlignment="1">
      <alignment vertical="center"/>
    </xf>
    <xf numFmtId="164" fontId="16" fillId="0" borderId="9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164" fontId="12" fillId="3" borderId="11" xfId="0" applyNumberFormat="1" applyFont="1" applyFill="1" applyBorder="1" applyAlignment="1">
      <alignment vertical="center"/>
    </xf>
    <xf numFmtId="164" fontId="12" fillId="3" borderId="12" xfId="0" applyNumberFormat="1" applyFont="1" applyFill="1" applyBorder="1" applyAlignment="1">
      <alignment vertical="center"/>
    </xf>
    <xf numFmtId="164" fontId="12" fillId="0" borderId="13" xfId="0" applyNumberFormat="1" applyFont="1" applyBorder="1" applyAlignment="1">
      <alignment vertical="center"/>
    </xf>
    <xf numFmtId="165" fontId="13" fillId="4" borderId="13" xfId="2" applyNumberFormat="1" applyFont="1" applyFill="1" applyBorder="1" applyAlignment="1">
      <alignment vertical="center"/>
    </xf>
    <xf numFmtId="164" fontId="12" fillId="3" borderId="14" xfId="0" applyNumberFormat="1" applyFont="1" applyFill="1" applyBorder="1" applyAlignment="1">
      <alignment vertical="center"/>
    </xf>
    <xf numFmtId="164" fontId="12" fillId="3" borderId="0" xfId="0" applyNumberFormat="1" applyFont="1" applyFill="1" applyAlignment="1">
      <alignment vertical="center"/>
    </xf>
    <xf numFmtId="164" fontId="12" fillId="0" borderId="15" xfId="0" applyNumberFormat="1" applyFont="1" applyBorder="1" applyAlignment="1">
      <alignment vertical="center"/>
    </xf>
    <xf numFmtId="165" fontId="13" fillId="4" borderId="19" xfId="2" applyNumberFormat="1" applyFont="1" applyFill="1" applyBorder="1" applyAlignment="1">
      <alignment vertical="center"/>
    </xf>
    <xf numFmtId="164" fontId="12" fillId="4" borderId="16" xfId="0" applyNumberFormat="1" applyFont="1" applyFill="1" applyBorder="1" applyAlignment="1">
      <alignment vertical="center"/>
    </xf>
    <xf numFmtId="164" fontId="12" fillId="4" borderId="9" xfId="0" applyNumberFormat="1" applyFont="1" applyFill="1" applyBorder="1" applyAlignment="1">
      <alignment vertical="center"/>
    </xf>
    <xf numFmtId="164" fontId="13" fillId="4" borderId="10" xfId="0" applyNumberFormat="1" applyFont="1" applyFill="1" applyBorder="1" applyAlignment="1">
      <alignment vertical="center"/>
    </xf>
    <xf numFmtId="164" fontId="12" fillId="0" borderId="17" xfId="0" applyNumberFormat="1" applyFont="1" applyBorder="1" applyAlignment="1">
      <alignment vertical="center"/>
    </xf>
    <xf numFmtId="164" fontId="12" fillId="4" borderId="0" xfId="0" applyNumberFormat="1" applyFont="1" applyFill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</cellXfs>
  <cellStyles count="5">
    <cellStyle name="Comma" xfId="1" builtinId="3"/>
    <cellStyle name="Hyperlink" xfId="4" builtinId="8"/>
    <cellStyle name="Normal" xfId="0" builtinId="0"/>
    <cellStyle name="Normal 2" xfId="3" xr:uid="{65C699D3-D243-4D0C-8CA8-C112936CCB0B}"/>
    <cellStyle name="Percent" xfId="2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753718</xdr:colOff>
      <xdr:row>52</xdr:row>
      <xdr:rowOff>91360</xdr:rowOff>
    </xdr:from>
    <xdr:to>
      <xdr:col>12</xdr:col>
      <xdr:colOff>2236305</xdr:colOff>
      <xdr:row>67</xdr:row>
      <xdr:rowOff>79103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45958-9BB4-C414-49EC-413C2C28C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8479" y="10013925"/>
          <a:ext cx="5930348" cy="2845243"/>
        </a:xfrm>
        <a:prstGeom prst="rect">
          <a:avLst/>
        </a:prstGeom>
      </xdr:spPr>
    </xdr:pic>
    <xdr:clientData/>
  </xdr:twoCellAnchor>
  <xdr:twoCellAnchor editAs="oneCell">
    <xdr:from>
      <xdr:col>0</xdr:col>
      <xdr:colOff>1797325</xdr:colOff>
      <xdr:row>52</xdr:row>
      <xdr:rowOff>82826</xdr:rowOff>
    </xdr:from>
    <xdr:to>
      <xdr:col>4</xdr:col>
      <xdr:colOff>41489</xdr:colOff>
      <xdr:row>65</xdr:row>
      <xdr:rowOff>99391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1526AE-502C-00F9-C0D5-4CBA9DCD9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7325" y="10005391"/>
          <a:ext cx="5358925" cy="24930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7327</xdr:colOff>
      <xdr:row>13</xdr:row>
      <xdr:rowOff>95250</xdr:rowOff>
    </xdr:from>
    <xdr:to>
      <xdr:col>27</xdr:col>
      <xdr:colOff>549613</xdr:colOff>
      <xdr:row>24</xdr:row>
      <xdr:rowOff>47369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2011A2-49BA-753C-726F-7BD3A174E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69654" y="2579077"/>
          <a:ext cx="5114286" cy="2047619"/>
        </a:xfrm>
        <a:prstGeom prst="rect">
          <a:avLst/>
        </a:prstGeom>
      </xdr:spPr>
    </xdr:pic>
    <xdr:clientData/>
  </xdr:twoCellAnchor>
  <xdr:twoCellAnchor editAs="oneCell">
    <xdr:from>
      <xdr:col>21</xdr:col>
      <xdr:colOff>117231</xdr:colOff>
      <xdr:row>0</xdr:row>
      <xdr:rowOff>0</xdr:rowOff>
    </xdr:from>
    <xdr:to>
      <xdr:col>29</xdr:col>
      <xdr:colOff>268850</xdr:colOff>
      <xdr:row>11</xdr:row>
      <xdr:rowOff>47357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E129E-989A-3A18-9FDB-6088C7B01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79558" y="0"/>
          <a:ext cx="6247619" cy="21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168522</xdr:colOff>
      <xdr:row>41</xdr:row>
      <xdr:rowOff>59867</xdr:rowOff>
    </xdr:from>
    <xdr:to>
      <xdr:col>49</xdr:col>
      <xdr:colOff>249118</xdr:colOff>
      <xdr:row>56</xdr:row>
      <xdr:rowOff>94956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70A597-1DFD-8094-89C4-47EC2F56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53753" y="7870367"/>
          <a:ext cx="5414596" cy="2892589"/>
        </a:xfrm>
        <a:prstGeom prst="rect">
          <a:avLst/>
        </a:prstGeom>
      </xdr:spPr>
    </xdr:pic>
    <xdr:clientData/>
  </xdr:twoCellAnchor>
  <xdr:twoCellAnchor editAs="oneCell">
    <xdr:from>
      <xdr:col>0</xdr:col>
      <xdr:colOff>783982</xdr:colOff>
      <xdr:row>82</xdr:row>
      <xdr:rowOff>102577</xdr:rowOff>
    </xdr:from>
    <xdr:to>
      <xdr:col>2</xdr:col>
      <xdr:colOff>3163853</xdr:colOff>
      <xdr:row>94</xdr:row>
      <xdr:rowOff>73720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09041C-43FD-EFB9-1A15-DEF8F59D0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82" y="15745558"/>
          <a:ext cx="5171429" cy="2257143"/>
        </a:xfrm>
        <a:prstGeom prst="rect">
          <a:avLst/>
        </a:prstGeom>
      </xdr:spPr>
    </xdr:pic>
    <xdr:clientData/>
  </xdr:twoCellAnchor>
  <xdr:twoCellAnchor editAs="oneCell">
    <xdr:from>
      <xdr:col>24</xdr:col>
      <xdr:colOff>1355482</xdr:colOff>
      <xdr:row>81</xdr:row>
      <xdr:rowOff>73268</xdr:rowOff>
    </xdr:from>
    <xdr:to>
      <xdr:col>27</xdr:col>
      <xdr:colOff>701283</xdr:colOff>
      <xdr:row>93</xdr:row>
      <xdr:rowOff>44411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AD539A-26B3-6520-EB62-0BBDAF245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65097" y="15525749"/>
          <a:ext cx="5104762" cy="2257143"/>
        </a:xfrm>
        <a:prstGeom prst="rect">
          <a:avLst/>
        </a:prstGeom>
      </xdr:spPr>
    </xdr:pic>
    <xdr:clientData/>
  </xdr:twoCellAnchor>
  <xdr:twoCellAnchor editAs="oneCell">
    <xdr:from>
      <xdr:col>12</xdr:col>
      <xdr:colOff>1392117</xdr:colOff>
      <xdr:row>79</xdr:row>
      <xdr:rowOff>146540</xdr:rowOff>
    </xdr:from>
    <xdr:to>
      <xdr:col>15</xdr:col>
      <xdr:colOff>725460</xdr:colOff>
      <xdr:row>92</xdr:row>
      <xdr:rowOff>5570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EF1F2A-87A0-3F24-0CA4-0916B15E2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61982" y="15210694"/>
          <a:ext cx="5114286" cy="2342857"/>
        </a:xfrm>
        <a:prstGeom prst="rect">
          <a:avLst/>
        </a:prstGeom>
      </xdr:spPr>
    </xdr:pic>
    <xdr:clientData/>
  </xdr:twoCellAnchor>
  <xdr:twoCellAnchor editAs="oneCell">
    <xdr:from>
      <xdr:col>42</xdr:col>
      <xdr:colOff>117230</xdr:colOff>
      <xdr:row>0</xdr:row>
      <xdr:rowOff>95250</xdr:rowOff>
    </xdr:from>
    <xdr:to>
      <xdr:col>49</xdr:col>
      <xdr:colOff>373673</xdr:colOff>
      <xdr:row>23</xdr:row>
      <xdr:rowOff>82631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EB1C94-5D97-2032-BE56-C10D29B57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002461" y="95250"/>
          <a:ext cx="5590443" cy="4368881"/>
        </a:xfrm>
        <a:prstGeom prst="rect">
          <a:avLst/>
        </a:prstGeom>
      </xdr:spPr>
    </xdr:pic>
    <xdr:clientData/>
  </xdr:twoCellAnchor>
  <xdr:twoCellAnchor editAs="oneCell">
    <xdr:from>
      <xdr:col>42</xdr:col>
      <xdr:colOff>183174</xdr:colOff>
      <xdr:row>23</xdr:row>
      <xdr:rowOff>176058</xdr:rowOff>
    </xdr:from>
    <xdr:to>
      <xdr:col>49</xdr:col>
      <xdr:colOff>21982</xdr:colOff>
      <xdr:row>40</xdr:row>
      <xdr:rowOff>156998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29B3818-7181-6B25-604C-1C7BD337F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068405" y="4557558"/>
          <a:ext cx="5172808" cy="3219440"/>
        </a:xfrm>
        <a:prstGeom prst="rect">
          <a:avLst/>
        </a:prstGeom>
      </xdr:spPr>
    </xdr:pic>
    <xdr:clientData/>
  </xdr:twoCellAnchor>
  <xdr:twoCellAnchor editAs="oneCell">
    <xdr:from>
      <xdr:col>49</xdr:col>
      <xdr:colOff>241789</xdr:colOff>
      <xdr:row>14</xdr:row>
      <xdr:rowOff>146539</xdr:rowOff>
    </xdr:from>
    <xdr:to>
      <xdr:col>56</xdr:col>
      <xdr:colOff>471477</xdr:colOff>
      <xdr:row>50</xdr:row>
      <xdr:rowOff>187506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2C5CCE-452F-4836-B417-F4673913D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461020" y="2813539"/>
          <a:ext cx="5563688" cy="6898967"/>
        </a:xfrm>
        <a:prstGeom prst="rect">
          <a:avLst/>
        </a:prstGeom>
      </xdr:spPr>
    </xdr:pic>
    <xdr:clientData/>
  </xdr:twoCellAnchor>
  <xdr:twoCellAnchor editAs="oneCell">
    <xdr:from>
      <xdr:col>0</xdr:col>
      <xdr:colOff>783981</xdr:colOff>
      <xdr:row>95</xdr:row>
      <xdr:rowOff>65942</xdr:rowOff>
    </xdr:from>
    <xdr:to>
      <xdr:col>3</xdr:col>
      <xdr:colOff>920859</xdr:colOff>
      <xdr:row>115</xdr:row>
      <xdr:rowOff>73269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FF8DB6-E97C-10BD-43B3-B2202FD16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3981" y="18185423"/>
          <a:ext cx="6100993" cy="3817327"/>
        </a:xfrm>
        <a:prstGeom prst="rect">
          <a:avLst/>
        </a:prstGeom>
      </xdr:spPr>
    </xdr:pic>
    <xdr:clientData/>
  </xdr:twoCellAnchor>
  <xdr:twoCellAnchor editAs="oneCell">
    <xdr:from>
      <xdr:col>12</xdr:col>
      <xdr:colOff>1531327</xdr:colOff>
      <xdr:row>92</xdr:row>
      <xdr:rowOff>87921</xdr:rowOff>
    </xdr:from>
    <xdr:to>
      <xdr:col>18</xdr:col>
      <xdr:colOff>29634</xdr:colOff>
      <xdr:row>114</xdr:row>
      <xdr:rowOff>109902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BFFB0F-2082-1B38-09C1-7F6D4106B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01192" y="17635902"/>
          <a:ext cx="6653173" cy="4212981"/>
        </a:xfrm>
        <a:prstGeom prst="rect">
          <a:avLst/>
        </a:prstGeom>
      </xdr:spPr>
    </xdr:pic>
    <xdr:clientData/>
  </xdr:twoCellAnchor>
  <xdr:twoCellAnchor editAs="oneCell">
    <xdr:from>
      <xdr:col>24</xdr:col>
      <xdr:colOff>1377461</xdr:colOff>
      <xdr:row>93</xdr:row>
      <xdr:rowOff>102577</xdr:rowOff>
    </xdr:from>
    <xdr:to>
      <xdr:col>32</xdr:col>
      <xdr:colOff>332005</xdr:colOff>
      <xdr:row>121</xdr:row>
      <xdr:rowOff>102577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9F05FEF-7F6D-7CBE-DB37-86D3AEDC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377173" y="17841058"/>
          <a:ext cx="8648063" cy="533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1142999</xdr:colOff>
      <xdr:row>70</xdr:row>
      <xdr:rowOff>17449</xdr:rowOff>
    </xdr:from>
    <xdr:to>
      <xdr:col>2</xdr:col>
      <xdr:colOff>3165230</xdr:colOff>
      <xdr:row>79</xdr:row>
      <xdr:rowOff>171939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A1E93-7E52-668D-8767-613C840B9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999" y="13359776"/>
          <a:ext cx="4813789" cy="1868990"/>
        </a:xfrm>
        <a:prstGeom prst="rect">
          <a:avLst/>
        </a:prstGeom>
      </xdr:spPr>
    </xdr:pic>
    <xdr:clientData/>
  </xdr:twoCellAnchor>
  <xdr:twoCellAnchor editAs="oneCell">
    <xdr:from>
      <xdr:col>13</xdr:col>
      <xdr:colOff>754675</xdr:colOff>
      <xdr:row>72</xdr:row>
      <xdr:rowOff>29310</xdr:rowOff>
    </xdr:from>
    <xdr:to>
      <xdr:col>16</xdr:col>
      <xdr:colOff>732693</xdr:colOff>
      <xdr:row>83</xdr:row>
      <xdr:rowOff>123552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51F83F-088E-26A8-F538-8ED0FAB32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3944" y="13752637"/>
          <a:ext cx="4865076" cy="2189742"/>
        </a:xfrm>
        <a:prstGeom prst="rect">
          <a:avLst/>
        </a:prstGeom>
      </xdr:spPr>
    </xdr:pic>
    <xdr:clientData/>
  </xdr:twoCellAnchor>
  <xdr:twoCellAnchor editAs="oneCell">
    <xdr:from>
      <xdr:col>0</xdr:col>
      <xdr:colOff>1157654</xdr:colOff>
      <xdr:row>80</xdr:row>
      <xdr:rowOff>87923</xdr:rowOff>
    </xdr:from>
    <xdr:to>
      <xdr:col>3</xdr:col>
      <xdr:colOff>583375</xdr:colOff>
      <xdr:row>93</xdr:row>
      <xdr:rowOff>175846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4E5030-BFC4-47B9-B9FE-6D00030ED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7654" y="15335250"/>
          <a:ext cx="5411817" cy="2564423"/>
        </a:xfrm>
        <a:prstGeom prst="rect">
          <a:avLst/>
        </a:prstGeom>
      </xdr:spPr>
    </xdr:pic>
    <xdr:clientData/>
  </xdr:twoCellAnchor>
  <xdr:twoCellAnchor editAs="oneCell">
    <xdr:from>
      <xdr:col>13</xdr:col>
      <xdr:colOff>747346</xdr:colOff>
      <xdr:row>83</xdr:row>
      <xdr:rowOff>139213</xdr:rowOff>
    </xdr:from>
    <xdr:to>
      <xdr:col>18</xdr:col>
      <xdr:colOff>29308</xdr:colOff>
      <xdr:row>99</xdr:row>
      <xdr:rowOff>19479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075F31-E888-4FD6-80DA-4F90BDE0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36615" y="15958040"/>
          <a:ext cx="5846885" cy="29282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81049</xdr:colOff>
      <xdr:row>15</xdr:row>
      <xdr:rowOff>83780</xdr:rowOff>
    </xdr:from>
    <xdr:to>
      <xdr:col>19</xdr:col>
      <xdr:colOff>272306</xdr:colOff>
      <xdr:row>32</xdr:row>
      <xdr:rowOff>111148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EDCA49-A0A2-4FD7-A88D-931A26944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4928" y="2921573"/>
          <a:ext cx="4914344" cy="301624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32</xdr:col>
      <xdr:colOff>556459</xdr:colOff>
      <xdr:row>13</xdr:row>
      <xdr:rowOff>161925</xdr:rowOff>
    </xdr:to>
    <xdr:pic>
      <xdr:nvPicPr>
        <xdr:cNvPr id="5" name="Picture 4" descr="figure 12">
          <a:extLst>
            <a:ext uri="{FF2B5EF4-FFF2-40B4-BE49-F238E27FC236}">
              <a16:creationId xmlns:a16="http://schemas.microsoft.com/office/drawing/2014/main" id="{270CB044-4DFE-4520-B3C7-94EC15415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0"/>
          <a:ext cx="4456947" cy="2509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ybl, Vicki" id="{68AD1187-35C8-4FE7-B14A-778D26D77825}" userId="S::VRybl@spherasolutions.com::f3149b3b-bb64-4efa-8604-4dfd246751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0-08-18T17:51:06.29" personId="{68AD1187-35C8-4FE7-B14A-778D26D77825}" id="{F6F1ADAD-1DFE-D74C-A02C-AA459A34FAEC}">
    <text>recycled aluminum</text>
  </threadedComment>
  <threadedComment ref="M7" dT="2020-08-18T17:51:06.29" personId="{68AD1187-35C8-4FE7-B14A-778D26D77825}" id="{FA080B19-D9B0-4444-A570-70D83FB66350}">
    <text>recycled aluminum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link.springer.com/article/10.1007/s13563-023-00413-y" TargetMode="External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D1C3-CC5D-C24E-89E8-952A938DB4FF}">
  <dimension ref="A1:AG52"/>
  <sheetViews>
    <sheetView topLeftCell="X18" zoomScale="130" zoomScaleNormal="130" workbookViewId="0">
      <selection activeCell="P2" sqref="P2"/>
    </sheetView>
  </sheetViews>
  <sheetFormatPr defaultColWidth="11.44140625" defaultRowHeight="14.4" x14ac:dyDescent="0.3"/>
  <cols>
    <col min="1" max="1" width="32.6640625" customWidth="1"/>
    <col min="3" max="3" width="48.109375" customWidth="1"/>
    <col min="14" max="14" width="53.109375" customWidth="1"/>
    <col min="25" max="25" width="45" customWidth="1"/>
  </cols>
  <sheetData>
    <row r="1" spans="1:33" x14ac:dyDescent="0.3">
      <c r="A1" s="9" t="s">
        <v>0</v>
      </c>
      <c r="B1" s="1" t="s">
        <v>3</v>
      </c>
      <c r="C1" s="2"/>
      <c r="D1" s="2"/>
      <c r="E1" s="2"/>
      <c r="F1" s="2"/>
      <c r="G1" s="2"/>
      <c r="H1" s="2"/>
      <c r="I1" s="2"/>
      <c r="J1" s="2"/>
      <c r="K1" s="3"/>
      <c r="M1" s="1" t="s">
        <v>4</v>
      </c>
      <c r="N1" s="2"/>
      <c r="O1" s="2" t="s">
        <v>280</v>
      </c>
      <c r="P1" s="2"/>
      <c r="Q1" s="2"/>
      <c r="R1" s="2"/>
      <c r="S1" s="2"/>
      <c r="T1" s="2"/>
      <c r="U1" s="2"/>
      <c r="V1" s="3"/>
      <c r="X1" s="1" t="s">
        <v>5</v>
      </c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3">
      <c r="A2" s="9" t="s">
        <v>16</v>
      </c>
      <c r="B2" s="7" t="s">
        <v>17</v>
      </c>
      <c r="K2" s="8"/>
      <c r="M2" s="7" t="s">
        <v>18</v>
      </c>
      <c r="V2" s="8"/>
      <c r="X2" s="7" t="s">
        <v>18</v>
      </c>
      <c r="AG2" s="8"/>
    </row>
    <row r="3" spans="1:33" x14ac:dyDescent="0.3">
      <c r="A3" s="10" t="s">
        <v>300</v>
      </c>
      <c r="B3" s="7">
        <v>1</v>
      </c>
      <c r="K3" s="8"/>
      <c r="M3" s="7" t="s">
        <v>28</v>
      </c>
      <c r="V3" s="8"/>
      <c r="X3" s="7" t="s">
        <v>29</v>
      </c>
      <c r="AG3" s="8"/>
    </row>
    <row r="4" spans="1:33" x14ac:dyDescent="0.3">
      <c r="B4" s="7" t="s">
        <v>30</v>
      </c>
      <c r="K4" s="8"/>
      <c r="M4" s="7" t="s">
        <v>30</v>
      </c>
      <c r="V4" s="8"/>
      <c r="X4" s="7" t="s">
        <v>30</v>
      </c>
      <c r="AG4" s="8"/>
    </row>
    <row r="5" spans="1:33" x14ac:dyDescent="0.3">
      <c r="B5" s="7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s="8" t="s">
        <v>40</v>
      </c>
      <c r="M5" s="7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s="8" t="s">
        <v>40</v>
      </c>
      <c r="X5" s="7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s="8" t="s">
        <v>40</v>
      </c>
    </row>
    <row r="6" spans="1:33" x14ac:dyDescent="0.3">
      <c r="B6" s="7"/>
      <c r="C6" s="22" t="s">
        <v>46</v>
      </c>
      <c r="D6" t="s">
        <v>47</v>
      </c>
      <c r="E6" s="22">
        <v>5.3639999999999999</v>
      </c>
      <c r="F6" s="22">
        <v>5.3639999999999999</v>
      </c>
      <c r="G6" s="22" t="s">
        <v>48</v>
      </c>
      <c r="H6" t="s">
        <v>44</v>
      </c>
      <c r="I6" s="11">
        <v>0</v>
      </c>
      <c r="J6" t="s">
        <v>45</v>
      </c>
      <c r="K6" s="8" t="s">
        <v>49</v>
      </c>
      <c r="M6" s="7"/>
      <c r="N6" s="21" t="s">
        <v>50</v>
      </c>
      <c r="O6" t="s">
        <v>42</v>
      </c>
      <c r="P6" s="21">
        <v>2234</v>
      </c>
      <c r="Q6" s="21">
        <v>2234</v>
      </c>
      <c r="R6" s="21" t="s">
        <v>43</v>
      </c>
      <c r="S6" t="s">
        <v>44</v>
      </c>
      <c r="T6" s="11">
        <v>0</v>
      </c>
      <c r="U6" t="s">
        <v>51</v>
      </c>
      <c r="V6" s="8" t="s">
        <v>49</v>
      </c>
      <c r="X6" s="7"/>
      <c r="Y6" s="21" t="s">
        <v>50</v>
      </c>
      <c r="Z6" t="s">
        <v>42</v>
      </c>
      <c r="AA6" s="21">
        <v>2847</v>
      </c>
      <c r="AB6" s="21">
        <v>2847</v>
      </c>
      <c r="AC6" s="21" t="s">
        <v>43</v>
      </c>
      <c r="AD6" t="s">
        <v>44</v>
      </c>
      <c r="AE6" s="11">
        <v>0</v>
      </c>
      <c r="AF6" t="s">
        <v>51</v>
      </c>
      <c r="AG6" s="8" t="s">
        <v>49</v>
      </c>
    </row>
    <row r="7" spans="1:33" x14ac:dyDescent="0.3">
      <c r="B7" s="7"/>
      <c r="C7" s="22" t="s">
        <v>59</v>
      </c>
      <c r="D7" t="s">
        <v>47</v>
      </c>
      <c r="E7" s="22">
        <v>20.017800000000001</v>
      </c>
      <c r="F7" s="22">
        <v>20.017800000000001</v>
      </c>
      <c r="G7" s="22" t="s">
        <v>48</v>
      </c>
      <c r="H7" t="s">
        <v>44</v>
      </c>
      <c r="I7" s="11">
        <v>0</v>
      </c>
      <c r="J7" t="s">
        <v>45</v>
      </c>
      <c r="K7" s="8" t="s">
        <v>60</v>
      </c>
      <c r="M7" s="7"/>
      <c r="N7" s="22" t="s">
        <v>46</v>
      </c>
      <c r="O7" t="s">
        <v>47</v>
      </c>
      <c r="P7" s="22">
        <v>268.2</v>
      </c>
      <c r="Q7" s="22">
        <v>268.2</v>
      </c>
      <c r="R7" s="22" t="s">
        <v>48</v>
      </c>
      <c r="S7" t="s">
        <v>44</v>
      </c>
      <c r="T7" s="11">
        <v>0</v>
      </c>
      <c r="U7" t="s">
        <v>45</v>
      </c>
      <c r="V7" s="8" t="s">
        <v>49</v>
      </c>
      <c r="X7" s="7"/>
      <c r="Y7" s="22" t="s">
        <v>46</v>
      </c>
      <c r="Z7" t="s">
        <v>47</v>
      </c>
      <c r="AA7" s="22">
        <v>784.79999999999905</v>
      </c>
      <c r="AB7" s="22">
        <v>784.79999999999905</v>
      </c>
      <c r="AC7" s="22" t="s">
        <v>48</v>
      </c>
      <c r="AD7" t="s">
        <v>44</v>
      </c>
      <c r="AE7" s="11">
        <v>0</v>
      </c>
      <c r="AF7" t="s">
        <v>45</v>
      </c>
      <c r="AG7" s="8" t="s">
        <v>49</v>
      </c>
    </row>
    <row r="8" spans="1:33" x14ac:dyDescent="0.3">
      <c r="B8" s="7"/>
      <c r="C8" s="22" t="s">
        <v>66</v>
      </c>
      <c r="D8" t="s">
        <v>47</v>
      </c>
      <c r="E8" s="22">
        <v>70.454400000000007</v>
      </c>
      <c r="F8" s="22">
        <v>70.454400000000007</v>
      </c>
      <c r="G8" s="22" t="s">
        <v>48</v>
      </c>
      <c r="H8" t="s">
        <v>44</v>
      </c>
      <c r="I8" s="11">
        <v>0</v>
      </c>
      <c r="J8" t="s">
        <v>45</v>
      </c>
      <c r="K8" s="8" t="s">
        <v>67</v>
      </c>
      <c r="M8" s="7"/>
      <c r="N8" t="s">
        <v>68</v>
      </c>
      <c r="O8" t="s">
        <v>42</v>
      </c>
      <c r="P8">
        <v>24.8</v>
      </c>
      <c r="Q8">
        <v>24.8</v>
      </c>
      <c r="R8" t="s">
        <v>43</v>
      </c>
      <c r="S8" t="s">
        <v>44</v>
      </c>
      <c r="T8" s="11">
        <v>0</v>
      </c>
      <c r="U8" t="s">
        <v>51</v>
      </c>
      <c r="V8" s="8" t="s">
        <v>49</v>
      </c>
      <c r="X8" s="7"/>
      <c r="Y8" t="s">
        <v>68</v>
      </c>
      <c r="Z8" t="s">
        <v>42</v>
      </c>
      <c r="AA8">
        <v>31.5</v>
      </c>
      <c r="AB8">
        <v>31.5</v>
      </c>
      <c r="AC8" t="s">
        <v>43</v>
      </c>
      <c r="AD8" t="s">
        <v>44</v>
      </c>
      <c r="AE8" s="11">
        <v>0</v>
      </c>
      <c r="AF8" t="s">
        <v>51</v>
      </c>
      <c r="AG8" s="8" t="s">
        <v>49</v>
      </c>
    </row>
    <row r="9" spans="1:33" x14ac:dyDescent="0.3">
      <c r="B9" s="7"/>
      <c r="C9" s="21" t="s">
        <v>77</v>
      </c>
      <c r="D9" t="s">
        <v>42</v>
      </c>
      <c r="E9" s="21">
        <v>1100</v>
      </c>
      <c r="F9" s="21">
        <v>1100</v>
      </c>
      <c r="G9" s="21" t="s">
        <v>43</v>
      </c>
      <c r="I9" s="11">
        <v>0</v>
      </c>
      <c r="J9" t="s">
        <v>45</v>
      </c>
      <c r="K9" s="8" t="s">
        <v>78</v>
      </c>
      <c r="M9" s="7"/>
      <c r="N9" t="s">
        <v>79</v>
      </c>
      <c r="O9" t="s">
        <v>42</v>
      </c>
      <c r="P9">
        <v>55.6</v>
      </c>
      <c r="Q9">
        <v>55.6</v>
      </c>
      <c r="R9" t="s">
        <v>43</v>
      </c>
      <c r="S9" t="s">
        <v>44</v>
      </c>
      <c r="T9" s="11">
        <v>0</v>
      </c>
      <c r="U9" t="s">
        <v>51</v>
      </c>
      <c r="V9" s="8" t="s">
        <v>49</v>
      </c>
      <c r="X9" s="7"/>
      <c r="Y9" t="s">
        <v>79</v>
      </c>
      <c r="Z9" t="s">
        <v>42</v>
      </c>
      <c r="AA9">
        <v>72.97</v>
      </c>
      <c r="AB9">
        <v>72.97</v>
      </c>
      <c r="AC9" t="s">
        <v>43</v>
      </c>
      <c r="AD9" t="s">
        <v>44</v>
      </c>
      <c r="AE9" s="11">
        <v>0</v>
      </c>
      <c r="AF9" t="s">
        <v>51</v>
      </c>
      <c r="AG9" s="8" t="s">
        <v>49</v>
      </c>
    </row>
    <row r="10" spans="1:33" x14ac:dyDescent="0.3">
      <c r="B10" s="7"/>
      <c r="C10" t="s">
        <v>85</v>
      </c>
      <c r="D10" t="s">
        <v>42</v>
      </c>
      <c r="E10">
        <v>481</v>
      </c>
      <c r="F10">
        <v>481</v>
      </c>
      <c r="G10" t="s">
        <v>43</v>
      </c>
      <c r="I10" s="11">
        <v>0</v>
      </c>
      <c r="J10" t="s">
        <v>45</v>
      </c>
      <c r="K10" s="8" t="s">
        <v>49</v>
      </c>
      <c r="M10" s="7"/>
      <c r="N10" s="22" t="s">
        <v>86</v>
      </c>
      <c r="O10" t="s">
        <v>47</v>
      </c>
      <c r="P10" s="22">
        <v>8562.4643213702602</v>
      </c>
      <c r="Q10" s="22">
        <v>8562.4643213702602</v>
      </c>
      <c r="R10" s="22" t="s">
        <v>48</v>
      </c>
      <c r="S10" t="s">
        <v>44</v>
      </c>
      <c r="T10" s="11">
        <v>0</v>
      </c>
      <c r="U10" t="s">
        <v>51</v>
      </c>
      <c r="V10" s="8" t="s">
        <v>49</v>
      </c>
      <c r="X10" s="7"/>
      <c r="Y10" s="22" t="s">
        <v>87</v>
      </c>
      <c r="Z10" t="s">
        <v>47</v>
      </c>
      <c r="AA10" s="22">
        <v>8149.1712707182296</v>
      </c>
      <c r="AB10" s="22">
        <v>8149.1712707182296</v>
      </c>
      <c r="AC10" s="22" t="s">
        <v>48</v>
      </c>
      <c r="AD10" t="s">
        <v>44</v>
      </c>
      <c r="AE10" s="11">
        <v>0</v>
      </c>
      <c r="AF10" t="s">
        <v>45</v>
      </c>
      <c r="AG10" s="8" t="s">
        <v>88</v>
      </c>
    </row>
    <row r="11" spans="1:33" x14ac:dyDescent="0.3">
      <c r="B11" s="7" t="s">
        <v>84</v>
      </c>
      <c r="K11" s="8"/>
      <c r="M11" s="7"/>
      <c r="N11" t="s">
        <v>85</v>
      </c>
      <c r="O11" t="s">
        <v>42</v>
      </c>
      <c r="P11">
        <v>4470</v>
      </c>
      <c r="Q11">
        <v>4470</v>
      </c>
      <c r="R11" t="s">
        <v>43</v>
      </c>
      <c r="T11" s="11">
        <v>0</v>
      </c>
      <c r="U11" t="s">
        <v>51</v>
      </c>
      <c r="V11" s="8" t="s">
        <v>49</v>
      </c>
      <c r="X11" s="7"/>
      <c r="Y11" s="22" t="s">
        <v>59</v>
      </c>
      <c r="Z11" t="s">
        <v>47</v>
      </c>
      <c r="AA11" s="22">
        <v>1027.1759999999999</v>
      </c>
      <c r="AB11" s="22">
        <v>1027.1759999999999</v>
      </c>
      <c r="AC11" s="22" t="s">
        <v>48</v>
      </c>
      <c r="AD11" t="s">
        <v>44</v>
      </c>
      <c r="AE11" s="11">
        <v>0</v>
      </c>
      <c r="AF11" t="s">
        <v>51</v>
      </c>
      <c r="AG11" s="8" t="s">
        <v>49</v>
      </c>
    </row>
    <row r="12" spans="1:33" x14ac:dyDescent="0.3">
      <c r="B12" s="7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s="8" t="s">
        <v>40</v>
      </c>
      <c r="M12" s="7"/>
      <c r="N12" t="s">
        <v>95</v>
      </c>
      <c r="O12" t="s">
        <v>42</v>
      </c>
      <c r="P12">
        <v>3856</v>
      </c>
      <c r="Q12">
        <v>3856</v>
      </c>
      <c r="R12" t="s">
        <v>43</v>
      </c>
      <c r="T12" s="11">
        <v>0</v>
      </c>
      <c r="U12" t="s">
        <v>45</v>
      </c>
      <c r="V12" s="8"/>
      <c r="X12" s="7"/>
      <c r="Y12" s="22" t="s">
        <v>66</v>
      </c>
      <c r="Z12" t="s">
        <v>47</v>
      </c>
      <c r="AA12" s="22">
        <v>41.658312000000002</v>
      </c>
      <c r="AB12" s="22">
        <v>41.658312000000002</v>
      </c>
      <c r="AC12" s="22" t="s">
        <v>48</v>
      </c>
      <c r="AD12" t="s">
        <v>44</v>
      </c>
      <c r="AE12" s="11">
        <v>0</v>
      </c>
      <c r="AF12" t="s">
        <v>45</v>
      </c>
      <c r="AG12" s="8" t="s">
        <v>96</v>
      </c>
    </row>
    <row r="13" spans="1:33" x14ac:dyDescent="0.3">
      <c r="B13" s="7"/>
      <c r="C13" s="21" t="s">
        <v>50</v>
      </c>
      <c r="D13" t="s">
        <v>42</v>
      </c>
      <c r="E13" s="21">
        <v>1000</v>
      </c>
      <c r="F13" s="21">
        <v>1000</v>
      </c>
      <c r="G13" s="21" t="s">
        <v>43</v>
      </c>
      <c r="H13" t="s">
        <v>44</v>
      </c>
      <c r="I13" s="11">
        <v>0</v>
      </c>
      <c r="J13" t="s">
        <v>45</v>
      </c>
      <c r="K13" s="8"/>
      <c r="M13" s="7"/>
      <c r="N13" t="s">
        <v>100</v>
      </c>
      <c r="O13" t="s">
        <v>42</v>
      </c>
      <c r="P13">
        <v>2442</v>
      </c>
      <c r="Q13">
        <v>2442</v>
      </c>
      <c r="R13" t="s">
        <v>43</v>
      </c>
      <c r="T13" s="11">
        <v>0</v>
      </c>
      <c r="U13" t="s">
        <v>45</v>
      </c>
      <c r="V13" s="8" t="s">
        <v>49</v>
      </c>
      <c r="X13" s="7"/>
      <c r="Y13" s="22" t="s">
        <v>86</v>
      </c>
      <c r="Z13" t="s">
        <v>47</v>
      </c>
      <c r="AA13" s="22">
        <v>2333.9620488896298</v>
      </c>
      <c r="AB13" s="22">
        <v>2333.9620488896298</v>
      </c>
      <c r="AC13" s="22" t="s">
        <v>48</v>
      </c>
      <c r="AD13" t="s">
        <v>44</v>
      </c>
      <c r="AE13" s="11">
        <v>0</v>
      </c>
      <c r="AF13" t="s">
        <v>51</v>
      </c>
      <c r="AG13" s="8" t="s">
        <v>49</v>
      </c>
    </row>
    <row r="14" spans="1:33" x14ac:dyDescent="0.3">
      <c r="B14" s="7"/>
      <c r="C14" t="s">
        <v>105</v>
      </c>
      <c r="D14" t="s">
        <v>42</v>
      </c>
      <c r="E14">
        <v>8.09E-2</v>
      </c>
      <c r="F14">
        <v>8.09E-2</v>
      </c>
      <c r="G14" t="s">
        <v>43</v>
      </c>
      <c r="H14" t="s">
        <v>99</v>
      </c>
      <c r="I14" s="11">
        <v>0</v>
      </c>
      <c r="J14" t="s">
        <v>45</v>
      </c>
      <c r="K14" s="8" t="s">
        <v>49</v>
      </c>
      <c r="M14" s="7" t="s">
        <v>84</v>
      </c>
      <c r="T14" s="11"/>
      <c r="V14" s="8"/>
      <c r="X14" s="7"/>
      <c r="Y14" t="s">
        <v>85</v>
      </c>
      <c r="Z14" t="s">
        <v>42</v>
      </c>
      <c r="AA14">
        <v>2033</v>
      </c>
      <c r="AB14">
        <v>2033</v>
      </c>
      <c r="AC14" t="s">
        <v>43</v>
      </c>
      <c r="AE14" s="11">
        <v>0</v>
      </c>
      <c r="AF14" t="s">
        <v>51</v>
      </c>
      <c r="AG14" s="8" t="s">
        <v>49</v>
      </c>
    </row>
    <row r="15" spans="1:33" x14ac:dyDescent="0.3">
      <c r="B15" s="7"/>
      <c r="C15" t="s">
        <v>108</v>
      </c>
      <c r="D15" t="s">
        <v>42</v>
      </c>
      <c r="E15">
        <v>0.109</v>
      </c>
      <c r="F15">
        <v>0.109</v>
      </c>
      <c r="G15" t="s">
        <v>43</v>
      </c>
      <c r="I15" s="11">
        <v>0</v>
      </c>
      <c r="J15" t="s">
        <v>45</v>
      </c>
      <c r="K15" s="8" t="s">
        <v>49</v>
      </c>
      <c r="M15" s="7" t="s">
        <v>31</v>
      </c>
      <c r="N15" t="s">
        <v>32</v>
      </c>
      <c r="O15" t="s">
        <v>33</v>
      </c>
      <c r="P15" t="s">
        <v>34</v>
      </c>
      <c r="Q15" t="s">
        <v>35</v>
      </c>
      <c r="R15" t="s">
        <v>36</v>
      </c>
      <c r="S15" t="s">
        <v>37</v>
      </c>
      <c r="T15" t="s">
        <v>38</v>
      </c>
      <c r="U15" t="s">
        <v>39</v>
      </c>
      <c r="V15" s="8" t="s">
        <v>40</v>
      </c>
      <c r="X15" s="7"/>
      <c r="Y15" t="s">
        <v>95</v>
      </c>
      <c r="Z15" t="s">
        <v>42</v>
      </c>
      <c r="AA15">
        <v>476</v>
      </c>
      <c r="AB15">
        <v>476</v>
      </c>
      <c r="AC15" t="s">
        <v>43</v>
      </c>
      <c r="AE15" s="11">
        <v>0</v>
      </c>
      <c r="AF15" t="s">
        <v>45</v>
      </c>
      <c r="AG15" s="8"/>
    </row>
    <row r="16" spans="1:33" x14ac:dyDescent="0.3">
      <c r="B16" s="7"/>
      <c r="C16" s="40" t="s">
        <v>111</v>
      </c>
      <c r="D16" t="s">
        <v>42</v>
      </c>
      <c r="E16" s="40">
        <v>100</v>
      </c>
      <c r="F16" s="40">
        <v>100</v>
      </c>
      <c r="G16" s="40" t="s">
        <v>43</v>
      </c>
      <c r="I16" s="11">
        <v>0</v>
      </c>
      <c r="J16" t="s">
        <v>45</v>
      </c>
      <c r="K16" s="8" t="s">
        <v>112</v>
      </c>
      <c r="M16" s="7"/>
      <c r="N16" s="21" t="s">
        <v>62</v>
      </c>
      <c r="O16" t="s">
        <v>42</v>
      </c>
      <c r="P16" s="21">
        <v>1000</v>
      </c>
      <c r="Q16" s="21">
        <v>1000</v>
      </c>
      <c r="R16" s="21" t="s">
        <v>43</v>
      </c>
      <c r="S16" t="s">
        <v>44</v>
      </c>
      <c r="T16" s="11">
        <v>0</v>
      </c>
      <c r="U16" t="s">
        <v>51</v>
      </c>
      <c r="V16" s="8" t="s">
        <v>49</v>
      </c>
      <c r="X16" s="7"/>
      <c r="Y16" t="s">
        <v>100</v>
      </c>
      <c r="Z16" t="s">
        <v>42</v>
      </c>
      <c r="AA16">
        <v>193</v>
      </c>
      <c r="AB16">
        <v>193</v>
      </c>
      <c r="AC16" t="s">
        <v>43</v>
      </c>
      <c r="AE16" s="11">
        <v>0</v>
      </c>
      <c r="AF16" t="s">
        <v>45</v>
      </c>
      <c r="AG16" s="8" t="s">
        <v>49</v>
      </c>
    </row>
    <row r="17" spans="1:33" x14ac:dyDescent="0.3">
      <c r="B17" s="7"/>
      <c r="C17" t="s">
        <v>117</v>
      </c>
      <c r="D17" t="s">
        <v>42</v>
      </c>
      <c r="E17">
        <v>28.1</v>
      </c>
      <c r="F17">
        <v>28.1</v>
      </c>
      <c r="G17" t="s">
        <v>43</v>
      </c>
      <c r="I17" s="11">
        <v>0</v>
      </c>
      <c r="J17" t="s">
        <v>45</v>
      </c>
      <c r="K17" s="8" t="s">
        <v>49</v>
      </c>
      <c r="M17" s="7"/>
      <c r="N17" t="s">
        <v>118</v>
      </c>
      <c r="O17" t="s">
        <v>42</v>
      </c>
      <c r="P17">
        <v>1.93</v>
      </c>
      <c r="Q17">
        <v>1.93</v>
      </c>
      <c r="R17" t="s">
        <v>43</v>
      </c>
      <c r="S17" t="s">
        <v>99</v>
      </c>
      <c r="T17" s="11">
        <v>0</v>
      </c>
      <c r="U17" t="s">
        <v>45</v>
      </c>
      <c r="V17" s="8" t="s">
        <v>49</v>
      </c>
      <c r="X17" s="7" t="s">
        <v>84</v>
      </c>
      <c r="AE17" s="11"/>
      <c r="AG17" s="8"/>
    </row>
    <row r="18" spans="1:33" ht="15" thickBot="1" x14ac:dyDescent="0.35">
      <c r="B18" s="4"/>
      <c r="C18" s="5" t="s">
        <v>124</v>
      </c>
      <c r="D18" s="5" t="s">
        <v>42</v>
      </c>
      <c r="E18" s="5">
        <v>453</v>
      </c>
      <c r="F18" s="5">
        <v>453</v>
      </c>
      <c r="G18" s="5" t="s">
        <v>43</v>
      </c>
      <c r="H18" s="5"/>
      <c r="I18" s="13">
        <v>0</v>
      </c>
      <c r="J18" s="5" t="s">
        <v>45</v>
      </c>
      <c r="K18" s="6" t="s">
        <v>49</v>
      </c>
      <c r="M18" s="7"/>
      <c r="N18" s="40" t="s">
        <v>125</v>
      </c>
      <c r="O18" t="s">
        <v>42</v>
      </c>
      <c r="P18" s="40">
        <v>1119</v>
      </c>
      <c r="Q18" s="40">
        <v>1119</v>
      </c>
      <c r="R18" s="40" t="s">
        <v>43</v>
      </c>
      <c r="S18" t="s">
        <v>99</v>
      </c>
      <c r="T18" s="11">
        <v>0</v>
      </c>
      <c r="U18" t="s">
        <v>51</v>
      </c>
      <c r="V18" s="8" t="s">
        <v>126</v>
      </c>
      <c r="X18" s="7" t="s">
        <v>31</v>
      </c>
      <c r="Y18" t="s">
        <v>32</v>
      </c>
      <c r="Z18" t="s">
        <v>33</v>
      </c>
      <c r="AA18" t="s">
        <v>34</v>
      </c>
      <c r="AB18" t="s">
        <v>35</v>
      </c>
      <c r="AC18" t="s">
        <v>36</v>
      </c>
      <c r="AD18" t="s">
        <v>37</v>
      </c>
      <c r="AE18" s="11" t="s">
        <v>38</v>
      </c>
      <c r="AF18" t="s">
        <v>39</v>
      </c>
      <c r="AG18" s="8" t="s">
        <v>40</v>
      </c>
    </row>
    <row r="19" spans="1:33" x14ac:dyDescent="0.3">
      <c r="M19" s="7"/>
      <c r="N19" t="s">
        <v>131</v>
      </c>
      <c r="O19" t="s">
        <v>42</v>
      </c>
      <c r="P19">
        <v>0.23</v>
      </c>
      <c r="Q19">
        <v>0.23</v>
      </c>
      <c r="R19" t="s">
        <v>43</v>
      </c>
      <c r="S19" t="s">
        <v>99</v>
      </c>
      <c r="T19" s="11">
        <v>0</v>
      </c>
      <c r="U19" t="s">
        <v>45</v>
      </c>
      <c r="V19" s="8" t="s">
        <v>49</v>
      </c>
      <c r="X19" s="7"/>
      <c r="Y19" s="21" t="s">
        <v>132</v>
      </c>
      <c r="Z19" t="s">
        <v>42</v>
      </c>
      <c r="AA19" s="21">
        <v>1000</v>
      </c>
      <c r="AB19" s="21">
        <v>1000</v>
      </c>
      <c r="AC19" s="21" t="s">
        <v>43</v>
      </c>
      <c r="AD19" t="s">
        <v>44</v>
      </c>
      <c r="AE19" s="11">
        <v>0</v>
      </c>
      <c r="AF19" t="s">
        <v>51</v>
      </c>
      <c r="AG19" s="8"/>
    </row>
    <row r="20" spans="1:33" x14ac:dyDescent="0.3">
      <c r="E20" t="s">
        <v>252</v>
      </c>
      <c r="F20" s="18">
        <f>F9/4</f>
        <v>275</v>
      </c>
      <c r="G20" t="s">
        <v>255</v>
      </c>
      <c r="M20" s="7"/>
      <c r="N20" s="65" t="s">
        <v>141</v>
      </c>
      <c r="O20" t="s">
        <v>42</v>
      </c>
      <c r="P20" s="65">
        <v>185</v>
      </c>
      <c r="Q20" s="65">
        <v>185</v>
      </c>
      <c r="R20" s="65" t="s">
        <v>43</v>
      </c>
      <c r="T20" s="11">
        <v>0</v>
      </c>
      <c r="U20" t="s">
        <v>45</v>
      </c>
      <c r="V20" s="8" t="s">
        <v>142</v>
      </c>
      <c r="X20" s="7"/>
      <c r="Y20" s="40" t="s">
        <v>143</v>
      </c>
      <c r="Z20" t="s">
        <v>42</v>
      </c>
      <c r="AA20" s="40">
        <v>29.5</v>
      </c>
      <c r="AB20" s="40">
        <v>29.5</v>
      </c>
      <c r="AC20" s="40" t="s">
        <v>43</v>
      </c>
      <c r="AD20" t="s">
        <v>99</v>
      </c>
      <c r="AE20" s="11">
        <v>0</v>
      </c>
      <c r="AF20" t="s">
        <v>45</v>
      </c>
      <c r="AG20" s="8" t="s">
        <v>49</v>
      </c>
    </row>
    <row r="21" spans="1:33" x14ac:dyDescent="0.3">
      <c r="E21" t="s">
        <v>253</v>
      </c>
      <c r="F21" s="18">
        <f>F13/4</f>
        <v>250</v>
      </c>
      <c r="G21" t="s">
        <v>255</v>
      </c>
      <c r="M21" s="7"/>
      <c r="N21" t="s">
        <v>149</v>
      </c>
      <c r="O21" t="s">
        <v>42</v>
      </c>
      <c r="P21">
        <v>2442</v>
      </c>
      <c r="Q21">
        <v>2442</v>
      </c>
      <c r="R21" t="s">
        <v>43</v>
      </c>
      <c r="T21" s="11">
        <v>0</v>
      </c>
      <c r="U21" t="s">
        <v>45</v>
      </c>
      <c r="V21" s="8"/>
      <c r="X21" s="7"/>
      <c r="Y21" t="s">
        <v>118</v>
      </c>
      <c r="Z21" t="s">
        <v>42</v>
      </c>
      <c r="AA21">
        <v>7.74</v>
      </c>
      <c r="AB21">
        <v>7.74</v>
      </c>
      <c r="AC21" t="s">
        <v>43</v>
      </c>
      <c r="AD21" t="s">
        <v>99</v>
      </c>
      <c r="AE21" s="11">
        <v>0</v>
      </c>
      <c r="AF21" t="s">
        <v>45</v>
      </c>
      <c r="AG21" s="8" t="s">
        <v>49</v>
      </c>
    </row>
    <row r="22" spans="1:33" x14ac:dyDescent="0.3">
      <c r="A22" s="21" t="s">
        <v>250</v>
      </c>
      <c r="E22" t="s">
        <v>254</v>
      </c>
      <c r="F22" s="18">
        <f>F21/F20</f>
        <v>0.90909090909090906</v>
      </c>
      <c r="M22" s="7"/>
      <c r="N22" t="s">
        <v>108</v>
      </c>
      <c r="O22" t="s">
        <v>42</v>
      </c>
      <c r="P22">
        <v>0.249</v>
      </c>
      <c r="Q22">
        <v>0.249</v>
      </c>
      <c r="R22" t="s">
        <v>43</v>
      </c>
      <c r="T22" s="11">
        <v>0</v>
      </c>
      <c r="U22" t="s">
        <v>51</v>
      </c>
      <c r="V22" s="8" t="s">
        <v>49</v>
      </c>
      <c r="X22" s="7"/>
      <c r="Y22" s="40" t="s">
        <v>125</v>
      </c>
      <c r="Z22" t="s">
        <v>42</v>
      </c>
      <c r="AA22" s="40">
        <v>1834</v>
      </c>
      <c r="AB22" s="40">
        <v>1834</v>
      </c>
      <c r="AC22" s="40" t="s">
        <v>43</v>
      </c>
      <c r="AD22" t="s">
        <v>99</v>
      </c>
      <c r="AE22" s="11">
        <v>0</v>
      </c>
      <c r="AF22" t="s">
        <v>51</v>
      </c>
      <c r="AG22" s="8" t="s">
        <v>126</v>
      </c>
    </row>
    <row r="23" spans="1:33" x14ac:dyDescent="0.3">
      <c r="A23" s="22" t="s">
        <v>251</v>
      </c>
      <c r="M23" s="7"/>
      <c r="N23" t="s">
        <v>162</v>
      </c>
      <c r="O23" t="s">
        <v>42</v>
      </c>
      <c r="P23" s="14">
        <v>5.9400000000000005E-7</v>
      </c>
      <c r="Q23" s="14">
        <v>5.9400000000000005E-7</v>
      </c>
      <c r="R23" t="s">
        <v>43</v>
      </c>
      <c r="T23" s="11">
        <v>0</v>
      </c>
      <c r="U23" t="s">
        <v>45</v>
      </c>
      <c r="V23" s="8" t="s">
        <v>49</v>
      </c>
      <c r="X23" s="7"/>
      <c r="Y23" t="s">
        <v>131</v>
      </c>
      <c r="Z23" t="s">
        <v>42</v>
      </c>
      <c r="AA23" s="14">
        <v>11.3</v>
      </c>
      <c r="AB23" s="14">
        <v>11.3</v>
      </c>
      <c r="AC23" t="s">
        <v>43</v>
      </c>
      <c r="AD23" t="s">
        <v>99</v>
      </c>
      <c r="AE23" s="11">
        <v>0</v>
      </c>
      <c r="AF23" t="s">
        <v>45</v>
      </c>
      <c r="AG23" s="8" t="s">
        <v>49</v>
      </c>
    </row>
    <row r="24" spans="1:33" x14ac:dyDescent="0.3">
      <c r="A24" s="40" t="s">
        <v>277</v>
      </c>
      <c r="E24" t="s">
        <v>248</v>
      </c>
      <c r="F24" s="18">
        <f>F7+F8</f>
        <v>90.472200000000015</v>
      </c>
      <c r="G24" t="s">
        <v>48</v>
      </c>
      <c r="H24" s="43">
        <f>F24/F26</f>
        <v>0.94402950033494648</v>
      </c>
      <c r="M24" s="7"/>
      <c r="N24" t="s">
        <v>168</v>
      </c>
      <c r="O24" t="s">
        <v>42</v>
      </c>
      <c r="P24" s="14">
        <v>6.7399999999999998E-5</v>
      </c>
      <c r="Q24" s="14">
        <v>6.7399999999999998E-5</v>
      </c>
      <c r="R24" t="s">
        <v>43</v>
      </c>
      <c r="T24" s="11">
        <v>0</v>
      </c>
      <c r="U24" t="s">
        <v>45</v>
      </c>
      <c r="V24" s="8" t="s">
        <v>49</v>
      </c>
      <c r="X24" s="7"/>
      <c r="Y24" s="65" t="s">
        <v>141</v>
      </c>
      <c r="Z24" s="65" t="s">
        <v>42</v>
      </c>
      <c r="AA24" s="110">
        <v>237</v>
      </c>
      <c r="AB24" s="110">
        <v>237</v>
      </c>
      <c r="AC24" s="65" t="s">
        <v>43</v>
      </c>
      <c r="AE24" s="11">
        <v>0</v>
      </c>
      <c r="AF24" t="s">
        <v>45</v>
      </c>
      <c r="AG24" s="8" t="s">
        <v>142</v>
      </c>
    </row>
    <row r="25" spans="1:33" x14ac:dyDescent="0.3">
      <c r="A25" s="65" t="s">
        <v>416</v>
      </c>
      <c r="E25" t="s">
        <v>249</v>
      </c>
      <c r="F25" s="18">
        <f>F6</f>
        <v>5.3639999999999999</v>
      </c>
      <c r="G25" t="s">
        <v>48</v>
      </c>
      <c r="H25" s="43">
        <f>F25/F26</f>
        <v>5.5970499665053484E-2</v>
      </c>
      <c r="M25" s="7"/>
      <c r="N25" t="s">
        <v>172</v>
      </c>
      <c r="O25" t="s">
        <v>42</v>
      </c>
      <c r="P25">
        <v>0.59199999999999997</v>
      </c>
      <c r="Q25">
        <v>0.59199999999999997</v>
      </c>
      <c r="R25" t="s">
        <v>43</v>
      </c>
      <c r="T25" s="11">
        <v>0</v>
      </c>
      <c r="U25" t="s">
        <v>45</v>
      </c>
      <c r="V25" s="8" t="s">
        <v>49</v>
      </c>
      <c r="X25" s="7"/>
      <c r="Y25" t="s">
        <v>149</v>
      </c>
      <c r="Z25" t="s">
        <v>42</v>
      </c>
      <c r="AA25">
        <v>193</v>
      </c>
      <c r="AB25">
        <v>193</v>
      </c>
      <c r="AC25" t="s">
        <v>43</v>
      </c>
      <c r="AE25" s="11">
        <v>0</v>
      </c>
      <c r="AF25" t="s">
        <v>45</v>
      </c>
      <c r="AG25" s="8"/>
    </row>
    <row r="26" spans="1:33" x14ac:dyDescent="0.3">
      <c r="E26" t="s">
        <v>263</v>
      </c>
      <c r="F26" s="18">
        <f>SUM(F24:F25)</f>
        <v>95.836200000000019</v>
      </c>
      <c r="G26" s="18" t="s">
        <v>48</v>
      </c>
      <c r="M26" s="7"/>
      <c r="N26" t="s">
        <v>181</v>
      </c>
      <c r="O26" t="s">
        <v>42</v>
      </c>
      <c r="P26">
        <v>7.31</v>
      </c>
      <c r="Q26">
        <v>7.31</v>
      </c>
      <c r="R26" t="s">
        <v>43</v>
      </c>
      <c r="T26" s="11">
        <v>0</v>
      </c>
      <c r="U26" t="s">
        <v>45</v>
      </c>
      <c r="V26" s="8" t="s">
        <v>49</v>
      </c>
      <c r="X26" s="7"/>
      <c r="Y26" t="s">
        <v>108</v>
      </c>
      <c r="Z26" t="s">
        <v>42</v>
      </c>
      <c r="AA26">
        <v>0.34689999999999999</v>
      </c>
      <c r="AB26">
        <v>0.34689999999999999</v>
      </c>
      <c r="AC26" t="s">
        <v>43</v>
      </c>
      <c r="AE26" s="11">
        <v>0</v>
      </c>
      <c r="AF26" t="s">
        <v>45</v>
      </c>
      <c r="AG26" s="8" t="s">
        <v>182</v>
      </c>
    </row>
    <row r="27" spans="1:33" x14ac:dyDescent="0.3">
      <c r="G27" s="18"/>
      <c r="M27" s="7"/>
      <c r="N27" t="s">
        <v>184</v>
      </c>
      <c r="O27" t="s">
        <v>42</v>
      </c>
      <c r="P27">
        <v>4151</v>
      </c>
      <c r="Q27">
        <v>4151</v>
      </c>
      <c r="R27" t="s">
        <v>43</v>
      </c>
      <c r="T27" s="11">
        <v>0</v>
      </c>
      <c r="U27" t="s">
        <v>51</v>
      </c>
      <c r="V27" s="8"/>
      <c r="X27" s="7"/>
      <c r="Y27" t="s">
        <v>104</v>
      </c>
      <c r="Z27" t="s">
        <v>42</v>
      </c>
      <c r="AA27">
        <v>6.6400000000000001E-2</v>
      </c>
      <c r="AB27">
        <v>6.6400000000000001E-2</v>
      </c>
      <c r="AC27" t="s">
        <v>43</v>
      </c>
      <c r="AE27" s="11">
        <v>0</v>
      </c>
      <c r="AF27" t="s">
        <v>51</v>
      </c>
      <c r="AG27" s="8" t="s">
        <v>49</v>
      </c>
    </row>
    <row r="28" spans="1:33" x14ac:dyDescent="0.3">
      <c r="E28" t="s">
        <v>2</v>
      </c>
      <c r="F28" s="20">
        <f>F26/F20</f>
        <v>0.34849527272727282</v>
      </c>
      <c r="M28" s="7"/>
      <c r="N28" t="s">
        <v>190</v>
      </c>
      <c r="O28" t="s">
        <v>42</v>
      </c>
      <c r="P28">
        <v>7.6899999999999996E-2</v>
      </c>
      <c r="Q28">
        <v>7.6899999999999996E-2</v>
      </c>
      <c r="R28" t="s">
        <v>43</v>
      </c>
      <c r="T28" s="11">
        <v>0</v>
      </c>
      <c r="U28" t="s">
        <v>51</v>
      </c>
      <c r="V28" s="8" t="s">
        <v>49</v>
      </c>
      <c r="X28" s="7"/>
      <c r="Y28" t="s">
        <v>191</v>
      </c>
      <c r="Z28" t="s">
        <v>42</v>
      </c>
      <c r="AA28">
        <v>5.8700000000000002E-2</v>
      </c>
      <c r="AB28">
        <v>5.8700000000000002E-2</v>
      </c>
      <c r="AC28" t="s">
        <v>43</v>
      </c>
      <c r="AE28" s="11">
        <v>0</v>
      </c>
      <c r="AF28" t="s">
        <v>45</v>
      </c>
      <c r="AG28" s="8" t="s">
        <v>49</v>
      </c>
    </row>
    <row r="29" spans="1:33" x14ac:dyDescent="0.3">
      <c r="E29" t="s">
        <v>301</v>
      </c>
      <c r="F29" s="43">
        <f>F26/F21</f>
        <v>0.3833448000000001</v>
      </c>
      <c r="G29" t="s">
        <v>302</v>
      </c>
      <c r="M29" s="7"/>
      <c r="N29" t="s">
        <v>187</v>
      </c>
      <c r="O29" t="s">
        <v>42</v>
      </c>
      <c r="P29">
        <v>6.1199999999999997E-2</v>
      </c>
      <c r="Q29">
        <v>6.1199999999999997E-2</v>
      </c>
      <c r="R29" t="s">
        <v>43</v>
      </c>
      <c r="T29" s="11">
        <v>0</v>
      </c>
      <c r="U29" t="s">
        <v>51</v>
      </c>
      <c r="V29" s="8" t="s">
        <v>49</v>
      </c>
      <c r="X29" s="7"/>
      <c r="Y29" t="s">
        <v>168</v>
      </c>
      <c r="Z29" t="s">
        <v>42</v>
      </c>
      <c r="AA29">
        <v>1.1900000000000001E-4</v>
      </c>
      <c r="AB29">
        <v>1.1900000000000001E-4</v>
      </c>
      <c r="AC29" t="s">
        <v>43</v>
      </c>
      <c r="AE29" s="11">
        <v>0</v>
      </c>
      <c r="AF29" t="s">
        <v>45</v>
      </c>
      <c r="AG29" s="8" t="s">
        <v>49</v>
      </c>
    </row>
    <row r="30" spans="1:33" ht="15" thickBot="1" x14ac:dyDescent="0.35">
      <c r="M30" s="4"/>
      <c r="N30" s="5" t="s">
        <v>124</v>
      </c>
      <c r="O30" s="5" t="s">
        <v>42</v>
      </c>
      <c r="P30" s="5">
        <v>4174.88</v>
      </c>
      <c r="Q30" s="5">
        <v>4174.88</v>
      </c>
      <c r="R30" s="5" t="s">
        <v>43</v>
      </c>
      <c r="S30" s="5"/>
      <c r="T30" s="13">
        <v>0</v>
      </c>
      <c r="U30" s="5" t="s">
        <v>45</v>
      </c>
      <c r="V30" s="6"/>
      <c r="X30" s="7"/>
      <c r="Y30" t="s">
        <v>162</v>
      </c>
      <c r="Z30" t="s">
        <v>42</v>
      </c>
      <c r="AA30" s="14">
        <v>4.6699999999999999E-7</v>
      </c>
      <c r="AB30" s="14">
        <v>4.6699999999999999E-7</v>
      </c>
      <c r="AC30" t="s">
        <v>43</v>
      </c>
      <c r="AE30" s="11">
        <v>0</v>
      </c>
      <c r="AF30" t="s">
        <v>45</v>
      </c>
      <c r="AG30" s="8" t="s">
        <v>49</v>
      </c>
    </row>
    <row r="31" spans="1:33" x14ac:dyDescent="0.3">
      <c r="X31" s="7"/>
      <c r="Y31" t="s">
        <v>172</v>
      </c>
      <c r="Z31" t="s">
        <v>42</v>
      </c>
      <c r="AA31">
        <v>0.61199999999999999</v>
      </c>
      <c r="AB31">
        <v>0.61199999999999999</v>
      </c>
      <c r="AC31" t="s">
        <v>43</v>
      </c>
      <c r="AE31" s="11">
        <v>0</v>
      </c>
      <c r="AF31" t="s">
        <v>45</v>
      </c>
      <c r="AG31" s="8" t="s">
        <v>49</v>
      </c>
    </row>
    <row r="32" spans="1:33" x14ac:dyDescent="0.3">
      <c r="X32" s="7"/>
      <c r="Y32" t="s">
        <v>181</v>
      </c>
      <c r="Z32" t="s">
        <v>42</v>
      </c>
      <c r="AA32">
        <v>1.68</v>
      </c>
      <c r="AB32">
        <v>1.68</v>
      </c>
      <c r="AC32" t="s">
        <v>43</v>
      </c>
      <c r="AE32" s="11">
        <v>0</v>
      </c>
      <c r="AF32" t="s">
        <v>45</v>
      </c>
      <c r="AG32" s="8" t="s">
        <v>49</v>
      </c>
    </row>
    <row r="33" spans="16:33" x14ac:dyDescent="0.3">
      <c r="P33" t="s">
        <v>252</v>
      </c>
      <c r="Q33" s="18">
        <f>Q6/4</f>
        <v>558.5</v>
      </c>
      <c r="R33" t="s">
        <v>255</v>
      </c>
      <c r="X33" s="7"/>
      <c r="Y33" t="s">
        <v>184</v>
      </c>
      <c r="Z33" t="s">
        <v>42</v>
      </c>
      <c r="AA33">
        <v>1873</v>
      </c>
      <c r="AB33">
        <v>1873</v>
      </c>
      <c r="AC33" t="s">
        <v>43</v>
      </c>
      <c r="AE33" s="11">
        <v>0</v>
      </c>
      <c r="AF33" t="s">
        <v>51</v>
      </c>
      <c r="AG33" s="8"/>
    </row>
    <row r="34" spans="16:33" x14ac:dyDescent="0.3">
      <c r="P34" t="s">
        <v>253</v>
      </c>
      <c r="Q34" s="18">
        <f>Q16/102*54</f>
        <v>529.41176470588243</v>
      </c>
      <c r="R34" t="s">
        <v>255</v>
      </c>
      <c r="X34" s="7"/>
      <c r="Y34" t="s">
        <v>190</v>
      </c>
      <c r="Z34" t="s">
        <v>42</v>
      </c>
      <c r="AA34">
        <v>4.1300000000000003E-2</v>
      </c>
      <c r="AB34">
        <v>4.1300000000000003E-2</v>
      </c>
      <c r="AC34" t="s">
        <v>43</v>
      </c>
      <c r="AE34" s="11">
        <v>0</v>
      </c>
      <c r="AF34" t="s">
        <v>51</v>
      </c>
      <c r="AG34" s="8" t="s">
        <v>49</v>
      </c>
    </row>
    <row r="35" spans="16:33" x14ac:dyDescent="0.3">
      <c r="P35" t="s">
        <v>254</v>
      </c>
      <c r="Q35" s="20">
        <f>Q34/Q33</f>
        <v>0.94791721522987005</v>
      </c>
      <c r="X35" s="7"/>
      <c r="Y35" t="s">
        <v>187</v>
      </c>
      <c r="Z35" t="s">
        <v>42</v>
      </c>
      <c r="AA35" s="14">
        <v>1.1399999999999999</v>
      </c>
      <c r="AB35" s="14">
        <v>1.1399999999999999</v>
      </c>
      <c r="AC35" t="s">
        <v>43</v>
      </c>
      <c r="AE35" s="11">
        <v>0</v>
      </c>
      <c r="AF35" t="s">
        <v>51</v>
      </c>
      <c r="AG35" s="8" t="s">
        <v>49</v>
      </c>
    </row>
    <row r="36" spans="16:33" ht="15" thickBot="1" x14ac:dyDescent="0.35">
      <c r="X36" s="4"/>
      <c r="Y36" s="5" t="s">
        <v>124</v>
      </c>
      <c r="Z36" s="5" t="s">
        <v>42</v>
      </c>
      <c r="AA36" s="5">
        <v>636</v>
      </c>
      <c r="AB36" s="5">
        <v>636</v>
      </c>
      <c r="AC36" s="5" t="s">
        <v>43</v>
      </c>
      <c r="AD36" s="5"/>
      <c r="AE36" s="13">
        <v>0</v>
      </c>
      <c r="AF36" s="5" t="s">
        <v>45</v>
      </c>
      <c r="AG36" s="6"/>
    </row>
    <row r="37" spans="16:33" x14ac:dyDescent="0.3">
      <c r="P37" t="s">
        <v>248</v>
      </c>
      <c r="Q37" s="18">
        <f>Q10</f>
        <v>8562.4643213702602</v>
      </c>
      <c r="R37" t="s">
        <v>48</v>
      </c>
      <c r="S37" s="43">
        <f>Q37/Q39</f>
        <v>0.96962855904838829</v>
      </c>
    </row>
    <row r="38" spans="16:33" x14ac:dyDescent="0.3">
      <c r="P38" t="s">
        <v>249</v>
      </c>
      <c r="Q38" s="18">
        <f>Q7</f>
        <v>268.2</v>
      </c>
      <c r="R38" t="s">
        <v>48</v>
      </c>
      <c r="S38" s="43">
        <f>Q38/Q39</f>
        <v>3.0371440951611577E-2</v>
      </c>
    </row>
    <row r="39" spans="16:33" x14ac:dyDescent="0.3">
      <c r="P39" t="s">
        <v>263</v>
      </c>
      <c r="Q39" s="18">
        <f>SUM(Q37:Q38)</f>
        <v>8830.664321370261</v>
      </c>
      <c r="R39" s="18" t="s">
        <v>48</v>
      </c>
      <c r="AA39" t="s">
        <v>252</v>
      </c>
      <c r="AB39" s="18">
        <f>AB6/4</f>
        <v>711.75</v>
      </c>
      <c r="AC39" t="s">
        <v>255</v>
      </c>
    </row>
    <row r="40" spans="16:33" x14ac:dyDescent="0.3">
      <c r="R40" s="18"/>
      <c r="AA40" t="s">
        <v>253</v>
      </c>
      <c r="AB40" s="18">
        <f>AB19/102*54</f>
        <v>529.41176470588243</v>
      </c>
      <c r="AC40" t="s">
        <v>255</v>
      </c>
    </row>
    <row r="41" spans="16:33" x14ac:dyDescent="0.3">
      <c r="P41" t="s">
        <v>2</v>
      </c>
      <c r="Q41" s="44">
        <f>Q39/Q33</f>
        <v>15.811395382936904</v>
      </c>
      <c r="AA41" t="s">
        <v>254</v>
      </c>
      <c r="AB41" s="18">
        <f>AB40/AB39</f>
        <v>0.74381702101283098</v>
      </c>
    </row>
    <row r="42" spans="16:33" x14ac:dyDescent="0.3">
      <c r="P42" t="s">
        <v>301</v>
      </c>
      <c r="Q42" s="18">
        <f>Q39/Q34</f>
        <v>16.680143718143825</v>
      </c>
    </row>
    <row r="43" spans="16:33" x14ac:dyDescent="0.3">
      <c r="P43" t="s">
        <v>463</v>
      </c>
      <c r="Q43" s="43">
        <f>P20/Q33</f>
        <v>0.33124440465532679</v>
      </c>
      <c r="AA43" t="s">
        <v>248</v>
      </c>
      <c r="AB43" s="18">
        <f>SUM(AB10:AB13)</f>
        <v>11551.967631607858</v>
      </c>
      <c r="AC43" t="s">
        <v>48</v>
      </c>
      <c r="AD43" s="43">
        <f>AB43/AB45</f>
        <v>0.93638528150686129</v>
      </c>
    </row>
    <row r="44" spans="16:33" x14ac:dyDescent="0.3">
      <c r="AA44" t="s">
        <v>249</v>
      </c>
      <c r="AB44" s="18">
        <f>AB7</f>
        <v>784.79999999999905</v>
      </c>
      <c r="AC44" t="s">
        <v>48</v>
      </c>
      <c r="AD44" s="43">
        <f>AB44/AB45</f>
        <v>6.3614718493138683E-2</v>
      </c>
    </row>
    <row r="45" spans="16:33" x14ac:dyDescent="0.3">
      <c r="AA45" t="s">
        <v>263</v>
      </c>
      <c r="AB45" s="18">
        <f>SUM(AB43:AB44)</f>
        <v>12336.767631607858</v>
      </c>
      <c r="AC45" s="18" t="s">
        <v>48</v>
      </c>
    </row>
    <row r="46" spans="16:33" x14ac:dyDescent="0.3">
      <c r="AC46" s="18"/>
    </row>
    <row r="47" spans="16:33" x14ac:dyDescent="0.3">
      <c r="AA47" t="s">
        <v>2</v>
      </c>
      <c r="AB47" s="18">
        <f>AB45/AB39</f>
        <v>17.333006858599028</v>
      </c>
    </row>
    <row r="48" spans="16:33" x14ac:dyDescent="0.3">
      <c r="AA48" t="s">
        <v>301</v>
      </c>
      <c r="AB48" s="44">
        <f>AB45/AB40</f>
        <v>23.302783304148171</v>
      </c>
      <c r="AC48" t="s">
        <v>303</v>
      </c>
    </row>
    <row r="49" spans="27:28" x14ac:dyDescent="0.3">
      <c r="AB49" s="18"/>
    </row>
    <row r="52" spans="27:28" x14ac:dyDescent="0.3">
      <c r="AA52">
        <f>AB48/Q42</f>
        <v>1.3970373216149554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98E2-807E-C548-8A41-8374237E4545}">
  <dimension ref="A1:V63"/>
  <sheetViews>
    <sheetView topLeftCell="A7" zoomScale="130" zoomScaleNormal="130" workbookViewId="0">
      <selection activeCell="C54" sqref="C54"/>
    </sheetView>
  </sheetViews>
  <sheetFormatPr defaultColWidth="11.44140625" defaultRowHeight="14.4" x14ac:dyDescent="0.3"/>
  <cols>
    <col min="1" max="1" width="30.44140625" customWidth="1"/>
    <col min="3" max="3" width="52.109375" customWidth="1"/>
    <col min="8" max="8" width="20.109375" customWidth="1"/>
    <col min="10" max="10" width="13.33203125" customWidth="1"/>
    <col min="14" max="14" width="51.44140625" customWidth="1"/>
    <col min="16" max="16" width="16.33203125" customWidth="1"/>
  </cols>
  <sheetData>
    <row r="1" spans="1:22" x14ac:dyDescent="0.3">
      <c r="A1" s="9" t="s">
        <v>0</v>
      </c>
      <c r="B1" s="1" t="s">
        <v>1</v>
      </c>
      <c r="C1" s="2"/>
      <c r="D1" s="2" t="s">
        <v>281</v>
      </c>
      <c r="E1" s="2"/>
      <c r="F1" s="2"/>
      <c r="G1" s="2"/>
      <c r="H1" s="2"/>
      <c r="I1" s="2"/>
      <c r="J1" s="2"/>
      <c r="K1" s="3"/>
      <c r="M1" s="1" t="s">
        <v>6</v>
      </c>
      <c r="N1" s="2"/>
      <c r="O1" s="2"/>
      <c r="P1" s="2"/>
      <c r="Q1" s="2"/>
      <c r="R1" s="2"/>
      <c r="S1" s="2"/>
      <c r="T1" s="2"/>
      <c r="U1" s="2"/>
      <c r="V1" s="3"/>
    </row>
    <row r="2" spans="1:22" x14ac:dyDescent="0.3">
      <c r="A2" s="9" t="s">
        <v>16</v>
      </c>
      <c r="B2" s="7" t="s">
        <v>20</v>
      </c>
      <c r="K2" s="8"/>
      <c r="M2" s="7" t="s">
        <v>19</v>
      </c>
      <c r="V2" s="8"/>
    </row>
    <row r="3" spans="1:22" x14ac:dyDescent="0.3">
      <c r="A3" s="10" t="s">
        <v>300</v>
      </c>
      <c r="B3" s="7">
        <v>1</v>
      </c>
      <c r="K3" s="8"/>
      <c r="M3" s="7">
        <v>1</v>
      </c>
      <c r="V3" s="8"/>
    </row>
    <row r="4" spans="1:22" x14ac:dyDescent="0.3">
      <c r="B4" s="7" t="s">
        <v>30</v>
      </c>
      <c r="K4" s="8"/>
      <c r="M4" s="7" t="s">
        <v>30</v>
      </c>
      <c r="V4" s="8"/>
    </row>
    <row r="5" spans="1:22" x14ac:dyDescent="0.3">
      <c r="B5" s="7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s="11" t="s">
        <v>37</v>
      </c>
      <c r="I5" t="s">
        <v>38</v>
      </c>
      <c r="J5" t="s">
        <v>39</v>
      </c>
      <c r="K5" s="8" t="s">
        <v>40</v>
      </c>
      <c r="M5" s="7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s="8" t="s">
        <v>40</v>
      </c>
    </row>
    <row r="6" spans="1:22" x14ac:dyDescent="0.3">
      <c r="B6" s="7"/>
      <c r="C6" t="s">
        <v>53</v>
      </c>
      <c r="D6" t="s">
        <v>42</v>
      </c>
      <c r="E6">
        <v>16.8</v>
      </c>
      <c r="F6">
        <v>16.8</v>
      </c>
      <c r="G6" t="s">
        <v>43</v>
      </c>
      <c r="H6" s="11" t="s">
        <v>44</v>
      </c>
      <c r="I6" s="11">
        <v>0</v>
      </c>
      <c r="J6" t="s">
        <v>51</v>
      </c>
      <c r="K6" s="8" t="s">
        <v>49</v>
      </c>
      <c r="M6" s="7"/>
      <c r="N6" s="21" t="s">
        <v>52</v>
      </c>
      <c r="O6" t="s">
        <v>42</v>
      </c>
      <c r="P6" s="21">
        <v>654</v>
      </c>
      <c r="Q6" s="21">
        <v>654</v>
      </c>
      <c r="R6" s="21" t="s">
        <v>43</v>
      </c>
      <c r="S6" t="s">
        <v>44</v>
      </c>
      <c r="T6" s="11">
        <v>0</v>
      </c>
      <c r="U6" t="s">
        <v>51</v>
      </c>
      <c r="V6" s="8" t="s">
        <v>49</v>
      </c>
    </row>
    <row r="7" spans="1:22" x14ac:dyDescent="0.3">
      <c r="B7" s="7"/>
      <c r="C7" s="21" t="s">
        <v>62</v>
      </c>
      <c r="D7" t="s">
        <v>42</v>
      </c>
      <c r="E7" s="21">
        <v>1917</v>
      </c>
      <c r="F7" s="21">
        <v>1917</v>
      </c>
      <c r="G7" s="21" t="s">
        <v>43</v>
      </c>
      <c r="H7" s="11" t="s">
        <v>44</v>
      </c>
      <c r="I7" s="11">
        <v>0</v>
      </c>
      <c r="J7" t="s">
        <v>51</v>
      </c>
      <c r="K7" s="8" t="s">
        <v>49</v>
      </c>
      <c r="M7" s="7"/>
      <c r="N7" s="22" t="s">
        <v>46</v>
      </c>
      <c r="O7" t="s">
        <v>47</v>
      </c>
      <c r="P7" s="22">
        <v>892.79999999999905</v>
      </c>
      <c r="Q7" s="22">
        <v>892.79999999999905</v>
      </c>
      <c r="R7" s="22" t="s">
        <v>48</v>
      </c>
      <c r="S7" t="s">
        <v>44</v>
      </c>
      <c r="T7" s="11">
        <v>0</v>
      </c>
      <c r="U7" t="s">
        <v>61</v>
      </c>
      <c r="V7" s="8" t="s">
        <v>49</v>
      </c>
    </row>
    <row r="8" spans="1:22" x14ac:dyDescent="0.3">
      <c r="B8" s="7"/>
      <c r="C8" t="s">
        <v>70</v>
      </c>
      <c r="D8" t="s">
        <v>42</v>
      </c>
      <c r="E8">
        <v>420</v>
      </c>
      <c r="F8">
        <v>420</v>
      </c>
      <c r="G8" t="s">
        <v>43</v>
      </c>
      <c r="H8" s="11" t="s">
        <v>44</v>
      </c>
      <c r="I8" s="11">
        <v>0</v>
      </c>
      <c r="J8" t="s">
        <v>45</v>
      </c>
      <c r="K8" s="8" t="s">
        <v>71</v>
      </c>
      <c r="M8" s="7"/>
      <c r="N8" s="21" t="s">
        <v>69</v>
      </c>
      <c r="O8" t="s">
        <v>42</v>
      </c>
      <c r="P8" s="21">
        <v>153</v>
      </c>
      <c r="Q8" s="21">
        <v>153</v>
      </c>
      <c r="R8" s="21" t="s">
        <v>43</v>
      </c>
      <c r="S8" t="s">
        <v>44</v>
      </c>
      <c r="T8" s="11">
        <v>0</v>
      </c>
      <c r="U8" t="s">
        <v>61</v>
      </c>
      <c r="V8" s="8" t="s">
        <v>49</v>
      </c>
    </row>
    <row r="9" spans="1:22" x14ac:dyDescent="0.3">
      <c r="B9" s="7"/>
      <c r="C9" t="s">
        <v>81</v>
      </c>
      <c r="D9" t="s">
        <v>42</v>
      </c>
      <c r="E9">
        <v>6</v>
      </c>
      <c r="F9">
        <v>6</v>
      </c>
      <c r="G9" t="s">
        <v>43</v>
      </c>
      <c r="H9" s="11" t="s">
        <v>44</v>
      </c>
      <c r="I9" s="11">
        <v>0</v>
      </c>
      <c r="J9" t="s">
        <v>51</v>
      </c>
      <c r="K9" s="8" t="s">
        <v>49</v>
      </c>
      <c r="M9" s="7"/>
      <c r="N9" t="s">
        <v>80</v>
      </c>
      <c r="O9" t="s">
        <v>42</v>
      </c>
      <c r="P9">
        <v>4.26</v>
      </c>
      <c r="Q9">
        <v>4.26</v>
      </c>
      <c r="R9" t="s">
        <v>43</v>
      </c>
      <c r="S9" t="s">
        <v>44</v>
      </c>
      <c r="T9" s="11">
        <v>0</v>
      </c>
      <c r="U9" t="s">
        <v>45</v>
      </c>
      <c r="V9" s="8" t="s">
        <v>49</v>
      </c>
    </row>
    <row r="10" spans="1:22" x14ac:dyDescent="0.3">
      <c r="B10" s="7"/>
      <c r="C10" s="22" t="s">
        <v>46</v>
      </c>
      <c r="D10" t="s">
        <v>47</v>
      </c>
      <c r="E10" s="22">
        <v>54648</v>
      </c>
      <c r="F10" s="22">
        <v>54648</v>
      </c>
      <c r="G10" s="22" t="s">
        <v>48</v>
      </c>
      <c r="H10" s="11" t="s">
        <v>44</v>
      </c>
      <c r="I10" s="11">
        <v>0</v>
      </c>
      <c r="J10" t="s">
        <v>51</v>
      </c>
      <c r="K10" s="8" t="s">
        <v>49</v>
      </c>
      <c r="M10" s="7"/>
      <c r="N10" s="22" t="s">
        <v>59</v>
      </c>
      <c r="O10" t="s">
        <v>47</v>
      </c>
      <c r="P10" s="22">
        <v>687.48</v>
      </c>
      <c r="Q10" s="22">
        <v>687.48</v>
      </c>
      <c r="R10" s="22" t="s">
        <v>48</v>
      </c>
      <c r="S10" t="s">
        <v>44</v>
      </c>
      <c r="T10" s="11">
        <v>0</v>
      </c>
      <c r="U10" t="s">
        <v>61</v>
      </c>
      <c r="V10" s="8" t="s">
        <v>49</v>
      </c>
    </row>
    <row r="11" spans="1:22" x14ac:dyDescent="0.3">
      <c r="B11" s="7"/>
      <c r="C11" t="s">
        <v>80</v>
      </c>
      <c r="D11" t="s">
        <v>42</v>
      </c>
      <c r="E11">
        <v>6.6609999999999996</v>
      </c>
      <c r="F11">
        <v>6.6609999999999996</v>
      </c>
      <c r="G11" t="s">
        <v>43</v>
      </c>
      <c r="H11" s="11" t="s">
        <v>44</v>
      </c>
      <c r="I11" s="11">
        <v>0</v>
      </c>
      <c r="J11" t="s">
        <v>45</v>
      </c>
      <c r="K11" s="8" t="s">
        <v>49</v>
      </c>
      <c r="M11" s="7"/>
      <c r="N11" s="22" t="s">
        <v>66</v>
      </c>
      <c r="O11" t="s">
        <v>47</v>
      </c>
      <c r="P11" s="22">
        <v>21.86664</v>
      </c>
      <c r="Q11" s="22">
        <v>21.86664</v>
      </c>
      <c r="R11" s="22" t="s">
        <v>48</v>
      </c>
      <c r="S11" t="s">
        <v>44</v>
      </c>
      <c r="T11" s="11">
        <v>0</v>
      </c>
      <c r="U11" t="s">
        <v>45</v>
      </c>
      <c r="V11" s="8" t="s">
        <v>90</v>
      </c>
    </row>
    <row r="12" spans="1:22" x14ac:dyDescent="0.3">
      <c r="B12" s="7"/>
      <c r="C12" t="s">
        <v>97</v>
      </c>
      <c r="D12" t="s">
        <v>42</v>
      </c>
      <c r="E12">
        <v>6.19</v>
      </c>
      <c r="F12">
        <v>6.19</v>
      </c>
      <c r="G12" t="s">
        <v>43</v>
      </c>
      <c r="H12" s="11" t="s">
        <v>44</v>
      </c>
      <c r="I12" s="11">
        <v>0</v>
      </c>
      <c r="J12" t="s">
        <v>45</v>
      </c>
      <c r="K12" s="8" t="s">
        <v>49</v>
      </c>
      <c r="M12" s="7"/>
      <c r="N12" s="22" t="s">
        <v>86</v>
      </c>
      <c r="O12" t="s">
        <v>47</v>
      </c>
      <c r="P12" s="22">
        <v>1633.0829129065</v>
      </c>
      <c r="Q12" s="22">
        <v>1633.0829129065</v>
      </c>
      <c r="R12" s="22" t="s">
        <v>48</v>
      </c>
      <c r="S12" t="s">
        <v>44</v>
      </c>
      <c r="T12" s="11">
        <v>0</v>
      </c>
      <c r="U12" t="s">
        <v>61</v>
      </c>
      <c r="V12" s="8" t="s">
        <v>49</v>
      </c>
    </row>
    <row r="13" spans="1:22" x14ac:dyDescent="0.3">
      <c r="B13" s="7"/>
      <c r="C13" t="s">
        <v>85</v>
      </c>
      <c r="D13" t="s">
        <v>42</v>
      </c>
      <c r="E13">
        <v>9120</v>
      </c>
      <c r="F13">
        <v>9120</v>
      </c>
      <c r="G13" t="s">
        <v>43</v>
      </c>
      <c r="H13" s="11"/>
      <c r="I13" s="11">
        <v>0</v>
      </c>
      <c r="J13" t="s">
        <v>45</v>
      </c>
      <c r="K13" s="8" t="s">
        <v>49</v>
      </c>
      <c r="M13" s="7"/>
      <c r="N13" s="21" t="s">
        <v>101</v>
      </c>
      <c r="O13" t="s">
        <v>42</v>
      </c>
      <c r="P13" s="21">
        <v>353</v>
      </c>
      <c r="Q13" s="21">
        <v>353</v>
      </c>
      <c r="R13" s="21" t="s">
        <v>43</v>
      </c>
      <c r="S13" t="s">
        <v>99</v>
      </c>
      <c r="T13" s="11">
        <v>0</v>
      </c>
      <c r="U13" t="s">
        <v>45</v>
      </c>
      <c r="V13" s="8"/>
    </row>
    <row r="14" spans="1:22" x14ac:dyDescent="0.3">
      <c r="B14" s="7"/>
      <c r="C14" t="s">
        <v>95</v>
      </c>
      <c r="D14" t="s">
        <v>42</v>
      </c>
      <c r="E14">
        <v>3380</v>
      </c>
      <c r="F14">
        <v>3380</v>
      </c>
      <c r="G14" t="s">
        <v>43</v>
      </c>
      <c r="H14" s="11"/>
      <c r="I14" s="11">
        <v>0</v>
      </c>
      <c r="J14" t="s">
        <v>45</v>
      </c>
      <c r="K14" s="8"/>
      <c r="M14" s="7"/>
      <c r="N14" t="s">
        <v>85</v>
      </c>
      <c r="O14" t="s">
        <v>42</v>
      </c>
      <c r="P14">
        <v>4516</v>
      </c>
      <c r="Q14">
        <v>4516</v>
      </c>
      <c r="R14" t="s">
        <v>43</v>
      </c>
      <c r="T14" s="11">
        <v>0</v>
      </c>
      <c r="U14" t="s">
        <v>61</v>
      </c>
      <c r="V14" s="8" t="s">
        <v>106</v>
      </c>
    </row>
    <row r="15" spans="1:22" x14ac:dyDescent="0.3">
      <c r="B15" s="7" t="s">
        <v>84</v>
      </c>
      <c r="H15" s="11"/>
      <c r="K15" s="8"/>
      <c r="M15" s="7"/>
      <c r="N15" t="s">
        <v>95</v>
      </c>
      <c r="O15" t="s">
        <v>42</v>
      </c>
      <c r="P15">
        <v>1183</v>
      </c>
      <c r="Q15">
        <v>1183</v>
      </c>
      <c r="R15" t="s">
        <v>43</v>
      </c>
      <c r="T15" s="11">
        <v>0</v>
      </c>
      <c r="U15" t="s">
        <v>45</v>
      </c>
      <c r="V15" s="8"/>
    </row>
    <row r="16" spans="1:22" x14ac:dyDescent="0.3">
      <c r="B16" s="7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s="11" t="s">
        <v>37</v>
      </c>
      <c r="I16" t="s">
        <v>38</v>
      </c>
      <c r="J16" t="s">
        <v>39</v>
      </c>
      <c r="K16" s="8" t="s">
        <v>40</v>
      </c>
      <c r="M16" s="7" t="s">
        <v>84</v>
      </c>
      <c r="V16" s="8"/>
    </row>
    <row r="17" spans="1:22" x14ac:dyDescent="0.3">
      <c r="B17" s="7"/>
      <c r="C17" s="22" t="s">
        <v>119</v>
      </c>
      <c r="D17" t="s">
        <v>42</v>
      </c>
      <c r="E17" s="22">
        <v>1000</v>
      </c>
      <c r="F17" s="22">
        <v>1000</v>
      </c>
      <c r="G17" s="22" t="s">
        <v>43</v>
      </c>
      <c r="H17" s="11" t="s">
        <v>44</v>
      </c>
      <c r="I17" s="11">
        <v>0</v>
      </c>
      <c r="J17" t="s">
        <v>51</v>
      </c>
      <c r="K17" s="8" t="s">
        <v>49</v>
      </c>
      <c r="M17" s="7" t="s">
        <v>31</v>
      </c>
      <c r="N17" t="s">
        <v>32</v>
      </c>
      <c r="O17" t="s">
        <v>33</v>
      </c>
      <c r="P17" t="s">
        <v>34</v>
      </c>
      <c r="Q17" t="s">
        <v>35</v>
      </c>
      <c r="R17" t="s">
        <v>36</v>
      </c>
      <c r="S17" t="s">
        <v>37</v>
      </c>
      <c r="T17" t="s">
        <v>38</v>
      </c>
      <c r="U17" t="s">
        <v>39</v>
      </c>
      <c r="V17" s="8" t="s">
        <v>40</v>
      </c>
    </row>
    <row r="18" spans="1:22" x14ac:dyDescent="0.3">
      <c r="B18" s="7"/>
      <c r="C18" s="40" t="s">
        <v>127</v>
      </c>
      <c r="D18" t="s">
        <v>42</v>
      </c>
      <c r="E18" s="40">
        <v>8.9600000000000009</v>
      </c>
      <c r="F18" s="40">
        <v>8.9600000000000009</v>
      </c>
      <c r="G18" s="40" t="s">
        <v>43</v>
      </c>
      <c r="H18" s="11" t="s">
        <v>99</v>
      </c>
      <c r="I18" s="11">
        <v>0</v>
      </c>
      <c r="J18" t="s">
        <v>45</v>
      </c>
      <c r="K18" s="8" t="s">
        <v>128</v>
      </c>
      <c r="M18" s="7"/>
      <c r="N18" s="21" t="s">
        <v>70</v>
      </c>
      <c r="O18" t="s">
        <v>42</v>
      </c>
      <c r="P18" s="21">
        <v>1000</v>
      </c>
      <c r="Q18" s="21">
        <v>1000</v>
      </c>
      <c r="R18" s="21" t="s">
        <v>43</v>
      </c>
      <c r="S18" t="s">
        <v>44</v>
      </c>
      <c r="T18" s="11">
        <v>0</v>
      </c>
      <c r="U18" t="s">
        <v>61</v>
      </c>
      <c r="V18" s="8"/>
    </row>
    <row r="19" spans="1:22" x14ac:dyDescent="0.3">
      <c r="B19" s="7"/>
      <c r="C19" t="s">
        <v>135</v>
      </c>
      <c r="D19" t="s">
        <v>42</v>
      </c>
      <c r="E19">
        <v>5.8</v>
      </c>
      <c r="F19">
        <v>5.8</v>
      </c>
      <c r="G19" t="s">
        <v>43</v>
      </c>
      <c r="H19" s="11" t="s">
        <v>99</v>
      </c>
      <c r="I19" s="11">
        <v>0</v>
      </c>
      <c r="J19" t="s">
        <v>51</v>
      </c>
      <c r="K19" s="8" t="s">
        <v>136</v>
      </c>
      <c r="M19" s="7"/>
      <c r="N19" t="s">
        <v>133</v>
      </c>
      <c r="O19" t="s">
        <v>42</v>
      </c>
      <c r="P19">
        <v>14.515000000000001</v>
      </c>
      <c r="Q19">
        <v>14.515000000000001</v>
      </c>
      <c r="R19" t="s">
        <v>43</v>
      </c>
      <c r="S19" t="s">
        <v>99</v>
      </c>
      <c r="T19" s="11">
        <v>0</v>
      </c>
      <c r="U19" t="s">
        <v>61</v>
      </c>
      <c r="V19" s="8" t="s">
        <v>134</v>
      </c>
    </row>
    <row r="20" spans="1:22" x14ac:dyDescent="0.3">
      <c r="B20" s="7"/>
      <c r="C20" t="s">
        <v>144</v>
      </c>
      <c r="D20" t="s">
        <v>42</v>
      </c>
      <c r="E20">
        <v>9.8000000000000007</v>
      </c>
      <c r="F20">
        <v>9.8000000000000007</v>
      </c>
      <c r="G20" t="s">
        <v>43</v>
      </c>
      <c r="H20" s="11" t="s">
        <v>99</v>
      </c>
      <c r="I20" s="11">
        <v>0</v>
      </c>
      <c r="J20" t="s">
        <v>45</v>
      </c>
      <c r="K20" s="8" t="s">
        <v>145</v>
      </c>
      <c r="M20" s="7"/>
      <c r="N20" t="s">
        <v>118</v>
      </c>
      <c r="O20" t="s">
        <v>42</v>
      </c>
      <c r="P20">
        <v>3.84</v>
      </c>
      <c r="Q20">
        <v>3.84</v>
      </c>
      <c r="R20" t="s">
        <v>43</v>
      </c>
      <c r="S20" t="s">
        <v>99</v>
      </c>
      <c r="T20" s="11">
        <v>0</v>
      </c>
      <c r="U20" t="s">
        <v>45</v>
      </c>
      <c r="V20" s="8" t="s">
        <v>49</v>
      </c>
    </row>
    <row r="21" spans="1:22" x14ac:dyDescent="0.3">
      <c r="B21" s="7"/>
      <c r="C21" t="s">
        <v>151</v>
      </c>
      <c r="D21" t="s">
        <v>42</v>
      </c>
      <c r="E21">
        <v>6.2</v>
      </c>
      <c r="F21">
        <v>6.2</v>
      </c>
      <c r="G21" t="s">
        <v>43</v>
      </c>
      <c r="H21" s="11" t="s">
        <v>99</v>
      </c>
      <c r="I21" s="11">
        <v>0</v>
      </c>
      <c r="J21" t="s">
        <v>45</v>
      </c>
      <c r="K21" s="8" t="s">
        <v>152</v>
      </c>
      <c r="M21" s="7"/>
      <c r="N21" t="s">
        <v>150</v>
      </c>
      <c r="O21" t="s">
        <v>42</v>
      </c>
      <c r="P21">
        <v>19.96</v>
      </c>
      <c r="Q21">
        <v>19.96</v>
      </c>
      <c r="R21" t="s">
        <v>43</v>
      </c>
      <c r="S21" t="s">
        <v>99</v>
      </c>
      <c r="T21" s="11">
        <v>0</v>
      </c>
      <c r="U21" t="s">
        <v>45</v>
      </c>
      <c r="V21" s="8" t="s">
        <v>49</v>
      </c>
    </row>
    <row r="22" spans="1:22" x14ac:dyDescent="0.3">
      <c r="A22" s="21" t="s">
        <v>250</v>
      </c>
      <c r="B22" s="7"/>
      <c r="C22" t="s">
        <v>157</v>
      </c>
      <c r="D22" s="14" t="s">
        <v>42</v>
      </c>
      <c r="E22" s="14">
        <v>10.3</v>
      </c>
      <c r="F22">
        <v>10.3</v>
      </c>
      <c r="G22" t="s">
        <v>43</v>
      </c>
      <c r="H22" s="11" t="s">
        <v>99</v>
      </c>
      <c r="I22" s="11">
        <v>0</v>
      </c>
      <c r="J22" t="s">
        <v>51</v>
      </c>
      <c r="K22" s="8" t="s">
        <v>49</v>
      </c>
      <c r="M22" s="7"/>
      <c r="N22" t="s">
        <v>144</v>
      </c>
      <c r="O22" t="s">
        <v>42</v>
      </c>
      <c r="P22">
        <v>4.45</v>
      </c>
      <c r="Q22">
        <v>4.45</v>
      </c>
      <c r="R22" t="s">
        <v>43</v>
      </c>
      <c r="S22" t="s">
        <v>99</v>
      </c>
      <c r="T22" s="11">
        <v>0</v>
      </c>
      <c r="U22" t="s">
        <v>45</v>
      </c>
      <c r="V22" s="8" t="s">
        <v>49</v>
      </c>
    </row>
    <row r="23" spans="1:22" x14ac:dyDescent="0.3">
      <c r="A23" s="22" t="s">
        <v>251</v>
      </c>
      <c r="B23" s="7"/>
      <c r="C23" t="s">
        <v>163</v>
      </c>
      <c r="D23" s="14" t="s">
        <v>42</v>
      </c>
      <c r="E23" s="14">
        <v>6.19</v>
      </c>
      <c r="F23">
        <v>6.19</v>
      </c>
      <c r="G23" t="s">
        <v>43</v>
      </c>
      <c r="H23" s="11" t="s">
        <v>99</v>
      </c>
      <c r="I23" s="11">
        <v>0</v>
      </c>
      <c r="J23" t="s">
        <v>45</v>
      </c>
      <c r="K23" s="15" t="s">
        <v>164</v>
      </c>
      <c r="M23" s="7"/>
      <c r="N23" t="s">
        <v>163</v>
      </c>
      <c r="O23" t="s">
        <v>42</v>
      </c>
      <c r="P23">
        <v>11.1</v>
      </c>
      <c r="Q23">
        <v>11.1</v>
      </c>
      <c r="R23" t="s">
        <v>43</v>
      </c>
      <c r="S23" t="s">
        <v>99</v>
      </c>
      <c r="T23" s="11">
        <v>0</v>
      </c>
      <c r="U23" t="s">
        <v>45</v>
      </c>
      <c r="V23" s="8" t="s">
        <v>49</v>
      </c>
    </row>
    <row r="24" spans="1:22" x14ac:dyDescent="0.3">
      <c r="A24" s="40" t="s">
        <v>277</v>
      </c>
      <c r="B24" s="7"/>
      <c r="C24" t="s">
        <v>171</v>
      </c>
      <c r="D24" t="s">
        <v>42</v>
      </c>
      <c r="E24" s="14">
        <v>6.3200000000000005E-5</v>
      </c>
      <c r="F24" s="14">
        <v>6.3200000000000005E-5</v>
      </c>
      <c r="G24" t="s">
        <v>43</v>
      </c>
      <c r="H24" s="11"/>
      <c r="I24" s="11">
        <v>0</v>
      </c>
      <c r="J24" t="s">
        <v>61</v>
      </c>
      <c r="K24" s="8" t="s">
        <v>49</v>
      </c>
      <c r="M24" s="7"/>
      <c r="N24" t="s">
        <v>169</v>
      </c>
      <c r="O24" t="s">
        <v>42</v>
      </c>
      <c r="P24">
        <v>3.21</v>
      </c>
      <c r="Q24">
        <v>3.21</v>
      </c>
      <c r="R24" t="s">
        <v>43</v>
      </c>
      <c r="S24" t="s">
        <v>99</v>
      </c>
      <c r="T24" s="11">
        <v>0</v>
      </c>
      <c r="U24" t="s">
        <v>45</v>
      </c>
      <c r="V24" s="8" t="s">
        <v>170</v>
      </c>
    </row>
    <row r="25" spans="1:22" x14ac:dyDescent="0.3">
      <c r="A25" s="65" t="s">
        <v>416</v>
      </c>
      <c r="B25" s="7"/>
      <c r="C25" s="65" t="s">
        <v>141</v>
      </c>
      <c r="D25" t="s">
        <v>42</v>
      </c>
      <c r="E25" s="65">
        <v>1503</v>
      </c>
      <c r="F25" s="65">
        <v>1503</v>
      </c>
      <c r="G25" t="s">
        <v>43</v>
      </c>
      <c r="H25" s="11"/>
      <c r="I25" s="11">
        <v>0</v>
      </c>
      <c r="J25" t="s">
        <v>55</v>
      </c>
      <c r="K25" s="8" t="s">
        <v>49</v>
      </c>
      <c r="M25" s="7"/>
      <c r="N25" t="s">
        <v>175</v>
      </c>
      <c r="O25" t="s">
        <v>42</v>
      </c>
      <c r="P25">
        <v>9.9</v>
      </c>
      <c r="Q25">
        <v>9.9</v>
      </c>
      <c r="R25" t="s">
        <v>43</v>
      </c>
      <c r="S25" t="s">
        <v>99</v>
      </c>
      <c r="T25" s="11">
        <v>0</v>
      </c>
      <c r="U25" t="s">
        <v>45</v>
      </c>
      <c r="V25" s="8" t="s">
        <v>176</v>
      </c>
    </row>
    <row r="26" spans="1:22" x14ac:dyDescent="0.3">
      <c r="B26" s="7"/>
      <c r="C26" t="s">
        <v>108</v>
      </c>
      <c r="D26" t="s">
        <v>42</v>
      </c>
      <c r="E26">
        <v>0.115</v>
      </c>
      <c r="F26">
        <v>0.115</v>
      </c>
      <c r="G26" t="s">
        <v>43</v>
      </c>
      <c r="H26" s="11"/>
      <c r="I26" s="11">
        <v>0</v>
      </c>
      <c r="J26" t="s">
        <v>45</v>
      </c>
      <c r="K26" s="8"/>
      <c r="M26" s="7"/>
      <c r="N26" t="s">
        <v>141</v>
      </c>
      <c r="O26" t="s">
        <v>42</v>
      </c>
      <c r="P26">
        <v>236</v>
      </c>
      <c r="Q26">
        <v>236</v>
      </c>
      <c r="R26" t="s">
        <v>43</v>
      </c>
      <c r="T26" s="11">
        <v>0</v>
      </c>
      <c r="U26" t="s">
        <v>45</v>
      </c>
      <c r="V26" s="8" t="s">
        <v>183</v>
      </c>
    </row>
    <row r="27" spans="1:22" x14ac:dyDescent="0.3">
      <c r="B27" s="7"/>
      <c r="C27" t="s">
        <v>104</v>
      </c>
      <c r="D27" t="s">
        <v>42</v>
      </c>
      <c r="E27">
        <v>0.68500000000000005</v>
      </c>
      <c r="F27">
        <v>0.68500000000000005</v>
      </c>
      <c r="G27" t="s">
        <v>43</v>
      </c>
      <c r="H27" s="11"/>
      <c r="I27" s="11">
        <v>0</v>
      </c>
      <c r="J27" t="s">
        <v>61</v>
      </c>
      <c r="K27" s="8" t="s">
        <v>49</v>
      </c>
      <c r="M27" s="7"/>
      <c r="N27" t="s">
        <v>104</v>
      </c>
      <c r="O27" t="s">
        <v>42</v>
      </c>
      <c r="P27">
        <v>0.20399999999999999</v>
      </c>
      <c r="Q27">
        <v>0.20399999999999999</v>
      </c>
      <c r="R27" t="s">
        <v>43</v>
      </c>
      <c r="T27" s="11">
        <v>0</v>
      </c>
      <c r="U27" t="s">
        <v>61</v>
      </c>
      <c r="V27" s="8" t="s">
        <v>186</v>
      </c>
    </row>
    <row r="28" spans="1:22" x14ac:dyDescent="0.3">
      <c r="B28" s="7"/>
      <c r="C28" t="s">
        <v>191</v>
      </c>
      <c r="D28" t="s">
        <v>42</v>
      </c>
      <c r="E28">
        <v>1.34</v>
      </c>
      <c r="F28">
        <v>1.34</v>
      </c>
      <c r="G28" t="s">
        <v>43</v>
      </c>
      <c r="H28" s="11"/>
      <c r="I28" s="11">
        <v>0</v>
      </c>
      <c r="J28" t="s">
        <v>45</v>
      </c>
      <c r="K28" s="8" t="s">
        <v>49</v>
      </c>
      <c r="M28" s="7"/>
      <c r="N28" t="s">
        <v>191</v>
      </c>
      <c r="O28" t="s">
        <v>42</v>
      </c>
      <c r="P28">
        <v>0.10299999999999999</v>
      </c>
      <c r="Q28">
        <v>0.10299999999999999</v>
      </c>
      <c r="R28" t="s">
        <v>43</v>
      </c>
      <c r="T28" s="11">
        <v>0</v>
      </c>
      <c r="U28" t="s">
        <v>45</v>
      </c>
      <c r="V28" s="8" t="s">
        <v>49</v>
      </c>
    </row>
    <row r="29" spans="1:22" x14ac:dyDescent="0.3">
      <c r="B29" s="7"/>
      <c r="C29" t="s">
        <v>192</v>
      </c>
      <c r="D29" s="14" t="s">
        <v>42</v>
      </c>
      <c r="E29" s="14">
        <v>0.36399999999999999</v>
      </c>
      <c r="F29">
        <v>0.36399999999999999</v>
      </c>
      <c r="G29" t="s">
        <v>43</v>
      </c>
      <c r="H29" s="11"/>
      <c r="I29" s="11">
        <v>0</v>
      </c>
      <c r="J29" t="s">
        <v>45</v>
      </c>
      <c r="K29" s="8" t="s">
        <v>49</v>
      </c>
      <c r="M29" s="7"/>
      <c r="N29" t="s">
        <v>192</v>
      </c>
      <c r="O29" t="s">
        <v>42</v>
      </c>
      <c r="P29">
        <v>1.5699999999999999E-2</v>
      </c>
      <c r="Q29">
        <v>1.5699999999999999E-2</v>
      </c>
      <c r="R29" t="s">
        <v>43</v>
      </c>
      <c r="T29" s="11">
        <v>0</v>
      </c>
      <c r="U29" t="s">
        <v>61</v>
      </c>
      <c r="V29" s="8" t="s">
        <v>49</v>
      </c>
    </row>
    <row r="30" spans="1:22" x14ac:dyDescent="0.3">
      <c r="B30" s="7"/>
      <c r="C30" t="s">
        <v>196</v>
      </c>
      <c r="D30" t="s">
        <v>42</v>
      </c>
      <c r="E30">
        <v>4.5699999999999998E-2</v>
      </c>
      <c r="F30">
        <v>4.5699999999999998E-2</v>
      </c>
      <c r="G30" t="s">
        <v>43</v>
      </c>
      <c r="H30" s="11"/>
      <c r="I30" s="11">
        <v>0</v>
      </c>
      <c r="J30" t="s">
        <v>45</v>
      </c>
      <c r="K30" s="8" t="s">
        <v>49</v>
      </c>
      <c r="M30" s="7"/>
      <c r="N30" t="s">
        <v>179</v>
      </c>
      <c r="O30" t="s">
        <v>42</v>
      </c>
      <c r="P30">
        <v>1.17E-2</v>
      </c>
      <c r="Q30">
        <v>1.17E-2</v>
      </c>
      <c r="R30" t="s">
        <v>43</v>
      </c>
      <c r="T30" s="11">
        <v>0</v>
      </c>
      <c r="U30" t="s">
        <v>45</v>
      </c>
      <c r="V30" s="8" t="s">
        <v>195</v>
      </c>
    </row>
    <row r="31" spans="1:22" x14ac:dyDescent="0.3">
      <c r="B31" s="7"/>
      <c r="C31" t="s">
        <v>179</v>
      </c>
      <c r="D31" t="s">
        <v>42</v>
      </c>
      <c r="E31">
        <v>0.33400000000000002</v>
      </c>
      <c r="F31">
        <v>0.33400000000000002</v>
      </c>
      <c r="G31" t="s">
        <v>43</v>
      </c>
      <c r="H31" s="11"/>
      <c r="I31" s="11">
        <v>0</v>
      </c>
      <c r="J31" t="s">
        <v>61</v>
      </c>
      <c r="K31" s="8" t="s">
        <v>198</v>
      </c>
      <c r="M31" s="7"/>
      <c r="N31" t="s">
        <v>172</v>
      </c>
      <c r="O31" t="s">
        <v>42</v>
      </c>
      <c r="P31">
        <v>0.34599999999999997</v>
      </c>
      <c r="Q31">
        <v>0.34599999999999997</v>
      </c>
      <c r="R31" t="s">
        <v>43</v>
      </c>
      <c r="T31" s="11">
        <v>0</v>
      </c>
      <c r="U31" t="s">
        <v>61</v>
      </c>
      <c r="V31" s="8" t="s">
        <v>49</v>
      </c>
    </row>
    <row r="32" spans="1:22" x14ac:dyDescent="0.3">
      <c r="B32" s="7"/>
      <c r="C32" t="s">
        <v>172</v>
      </c>
      <c r="D32" t="s">
        <v>42</v>
      </c>
      <c r="E32">
        <v>0.155</v>
      </c>
      <c r="F32">
        <v>0.155</v>
      </c>
      <c r="G32" t="s">
        <v>43</v>
      </c>
      <c r="H32" s="11"/>
      <c r="I32" s="11">
        <v>0</v>
      </c>
      <c r="J32" t="s">
        <v>61</v>
      </c>
      <c r="K32" s="8" t="s">
        <v>49</v>
      </c>
      <c r="M32" s="7"/>
      <c r="N32" t="s">
        <v>199</v>
      </c>
      <c r="O32" t="s">
        <v>42</v>
      </c>
      <c r="P32">
        <v>2.8799999999999999E-2</v>
      </c>
      <c r="Q32">
        <v>2.8799999999999999E-2</v>
      </c>
      <c r="R32" t="s">
        <v>43</v>
      </c>
      <c r="T32" s="11">
        <v>0</v>
      </c>
      <c r="U32" t="s">
        <v>61</v>
      </c>
      <c r="V32" s="8" t="s">
        <v>49</v>
      </c>
    </row>
    <row r="33" spans="2:22" x14ac:dyDescent="0.3">
      <c r="B33" s="7"/>
      <c r="C33" t="s">
        <v>181</v>
      </c>
      <c r="D33" t="s">
        <v>42</v>
      </c>
      <c r="E33">
        <v>3.2499999999999999E-3</v>
      </c>
      <c r="F33">
        <v>3.2499999999999999E-3</v>
      </c>
      <c r="G33" t="s">
        <v>43</v>
      </c>
      <c r="H33" s="11"/>
      <c r="I33" s="11">
        <v>0</v>
      </c>
      <c r="J33" t="s">
        <v>45</v>
      </c>
      <c r="K33" s="8" t="s">
        <v>49</v>
      </c>
      <c r="M33" s="7"/>
      <c r="N33" t="s">
        <v>184</v>
      </c>
      <c r="O33" t="s">
        <v>42</v>
      </c>
      <c r="P33">
        <v>4630</v>
      </c>
      <c r="Q33">
        <v>4630</v>
      </c>
      <c r="R33" t="s">
        <v>43</v>
      </c>
      <c r="T33" s="11">
        <v>0</v>
      </c>
      <c r="U33" t="s">
        <v>45</v>
      </c>
      <c r="V33" s="8" t="s">
        <v>49</v>
      </c>
    </row>
    <row r="34" spans="2:22" x14ac:dyDescent="0.3">
      <c r="B34" s="7"/>
      <c r="C34" t="s">
        <v>199</v>
      </c>
      <c r="D34" s="14" t="s">
        <v>42</v>
      </c>
      <c r="E34" s="14">
        <v>1.46E-2</v>
      </c>
      <c r="F34">
        <v>1.46E-2</v>
      </c>
      <c r="G34" t="s">
        <v>43</v>
      </c>
      <c r="H34" s="11"/>
      <c r="I34" s="11">
        <v>0</v>
      </c>
      <c r="J34" t="s">
        <v>61</v>
      </c>
      <c r="K34" s="8" t="s">
        <v>49</v>
      </c>
      <c r="M34" s="7"/>
      <c r="N34" t="s">
        <v>190</v>
      </c>
      <c r="O34" t="s">
        <v>42</v>
      </c>
      <c r="P34">
        <v>5.0299999999999997E-2</v>
      </c>
      <c r="Q34">
        <v>5.0299999999999997E-2</v>
      </c>
      <c r="R34" t="s">
        <v>43</v>
      </c>
      <c r="T34" s="11">
        <v>0</v>
      </c>
      <c r="U34" t="s">
        <v>45</v>
      </c>
      <c r="V34" s="8" t="s">
        <v>49</v>
      </c>
    </row>
    <row r="35" spans="2:22" x14ac:dyDescent="0.3">
      <c r="B35" s="7"/>
      <c r="C35" t="s">
        <v>203</v>
      </c>
      <c r="D35" t="s">
        <v>42</v>
      </c>
      <c r="E35" s="14">
        <v>5.1619999999999997E-5</v>
      </c>
      <c r="F35" s="14">
        <v>5.1619999999999997E-5</v>
      </c>
      <c r="G35" t="s">
        <v>43</v>
      </c>
      <c r="H35" s="11"/>
      <c r="I35" s="11">
        <v>0</v>
      </c>
      <c r="J35" t="s">
        <v>45</v>
      </c>
      <c r="K35" s="8" t="s">
        <v>49</v>
      </c>
      <c r="M35" s="7"/>
      <c r="N35" t="s">
        <v>187</v>
      </c>
      <c r="O35" t="s">
        <v>42</v>
      </c>
      <c r="P35">
        <v>3.16</v>
      </c>
      <c r="Q35">
        <v>3.16</v>
      </c>
      <c r="R35" t="s">
        <v>43</v>
      </c>
      <c r="T35" s="11">
        <v>0</v>
      </c>
      <c r="U35" t="s">
        <v>61</v>
      </c>
      <c r="V35" s="8" t="s">
        <v>49</v>
      </c>
    </row>
    <row r="36" spans="2:22" ht="15" thickBot="1" x14ac:dyDescent="0.35">
      <c r="B36" s="7"/>
      <c r="C36" t="s">
        <v>184</v>
      </c>
      <c r="D36" t="s">
        <v>42</v>
      </c>
      <c r="E36">
        <v>11100</v>
      </c>
      <c r="F36">
        <v>11100</v>
      </c>
      <c r="G36" t="s">
        <v>43</v>
      </c>
      <c r="H36" s="11"/>
      <c r="I36" s="11">
        <v>0</v>
      </c>
      <c r="J36" t="s">
        <v>45</v>
      </c>
      <c r="K36" s="8" t="s">
        <v>49</v>
      </c>
      <c r="M36" s="4"/>
      <c r="N36" s="5" t="s">
        <v>124</v>
      </c>
      <c r="O36" s="5" t="s">
        <v>42</v>
      </c>
      <c r="P36" s="5">
        <v>1068</v>
      </c>
      <c r="Q36" s="5">
        <v>1068</v>
      </c>
      <c r="R36" s="5" t="s">
        <v>43</v>
      </c>
      <c r="S36" s="5"/>
      <c r="T36" s="13">
        <v>0</v>
      </c>
      <c r="U36" s="5" t="s">
        <v>45</v>
      </c>
      <c r="V36" s="6" t="s">
        <v>49</v>
      </c>
    </row>
    <row r="37" spans="2:22" x14ac:dyDescent="0.3">
      <c r="B37" s="7"/>
      <c r="C37" t="s">
        <v>208</v>
      </c>
      <c r="D37" t="s">
        <v>42</v>
      </c>
      <c r="E37">
        <v>3.2989999999999998E-3</v>
      </c>
      <c r="F37">
        <v>3.2989999999999998E-3</v>
      </c>
      <c r="G37" t="s">
        <v>43</v>
      </c>
      <c r="H37" s="11"/>
      <c r="I37" s="11">
        <v>0</v>
      </c>
      <c r="J37" t="s">
        <v>51</v>
      </c>
      <c r="K37" s="8" t="s">
        <v>49</v>
      </c>
    </row>
    <row r="38" spans="2:22" x14ac:dyDescent="0.3">
      <c r="B38" s="7"/>
      <c r="C38" t="s">
        <v>190</v>
      </c>
      <c r="D38" t="s">
        <v>42</v>
      </c>
      <c r="E38">
        <v>3.8699999999999998E-2</v>
      </c>
      <c r="F38">
        <v>3.8699999999999998E-2</v>
      </c>
      <c r="G38" t="s">
        <v>43</v>
      </c>
      <c r="H38" s="11"/>
      <c r="I38" s="11">
        <v>0</v>
      </c>
      <c r="J38" t="s">
        <v>45</v>
      </c>
      <c r="K38" s="8" t="s">
        <v>49</v>
      </c>
    </row>
    <row r="39" spans="2:22" x14ac:dyDescent="0.3">
      <c r="B39" s="7"/>
      <c r="C39" t="s">
        <v>187</v>
      </c>
      <c r="D39" t="s">
        <v>42</v>
      </c>
      <c r="E39">
        <v>16.600000000000001</v>
      </c>
      <c r="F39">
        <v>16.600000000000001</v>
      </c>
      <c r="G39" t="s">
        <v>43</v>
      </c>
      <c r="H39" s="11"/>
      <c r="I39" s="11">
        <v>0</v>
      </c>
      <c r="J39" t="s">
        <v>61</v>
      </c>
      <c r="K39" s="8" t="s">
        <v>49</v>
      </c>
      <c r="P39" t="s">
        <v>252</v>
      </c>
      <c r="Q39" s="18">
        <f>Q6+Q8+Q13</f>
        <v>1160</v>
      </c>
      <c r="R39" t="s">
        <v>256</v>
      </c>
    </row>
    <row r="40" spans="2:22" x14ac:dyDescent="0.3">
      <c r="B40" s="7"/>
      <c r="C40" t="s">
        <v>212</v>
      </c>
      <c r="D40" t="s">
        <v>42</v>
      </c>
      <c r="E40">
        <v>3.5400000000000001E-2</v>
      </c>
      <c r="F40">
        <v>3.5400000000000001E-2</v>
      </c>
      <c r="G40" t="s">
        <v>43</v>
      </c>
      <c r="H40" s="11"/>
      <c r="I40" s="11">
        <v>0</v>
      </c>
      <c r="J40" t="s">
        <v>51</v>
      </c>
      <c r="K40" s="8" t="s">
        <v>49</v>
      </c>
      <c r="P40" t="s">
        <v>253</v>
      </c>
      <c r="Q40" s="18">
        <f>Q18</f>
        <v>1000</v>
      </c>
      <c r="R40" t="s">
        <v>256</v>
      </c>
    </row>
    <row r="41" spans="2:22" ht="15" thickBot="1" x14ac:dyDescent="0.35">
      <c r="B41" s="4"/>
      <c r="C41" s="5" t="s">
        <v>124</v>
      </c>
      <c r="D41" s="5" t="s">
        <v>42</v>
      </c>
      <c r="E41" s="5">
        <v>1354</v>
      </c>
      <c r="F41" s="5">
        <v>1354</v>
      </c>
      <c r="G41" s="5" t="s">
        <v>43</v>
      </c>
      <c r="H41" s="5"/>
      <c r="I41" s="13">
        <v>0</v>
      </c>
      <c r="J41" s="5" t="s">
        <v>45</v>
      </c>
      <c r="K41" s="6"/>
      <c r="P41" t="s">
        <v>254</v>
      </c>
      <c r="Q41" s="18">
        <f>Q40/Q39</f>
        <v>0.86206896551724133</v>
      </c>
    </row>
    <row r="42" spans="2:22" x14ac:dyDescent="0.3">
      <c r="T42" t="s">
        <v>374</v>
      </c>
    </row>
    <row r="43" spans="2:22" x14ac:dyDescent="0.3">
      <c r="P43" t="s">
        <v>248</v>
      </c>
      <c r="Q43" s="18">
        <f>SUM(Q10:Q12)</f>
        <v>2342.4295529065002</v>
      </c>
      <c r="R43" t="s">
        <v>48</v>
      </c>
      <c r="S43" s="43">
        <f>Q43/Q45</f>
        <v>0.72403812916523458</v>
      </c>
      <c r="T43" s="45">
        <v>6.9000000000000006E-2</v>
      </c>
    </row>
    <row r="44" spans="2:22" x14ac:dyDescent="0.3">
      <c r="E44" t="s">
        <v>252</v>
      </c>
      <c r="F44" s="18">
        <f>F7/102*54</f>
        <v>1014.8823529411765</v>
      </c>
      <c r="G44" t="s">
        <v>255</v>
      </c>
      <c r="H44" t="s">
        <v>397</v>
      </c>
      <c r="I44" s="43">
        <f>F25/F44</f>
        <v>1.4809598330725091</v>
      </c>
      <c r="J44" t="s">
        <v>396</v>
      </c>
      <c r="K44" s="20">
        <f>F25/F17</f>
        <v>1.5029999999999999</v>
      </c>
      <c r="L44" t="s">
        <v>399</v>
      </c>
      <c r="P44" t="s">
        <v>249</v>
      </c>
      <c r="Q44" s="18">
        <f>Q7</f>
        <v>892.79999999999905</v>
      </c>
      <c r="R44" t="s">
        <v>48</v>
      </c>
      <c r="S44" s="43">
        <f>Q44/Q45</f>
        <v>0.27596187083476537</v>
      </c>
      <c r="T44" s="45">
        <f>440/3.6/1000</f>
        <v>0.12222222222222222</v>
      </c>
    </row>
    <row r="45" spans="2:22" x14ac:dyDescent="0.3">
      <c r="E45" t="s">
        <v>253</v>
      </c>
      <c r="F45" s="18">
        <f>F17</f>
        <v>1000</v>
      </c>
      <c r="G45" t="s">
        <v>255</v>
      </c>
      <c r="H45" t="s">
        <v>398</v>
      </c>
      <c r="I45" s="43">
        <f>K45*F46</f>
        <v>0.26308468092505655</v>
      </c>
      <c r="J45" t="s">
        <v>396</v>
      </c>
      <c r="K45" s="38">
        <v>0.26700000000000002</v>
      </c>
      <c r="L45" t="s">
        <v>399</v>
      </c>
      <c r="P45" t="s">
        <v>263</v>
      </c>
      <c r="Q45" s="18">
        <f>SUM(Q43:Q44)</f>
        <v>3235.2295529064995</v>
      </c>
      <c r="R45" s="18" t="s">
        <v>48</v>
      </c>
    </row>
    <row r="46" spans="2:22" x14ac:dyDescent="0.3">
      <c r="E46" t="s">
        <v>254</v>
      </c>
      <c r="F46" s="20">
        <f>F45/F44</f>
        <v>0.98533588361444391</v>
      </c>
      <c r="R46" s="18"/>
    </row>
    <row r="47" spans="2:22" x14ac:dyDescent="0.3">
      <c r="P47" t="s">
        <v>2</v>
      </c>
      <c r="Q47" s="18">
        <f>Q45/Q39</f>
        <v>2.7889909938849136</v>
      </c>
    </row>
    <row r="48" spans="2:22" x14ac:dyDescent="0.3">
      <c r="E48" t="s">
        <v>248</v>
      </c>
      <c r="F48" s="18">
        <v>0</v>
      </c>
      <c r="G48" t="s">
        <v>48</v>
      </c>
      <c r="H48" s="43">
        <f>F48/F50</f>
        <v>0</v>
      </c>
      <c r="P48" t="s">
        <v>301</v>
      </c>
      <c r="Q48" s="44">
        <f>Q45/Q40</f>
        <v>3.2352295529064996</v>
      </c>
      <c r="R48" t="s">
        <v>304</v>
      </c>
      <c r="S48" s="18"/>
    </row>
    <row r="49" spans="2:19" x14ac:dyDescent="0.3">
      <c r="E49" t="s">
        <v>249</v>
      </c>
      <c r="F49" s="18">
        <f>F10</f>
        <v>54648</v>
      </c>
      <c r="G49" t="s">
        <v>48</v>
      </c>
      <c r="H49" s="43">
        <f>F49/F50</f>
        <v>1</v>
      </c>
      <c r="P49" t="s">
        <v>377</v>
      </c>
      <c r="Q49" s="47">
        <f>SUMPRODUCT(S43:S44,T43:T44)</f>
        <v>8.368730401442806E-2</v>
      </c>
      <c r="S49" s="18"/>
    </row>
    <row r="50" spans="2:19" x14ac:dyDescent="0.3">
      <c r="E50" t="s">
        <v>263</v>
      </c>
      <c r="F50" s="18">
        <f>SUM(F48:F49)</f>
        <v>54648</v>
      </c>
      <c r="G50" s="18" t="s">
        <v>48</v>
      </c>
      <c r="P50" t="s">
        <v>376</v>
      </c>
      <c r="Q50" s="50">
        <f>Q49*Q48</f>
        <v>0.27074763915054839</v>
      </c>
      <c r="R50" t="s">
        <v>304</v>
      </c>
    </row>
    <row r="51" spans="2:19" x14ac:dyDescent="0.3">
      <c r="G51" s="18"/>
      <c r="Q51" s="18"/>
      <c r="R51" s="18"/>
    </row>
    <row r="52" spans="2:19" x14ac:dyDescent="0.3">
      <c r="E52" t="s">
        <v>2</v>
      </c>
      <c r="F52" s="44">
        <f>F50/F44</f>
        <v>53.846635367762126</v>
      </c>
      <c r="P52" t="s">
        <v>375</v>
      </c>
      <c r="Q52" s="21">
        <f>1/4*3</f>
        <v>0.75</v>
      </c>
    </row>
    <row r="53" spans="2:19" x14ac:dyDescent="0.3">
      <c r="E53" t="s">
        <v>301</v>
      </c>
      <c r="F53" s="18">
        <f>F50/F45</f>
        <v>54.648000000000003</v>
      </c>
      <c r="P53" t="s">
        <v>378</v>
      </c>
      <c r="Q53" s="51">
        <f>Q50*Q52</f>
        <v>0.20306072936291131</v>
      </c>
    </row>
    <row r="55" spans="2:19" x14ac:dyDescent="0.3">
      <c r="D55" t="s">
        <v>372</v>
      </c>
    </row>
    <row r="56" spans="2:19" x14ac:dyDescent="0.3">
      <c r="B56" t="s">
        <v>369</v>
      </c>
      <c r="C56" t="s">
        <v>364</v>
      </c>
      <c r="D56" t="s">
        <v>373</v>
      </c>
      <c r="E56" t="s">
        <v>368</v>
      </c>
      <c r="F56" t="s">
        <v>374</v>
      </c>
    </row>
    <row r="57" spans="2:19" x14ac:dyDescent="0.3">
      <c r="C57" t="s">
        <v>365</v>
      </c>
      <c r="D57" s="21">
        <f>45534</f>
        <v>45534</v>
      </c>
      <c r="E57" s="49">
        <f>D57/$D$63</f>
        <v>0.7837716882401542</v>
      </c>
      <c r="F57" s="38">
        <f>24/1000/3.6</f>
        <v>6.6666666666666662E-3</v>
      </c>
    </row>
    <row r="58" spans="2:19" x14ac:dyDescent="0.3">
      <c r="C58" t="s">
        <v>366</v>
      </c>
      <c r="D58" s="21">
        <v>938</v>
      </c>
      <c r="E58" s="49">
        <f t="shared" ref="E58:E62" si="0">D58/$D$63</f>
        <v>1.6145689892591571E-2</v>
      </c>
      <c r="F58" s="45">
        <f>Electrolysis!F57</f>
        <v>6.6666666666666662E-3</v>
      </c>
    </row>
    <row r="59" spans="2:19" x14ac:dyDescent="0.3">
      <c r="C59" t="s">
        <v>367</v>
      </c>
      <c r="D59" s="21">
        <v>233</v>
      </c>
      <c r="E59" s="49">
        <f t="shared" si="0"/>
        <v>4.0106031396309558E-3</v>
      </c>
      <c r="F59" s="38">
        <f>4/1000/3.6</f>
        <v>1.1111111111111111E-3</v>
      </c>
    </row>
    <row r="60" spans="2:19" x14ac:dyDescent="0.3">
      <c r="C60" t="s">
        <v>343</v>
      </c>
      <c r="D60" s="21">
        <v>9791</v>
      </c>
      <c r="E60" s="49">
        <f t="shared" si="0"/>
        <v>0.1685313963095566</v>
      </c>
      <c r="F60" s="38">
        <f>0.0939/0.85</f>
        <v>0.11047058823529411</v>
      </c>
    </row>
    <row r="61" spans="2:19" x14ac:dyDescent="0.3">
      <c r="C61" t="s">
        <v>370</v>
      </c>
      <c r="D61" s="21">
        <v>1564</v>
      </c>
      <c r="E61" s="49">
        <f t="shared" si="0"/>
        <v>2.692095841366015E-2</v>
      </c>
      <c r="F61" s="38">
        <v>6.9000000000000006E-2</v>
      </c>
    </row>
    <row r="62" spans="2:19" x14ac:dyDescent="0.3">
      <c r="C62" t="s">
        <v>371</v>
      </c>
      <c r="D62" s="21">
        <v>36</v>
      </c>
      <c r="E62" s="49">
        <f t="shared" si="0"/>
        <v>6.196640044064996E-4</v>
      </c>
      <c r="F62" s="38">
        <f>73.3*3.9924/1000</f>
        <v>0.29264292000000003</v>
      </c>
      <c r="H62" s="9" t="s">
        <v>374</v>
      </c>
    </row>
    <row r="63" spans="2:19" x14ac:dyDescent="0.3">
      <c r="D63">
        <f>SUM(D57:D62)</f>
        <v>58096</v>
      </c>
      <c r="H63" s="46">
        <f>SUMPRODUCT(E57:E62,F57:F62)</f>
        <v>2.5993887647238825E-2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EC56-13B3-944A-92AA-29EA84909C17}">
  <dimension ref="A1:AD66"/>
  <sheetViews>
    <sheetView topLeftCell="A36" zoomScale="115" zoomScaleNormal="115" workbookViewId="0">
      <selection activeCell="O55" sqref="O55"/>
    </sheetView>
  </sheetViews>
  <sheetFormatPr defaultColWidth="11.44140625" defaultRowHeight="14.4" x14ac:dyDescent="0.3"/>
  <cols>
    <col min="1" max="1" width="30.44140625" customWidth="1"/>
    <col min="3" max="3" width="53.44140625" customWidth="1"/>
    <col min="11" max="11" width="43.6640625" customWidth="1"/>
    <col min="13" max="13" width="40.33203125" customWidth="1"/>
    <col min="17" max="17" width="12.6640625" customWidth="1"/>
    <col min="23" max="23" width="45.6640625" customWidth="1"/>
  </cols>
  <sheetData>
    <row r="1" spans="1:30" x14ac:dyDescent="0.3">
      <c r="A1" s="9" t="s">
        <v>0</v>
      </c>
      <c r="B1" s="1" t="s">
        <v>8</v>
      </c>
      <c r="C1" s="2"/>
      <c r="D1" s="2" t="s">
        <v>305</v>
      </c>
      <c r="E1" s="2" t="s">
        <v>306</v>
      </c>
      <c r="F1" s="2"/>
      <c r="G1" s="2"/>
      <c r="H1" s="2"/>
      <c r="I1" s="2"/>
      <c r="J1" s="3"/>
      <c r="L1" s="1" t="s">
        <v>9</v>
      </c>
      <c r="M1" s="2"/>
      <c r="N1" s="2"/>
      <c r="O1" s="2"/>
      <c r="P1" s="2"/>
      <c r="Q1" s="2"/>
      <c r="R1" s="2"/>
      <c r="S1" s="2"/>
      <c r="T1" s="3"/>
      <c r="V1" s="1" t="s">
        <v>10</v>
      </c>
      <c r="W1" s="2"/>
      <c r="X1" s="2"/>
      <c r="Y1" s="2"/>
      <c r="Z1" s="2"/>
      <c r="AA1" s="2"/>
      <c r="AB1" s="2"/>
      <c r="AC1" s="2"/>
      <c r="AD1" s="3"/>
    </row>
    <row r="2" spans="1:30" x14ac:dyDescent="0.3">
      <c r="A2" s="9" t="s">
        <v>16</v>
      </c>
      <c r="B2" s="7" t="s">
        <v>22</v>
      </c>
      <c r="J2" s="8"/>
      <c r="L2" s="7" t="s">
        <v>23</v>
      </c>
      <c r="T2" s="8"/>
      <c r="V2" s="7" t="s">
        <v>22</v>
      </c>
      <c r="AD2" s="8"/>
    </row>
    <row r="3" spans="1:30" x14ac:dyDescent="0.3">
      <c r="A3" s="10" t="s">
        <v>300</v>
      </c>
      <c r="B3" s="7">
        <v>1</v>
      </c>
      <c r="J3" s="8"/>
      <c r="L3" s="7">
        <v>1</v>
      </c>
      <c r="T3" s="8"/>
      <c r="V3" s="7">
        <v>1</v>
      </c>
      <c r="AD3" s="8"/>
    </row>
    <row r="4" spans="1:30" x14ac:dyDescent="0.3">
      <c r="B4" s="7" t="s">
        <v>30</v>
      </c>
      <c r="J4" s="8"/>
      <c r="L4" s="7" t="s">
        <v>30</v>
      </c>
      <c r="T4" s="8"/>
      <c r="V4" s="7" t="s">
        <v>30</v>
      </c>
      <c r="AD4" s="8"/>
    </row>
    <row r="5" spans="1:30" x14ac:dyDescent="0.3">
      <c r="B5" s="7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s="8" t="s">
        <v>39</v>
      </c>
      <c r="L5" s="7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s="8" t="s">
        <v>39</v>
      </c>
      <c r="V5" s="7" t="s">
        <v>31</v>
      </c>
      <c r="W5" t="s">
        <v>32</v>
      </c>
      <c r="X5" t="s">
        <v>33</v>
      </c>
      <c r="Y5" t="s">
        <v>34</v>
      </c>
      <c r="Z5" t="s">
        <v>35</v>
      </c>
      <c r="AA5" t="s">
        <v>36</v>
      </c>
      <c r="AB5" t="s">
        <v>37</v>
      </c>
      <c r="AC5" t="s">
        <v>38</v>
      </c>
      <c r="AD5" s="8" t="s">
        <v>39</v>
      </c>
    </row>
    <row r="6" spans="1:30" x14ac:dyDescent="0.3">
      <c r="B6" s="7"/>
      <c r="C6" t="s">
        <v>41</v>
      </c>
      <c r="D6" t="s">
        <v>42</v>
      </c>
      <c r="E6">
        <v>6.4560870000000001</v>
      </c>
      <c r="F6">
        <v>6.4560870000000001</v>
      </c>
      <c r="G6" t="s">
        <v>43</v>
      </c>
      <c r="H6" t="s">
        <v>44</v>
      </c>
      <c r="I6" s="11">
        <v>0</v>
      </c>
      <c r="J6" s="8" t="s">
        <v>45</v>
      </c>
      <c r="L6" s="7"/>
      <c r="M6" t="s">
        <v>41</v>
      </c>
      <c r="N6" t="s">
        <v>42</v>
      </c>
      <c r="O6">
        <v>6.4560870000000001</v>
      </c>
      <c r="P6">
        <v>6.4560870000000001</v>
      </c>
      <c r="Q6" t="s">
        <v>43</v>
      </c>
      <c r="R6" t="s">
        <v>44</v>
      </c>
      <c r="S6" s="11">
        <v>0</v>
      </c>
      <c r="T6" s="8" t="s">
        <v>45</v>
      </c>
      <c r="V6" s="7"/>
      <c r="W6" t="s">
        <v>56</v>
      </c>
      <c r="X6" t="s">
        <v>42</v>
      </c>
      <c r="Y6">
        <v>17.540500000000002</v>
      </c>
      <c r="Z6">
        <v>17.540500000000002</v>
      </c>
      <c r="AA6" t="s">
        <v>43</v>
      </c>
      <c r="AB6" t="s">
        <v>44</v>
      </c>
      <c r="AC6" s="11">
        <v>0</v>
      </c>
      <c r="AD6" s="8" t="s">
        <v>45</v>
      </c>
    </row>
    <row r="7" spans="1:30" x14ac:dyDescent="0.3">
      <c r="B7" s="7"/>
      <c r="C7" s="21" t="s">
        <v>63</v>
      </c>
      <c r="D7" t="s">
        <v>42</v>
      </c>
      <c r="E7" s="21">
        <v>55.490499999999997</v>
      </c>
      <c r="F7" s="21">
        <v>55.490499999999997</v>
      </c>
      <c r="G7" s="21" t="s">
        <v>43</v>
      </c>
      <c r="H7" t="s">
        <v>44</v>
      </c>
      <c r="I7" s="11">
        <v>0</v>
      </c>
      <c r="J7" s="8" t="s">
        <v>45</v>
      </c>
      <c r="L7" s="7"/>
      <c r="M7" s="21" t="s">
        <v>63</v>
      </c>
      <c r="N7" t="s">
        <v>42</v>
      </c>
      <c r="O7" s="21">
        <v>55.490499999999997</v>
      </c>
      <c r="P7" s="21">
        <v>55.490499999999997</v>
      </c>
      <c r="Q7" s="21" t="s">
        <v>43</v>
      </c>
      <c r="R7" t="s">
        <v>44</v>
      </c>
      <c r="S7" s="11">
        <v>0</v>
      </c>
      <c r="T7" s="8" t="s">
        <v>45</v>
      </c>
      <c r="V7" s="7"/>
      <c r="W7" s="21" t="s">
        <v>64</v>
      </c>
      <c r="X7" t="s">
        <v>42</v>
      </c>
      <c r="Y7" s="21">
        <v>2689.7871</v>
      </c>
      <c r="Z7" s="21">
        <v>2689.7871</v>
      </c>
      <c r="AA7" s="21" t="s">
        <v>43</v>
      </c>
      <c r="AB7" t="s">
        <v>44</v>
      </c>
      <c r="AC7" s="11">
        <v>0</v>
      </c>
      <c r="AD7" s="8" t="s">
        <v>45</v>
      </c>
    </row>
    <row r="8" spans="1:30" x14ac:dyDescent="0.3">
      <c r="B8" s="7"/>
      <c r="C8" t="s">
        <v>56</v>
      </c>
      <c r="D8" t="s">
        <v>42</v>
      </c>
      <c r="E8">
        <v>0.14412700000000001</v>
      </c>
      <c r="F8">
        <v>0.14412700000000001</v>
      </c>
      <c r="G8" t="s">
        <v>43</v>
      </c>
      <c r="H8" t="s">
        <v>44</v>
      </c>
      <c r="I8" s="11">
        <v>0</v>
      </c>
      <c r="J8" s="8" t="s">
        <v>45</v>
      </c>
      <c r="L8" s="7"/>
      <c r="M8" t="s">
        <v>56</v>
      </c>
      <c r="N8" t="s">
        <v>42</v>
      </c>
      <c r="O8">
        <v>0.14412700000000001</v>
      </c>
      <c r="P8">
        <v>0.14412700000000001</v>
      </c>
      <c r="Q8" t="s">
        <v>43</v>
      </c>
      <c r="R8" t="s">
        <v>44</v>
      </c>
      <c r="S8" s="11">
        <v>0</v>
      </c>
      <c r="T8" s="8" t="s">
        <v>45</v>
      </c>
      <c r="V8" s="7"/>
      <c r="W8" t="s">
        <v>74</v>
      </c>
      <c r="X8" t="s">
        <v>42</v>
      </c>
      <c r="Y8">
        <v>2.7505000000000002</v>
      </c>
      <c r="Z8">
        <v>2.7505000000000002</v>
      </c>
      <c r="AA8" t="s">
        <v>43</v>
      </c>
      <c r="AB8" t="s">
        <v>44</v>
      </c>
      <c r="AC8" s="11">
        <v>0</v>
      </c>
      <c r="AD8" s="8" t="s">
        <v>45</v>
      </c>
    </row>
    <row r="9" spans="1:30" x14ac:dyDescent="0.3">
      <c r="B9" s="7"/>
      <c r="C9" s="21" t="s">
        <v>83</v>
      </c>
      <c r="D9" t="s">
        <v>42</v>
      </c>
      <c r="E9" s="21">
        <v>48.401913999999998</v>
      </c>
      <c r="F9" s="21">
        <v>48.401913999999998</v>
      </c>
      <c r="G9" s="21" t="s">
        <v>43</v>
      </c>
      <c r="H9" t="s">
        <v>44</v>
      </c>
      <c r="I9" s="11">
        <v>0</v>
      </c>
      <c r="J9" s="8" t="s">
        <v>45</v>
      </c>
      <c r="L9" s="7"/>
      <c r="M9" s="21" t="s">
        <v>83</v>
      </c>
      <c r="N9" t="s">
        <v>42</v>
      </c>
      <c r="O9" s="21">
        <v>48.401913999999998</v>
      </c>
      <c r="P9" s="21">
        <v>48.401913999999998</v>
      </c>
      <c r="Q9" s="21" t="s">
        <v>43</v>
      </c>
      <c r="R9" t="s">
        <v>44</v>
      </c>
      <c r="S9" s="11">
        <v>0</v>
      </c>
      <c r="T9" s="8" t="s">
        <v>45</v>
      </c>
      <c r="V9" s="7"/>
      <c r="W9" s="22" t="s">
        <v>46</v>
      </c>
      <c r="X9" t="s">
        <v>47</v>
      </c>
      <c r="Y9" s="22">
        <v>757.07928000000004</v>
      </c>
      <c r="Z9" s="22">
        <v>757.07928000000004</v>
      </c>
      <c r="AA9" s="22" t="s">
        <v>48</v>
      </c>
      <c r="AB9" t="s">
        <v>44</v>
      </c>
      <c r="AC9" s="11">
        <v>0</v>
      </c>
      <c r="AD9" s="8" t="s">
        <v>45</v>
      </c>
    </row>
    <row r="10" spans="1:30" x14ac:dyDescent="0.3">
      <c r="B10" s="7"/>
      <c r="C10" s="22" t="s">
        <v>46</v>
      </c>
      <c r="D10" t="s">
        <v>47</v>
      </c>
      <c r="E10" s="22">
        <v>487.0304352</v>
      </c>
      <c r="F10" s="22">
        <v>487.0304352</v>
      </c>
      <c r="G10" s="22" t="s">
        <v>48</v>
      </c>
      <c r="H10" t="s">
        <v>44</v>
      </c>
      <c r="I10" s="11">
        <v>0</v>
      </c>
      <c r="J10" s="12" t="s">
        <v>45</v>
      </c>
      <c r="L10" s="7"/>
      <c r="M10" s="22" t="s">
        <v>46</v>
      </c>
      <c r="N10" t="s">
        <v>47</v>
      </c>
      <c r="O10" s="22">
        <v>487.0304352</v>
      </c>
      <c r="P10" s="22">
        <v>487.0304352</v>
      </c>
      <c r="Q10" s="22" t="s">
        <v>48</v>
      </c>
      <c r="R10" t="s">
        <v>44</v>
      </c>
      <c r="S10" s="11">
        <v>0</v>
      </c>
      <c r="T10" s="12" t="s">
        <v>45</v>
      </c>
      <c r="V10" s="7"/>
      <c r="W10" t="s">
        <v>68</v>
      </c>
      <c r="X10" t="s">
        <v>42</v>
      </c>
      <c r="Y10">
        <v>15.981299999999999</v>
      </c>
      <c r="Z10">
        <v>15.981299999999999</v>
      </c>
      <c r="AA10" t="s">
        <v>43</v>
      </c>
      <c r="AB10" t="s">
        <v>44</v>
      </c>
      <c r="AC10" s="11">
        <v>0</v>
      </c>
      <c r="AD10" s="12" t="s">
        <v>45</v>
      </c>
    </row>
    <row r="11" spans="1:30" x14ac:dyDescent="0.3">
      <c r="B11" s="7"/>
      <c r="C11" t="s">
        <v>89</v>
      </c>
      <c r="D11" t="s">
        <v>42</v>
      </c>
      <c r="E11">
        <v>8.9428400000000005E-3</v>
      </c>
      <c r="F11">
        <v>8.9428400000000005E-3</v>
      </c>
      <c r="G11" t="s">
        <v>43</v>
      </c>
      <c r="H11" t="s">
        <v>44</v>
      </c>
      <c r="I11" s="11">
        <v>0</v>
      </c>
      <c r="J11" s="12" t="s">
        <v>45</v>
      </c>
      <c r="L11" s="7"/>
      <c r="M11" t="s">
        <v>89</v>
      </c>
      <c r="N11" t="s">
        <v>42</v>
      </c>
      <c r="O11">
        <v>8.9428400000000005E-3</v>
      </c>
      <c r="P11">
        <v>8.9428400000000005E-3</v>
      </c>
      <c r="Q11" t="s">
        <v>43</v>
      </c>
      <c r="R11" t="s">
        <v>44</v>
      </c>
      <c r="S11" s="11">
        <v>0</v>
      </c>
      <c r="T11" s="12" t="s">
        <v>45</v>
      </c>
      <c r="V11" s="7"/>
      <c r="W11" t="s">
        <v>92</v>
      </c>
      <c r="X11" t="s">
        <v>42</v>
      </c>
      <c r="Y11">
        <v>52.818100000000001</v>
      </c>
      <c r="Z11">
        <v>52.818100000000001</v>
      </c>
      <c r="AA11" t="s">
        <v>43</v>
      </c>
      <c r="AB11" t="s">
        <v>44</v>
      </c>
      <c r="AC11" s="11">
        <v>0</v>
      </c>
      <c r="AD11" s="12" t="s">
        <v>45</v>
      </c>
    </row>
    <row r="12" spans="1:30" x14ac:dyDescent="0.3">
      <c r="B12" s="7"/>
      <c r="C12" t="s">
        <v>93</v>
      </c>
      <c r="D12" t="s">
        <v>42</v>
      </c>
      <c r="E12">
        <v>1.3698999999999999E-2</v>
      </c>
      <c r="F12">
        <v>1.3698999999999999E-2</v>
      </c>
      <c r="G12" t="s">
        <v>43</v>
      </c>
      <c r="H12" t="s">
        <v>44</v>
      </c>
      <c r="I12" s="11">
        <v>0</v>
      </c>
      <c r="J12" s="12" t="s">
        <v>45</v>
      </c>
      <c r="L12" s="7"/>
      <c r="M12" t="s">
        <v>93</v>
      </c>
      <c r="N12" t="s">
        <v>42</v>
      </c>
      <c r="O12">
        <v>1.3698999999999999E-2</v>
      </c>
      <c r="P12">
        <v>1.3698999999999999E-2</v>
      </c>
      <c r="Q12" t="s">
        <v>43</v>
      </c>
      <c r="R12" t="s">
        <v>44</v>
      </c>
      <c r="S12" s="11">
        <v>0</v>
      </c>
      <c r="T12" s="12" t="s">
        <v>45</v>
      </c>
      <c r="V12" s="7"/>
      <c r="W12" t="s">
        <v>80</v>
      </c>
      <c r="X12" t="s">
        <v>42</v>
      </c>
      <c r="Y12">
        <v>0.62580000000000002</v>
      </c>
      <c r="Z12">
        <v>0.62580000000000002</v>
      </c>
      <c r="AA12" t="s">
        <v>43</v>
      </c>
      <c r="AB12" t="s">
        <v>44</v>
      </c>
      <c r="AC12" s="11">
        <v>0</v>
      </c>
      <c r="AD12" s="12" t="s">
        <v>45</v>
      </c>
    </row>
    <row r="13" spans="1:30" x14ac:dyDescent="0.3">
      <c r="B13" s="7"/>
      <c r="C13" t="s">
        <v>68</v>
      </c>
      <c r="D13" t="s">
        <v>42</v>
      </c>
      <c r="E13">
        <v>0.14706</v>
      </c>
      <c r="F13">
        <v>0.14706</v>
      </c>
      <c r="G13" t="s">
        <v>43</v>
      </c>
      <c r="H13" t="s">
        <v>44</v>
      </c>
      <c r="I13" s="11">
        <v>0</v>
      </c>
      <c r="J13" s="12" t="s">
        <v>45</v>
      </c>
      <c r="L13" s="7"/>
      <c r="M13" t="s">
        <v>68</v>
      </c>
      <c r="N13" t="s">
        <v>42</v>
      </c>
      <c r="O13">
        <v>0.14706</v>
      </c>
      <c r="P13">
        <v>0.14706</v>
      </c>
      <c r="Q13" t="s">
        <v>43</v>
      </c>
      <c r="R13" t="s">
        <v>44</v>
      </c>
      <c r="S13" s="11">
        <v>0</v>
      </c>
      <c r="T13" s="12" t="s">
        <v>45</v>
      </c>
      <c r="V13" s="7"/>
      <c r="W13" t="s">
        <v>102</v>
      </c>
      <c r="X13" t="s">
        <v>42</v>
      </c>
      <c r="Y13">
        <v>158.16319999999999</v>
      </c>
      <c r="Z13">
        <v>158.16319999999999</v>
      </c>
      <c r="AA13" t="s">
        <v>43</v>
      </c>
      <c r="AB13" t="s">
        <v>44</v>
      </c>
      <c r="AC13" s="11">
        <v>0</v>
      </c>
      <c r="AD13" s="12" t="s">
        <v>45</v>
      </c>
    </row>
    <row r="14" spans="1:30" x14ac:dyDescent="0.3">
      <c r="B14" s="7"/>
      <c r="C14" t="s">
        <v>72</v>
      </c>
      <c r="D14" t="s">
        <v>42</v>
      </c>
      <c r="E14">
        <v>0.25453700000000001</v>
      </c>
      <c r="F14">
        <v>0.25453700000000001</v>
      </c>
      <c r="G14" t="s">
        <v>43</v>
      </c>
      <c r="H14" t="s">
        <v>44</v>
      </c>
      <c r="I14" s="11">
        <v>0</v>
      </c>
      <c r="J14" s="12" t="s">
        <v>45</v>
      </c>
      <c r="L14" s="7"/>
      <c r="M14" t="s">
        <v>72</v>
      </c>
      <c r="N14" t="s">
        <v>42</v>
      </c>
      <c r="O14">
        <v>0.25453700000000001</v>
      </c>
      <c r="P14">
        <v>0.25453700000000001</v>
      </c>
      <c r="Q14" t="s">
        <v>43</v>
      </c>
      <c r="R14" t="s">
        <v>44</v>
      </c>
      <c r="S14" s="11">
        <v>0</v>
      </c>
      <c r="T14" s="12" t="s">
        <v>45</v>
      </c>
      <c r="V14" s="7"/>
      <c r="W14" s="22" t="s">
        <v>86</v>
      </c>
      <c r="X14" t="s">
        <v>47</v>
      </c>
      <c r="Y14" s="22">
        <v>5929.4885000000004</v>
      </c>
      <c r="Z14" s="22">
        <v>5929.4885000000004</v>
      </c>
      <c r="AA14" s="22" t="s">
        <v>48</v>
      </c>
      <c r="AB14" t="s">
        <v>44</v>
      </c>
      <c r="AC14" s="11">
        <v>0</v>
      </c>
      <c r="AD14" s="12" t="s">
        <v>45</v>
      </c>
    </row>
    <row r="15" spans="1:30" x14ac:dyDescent="0.3">
      <c r="B15" s="7"/>
      <c r="C15" t="s">
        <v>92</v>
      </c>
      <c r="D15" t="s">
        <v>42</v>
      </c>
      <c r="E15">
        <v>3.79758</v>
      </c>
      <c r="F15">
        <v>3.79758</v>
      </c>
      <c r="G15" t="s">
        <v>43</v>
      </c>
      <c r="H15" t="s">
        <v>44</v>
      </c>
      <c r="I15" s="11">
        <v>0</v>
      </c>
      <c r="J15" s="12" t="s">
        <v>45</v>
      </c>
      <c r="L15" s="7"/>
      <c r="M15" t="s">
        <v>92</v>
      </c>
      <c r="N15" t="s">
        <v>42</v>
      </c>
      <c r="O15">
        <v>3.79758</v>
      </c>
      <c r="P15">
        <v>3.79758</v>
      </c>
      <c r="Q15" t="s">
        <v>43</v>
      </c>
      <c r="R15" t="s">
        <v>44</v>
      </c>
      <c r="S15" s="11">
        <v>0</v>
      </c>
      <c r="T15" s="12" t="s">
        <v>45</v>
      </c>
      <c r="V15" s="7" t="s">
        <v>84</v>
      </c>
      <c r="AC15" s="11"/>
      <c r="AD15" s="12"/>
    </row>
    <row r="16" spans="1:30" x14ac:dyDescent="0.3">
      <c r="B16" s="7"/>
      <c r="C16" t="s">
        <v>80</v>
      </c>
      <c r="D16" t="s">
        <v>42</v>
      </c>
      <c r="E16">
        <v>4.6538400000000001E-2</v>
      </c>
      <c r="F16">
        <v>4.6538400000000001E-2</v>
      </c>
      <c r="G16" t="s">
        <v>43</v>
      </c>
      <c r="H16" t="s">
        <v>44</v>
      </c>
      <c r="I16" s="11">
        <v>0</v>
      </c>
      <c r="J16" s="12" t="s">
        <v>45</v>
      </c>
      <c r="L16" s="7"/>
      <c r="M16" t="s">
        <v>80</v>
      </c>
      <c r="N16" t="s">
        <v>42</v>
      </c>
      <c r="O16">
        <v>4.6538400000000001E-2</v>
      </c>
      <c r="P16">
        <v>4.6538400000000001E-2</v>
      </c>
      <c r="Q16" t="s">
        <v>43</v>
      </c>
      <c r="R16" t="s">
        <v>44</v>
      </c>
      <c r="S16" s="11">
        <v>0</v>
      </c>
      <c r="T16" s="12" t="s">
        <v>45</v>
      </c>
      <c r="V16" s="7" t="s">
        <v>31</v>
      </c>
      <c r="W16" t="s">
        <v>32</v>
      </c>
      <c r="X16" t="s">
        <v>33</v>
      </c>
      <c r="Y16" t="s">
        <v>34</v>
      </c>
      <c r="Z16" t="s">
        <v>35</v>
      </c>
      <c r="AA16" t="s">
        <v>36</v>
      </c>
      <c r="AB16" t="s">
        <v>37</v>
      </c>
      <c r="AC16" s="11" t="s">
        <v>38</v>
      </c>
      <c r="AD16" s="12" t="s">
        <v>39</v>
      </c>
    </row>
    <row r="17" spans="1:30" x14ac:dyDescent="0.3">
      <c r="B17" s="7"/>
      <c r="C17" t="s">
        <v>102</v>
      </c>
      <c r="D17" t="s">
        <v>42</v>
      </c>
      <c r="E17">
        <v>14.835991999999999</v>
      </c>
      <c r="F17">
        <v>14.835991999999999</v>
      </c>
      <c r="G17" t="s">
        <v>43</v>
      </c>
      <c r="H17" t="s">
        <v>44</v>
      </c>
      <c r="I17" s="11">
        <v>0</v>
      </c>
      <c r="J17" s="12" t="s">
        <v>45</v>
      </c>
      <c r="L17" s="7"/>
      <c r="M17" t="s">
        <v>102</v>
      </c>
      <c r="N17" t="s">
        <v>42</v>
      </c>
      <c r="O17">
        <v>14.835991999999999</v>
      </c>
      <c r="P17">
        <v>14.835991999999999</v>
      </c>
      <c r="Q17" t="s">
        <v>43</v>
      </c>
      <c r="R17" t="s">
        <v>44</v>
      </c>
      <c r="S17" s="11">
        <v>0</v>
      </c>
      <c r="T17" s="12" t="s">
        <v>45</v>
      </c>
      <c r="V17" s="7"/>
      <c r="W17" s="21" t="s">
        <v>122</v>
      </c>
      <c r="X17" t="s">
        <v>42</v>
      </c>
      <c r="Y17" s="21">
        <v>1000</v>
      </c>
      <c r="Z17" s="21">
        <v>1000</v>
      </c>
      <c r="AA17" s="21" t="s">
        <v>43</v>
      </c>
      <c r="AB17" t="s">
        <v>44</v>
      </c>
      <c r="AC17" s="11">
        <v>0</v>
      </c>
      <c r="AD17" s="12" t="s">
        <v>45</v>
      </c>
    </row>
    <row r="18" spans="1:30" x14ac:dyDescent="0.3">
      <c r="B18" s="7"/>
      <c r="C18" t="s">
        <v>129</v>
      </c>
      <c r="D18" t="s">
        <v>42</v>
      </c>
      <c r="E18">
        <v>2.2905100000000001E-2</v>
      </c>
      <c r="F18">
        <v>2.2905100000000001E-2</v>
      </c>
      <c r="G18" t="s">
        <v>43</v>
      </c>
      <c r="H18" t="s">
        <v>44</v>
      </c>
      <c r="I18" s="11">
        <v>0</v>
      </c>
      <c r="J18" s="12" t="s">
        <v>45</v>
      </c>
      <c r="L18" s="7"/>
      <c r="M18" t="s">
        <v>129</v>
      </c>
      <c r="N18" t="s">
        <v>42</v>
      </c>
      <c r="O18">
        <v>2.2905100000000001E-2</v>
      </c>
      <c r="P18">
        <v>2.2905100000000001E-2</v>
      </c>
      <c r="Q18" t="s">
        <v>43</v>
      </c>
      <c r="R18" t="s">
        <v>44</v>
      </c>
      <c r="S18" s="11">
        <v>0</v>
      </c>
      <c r="T18" s="12" t="s">
        <v>45</v>
      </c>
      <c r="V18" s="7"/>
      <c r="W18" s="40" t="s">
        <v>130</v>
      </c>
      <c r="X18" t="s">
        <v>42</v>
      </c>
      <c r="Y18" s="40">
        <v>103.6887</v>
      </c>
      <c r="Z18" s="40">
        <v>103.6887</v>
      </c>
      <c r="AA18" s="40" t="s">
        <v>43</v>
      </c>
      <c r="AB18" t="s">
        <v>99</v>
      </c>
      <c r="AC18" s="11">
        <v>0</v>
      </c>
      <c r="AD18" s="12" t="s">
        <v>45</v>
      </c>
    </row>
    <row r="19" spans="1:30" x14ac:dyDescent="0.3">
      <c r="B19" s="7"/>
      <c r="C19" s="22" t="s">
        <v>139</v>
      </c>
      <c r="D19" t="s">
        <v>47</v>
      </c>
      <c r="E19" s="22">
        <v>10.23005</v>
      </c>
      <c r="F19" s="22">
        <v>10.23005</v>
      </c>
      <c r="G19" s="22" t="s">
        <v>48</v>
      </c>
      <c r="H19" t="s">
        <v>44</v>
      </c>
      <c r="I19" s="11">
        <v>0</v>
      </c>
      <c r="J19" s="8" t="s">
        <v>45</v>
      </c>
      <c r="L19" s="7"/>
      <c r="M19" s="22" t="s">
        <v>139</v>
      </c>
      <c r="N19" t="s">
        <v>47</v>
      </c>
      <c r="O19" s="22">
        <v>10.23005</v>
      </c>
      <c r="P19" s="22">
        <v>10.23005</v>
      </c>
      <c r="Q19" s="22" t="s">
        <v>48</v>
      </c>
      <c r="R19" t="s">
        <v>44</v>
      </c>
      <c r="S19" s="11">
        <v>0</v>
      </c>
      <c r="T19" s="8" t="s">
        <v>45</v>
      </c>
      <c r="V19" s="7"/>
      <c r="W19" t="s">
        <v>120</v>
      </c>
      <c r="X19" t="s">
        <v>42</v>
      </c>
      <c r="Y19">
        <v>68.308499999999995</v>
      </c>
      <c r="Z19">
        <v>68.308499999999995</v>
      </c>
      <c r="AA19" t="s">
        <v>43</v>
      </c>
      <c r="AB19" t="s">
        <v>99</v>
      </c>
      <c r="AC19" s="11">
        <v>0</v>
      </c>
      <c r="AD19" s="8" t="s">
        <v>45</v>
      </c>
    </row>
    <row r="20" spans="1:30" x14ac:dyDescent="0.3">
      <c r="B20" s="7"/>
      <c r="C20" s="22" t="s">
        <v>86</v>
      </c>
      <c r="D20" t="s">
        <v>47</v>
      </c>
      <c r="E20" s="22">
        <v>5300.3588719999998</v>
      </c>
      <c r="F20" s="22">
        <v>5300.3588719999998</v>
      </c>
      <c r="G20" s="22" t="s">
        <v>48</v>
      </c>
      <c r="H20" t="s">
        <v>44</v>
      </c>
      <c r="I20" s="11">
        <v>0</v>
      </c>
      <c r="J20" s="8" t="s">
        <v>45</v>
      </c>
      <c r="L20" s="7"/>
      <c r="M20" s="22" t="s">
        <v>86</v>
      </c>
      <c r="N20" t="s">
        <v>47</v>
      </c>
      <c r="O20" s="22">
        <v>5300.3588719999998</v>
      </c>
      <c r="P20" s="22">
        <v>5300.3588719999998</v>
      </c>
      <c r="Q20" s="22" t="s">
        <v>48</v>
      </c>
      <c r="R20" t="s">
        <v>44</v>
      </c>
      <c r="S20" s="11">
        <v>0</v>
      </c>
      <c r="T20" s="8" t="s">
        <v>45</v>
      </c>
      <c r="V20" s="7"/>
      <c r="W20" t="s">
        <v>144</v>
      </c>
      <c r="X20" t="s">
        <v>42</v>
      </c>
      <c r="Y20">
        <v>2.6051000000000002</v>
      </c>
      <c r="Z20">
        <v>2.6051000000000002</v>
      </c>
      <c r="AA20" t="s">
        <v>43</v>
      </c>
      <c r="AB20" t="s">
        <v>99</v>
      </c>
      <c r="AC20" s="11">
        <v>0</v>
      </c>
      <c r="AD20" s="8" t="s">
        <v>45</v>
      </c>
    </row>
    <row r="21" spans="1:30" x14ac:dyDescent="0.3">
      <c r="B21" s="7"/>
      <c r="C21" s="22" t="s">
        <v>154</v>
      </c>
      <c r="D21" t="s">
        <v>47</v>
      </c>
      <c r="E21" s="22">
        <v>2.0803349999999998</v>
      </c>
      <c r="F21" s="22">
        <v>2.0803349999999998</v>
      </c>
      <c r="G21" s="22" t="s">
        <v>48</v>
      </c>
      <c r="H21" t="s">
        <v>44</v>
      </c>
      <c r="I21" s="11">
        <v>0</v>
      </c>
      <c r="J21" s="12" t="s">
        <v>45</v>
      </c>
      <c r="L21" s="7"/>
      <c r="M21" s="22" t="s">
        <v>154</v>
      </c>
      <c r="N21" t="s">
        <v>47</v>
      </c>
      <c r="O21" s="22">
        <v>2.0803349999999998</v>
      </c>
      <c r="P21" s="22">
        <v>2.0803349999999998</v>
      </c>
      <c r="Q21" s="22" t="s">
        <v>48</v>
      </c>
      <c r="R21" t="s">
        <v>44</v>
      </c>
      <c r="S21" s="11">
        <v>0</v>
      </c>
      <c r="T21" s="12" t="s">
        <v>45</v>
      </c>
      <c r="V21" s="7"/>
      <c r="W21" s="40" t="s">
        <v>155</v>
      </c>
      <c r="X21" t="s">
        <v>42</v>
      </c>
      <c r="Y21" s="40">
        <v>1474.1172999999999</v>
      </c>
      <c r="Z21" s="40">
        <v>1474.1172999999999</v>
      </c>
      <c r="AA21" s="40" t="s">
        <v>43</v>
      </c>
      <c r="AB21" t="s">
        <v>99</v>
      </c>
      <c r="AC21" s="11">
        <v>0</v>
      </c>
      <c r="AD21" s="12" t="s">
        <v>45</v>
      </c>
    </row>
    <row r="22" spans="1:30" x14ac:dyDescent="0.3">
      <c r="A22" s="21" t="s">
        <v>250</v>
      </c>
      <c r="B22" s="7"/>
      <c r="C22" s="21" t="s">
        <v>159</v>
      </c>
      <c r="D22" t="s">
        <v>42</v>
      </c>
      <c r="E22" s="21">
        <v>263.41661499999998</v>
      </c>
      <c r="F22" s="21">
        <v>263.41661499999998</v>
      </c>
      <c r="G22" s="21" t="s">
        <v>43</v>
      </c>
      <c r="H22" t="s">
        <v>44</v>
      </c>
      <c r="I22" s="11">
        <v>0</v>
      </c>
      <c r="J22" s="12" t="s">
        <v>45</v>
      </c>
      <c r="L22" s="7"/>
      <c r="M22" s="21" t="s">
        <v>159</v>
      </c>
      <c r="N22" t="s">
        <v>42</v>
      </c>
      <c r="O22" s="21">
        <v>263.41661499999998</v>
      </c>
      <c r="P22" s="21">
        <v>263.41661499999998</v>
      </c>
      <c r="Q22" s="21" t="s">
        <v>43</v>
      </c>
      <c r="R22" t="s">
        <v>44</v>
      </c>
      <c r="S22" s="11">
        <v>0</v>
      </c>
      <c r="T22" s="12" t="s">
        <v>45</v>
      </c>
      <c r="V22" s="7"/>
      <c r="W22" t="s">
        <v>160</v>
      </c>
      <c r="X22" t="s">
        <v>42</v>
      </c>
      <c r="Y22">
        <v>0.14610000000000001</v>
      </c>
      <c r="Z22">
        <v>0.14610000000000001</v>
      </c>
      <c r="AA22" t="s">
        <v>43</v>
      </c>
      <c r="AB22" t="s">
        <v>99</v>
      </c>
      <c r="AC22" s="11">
        <v>0</v>
      </c>
      <c r="AD22" s="12" t="s">
        <v>45</v>
      </c>
    </row>
    <row r="23" spans="1:30" x14ac:dyDescent="0.3">
      <c r="A23" s="22" t="s">
        <v>251</v>
      </c>
      <c r="B23" s="7"/>
      <c r="C23" s="21" t="s">
        <v>166</v>
      </c>
      <c r="D23" t="s">
        <v>42</v>
      </c>
      <c r="E23" s="21">
        <v>375.704273</v>
      </c>
      <c r="F23" s="21">
        <v>375.704273</v>
      </c>
      <c r="G23" s="21" t="s">
        <v>43</v>
      </c>
      <c r="H23" t="s">
        <v>44</v>
      </c>
      <c r="I23" s="11">
        <v>0</v>
      </c>
      <c r="J23" s="12" t="s">
        <v>45</v>
      </c>
      <c r="L23" s="7"/>
      <c r="M23" s="21" t="s">
        <v>166</v>
      </c>
      <c r="N23" t="s">
        <v>42</v>
      </c>
      <c r="O23" s="21">
        <v>375.704273</v>
      </c>
      <c r="P23" s="21">
        <v>375.704273</v>
      </c>
      <c r="Q23" s="21" t="s">
        <v>43</v>
      </c>
      <c r="R23" t="s">
        <v>44</v>
      </c>
      <c r="S23" s="11">
        <v>0</v>
      </c>
      <c r="T23" s="12" t="s">
        <v>45</v>
      </c>
      <c r="V23" s="7"/>
      <c r="W23" t="s">
        <v>167</v>
      </c>
      <c r="X23" t="s">
        <v>42</v>
      </c>
      <c r="Y23">
        <v>0.24210000000000001</v>
      </c>
      <c r="Z23">
        <v>0.24210000000000001</v>
      </c>
      <c r="AA23" t="s">
        <v>43</v>
      </c>
      <c r="AC23" s="11">
        <v>0</v>
      </c>
      <c r="AD23" s="12" t="s">
        <v>45</v>
      </c>
    </row>
    <row r="24" spans="1:30" x14ac:dyDescent="0.3">
      <c r="A24" s="40" t="s">
        <v>277</v>
      </c>
      <c r="B24" s="7"/>
      <c r="C24" s="21" t="s">
        <v>173</v>
      </c>
      <c r="D24" t="s">
        <v>42</v>
      </c>
      <c r="E24" s="21">
        <v>309.35075000000001</v>
      </c>
      <c r="F24" s="21">
        <v>309.35075000000001</v>
      </c>
      <c r="G24" s="21" t="s">
        <v>43</v>
      </c>
      <c r="H24" t="s">
        <v>44</v>
      </c>
      <c r="I24" s="11">
        <v>0</v>
      </c>
      <c r="J24" s="12" t="s">
        <v>45</v>
      </c>
      <c r="L24" s="7"/>
      <c r="M24" s="21" t="s">
        <v>173</v>
      </c>
      <c r="N24" t="s">
        <v>42</v>
      </c>
      <c r="O24" s="21">
        <v>309.35075000000001</v>
      </c>
      <c r="P24" s="21">
        <v>309.35075000000001</v>
      </c>
      <c r="Q24" s="21" t="s">
        <v>43</v>
      </c>
      <c r="R24" t="s">
        <v>44</v>
      </c>
      <c r="S24" s="11">
        <v>0</v>
      </c>
      <c r="T24" s="12" t="s">
        <v>45</v>
      </c>
      <c r="V24" s="7"/>
      <c r="W24" t="s">
        <v>165</v>
      </c>
      <c r="X24" t="s">
        <v>42</v>
      </c>
      <c r="Y24">
        <v>7.5069999999999998E-2</v>
      </c>
      <c r="Z24">
        <v>7.5069999999999998E-2</v>
      </c>
      <c r="AA24" t="s">
        <v>43</v>
      </c>
      <c r="AC24" s="11">
        <v>0</v>
      </c>
      <c r="AD24" s="12" t="s">
        <v>45</v>
      </c>
    </row>
    <row r="25" spans="1:30" x14ac:dyDescent="0.3">
      <c r="B25" s="7"/>
      <c r="C25" t="s">
        <v>178</v>
      </c>
      <c r="D25" t="s">
        <v>42</v>
      </c>
      <c r="E25">
        <v>139.88810899999999</v>
      </c>
      <c r="F25">
        <v>139.88810899999999</v>
      </c>
      <c r="G25" t="s">
        <v>43</v>
      </c>
      <c r="H25" t="s">
        <v>44</v>
      </c>
      <c r="I25" s="11">
        <v>0</v>
      </c>
      <c r="J25" s="12" t="s">
        <v>45</v>
      </c>
      <c r="L25" s="7"/>
      <c r="M25" t="s">
        <v>178</v>
      </c>
      <c r="N25" t="s">
        <v>42</v>
      </c>
      <c r="O25">
        <v>139.88810899999999</v>
      </c>
      <c r="P25">
        <v>139.88810899999999</v>
      </c>
      <c r="Q25" t="s">
        <v>43</v>
      </c>
      <c r="R25" t="s">
        <v>44</v>
      </c>
      <c r="S25" s="11">
        <v>0</v>
      </c>
      <c r="T25" s="12" t="s">
        <v>45</v>
      </c>
      <c r="V25" s="7"/>
      <c r="W25" t="s">
        <v>179</v>
      </c>
      <c r="X25" t="s">
        <v>42</v>
      </c>
      <c r="Y25">
        <v>2.0459999999999999E-2</v>
      </c>
      <c r="Z25">
        <v>2.0459999999999999E-2</v>
      </c>
      <c r="AA25" t="s">
        <v>43</v>
      </c>
      <c r="AC25" s="11">
        <v>0</v>
      </c>
      <c r="AD25" s="12" t="s">
        <v>45</v>
      </c>
    </row>
    <row r="26" spans="1:30" x14ac:dyDescent="0.3">
      <c r="B26" s="7" t="s">
        <v>84</v>
      </c>
      <c r="E26" s="14"/>
      <c r="F26" s="14"/>
      <c r="I26" s="11"/>
      <c r="J26" s="12"/>
      <c r="L26" s="7" t="s">
        <v>84</v>
      </c>
      <c r="O26" s="14"/>
      <c r="P26" s="14"/>
      <c r="S26" s="11"/>
      <c r="T26" s="12"/>
      <c r="V26" s="7"/>
      <c r="W26" t="s">
        <v>185</v>
      </c>
      <c r="X26" t="s">
        <v>42</v>
      </c>
      <c r="Y26" s="14">
        <v>5.0000000000000002E-5</v>
      </c>
      <c r="Z26" s="14">
        <v>5.0000000000000002E-5</v>
      </c>
      <c r="AA26" t="s">
        <v>43</v>
      </c>
      <c r="AC26" s="11">
        <v>0</v>
      </c>
      <c r="AD26" s="12" t="s">
        <v>45</v>
      </c>
    </row>
    <row r="27" spans="1:30" x14ac:dyDescent="0.3">
      <c r="B27" s="7" t="s">
        <v>31</v>
      </c>
      <c r="C27" t="s">
        <v>32</v>
      </c>
      <c r="D27" t="s">
        <v>33</v>
      </c>
      <c r="E27" s="14" t="s">
        <v>34</v>
      </c>
      <c r="F27" s="14" t="s">
        <v>35</v>
      </c>
      <c r="G27" t="s">
        <v>36</v>
      </c>
      <c r="H27" t="s">
        <v>37</v>
      </c>
      <c r="I27" s="11" t="s">
        <v>38</v>
      </c>
      <c r="J27" s="12" t="s">
        <v>39</v>
      </c>
      <c r="L27" s="7" t="s">
        <v>31</v>
      </c>
      <c r="M27" t="s">
        <v>32</v>
      </c>
      <c r="N27" t="s">
        <v>33</v>
      </c>
      <c r="O27" s="14" t="s">
        <v>34</v>
      </c>
      <c r="P27" s="14" t="s">
        <v>35</v>
      </c>
      <c r="Q27" t="s">
        <v>36</v>
      </c>
      <c r="R27" t="s">
        <v>37</v>
      </c>
      <c r="S27" s="11" t="s">
        <v>38</v>
      </c>
      <c r="T27" s="12" t="s">
        <v>39</v>
      </c>
      <c r="V27" s="7"/>
      <c r="W27" t="s">
        <v>188</v>
      </c>
      <c r="X27" t="s">
        <v>42</v>
      </c>
      <c r="Y27" s="14">
        <v>2.4199999999999999E-2</v>
      </c>
      <c r="Z27" s="14">
        <v>2.4199999999999999E-2</v>
      </c>
      <c r="AA27" t="s">
        <v>43</v>
      </c>
      <c r="AC27" s="11">
        <v>0</v>
      </c>
      <c r="AD27" s="12" t="s">
        <v>45</v>
      </c>
    </row>
    <row r="28" spans="1:30" x14ac:dyDescent="0.3">
      <c r="B28" s="7"/>
      <c r="C28" s="21" t="s">
        <v>122</v>
      </c>
      <c r="D28" t="s">
        <v>42</v>
      </c>
      <c r="E28" s="21">
        <v>1000</v>
      </c>
      <c r="F28" s="21">
        <v>1000</v>
      </c>
      <c r="G28" s="23" t="s">
        <v>43</v>
      </c>
      <c r="H28" t="s">
        <v>44</v>
      </c>
      <c r="I28" s="11">
        <v>0</v>
      </c>
      <c r="J28" s="12" t="s">
        <v>45</v>
      </c>
      <c r="L28" s="7"/>
      <c r="M28" s="21" t="s">
        <v>122</v>
      </c>
      <c r="N28" t="s">
        <v>42</v>
      </c>
      <c r="O28" s="21">
        <v>1000</v>
      </c>
      <c r="P28" s="23">
        <v>1000</v>
      </c>
      <c r="Q28" s="23" t="s">
        <v>43</v>
      </c>
      <c r="R28" t="s">
        <v>44</v>
      </c>
      <c r="S28" s="11">
        <v>0</v>
      </c>
      <c r="T28" s="12" t="s">
        <v>45</v>
      </c>
      <c r="V28" s="7"/>
      <c r="W28" t="s">
        <v>187</v>
      </c>
      <c r="X28" t="s">
        <v>42</v>
      </c>
      <c r="Y28">
        <v>0.14410000000000001</v>
      </c>
      <c r="Z28" s="14">
        <v>0.14410000000000001</v>
      </c>
      <c r="AA28" s="14" t="s">
        <v>43</v>
      </c>
      <c r="AC28" s="11">
        <v>0</v>
      </c>
      <c r="AD28" s="12" t="s">
        <v>45</v>
      </c>
    </row>
    <row r="29" spans="1:30" ht="15" thickBot="1" x14ac:dyDescent="0.35">
      <c r="B29" s="7"/>
      <c r="C29" s="40" t="s">
        <v>109</v>
      </c>
      <c r="D29" t="s">
        <v>42</v>
      </c>
      <c r="E29" s="40">
        <v>0.35708699999999999</v>
      </c>
      <c r="F29" s="40">
        <v>0.35708699999999999</v>
      </c>
      <c r="G29" s="40" t="s">
        <v>43</v>
      </c>
      <c r="H29" t="s">
        <v>99</v>
      </c>
      <c r="I29" s="11">
        <v>0</v>
      </c>
      <c r="J29" s="12" t="s">
        <v>45</v>
      </c>
      <c r="L29" s="7"/>
      <c r="M29" s="40" t="s">
        <v>109</v>
      </c>
      <c r="N29" t="s">
        <v>42</v>
      </c>
      <c r="O29" s="40">
        <v>0.35708699999999999</v>
      </c>
      <c r="P29" s="40">
        <v>0.35708699999999999</v>
      </c>
      <c r="Q29" s="40" t="s">
        <v>43</v>
      </c>
      <c r="R29" t="s">
        <v>99</v>
      </c>
      <c r="S29" s="11">
        <v>0</v>
      </c>
      <c r="T29" s="12" t="s">
        <v>45</v>
      </c>
      <c r="V29" s="4"/>
      <c r="W29" s="5" t="s">
        <v>193</v>
      </c>
      <c r="X29" s="5" t="s">
        <v>42</v>
      </c>
      <c r="Y29" s="5">
        <v>7.9799999999999996E-2</v>
      </c>
      <c r="Z29" s="5">
        <v>7.9799999999999996E-2</v>
      </c>
      <c r="AA29" s="5" t="s">
        <v>43</v>
      </c>
      <c r="AB29" s="5"/>
      <c r="AC29" s="13">
        <v>0</v>
      </c>
      <c r="AD29" s="16" t="s">
        <v>45</v>
      </c>
    </row>
    <row r="30" spans="1:30" x14ac:dyDescent="0.3">
      <c r="B30" s="7"/>
      <c r="C30" s="40" t="s">
        <v>197</v>
      </c>
      <c r="D30" t="s">
        <v>42</v>
      </c>
      <c r="E30" s="40">
        <v>54.695053000000001</v>
      </c>
      <c r="F30" s="40">
        <v>54.695053000000001</v>
      </c>
      <c r="G30" s="40" t="s">
        <v>43</v>
      </c>
      <c r="H30" t="s">
        <v>99</v>
      </c>
      <c r="I30" s="11">
        <v>0</v>
      </c>
      <c r="J30" s="12" t="s">
        <v>45</v>
      </c>
      <c r="L30" s="7"/>
      <c r="M30" s="40" t="s">
        <v>197</v>
      </c>
      <c r="N30" t="s">
        <v>42</v>
      </c>
      <c r="O30" s="40">
        <v>54.695053000000001</v>
      </c>
      <c r="P30" s="40">
        <v>54.695053000000001</v>
      </c>
      <c r="Q30" s="40" t="s">
        <v>43</v>
      </c>
      <c r="R30" t="s">
        <v>99</v>
      </c>
      <c r="S30" s="11">
        <v>0</v>
      </c>
      <c r="T30" s="12" t="s">
        <v>45</v>
      </c>
    </row>
    <row r="31" spans="1:30" x14ac:dyDescent="0.3">
      <c r="B31" s="7"/>
      <c r="C31" t="s">
        <v>120</v>
      </c>
      <c r="D31" t="s">
        <v>42</v>
      </c>
      <c r="E31">
        <v>3.4785620000000002</v>
      </c>
      <c r="F31">
        <v>3.4785620000000002</v>
      </c>
      <c r="G31" t="s">
        <v>43</v>
      </c>
      <c r="H31" t="s">
        <v>99</v>
      </c>
      <c r="I31" s="11">
        <v>0</v>
      </c>
      <c r="J31" s="12" t="s">
        <v>45</v>
      </c>
      <c r="L31" s="7"/>
      <c r="M31" t="s">
        <v>120</v>
      </c>
      <c r="N31" t="s">
        <v>42</v>
      </c>
      <c r="O31">
        <v>3.4785620000000002</v>
      </c>
      <c r="P31">
        <v>3.4785620000000002</v>
      </c>
      <c r="Q31" t="s">
        <v>43</v>
      </c>
      <c r="R31" t="s">
        <v>99</v>
      </c>
      <c r="S31" s="11">
        <v>0</v>
      </c>
      <c r="T31" s="12" t="s">
        <v>45</v>
      </c>
    </row>
    <row r="32" spans="1:30" x14ac:dyDescent="0.3">
      <c r="B32" s="7"/>
      <c r="C32" t="s">
        <v>200</v>
      </c>
      <c r="D32" t="s">
        <v>42</v>
      </c>
      <c r="E32">
        <v>3.11899E-2</v>
      </c>
      <c r="F32">
        <v>3.11899E-2</v>
      </c>
      <c r="G32" t="s">
        <v>43</v>
      </c>
      <c r="H32" t="s">
        <v>99</v>
      </c>
      <c r="I32" s="11">
        <v>0</v>
      </c>
      <c r="J32" s="12" t="s">
        <v>45</v>
      </c>
      <c r="L32" s="7"/>
      <c r="M32" t="s">
        <v>200</v>
      </c>
      <c r="N32" t="s">
        <v>42</v>
      </c>
      <c r="O32">
        <v>3.11899E-2</v>
      </c>
      <c r="P32">
        <v>3.11899E-2</v>
      </c>
      <c r="Q32" t="s">
        <v>43</v>
      </c>
      <c r="R32" t="s">
        <v>99</v>
      </c>
      <c r="S32" s="11">
        <v>0</v>
      </c>
      <c r="T32" s="12" t="s">
        <v>45</v>
      </c>
      <c r="Y32" t="s">
        <v>257</v>
      </c>
      <c r="Z32" s="18">
        <f>Z7*0.8</f>
        <v>2151.8296800000003</v>
      </c>
      <c r="AA32" t="s">
        <v>255</v>
      </c>
      <c r="AC32" s="20"/>
      <c r="AD32" s="11"/>
    </row>
    <row r="33" spans="2:29" x14ac:dyDescent="0.3">
      <c r="B33" s="7"/>
      <c r="C33" t="s">
        <v>118</v>
      </c>
      <c r="D33" t="s">
        <v>42</v>
      </c>
      <c r="E33" s="14">
        <v>7.6058399999999998E-2</v>
      </c>
      <c r="F33">
        <v>7.6058399999999998E-2</v>
      </c>
      <c r="G33" t="s">
        <v>43</v>
      </c>
      <c r="H33" t="s">
        <v>99</v>
      </c>
      <c r="I33" s="11">
        <v>0</v>
      </c>
      <c r="J33" s="12" t="s">
        <v>45</v>
      </c>
      <c r="L33" s="7"/>
      <c r="M33" t="s">
        <v>118</v>
      </c>
      <c r="N33" t="s">
        <v>42</v>
      </c>
      <c r="O33" s="14">
        <v>7.6058399999999998E-2</v>
      </c>
      <c r="P33" s="14">
        <v>7.6058399999999998E-2</v>
      </c>
      <c r="Q33" t="s">
        <v>43</v>
      </c>
      <c r="R33" t="s">
        <v>99</v>
      </c>
      <c r="S33" s="11">
        <v>0</v>
      </c>
      <c r="T33" s="12" t="s">
        <v>45</v>
      </c>
      <c r="Y33" t="s">
        <v>253</v>
      </c>
      <c r="Z33" s="18">
        <f>Z17</f>
        <v>1000</v>
      </c>
      <c r="AA33" t="s">
        <v>255</v>
      </c>
      <c r="AC33" s="20"/>
    </row>
    <row r="34" spans="2:29" x14ac:dyDescent="0.3">
      <c r="B34" s="7"/>
      <c r="C34" t="s">
        <v>144</v>
      </c>
      <c r="D34" t="s">
        <v>42</v>
      </c>
      <c r="E34">
        <v>0.31389699999999998</v>
      </c>
      <c r="F34">
        <v>0.31389699999999998</v>
      </c>
      <c r="G34" t="s">
        <v>43</v>
      </c>
      <c r="H34" t="s">
        <v>99</v>
      </c>
      <c r="I34" s="11">
        <v>0</v>
      </c>
      <c r="J34" s="12" t="s">
        <v>45</v>
      </c>
      <c r="L34" s="7"/>
      <c r="M34" t="s">
        <v>144</v>
      </c>
      <c r="N34" t="s">
        <v>42</v>
      </c>
      <c r="O34">
        <v>0.31389699999999998</v>
      </c>
      <c r="P34">
        <v>0.31389699999999998</v>
      </c>
      <c r="Q34" t="s">
        <v>43</v>
      </c>
      <c r="R34" t="s">
        <v>99</v>
      </c>
      <c r="S34" s="11">
        <v>0</v>
      </c>
      <c r="T34" s="12" t="s">
        <v>45</v>
      </c>
      <c r="Y34" t="s">
        <v>258</v>
      </c>
      <c r="Z34" s="20">
        <f>Z33/Z32</f>
        <v>0.46472079518858567</v>
      </c>
      <c r="AC34" s="20"/>
    </row>
    <row r="35" spans="2:29" x14ac:dyDescent="0.3">
      <c r="B35" s="7"/>
      <c r="C35" t="s">
        <v>204</v>
      </c>
      <c r="D35" t="s">
        <v>42</v>
      </c>
      <c r="E35">
        <v>1.7934840000000001</v>
      </c>
      <c r="F35">
        <v>1.7934840000000001</v>
      </c>
      <c r="G35" t="s">
        <v>43</v>
      </c>
      <c r="H35" t="s">
        <v>99</v>
      </c>
      <c r="I35" s="11">
        <v>0</v>
      </c>
      <c r="J35" s="12" t="s">
        <v>45</v>
      </c>
      <c r="L35" s="7"/>
      <c r="M35" t="s">
        <v>204</v>
      </c>
      <c r="N35" t="s">
        <v>42</v>
      </c>
      <c r="O35">
        <v>1.7934840000000001</v>
      </c>
      <c r="P35">
        <v>1.7934840000000001</v>
      </c>
      <c r="Q35" t="s">
        <v>43</v>
      </c>
      <c r="R35" t="s">
        <v>99</v>
      </c>
      <c r="S35" s="11">
        <v>0</v>
      </c>
      <c r="T35" s="12" t="s">
        <v>45</v>
      </c>
    </row>
    <row r="36" spans="2:29" x14ac:dyDescent="0.3">
      <c r="B36" s="7"/>
      <c r="C36" t="s">
        <v>155</v>
      </c>
      <c r="D36" t="s">
        <v>42</v>
      </c>
      <c r="E36">
        <v>4.1398900000000002E-2</v>
      </c>
      <c r="F36">
        <v>4.1398900000000002E-2</v>
      </c>
      <c r="G36" t="s">
        <v>43</v>
      </c>
      <c r="H36" t="s">
        <v>99</v>
      </c>
      <c r="I36" s="11">
        <v>0</v>
      </c>
      <c r="J36" s="12" t="s">
        <v>45</v>
      </c>
      <c r="L36" s="7"/>
      <c r="M36" t="s">
        <v>155</v>
      </c>
      <c r="N36" t="s">
        <v>42</v>
      </c>
      <c r="O36">
        <v>4.1398900000000002E-2</v>
      </c>
      <c r="P36">
        <v>4.1398900000000002E-2</v>
      </c>
      <c r="Q36" t="s">
        <v>43</v>
      </c>
      <c r="R36" t="s">
        <v>99</v>
      </c>
      <c r="S36" s="11">
        <v>0</v>
      </c>
      <c r="T36" s="12" t="s">
        <v>45</v>
      </c>
      <c r="Y36" t="s">
        <v>248</v>
      </c>
      <c r="Z36" s="18">
        <f>Z14</f>
        <v>5929.4885000000004</v>
      </c>
      <c r="AA36" t="s">
        <v>48</v>
      </c>
      <c r="AB36" s="43">
        <f>Z36/Z38</f>
        <v>0.88677610024914755</v>
      </c>
    </row>
    <row r="37" spans="2:29" x14ac:dyDescent="0.3">
      <c r="B37" s="7"/>
      <c r="C37" t="s">
        <v>169</v>
      </c>
      <c r="D37" t="s">
        <v>42</v>
      </c>
      <c r="E37">
        <v>2.768662</v>
      </c>
      <c r="F37">
        <v>2.768662</v>
      </c>
      <c r="G37" t="s">
        <v>43</v>
      </c>
      <c r="H37" t="s">
        <v>99</v>
      </c>
      <c r="I37" s="11">
        <v>0</v>
      </c>
      <c r="J37" s="12" t="s">
        <v>45</v>
      </c>
      <c r="L37" s="7"/>
      <c r="M37" t="s">
        <v>169</v>
      </c>
      <c r="N37" t="s">
        <v>42</v>
      </c>
      <c r="O37">
        <v>2.768662</v>
      </c>
      <c r="P37">
        <v>2.768662</v>
      </c>
      <c r="Q37" t="s">
        <v>43</v>
      </c>
      <c r="R37" t="s">
        <v>99</v>
      </c>
      <c r="S37" s="11">
        <v>0</v>
      </c>
      <c r="T37" s="12" t="s">
        <v>45</v>
      </c>
      <c r="Y37" t="s">
        <v>249</v>
      </c>
      <c r="Z37" s="18">
        <f>Z9</f>
        <v>757.07928000000004</v>
      </c>
      <c r="AA37" t="s">
        <v>48</v>
      </c>
      <c r="AB37" s="43">
        <f>Z37/Z38</f>
        <v>0.11322389975085245</v>
      </c>
    </row>
    <row r="38" spans="2:29" x14ac:dyDescent="0.3">
      <c r="B38" s="7"/>
      <c r="C38" t="s">
        <v>210</v>
      </c>
      <c r="D38" t="s">
        <v>42</v>
      </c>
      <c r="E38" s="14">
        <v>96.532768000000004</v>
      </c>
      <c r="F38">
        <v>96.532768000000004</v>
      </c>
      <c r="G38" t="s">
        <v>43</v>
      </c>
      <c r="H38" t="s">
        <v>99</v>
      </c>
      <c r="I38" s="11">
        <v>0</v>
      </c>
      <c r="J38" s="12" t="s">
        <v>45</v>
      </c>
      <c r="L38" s="7"/>
      <c r="M38" t="s">
        <v>210</v>
      </c>
      <c r="N38" t="s">
        <v>42</v>
      </c>
      <c r="O38" s="14">
        <v>96.532768000000004</v>
      </c>
      <c r="P38" s="14">
        <v>96.532768000000004</v>
      </c>
      <c r="Q38" t="s">
        <v>43</v>
      </c>
      <c r="R38" t="s">
        <v>99</v>
      </c>
      <c r="S38" s="11">
        <v>0</v>
      </c>
      <c r="T38" s="12" t="s">
        <v>45</v>
      </c>
      <c r="Y38" t="s">
        <v>263</v>
      </c>
      <c r="Z38" s="18">
        <f>SUM(Z36:Z37)</f>
        <v>6686.5677800000003</v>
      </c>
      <c r="AA38" s="18" t="s">
        <v>48</v>
      </c>
    </row>
    <row r="39" spans="2:29" x14ac:dyDescent="0.3">
      <c r="B39" s="7"/>
      <c r="C39" t="s">
        <v>211</v>
      </c>
      <c r="D39" t="s">
        <v>42</v>
      </c>
      <c r="E39">
        <v>8.0168600000000002E-4</v>
      </c>
      <c r="F39">
        <v>8.0168600000000002E-4</v>
      </c>
      <c r="G39" s="14" t="s">
        <v>43</v>
      </c>
      <c r="I39" s="11">
        <v>0</v>
      </c>
      <c r="J39" s="12" t="s">
        <v>45</v>
      </c>
      <c r="L39" s="7"/>
      <c r="M39" t="s">
        <v>211</v>
      </c>
      <c r="N39" t="s">
        <v>42</v>
      </c>
      <c r="O39">
        <v>8.0168600000000002E-4</v>
      </c>
      <c r="P39" s="14">
        <v>8.0168600000000002E-4</v>
      </c>
      <c r="Q39" s="14" t="s">
        <v>43</v>
      </c>
      <c r="S39" s="11">
        <v>0</v>
      </c>
      <c r="T39" s="12" t="s">
        <v>45</v>
      </c>
      <c r="AA39" s="18"/>
    </row>
    <row r="40" spans="2:29" x14ac:dyDescent="0.3">
      <c r="B40" s="7"/>
      <c r="C40" t="s">
        <v>213</v>
      </c>
      <c r="D40" t="s">
        <v>42</v>
      </c>
      <c r="E40">
        <v>3.900883E-3</v>
      </c>
      <c r="F40">
        <v>3.900883E-3</v>
      </c>
      <c r="G40" t="s">
        <v>43</v>
      </c>
      <c r="I40" s="11">
        <v>0</v>
      </c>
      <c r="J40" s="12" t="s">
        <v>45</v>
      </c>
      <c r="L40" s="7"/>
      <c r="M40" t="s">
        <v>213</v>
      </c>
      <c r="N40" t="s">
        <v>42</v>
      </c>
      <c r="O40">
        <v>3.900883E-3</v>
      </c>
      <c r="P40">
        <v>3.900883E-3</v>
      </c>
      <c r="Q40" t="s">
        <v>43</v>
      </c>
      <c r="S40" s="11">
        <v>0</v>
      </c>
      <c r="T40" s="12" t="s">
        <v>45</v>
      </c>
      <c r="Y40" t="s">
        <v>2</v>
      </c>
      <c r="Z40" s="44">
        <f>Z38/Z32</f>
        <v>3.107387095803976</v>
      </c>
    </row>
    <row r="41" spans="2:29" x14ac:dyDescent="0.3">
      <c r="B41" s="7"/>
      <c r="C41" t="s">
        <v>216</v>
      </c>
      <c r="D41" t="s">
        <v>42</v>
      </c>
      <c r="E41" s="14">
        <v>1.03223E-6</v>
      </c>
      <c r="F41">
        <v>1.03223E-6</v>
      </c>
      <c r="G41" t="s">
        <v>43</v>
      </c>
      <c r="I41" s="11">
        <v>0</v>
      </c>
      <c r="J41" s="12" t="s">
        <v>45</v>
      </c>
      <c r="L41" s="7"/>
      <c r="M41" t="s">
        <v>216</v>
      </c>
      <c r="N41" t="s">
        <v>42</v>
      </c>
      <c r="O41" s="14">
        <v>1.03223E-6</v>
      </c>
      <c r="P41" s="14">
        <v>1.03223E-6</v>
      </c>
      <c r="Q41" t="s">
        <v>43</v>
      </c>
      <c r="S41" s="11">
        <v>0</v>
      </c>
      <c r="T41" s="12" t="s">
        <v>45</v>
      </c>
      <c r="Y41" t="s">
        <v>301</v>
      </c>
      <c r="Z41" s="18">
        <f>Z38/Z33</f>
        <v>6.6865677800000007</v>
      </c>
    </row>
    <row r="42" spans="2:29" x14ac:dyDescent="0.3">
      <c r="B42" s="7"/>
      <c r="C42" t="s">
        <v>219</v>
      </c>
      <c r="D42" t="s">
        <v>42</v>
      </c>
      <c r="E42" s="14">
        <v>9.6564500000000009E-7</v>
      </c>
      <c r="F42">
        <v>9.6564500000000009E-7</v>
      </c>
      <c r="G42" t="s">
        <v>43</v>
      </c>
      <c r="I42" s="11">
        <v>0</v>
      </c>
      <c r="J42" s="12" t="s">
        <v>45</v>
      </c>
      <c r="L42" s="7"/>
      <c r="M42" t="s">
        <v>219</v>
      </c>
      <c r="N42" t="s">
        <v>42</v>
      </c>
      <c r="O42" s="14">
        <v>9.6564500000000009E-7</v>
      </c>
      <c r="P42" s="14">
        <v>9.6564500000000009E-7</v>
      </c>
      <c r="Q42" t="s">
        <v>43</v>
      </c>
      <c r="S42" s="11">
        <v>0</v>
      </c>
      <c r="T42" s="12" t="s">
        <v>45</v>
      </c>
    </row>
    <row r="43" spans="2:29" x14ac:dyDescent="0.3">
      <c r="B43" s="7"/>
      <c r="C43" t="s">
        <v>167</v>
      </c>
      <c r="D43" t="s">
        <v>42</v>
      </c>
      <c r="E43">
        <v>0.11283149000000001</v>
      </c>
      <c r="F43">
        <v>0.11283149000000001</v>
      </c>
      <c r="G43" t="s">
        <v>43</v>
      </c>
      <c r="I43" s="11">
        <v>0</v>
      </c>
      <c r="J43" s="12" t="s">
        <v>45</v>
      </c>
      <c r="L43" s="7"/>
      <c r="M43" t="s">
        <v>167</v>
      </c>
      <c r="N43" t="s">
        <v>42</v>
      </c>
      <c r="O43">
        <v>0.11283149000000001</v>
      </c>
      <c r="P43">
        <v>0.11283149000000001</v>
      </c>
      <c r="Q43" t="s">
        <v>43</v>
      </c>
      <c r="S43" s="11">
        <v>0</v>
      </c>
      <c r="T43" s="12" t="s">
        <v>45</v>
      </c>
    </row>
    <row r="44" spans="2:29" x14ac:dyDescent="0.3">
      <c r="B44" s="7"/>
      <c r="C44" t="s">
        <v>191</v>
      </c>
      <c r="D44" t="s">
        <v>42</v>
      </c>
      <c r="E44">
        <v>2.0208126999999999E-2</v>
      </c>
      <c r="F44">
        <v>2.0208126999999999E-2</v>
      </c>
      <c r="G44" t="s">
        <v>43</v>
      </c>
      <c r="I44" s="11">
        <v>0</v>
      </c>
      <c r="J44" s="12" t="s">
        <v>45</v>
      </c>
      <c r="L44" s="7"/>
      <c r="M44" t="s">
        <v>191</v>
      </c>
      <c r="N44" t="s">
        <v>42</v>
      </c>
      <c r="O44">
        <v>2.0208126999999999E-2</v>
      </c>
      <c r="P44">
        <v>2.0208126999999999E-2</v>
      </c>
      <c r="Q44" t="s">
        <v>43</v>
      </c>
      <c r="S44" s="11">
        <v>0</v>
      </c>
      <c r="T44" s="12" t="s">
        <v>45</v>
      </c>
    </row>
    <row r="45" spans="2:29" x14ac:dyDescent="0.3">
      <c r="B45" s="7"/>
      <c r="C45" t="s">
        <v>165</v>
      </c>
      <c r="D45" t="s">
        <v>42</v>
      </c>
      <c r="E45">
        <v>5.4119303000000001E-2</v>
      </c>
      <c r="F45">
        <v>5.4119303000000001E-2</v>
      </c>
      <c r="G45" t="s">
        <v>43</v>
      </c>
      <c r="I45" s="11">
        <v>0</v>
      </c>
      <c r="J45" s="12" t="s">
        <v>45</v>
      </c>
      <c r="L45" s="7"/>
      <c r="M45" t="s">
        <v>165</v>
      </c>
      <c r="N45" t="s">
        <v>42</v>
      </c>
      <c r="O45">
        <v>5.4119303000000001E-2</v>
      </c>
      <c r="P45">
        <v>5.4119303000000001E-2</v>
      </c>
      <c r="Q45" t="s">
        <v>43</v>
      </c>
      <c r="S45" s="11">
        <v>0</v>
      </c>
      <c r="T45" s="12" t="s">
        <v>45</v>
      </c>
    </row>
    <row r="46" spans="2:29" x14ac:dyDescent="0.3">
      <c r="B46" s="7"/>
      <c r="C46" t="s">
        <v>179</v>
      </c>
      <c r="D46" t="s">
        <v>42</v>
      </c>
      <c r="E46">
        <v>1.5320731000000001E-2</v>
      </c>
      <c r="F46">
        <v>1.5320731000000001E-2</v>
      </c>
      <c r="G46" t="s">
        <v>43</v>
      </c>
      <c r="I46" s="11">
        <v>0</v>
      </c>
      <c r="J46" s="8" t="s">
        <v>45</v>
      </c>
      <c r="L46" s="7"/>
      <c r="M46" t="s">
        <v>179</v>
      </c>
      <c r="N46" t="s">
        <v>42</v>
      </c>
      <c r="O46">
        <v>1.5320731000000001E-2</v>
      </c>
      <c r="P46">
        <v>1.5320731000000001E-2</v>
      </c>
      <c r="Q46" t="s">
        <v>43</v>
      </c>
      <c r="S46" s="11">
        <v>0</v>
      </c>
      <c r="T46" s="8" t="s">
        <v>45</v>
      </c>
    </row>
    <row r="47" spans="2:29" x14ac:dyDescent="0.3">
      <c r="B47" s="7"/>
      <c r="C47" t="s">
        <v>185</v>
      </c>
      <c r="D47" t="s">
        <v>42</v>
      </c>
      <c r="E47" s="14">
        <v>1.0058799999999999E-5</v>
      </c>
      <c r="F47">
        <v>1.0058799999999999E-5</v>
      </c>
      <c r="G47" t="s">
        <v>43</v>
      </c>
      <c r="I47" s="11">
        <v>0</v>
      </c>
      <c r="J47" s="8" t="s">
        <v>45</v>
      </c>
      <c r="L47" s="7"/>
      <c r="M47" t="s">
        <v>185</v>
      </c>
      <c r="N47" t="s">
        <v>42</v>
      </c>
      <c r="O47" s="14">
        <v>1.0058799999999999E-5</v>
      </c>
      <c r="P47" s="14">
        <v>1.0058799999999999E-5</v>
      </c>
      <c r="Q47" t="s">
        <v>43</v>
      </c>
      <c r="S47" s="11">
        <v>0</v>
      </c>
      <c r="T47" s="8" t="s">
        <v>45</v>
      </c>
    </row>
    <row r="48" spans="2:29" x14ac:dyDescent="0.3">
      <c r="B48" s="7"/>
      <c r="C48" t="s">
        <v>222</v>
      </c>
      <c r="D48" t="s">
        <v>42</v>
      </c>
      <c r="E48" s="14">
        <v>1.38107E-6</v>
      </c>
      <c r="F48">
        <v>1.38107E-6</v>
      </c>
      <c r="G48" t="s">
        <v>43</v>
      </c>
      <c r="I48" s="11">
        <v>0</v>
      </c>
      <c r="J48" s="8" t="s">
        <v>45</v>
      </c>
      <c r="L48" s="7"/>
      <c r="M48" t="s">
        <v>222</v>
      </c>
      <c r="N48" t="s">
        <v>42</v>
      </c>
      <c r="O48" s="14">
        <v>1.38107E-6</v>
      </c>
      <c r="P48" s="14">
        <v>1.38107E-6</v>
      </c>
      <c r="Q48" t="s">
        <v>43</v>
      </c>
      <c r="S48" s="11">
        <v>0</v>
      </c>
      <c r="T48" s="8" t="s">
        <v>45</v>
      </c>
    </row>
    <row r="49" spans="2:20" x14ac:dyDescent="0.3">
      <c r="B49" s="7"/>
      <c r="C49" t="s">
        <v>188</v>
      </c>
      <c r="D49" t="s">
        <v>42</v>
      </c>
      <c r="E49">
        <v>4.0117645E-2</v>
      </c>
      <c r="F49">
        <v>4.0117645E-2</v>
      </c>
      <c r="G49" t="s">
        <v>43</v>
      </c>
      <c r="I49" s="11">
        <v>0</v>
      </c>
      <c r="J49" s="8" t="s">
        <v>45</v>
      </c>
      <c r="L49" s="7"/>
      <c r="M49" t="s">
        <v>188</v>
      </c>
      <c r="N49" t="s">
        <v>42</v>
      </c>
      <c r="O49">
        <v>4.0117645E-2</v>
      </c>
      <c r="P49">
        <v>4.0117645E-2</v>
      </c>
      <c r="Q49" t="s">
        <v>43</v>
      </c>
      <c r="S49" s="11">
        <v>0</v>
      </c>
      <c r="T49" s="8" t="s">
        <v>45</v>
      </c>
    </row>
    <row r="50" spans="2:20" x14ac:dyDescent="0.3">
      <c r="B50" s="7"/>
      <c r="C50" t="s">
        <v>223</v>
      </c>
      <c r="D50" t="s">
        <v>42</v>
      </c>
      <c r="E50">
        <v>5.0123252E-2</v>
      </c>
      <c r="F50">
        <v>5.0123252E-2</v>
      </c>
      <c r="G50" t="s">
        <v>43</v>
      </c>
      <c r="H50" s="11"/>
      <c r="I50" s="11">
        <v>0</v>
      </c>
      <c r="J50" s="8" t="s">
        <v>45</v>
      </c>
      <c r="L50" s="7"/>
      <c r="M50" t="s">
        <v>223</v>
      </c>
      <c r="N50" t="s">
        <v>42</v>
      </c>
      <c r="O50">
        <v>5.0123252E-2</v>
      </c>
      <c r="P50">
        <v>5.0123252E-2</v>
      </c>
      <c r="Q50" t="s">
        <v>43</v>
      </c>
      <c r="R50" s="11"/>
      <c r="S50" s="11">
        <v>0</v>
      </c>
      <c r="T50" s="8" t="s">
        <v>45</v>
      </c>
    </row>
    <row r="51" spans="2:20" x14ac:dyDescent="0.3">
      <c r="B51" s="7"/>
      <c r="C51" t="s">
        <v>187</v>
      </c>
      <c r="D51" t="s">
        <v>42</v>
      </c>
      <c r="E51">
        <v>3.5121326000000001E-2</v>
      </c>
      <c r="F51">
        <v>3.5121326000000001E-2</v>
      </c>
      <c r="G51" t="s">
        <v>43</v>
      </c>
      <c r="H51" s="11"/>
      <c r="I51" s="11">
        <v>0</v>
      </c>
      <c r="J51" s="8" t="s">
        <v>45</v>
      </c>
      <c r="L51" s="7"/>
      <c r="M51" t="s">
        <v>187</v>
      </c>
      <c r="N51" t="s">
        <v>42</v>
      </c>
      <c r="O51">
        <v>3.5121326000000001E-2</v>
      </c>
      <c r="P51">
        <v>3.5121326000000001E-2</v>
      </c>
      <c r="Q51" t="s">
        <v>43</v>
      </c>
      <c r="R51" s="11"/>
      <c r="S51" s="11">
        <v>0</v>
      </c>
      <c r="T51" s="8" t="s">
        <v>45</v>
      </c>
    </row>
    <row r="52" spans="2:20" ht="15" thickBot="1" x14ac:dyDescent="0.35">
      <c r="B52" s="4"/>
      <c r="C52" s="5" t="s">
        <v>124</v>
      </c>
      <c r="D52" s="5" t="s">
        <v>42</v>
      </c>
      <c r="E52" s="5">
        <v>43.355340869999999</v>
      </c>
      <c r="F52">
        <v>43.355340869999999</v>
      </c>
      <c r="G52" s="5" t="s">
        <v>43</v>
      </c>
      <c r="H52" s="13"/>
      <c r="I52" s="13">
        <v>0</v>
      </c>
      <c r="J52" s="6" t="s">
        <v>45</v>
      </c>
      <c r="L52" s="4"/>
      <c r="M52" s="5" t="s">
        <v>124</v>
      </c>
      <c r="N52" s="5" t="s">
        <v>42</v>
      </c>
      <c r="O52" s="5">
        <v>43.355340869999999</v>
      </c>
      <c r="P52" s="5">
        <v>43.355340869999999</v>
      </c>
      <c r="Q52" s="5" t="s">
        <v>43</v>
      </c>
      <c r="R52" s="13"/>
      <c r="S52" s="13">
        <v>0</v>
      </c>
      <c r="T52" s="6" t="s">
        <v>45</v>
      </c>
    </row>
    <row r="55" spans="2:20" x14ac:dyDescent="0.3">
      <c r="E55" t="s">
        <v>252</v>
      </c>
      <c r="F55" s="18">
        <f>SUM(F22:F24)+F9+F7</f>
        <v>1052.3640519999999</v>
      </c>
      <c r="G55" t="s">
        <v>255</v>
      </c>
      <c r="H55" t="s">
        <v>272</v>
      </c>
      <c r="I55" s="20">
        <f>F7/F55</f>
        <v>5.2729376202599522E-2</v>
      </c>
      <c r="J55" t="s">
        <v>449</v>
      </c>
      <c r="N55" t="s">
        <v>252</v>
      </c>
      <c r="O55" s="18">
        <f>SUM(O22:O24)+O9+O7</f>
        <v>1052.3640519999999</v>
      </c>
      <c r="P55" t="s">
        <v>255</v>
      </c>
      <c r="Q55" t="s">
        <v>271</v>
      </c>
      <c r="R55" s="20">
        <f>O7/O55</f>
        <v>5.2729376202599522E-2</v>
      </c>
      <c r="S55" t="s">
        <v>449</v>
      </c>
    </row>
    <row r="56" spans="2:20" x14ac:dyDescent="0.3">
      <c r="E56" t="s">
        <v>253</v>
      </c>
      <c r="F56" s="18">
        <f>F28</f>
        <v>1000</v>
      </c>
      <c r="G56" t="s">
        <v>255</v>
      </c>
      <c r="H56" t="s">
        <v>262</v>
      </c>
      <c r="I56" s="43">
        <f>F7/F56</f>
        <v>5.5490499999999998E-2</v>
      </c>
      <c r="J56" t="s">
        <v>324</v>
      </c>
      <c r="N56" t="s">
        <v>253</v>
      </c>
      <c r="O56" s="18">
        <f>O28</f>
        <v>1000</v>
      </c>
      <c r="P56" t="s">
        <v>255</v>
      </c>
      <c r="Q56" t="s">
        <v>269</v>
      </c>
      <c r="R56" s="43">
        <f>O7/O56</f>
        <v>5.5490499999999998E-2</v>
      </c>
      <c r="S56" t="s">
        <v>324</v>
      </c>
    </row>
    <row r="57" spans="2:20" x14ac:dyDescent="0.3">
      <c r="E57" t="s">
        <v>254</v>
      </c>
      <c r="F57" s="43">
        <f>F56/F55</f>
        <v>0.95024150444850053</v>
      </c>
      <c r="N57" t="s">
        <v>254</v>
      </c>
      <c r="O57" s="43">
        <f>O56/O55</f>
        <v>0.95024150444850053</v>
      </c>
    </row>
    <row r="59" spans="2:20" x14ac:dyDescent="0.3">
      <c r="E59" t="s">
        <v>248</v>
      </c>
      <c r="F59" s="18">
        <f>SUM(F19:F21)+F10</f>
        <v>5799.6996921999998</v>
      </c>
      <c r="G59" t="s">
        <v>48</v>
      </c>
      <c r="H59" s="43">
        <f>F59/F61</f>
        <v>0.92253040526149943</v>
      </c>
      <c r="N59" t="s">
        <v>248</v>
      </c>
      <c r="O59" s="18">
        <f>SUM(O19:O21)+O10</f>
        <v>5799.6996921999998</v>
      </c>
      <c r="P59" t="s">
        <v>48</v>
      </c>
      <c r="Q59" s="43">
        <f>O59/O61</f>
        <v>0.92253040526149943</v>
      </c>
    </row>
    <row r="60" spans="2:20" x14ac:dyDescent="0.3">
      <c r="E60" t="s">
        <v>249</v>
      </c>
      <c r="F60" s="18">
        <f>F10</f>
        <v>487.0304352</v>
      </c>
      <c r="G60" t="s">
        <v>48</v>
      </c>
      <c r="H60" s="43">
        <f>F60/F61</f>
        <v>7.7469594738500555E-2</v>
      </c>
      <c r="N60" t="s">
        <v>249</v>
      </c>
      <c r="O60" s="18">
        <f>O10</f>
        <v>487.0304352</v>
      </c>
      <c r="P60" t="s">
        <v>48</v>
      </c>
      <c r="Q60" s="43">
        <f>O60/O61</f>
        <v>7.7469594738500555E-2</v>
      </c>
    </row>
    <row r="61" spans="2:20" x14ac:dyDescent="0.3">
      <c r="E61" t="s">
        <v>263</v>
      </c>
      <c r="F61" s="18">
        <f>SUM(F59:F60)</f>
        <v>6286.7301274000001</v>
      </c>
      <c r="G61" s="18" t="s">
        <v>48</v>
      </c>
      <c r="N61" t="s">
        <v>263</v>
      </c>
      <c r="O61" s="18">
        <f>SUM(O59:O60)</f>
        <v>6286.7301274000001</v>
      </c>
      <c r="P61" s="18" t="s">
        <v>48</v>
      </c>
    </row>
    <row r="62" spans="2:20" x14ac:dyDescent="0.3">
      <c r="G62" s="18"/>
      <c r="P62" s="18"/>
    </row>
    <row r="63" spans="2:20" x14ac:dyDescent="0.3">
      <c r="E63" t="s">
        <v>2</v>
      </c>
      <c r="F63" s="43">
        <f>F61/F55</f>
        <v>5.9739118943222902</v>
      </c>
    </row>
    <row r="64" spans="2:20" x14ac:dyDescent="0.3">
      <c r="E64" t="s">
        <v>301</v>
      </c>
      <c r="F64" s="20">
        <f>F61/F56</f>
        <v>6.2867301274000003</v>
      </c>
      <c r="G64" t="s">
        <v>307</v>
      </c>
      <c r="N64" t="s">
        <v>2</v>
      </c>
      <c r="O64" s="43">
        <f>O61/O55</f>
        <v>5.9739118943222902</v>
      </c>
    </row>
    <row r="65" spans="14:15" x14ac:dyDescent="0.3">
      <c r="N65" t="s">
        <v>301</v>
      </c>
      <c r="O65" s="20">
        <f>O61/O56</f>
        <v>6.2867301274000003</v>
      </c>
    </row>
    <row r="66" spans="14:15" x14ac:dyDescent="0.3">
      <c r="O66" s="20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9D4B-5C97-CA41-97D1-8F92AC06247A}">
  <dimension ref="A1:V40"/>
  <sheetViews>
    <sheetView topLeftCell="A18" zoomScale="130" zoomScaleNormal="130" workbookViewId="0">
      <selection activeCell="G37" sqref="G37"/>
    </sheetView>
  </sheetViews>
  <sheetFormatPr defaultColWidth="11.44140625" defaultRowHeight="14.4" x14ac:dyDescent="0.3"/>
  <cols>
    <col min="1" max="1" width="30.44140625" customWidth="1"/>
    <col min="3" max="3" width="44.6640625" customWidth="1"/>
    <col min="14" max="14" width="33.44140625" customWidth="1"/>
  </cols>
  <sheetData>
    <row r="1" spans="1:22" x14ac:dyDescent="0.3">
      <c r="A1" s="9" t="s">
        <v>0</v>
      </c>
      <c r="B1" s="1" t="s">
        <v>7</v>
      </c>
      <c r="C1" s="2"/>
      <c r="D1" s="2" t="s">
        <v>308</v>
      </c>
      <c r="E1" s="2" t="s">
        <v>309</v>
      </c>
      <c r="F1" s="2"/>
      <c r="G1" s="2"/>
      <c r="H1" s="2"/>
      <c r="I1" s="2"/>
      <c r="J1" s="2"/>
      <c r="K1" s="3"/>
      <c r="M1" s="1" t="s">
        <v>14</v>
      </c>
      <c r="N1" s="2"/>
      <c r="O1" s="2"/>
      <c r="P1" s="2" t="s">
        <v>285</v>
      </c>
      <c r="Q1" s="2"/>
      <c r="R1" s="2"/>
      <c r="S1" s="2"/>
      <c r="T1" s="2"/>
      <c r="U1" s="3"/>
    </row>
    <row r="2" spans="1:22" x14ac:dyDescent="0.3">
      <c r="A2" s="9" t="s">
        <v>16</v>
      </c>
      <c r="B2" s="7" t="s">
        <v>21</v>
      </c>
      <c r="K2" s="8"/>
      <c r="M2" s="7" t="s">
        <v>27</v>
      </c>
      <c r="U2" s="8"/>
    </row>
    <row r="3" spans="1:22" x14ac:dyDescent="0.3">
      <c r="A3" s="10" t="s">
        <v>300</v>
      </c>
      <c r="B3" s="7">
        <v>1</v>
      </c>
      <c r="K3" s="8"/>
      <c r="M3" s="7">
        <v>1</v>
      </c>
      <c r="U3" s="8"/>
    </row>
    <row r="4" spans="1:22" x14ac:dyDescent="0.3">
      <c r="B4" s="7" t="s">
        <v>30</v>
      </c>
      <c r="K4" s="8"/>
      <c r="M4" s="7" t="s">
        <v>30</v>
      </c>
      <c r="U4" s="8"/>
    </row>
    <row r="5" spans="1:22" x14ac:dyDescent="0.3">
      <c r="B5" s="7" t="s">
        <v>31</v>
      </c>
      <c r="C5" t="s">
        <v>32</v>
      </c>
      <c r="D5" t="s">
        <v>33</v>
      </c>
      <c r="E5" t="s">
        <v>34</v>
      </c>
      <c r="F5" s="11" t="s">
        <v>35</v>
      </c>
      <c r="G5" t="s">
        <v>36</v>
      </c>
      <c r="H5" t="s">
        <v>37</v>
      </c>
      <c r="I5" t="s">
        <v>38</v>
      </c>
      <c r="J5" t="s">
        <v>39</v>
      </c>
      <c r="K5" s="8" t="s">
        <v>40</v>
      </c>
      <c r="M5" s="7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s="8" t="s">
        <v>39</v>
      </c>
    </row>
    <row r="6" spans="1:22" x14ac:dyDescent="0.3">
      <c r="B6" s="7"/>
      <c r="C6" s="21" t="s">
        <v>54</v>
      </c>
      <c r="D6" t="s">
        <v>42</v>
      </c>
      <c r="E6" s="21">
        <v>1000</v>
      </c>
      <c r="F6" s="21">
        <v>1000</v>
      </c>
      <c r="G6" s="21" t="s">
        <v>43</v>
      </c>
      <c r="H6" t="s">
        <v>44</v>
      </c>
      <c r="I6" s="11">
        <v>0</v>
      </c>
      <c r="J6" t="s">
        <v>55</v>
      </c>
      <c r="K6" s="8" t="s">
        <v>49</v>
      </c>
      <c r="M6" s="7"/>
      <c r="N6" s="21" t="s">
        <v>57</v>
      </c>
      <c r="O6" t="s">
        <v>42</v>
      </c>
      <c r="P6" s="21">
        <v>1.0449999999999999</v>
      </c>
      <c r="Q6" s="21">
        <v>1.0449999999999999</v>
      </c>
      <c r="R6" s="21" t="s">
        <v>43</v>
      </c>
      <c r="S6" t="s">
        <v>44</v>
      </c>
      <c r="T6" s="11">
        <v>0</v>
      </c>
      <c r="U6" s="8" t="s">
        <v>58</v>
      </c>
    </row>
    <row r="7" spans="1:22" x14ac:dyDescent="0.3">
      <c r="B7" s="7"/>
      <c r="C7" s="22" t="s">
        <v>46</v>
      </c>
      <c r="D7" t="s">
        <v>47</v>
      </c>
      <c r="E7" s="22">
        <v>190.8</v>
      </c>
      <c r="F7" s="22">
        <v>190.8</v>
      </c>
      <c r="G7" s="22" t="s">
        <v>48</v>
      </c>
      <c r="H7" t="s">
        <v>44</v>
      </c>
      <c r="I7" s="11">
        <v>0</v>
      </c>
      <c r="J7" t="s">
        <v>55</v>
      </c>
      <c r="K7" s="8" t="s">
        <v>49</v>
      </c>
      <c r="M7" s="7"/>
      <c r="N7" s="22" t="s">
        <v>46</v>
      </c>
      <c r="O7" t="s">
        <v>47</v>
      </c>
      <c r="P7" s="22">
        <v>3.492</v>
      </c>
      <c r="Q7" s="22">
        <v>3.492</v>
      </c>
      <c r="R7" s="22" t="s">
        <v>48</v>
      </c>
      <c r="S7" t="s">
        <v>44</v>
      </c>
      <c r="T7" s="11">
        <v>0</v>
      </c>
      <c r="U7" s="8" t="s">
        <v>58</v>
      </c>
    </row>
    <row r="8" spans="1:22" x14ac:dyDescent="0.3">
      <c r="B8" s="7"/>
      <c r="C8" t="s">
        <v>72</v>
      </c>
      <c r="D8" t="s">
        <v>42</v>
      </c>
      <c r="E8">
        <v>0.22</v>
      </c>
      <c r="F8">
        <v>0.22</v>
      </c>
      <c r="G8" t="s">
        <v>43</v>
      </c>
      <c r="H8" t="s">
        <v>44</v>
      </c>
      <c r="I8" s="11">
        <v>0</v>
      </c>
      <c r="J8" t="s">
        <v>45</v>
      </c>
      <c r="K8" s="8" t="s">
        <v>73</v>
      </c>
      <c r="M8" s="7"/>
      <c r="N8" s="22" t="s">
        <v>76</v>
      </c>
      <c r="O8" t="s">
        <v>47</v>
      </c>
      <c r="P8" s="22">
        <v>1.9</v>
      </c>
      <c r="Q8" s="22">
        <v>1.9</v>
      </c>
      <c r="R8" s="22" t="s">
        <v>48</v>
      </c>
      <c r="S8" t="s">
        <v>44</v>
      </c>
      <c r="T8" s="11">
        <v>0</v>
      </c>
      <c r="U8" s="8" t="s">
        <v>58</v>
      </c>
    </row>
    <row r="9" spans="1:22" x14ac:dyDescent="0.3">
      <c r="B9" s="7"/>
      <c r="C9" s="22" t="s">
        <v>66</v>
      </c>
      <c r="D9" t="s">
        <v>47</v>
      </c>
      <c r="E9" s="22">
        <v>128.88</v>
      </c>
      <c r="F9" s="22">
        <v>128.88</v>
      </c>
      <c r="G9" s="22" t="s">
        <v>48</v>
      </c>
      <c r="H9" t="s">
        <v>44</v>
      </c>
      <c r="I9" s="11">
        <v>0</v>
      </c>
      <c r="J9" t="s">
        <v>55</v>
      </c>
      <c r="K9" s="8" t="s">
        <v>82</v>
      </c>
      <c r="M9" s="7" t="s">
        <v>84</v>
      </c>
      <c r="U9" s="8"/>
    </row>
    <row r="10" spans="1:22" x14ac:dyDescent="0.3">
      <c r="B10" s="7"/>
      <c r="C10" s="22" t="s">
        <v>86</v>
      </c>
      <c r="D10" t="s">
        <v>47</v>
      </c>
      <c r="E10" s="22">
        <v>863.15164529942103</v>
      </c>
      <c r="F10" s="22">
        <v>863.15164529942103</v>
      </c>
      <c r="G10" s="22" t="s">
        <v>48</v>
      </c>
      <c r="H10" t="s">
        <v>44</v>
      </c>
      <c r="I10" s="11">
        <v>0</v>
      </c>
      <c r="J10" t="s">
        <v>55</v>
      </c>
      <c r="K10" s="8" t="s">
        <v>49</v>
      </c>
      <c r="M10" s="7" t="s">
        <v>31</v>
      </c>
      <c r="N10" t="s">
        <v>32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 t="s">
        <v>38</v>
      </c>
      <c r="U10" s="8" t="s">
        <v>39</v>
      </c>
    </row>
    <row r="11" spans="1:22" x14ac:dyDescent="0.3">
      <c r="B11" s="7"/>
      <c r="C11" t="s">
        <v>85</v>
      </c>
      <c r="D11" t="s">
        <v>42</v>
      </c>
      <c r="E11">
        <v>1900</v>
      </c>
      <c r="F11">
        <v>1900</v>
      </c>
      <c r="G11" t="s">
        <v>43</v>
      </c>
      <c r="I11" s="11">
        <v>0</v>
      </c>
      <c r="J11" t="s">
        <v>55</v>
      </c>
      <c r="K11" s="8" t="s">
        <v>91</v>
      </c>
      <c r="M11" s="7"/>
      <c r="N11" t="s">
        <v>94</v>
      </c>
      <c r="O11" t="s">
        <v>42</v>
      </c>
      <c r="P11">
        <v>1</v>
      </c>
      <c r="Q11">
        <v>1</v>
      </c>
      <c r="R11" t="s">
        <v>43</v>
      </c>
      <c r="S11" t="s">
        <v>44</v>
      </c>
      <c r="T11" s="11">
        <v>0</v>
      </c>
      <c r="U11" s="8" t="s">
        <v>58</v>
      </c>
    </row>
    <row r="12" spans="1:22" x14ac:dyDescent="0.3">
      <c r="B12" s="7" t="s">
        <v>84</v>
      </c>
      <c r="F12" s="11"/>
      <c r="K12" s="8"/>
      <c r="M12" s="7"/>
      <c r="N12" s="40" t="s">
        <v>98</v>
      </c>
      <c r="O12" t="s">
        <v>42</v>
      </c>
      <c r="P12" s="40">
        <v>4.4999999999999998E-2</v>
      </c>
      <c r="Q12" s="40">
        <v>4.4999999999999998E-2</v>
      </c>
      <c r="R12" s="40" t="s">
        <v>43</v>
      </c>
      <c r="S12" t="s">
        <v>99</v>
      </c>
      <c r="T12" s="11">
        <v>0</v>
      </c>
      <c r="U12" s="8" t="s">
        <v>58</v>
      </c>
    </row>
    <row r="13" spans="1:22" ht="15" thickBot="1" x14ac:dyDescent="0.35">
      <c r="B13" s="7" t="s">
        <v>31</v>
      </c>
      <c r="C13" t="s">
        <v>32</v>
      </c>
      <c r="D13" t="s">
        <v>33</v>
      </c>
      <c r="E13" t="s">
        <v>34</v>
      </c>
      <c r="F13" s="11" t="s">
        <v>35</v>
      </c>
      <c r="G13" t="s">
        <v>36</v>
      </c>
      <c r="H13" t="s">
        <v>37</v>
      </c>
      <c r="I13" t="s">
        <v>38</v>
      </c>
      <c r="J13" t="s">
        <v>39</v>
      </c>
      <c r="K13" s="8" t="s">
        <v>40</v>
      </c>
      <c r="M13" s="4"/>
      <c r="N13" s="5" t="s">
        <v>104</v>
      </c>
      <c r="O13" s="5" t="s">
        <v>42</v>
      </c>
      <c r="P13" s="5">
        <v>2.9999999999999997E-4</v>
      </c>
      <c r="Q13" s="5">
        <v>2.9999999999999997E-4</v>
      </c>
      <c r="R13" s="5" t="s">
        <v>43</v>
      </c>
      <c r="S13" s="5"/>
      <c r="T13" s="13">
        <v>0</v>
      </c>
      <c r="U13" s="6" t="s">
        <v>58</v>
      </c>
      <c r="V13" t="s">
        <v>384</v>
      </c>
    </row>
    <row r="14" spans="1:22" x14ac:dyDescent="0.3">
      <c r="B14" s="7"/>
      <c r="C14" s="21" t="s">
        <v>107</v>
      </c>
      <c r="D14" t="s">
        <v>42</v>
      </c>
      <c r="E14" s="21">
        <v>1000</v>
      </c>
      <c r="F14" s="21">
        <v>1000</v>
      </c>
      <c r="G14" s="21" t="s">
        <v>43</v>
      </c>
      <c r="H14" t="s">
        <v>44</v>
      </c>
      <c r="I14" s="11">
        <v>0</v>
      </c>
      <c r="J14" t="s">
        <v>51</v>
      </c>
      <c r="K14" s="8" t="s">
        <v>49</v>
      </c>
    </row>
    <row r="15" spans="1:22" x14ac:dyDescent="0.3">
      <c r="B15" s="7"/>
      <c r="C15" s="40" t="s">
        <v>109</v>
      </c>
      <c r="D15" t="s">
        <v>42</v>
      </c>
      <c r="E15" s="40">
        <v>14.56</v>
      </c>
      <c r="F15" s="40">
        <v>14.56</v>
      </c>
      <c r="G15" s="40" t="s">
        <v>43</v>
      </c>
      <c r="H15" t="s">
        <v>99</v>
      </c>
      <c r="I15" s="11">
        <v>0</v>
      </c>
      <c r="J15" t="s">
        <v>51</v>
      </c>
      <c r="K15" s="8" t="s">
        <v>49</v>
      </c>
      <c r="T15" s="20"/>
    </row>
    <row r="16" spans="1:22" x14ac:dyDescent="0.3">
      <c r="B16" s="7"/>
      <c r="C16" s="40" t="s">
        <v>113</v>
      </c>
      <c r="D16" t="s">
        <v>42</v>
      </c>
      <c r="E16" s="40">
        <v>3.87</v>
      </c>
      <c r="F16" s="40">
        <v>3.87</v>
      </c>
      <c r="G16" s="40" t="s">
        <v>43</v>
      </c>
      <c r="H16" t="s">
        <v>99</v>
      </c>
      <c r="I16" s="11">
        <v>0</v>
      </c>
      <c r="J16" t="s">
        <v>51</v>
      </c>
      <c r="K16" s="8" t="s">
        <v>114</v>
      </c>
      <c r="P16" t="s">
        <v>259</v>
      </c>
      <c r="Q16">
        <f>Q6</f>
        <v>1.0449999999999999</v>
      </c>
      <c r="R16" t="s">
        <v>255</v>
      </c>
      <c r="S16" t="s">
        <v>443</v>
      </c>
      <c r="T16" s="43">
        <f>0.157/Q16</f>
        <v>0.15023923444976078</v>
      </c>
      <c r="U16" t="s">
        <v>282</v>
      </c>
    </row>
    <row r="17" spans="1:21" x14ac:dyDescent="0.3">
      <c r="B17" s="7"/>
      <c r="C17" t="s">
        <v>120</v>
      </c>
      <c r="D17" t="s">
        <v>42</v>
      </c>
      <c r="E17">
        <v>0.28999999999999998</v>
      </c>
      <c r="F17">
        <v>0.28999999999999998</v>
      </c>
      <c r="G17" t="s">
        <v>43</v>
      </c>
      <c r="H17" t="s">
        <v>99</v>
      </c>
      <c r="I17" s="11">
        <v>0</v>
      </c>
      <c r="J17" t="s">
        <v>45</v>
      </c>
      <c r="K17" s="8" t="s">
        <v>121</v>
      </c>
      <c r="P17" t="s">
        <v>260</v>
      </c>
      <c r="Q17">
        <f>Q11</f>
        <v>1</v>
      </c>
      <c r="R17" t="s">
        <v>255</v>
      </c>
      <c r="S17" t="s">
        <v>444</v>
      </c>
      <c r="T17">
        <f>0.157/Q17</f>
        <v>0.157</v>
      </c>
      <c r="U17" t="s">
        <v>284</v>
      </c>
    </row>
    <row r="18" spans="1:21" x14ac:dyDescent="0.3">
      <c r="B18" s="7"/>
      <c r="C18" t="s">
        <v>118</v>
      </c>
      <c r="D18" t="s">
        <v>42</v>
      </c>
      <c r="E18">
        <v>1.59</v>
      </c>
      <c r="F18">
        <v>1.59</v>
      </c>
      <c r="G18" t="s">
        <v>43</v>
      </c>
      <c r="H18" t="s">
        <v>99</v>
      </c>
      <c r="I18" s="11">
        <v>0</v>
      </c>
      <c r="J18" t="s">
        <v>45</v>
      </c>
      <c r="K18" s="8" t="s">
        <v>49</v>
      </c>
      <c r="P18" t="s">
        <v>447</v>
      </c>
      <c r="Q18" s="46">
        <f>Q17/Q16</f>
        <v>0.95693779904306231</v>
      </c>
    </row>
    <row r="19" spans="1:21" x14ac:dyDescent="0.3">
      <c r="B19" s="7"/>
      <c r="C19" t="s">
        <v>137</v>
      </c>
      <c r="D19" t="s">
        <v>42</v>
      </c>
      <c r="E19">
        <v>0.08</v>
      </c>
      <c r="F19">
        <v>0.08</v>
      </c>
      <c r="G19" t="s">
        <v>43</v>
      </c>
      <c r="H19" t="s">
        <v>99</v>
      </c>
      <c r="I19" s="11">
        <v>0</v>
      </c>
      <c r="J19" t="s">
        <v>45</v>
      </c>
      <c r="K19" s="8" t="s">
        <v>138</v>
      </c>
    </row>
    <row r="20" spans="1:21" x14ac:dyDescent="0.3">
      <c r="B20" s="7"/>
      <c r="C20" t="s">
        <v>144</v>
      </c>
      <c r="D20" t="s">
        <v>42</v>
      </c>
      <c r="E20">
        <v>0.29278999999999999</v>
      </c>
      <c r="F20">
        <v>0.29278999999999999</v>
      </c>
      <c r="G20" t="s">
        <v>43</v>
      </c>
      <c r="H20" t="s">
        <v>99</v>
      </c>
      <c r="I20" s="11">
        <v>0</v>
      </c>
      <c r="J20" t="s">
        <v>51</v>
      </c>
      <c r="K20" s="8" t="s">
        <v>146</v>
      </c>
      <c r="P20" t="s">
        <v>248</v>
      </c>
      <c r="Q20" s="18">
        <f>Q7</f>
        <v>3.492</v>
      </c>
      <c r="R20" t="s">
        <v>48</v>
      </c>
      <c r="S20" s="43">
        <f>Q20/Q22</f>
        <v>0.64762611275964399</v>
      </c>
    </row>
    <row r="21" spans="1:21" x14ac:dyDescent="0.3">
      <c r="B21" s="7"/>
      <c r="C21" t="s">
        <v>151</v>
      </c>
      <c r="D21" t="s">
        <v>42</v>
      </c>
      <c r="E21">
        <v>0.58699999999999997</v>
      </c>
      <c r="F21">
        <v>0.58699999999999997</v>
      </c>
      <c r="G21" t="s">
        <v>43</v>
      </c>
      <c r="H21" t="s">
        <v>99</v>
      </c>
      <c r="I21" s="11">
        <v>0</v>
      </c>
      <c r="J21" t="s">
        <v>45</v>
      </c>
      <c r="K21" s="8" t="s">
        <v>153</v>
      </c>
      <c r="P21" t="s">
        <v>249</v>
      </c>
      <c r="Q21" s="18">
        <f>Q8</f>
        <v>1.9</v>
      </c>
      <c r="R21" t="s">
        <v>48</v>
      </c>
      <c r="S21" s="43">
        <f>Q21/Q22</f>
        <v>0.35237388724035612</v>
      </c>
    </row>
    <row r="22" spans="1:21" x14ac:dyDescent="0.3">
      <c r="A22" s="21" t="s">
        <v>250</v>
      </c>
      <c r="B22" s="7"/>
      <c r="C22" t="s">
        <v>104</v>
      </c>
      <c r="D22" t="s">
        <v>42</v>
      </c>
      <c r="E22">
        <v>6.4000000000000001E-2</v>
      </c>
      <c r="F22">
        <v>6.4000000000000001E-2</v>
      </c>
      <c r="G22" t="s">
        <v>43</v>
      </c>
      <c r="I22" s="11">
        <v>0</v>
      </c>
      <c r="J22" t="s">
        <v>61</v>
      </c>
      <c r="K22" s="8" t="s">
        <v>158</v>
      </c>
      <c r="P22" t="s">
        <v>263</v>
      </c>
      <c r="Q22" s="18">
        <f>SUM(Q20:Q21)</f>
        <v>5.3919999999999995</v>
      </c>
      <c r="R22" s="18" t="s">
        <v>48</v>
      </c>
    </row>
    <row r="23" spans="1:21" x14ac:dyDescent="0.3">
      <c r="A23" s="22" t="s">
        <v>251</v>
      </c>
      <c r="B23" s="7"/>
      <c r="C23" t="s">
        <v>165</v>
      </c>
      <c r="D23" t="s">
        <v>42</v>
      </c>
      <c r="E23">
        <v>4.7199999999999999E-2</v>
      </c>
      <c r="F23">
        <v>4.7199999999999999E-2</v>
      </c>
      <c r="G23" t="s">
        <v>43</v>
      </c>
      <c r="I23" s="11">
        <v>0</v>
      </c>
      <c r="J23" t="s">
        <v>45</v>
      </c>
      <c r="K23" s="8" t="s">
        <v>49</v>
      </c>
      <c r="R23" s="18"/>
    </row>
    <row r="24" spans="1:21" x14ac:dyDescent="0.3">
      <c r="A24" s="40" t="s">
        <v>277</v>
      </c>
      <c r="B24" s="7"/>
      <c r="C24" t="s">
        <v>172</v>
      </c>
      <c r="D24" t="s">
        <v>42</v>
      </c>
      <c r="E24">
        <v>8.7599999999999997E-2</v>
      </c>
      <c r="F24">
        <v>8.7599999999999997E-2</v>
      </c>
      <c r="G24" t="s">
        <v>43</v>
      </c>
      <c r="I24" s="11">
        <v>0</v>
      </c>
      <c r="J24" t="s">
        <v>61</v>
      </c>
      <c r="K24" s="8" t="s">
        <v>49</v>
      </c>
      <c r="P24" t="s">
        <v>2</v>
      </c>
      <c r="Q24" s="43">
        <f>Q22/Q16</f>
        <v>5.159808612440191</v>
      </c>
    </row>
    <row r="25" spans="1:21" x14ac:dyDescent="0.3">
      <c r="B25" s="7"/>
      <c r="C25" t="s">
        <v>177</v>
      </c>
      <c r="D25" t="s">
        <v>42</v>
      </c>
      <c r="E25" s="14">
        <v>1.3169999999999999E-9</v>
      </c>
      <c r="F25">
        <v>1.3169999999999999E-9</v>
      </c>
      <c r="G25" t="s">
        <v>43</v>
      </c>
      <c r="I25" s="11">
        <v>0</v>
      </c>
      <c r="J25" t="s">
        <v>45</v>
      </c>
      <c r="K25" s="8" t="s">
        <v>49</v>
      </c>
      <c r="P25" t="s">
        <v>310</v>
      </c>
      <c r="Q25" s="20">
        <f>Q22/Q17</f>
        <v>5.3919999999999995</v>
      </c>
    </row>
    <row r="26" spans="1:21" x14ac:dyDescent="0.3">
      <c r="B26" s="7"/>
      <c r="C26" t="s">
        <v>184</v>
      </c>
      <c r="D26" t="s">
        <v>42</v>
      </c>
      <c r="E26">
        <v>1444</v>
      </c>
      <c r="F26">
        <v>1444</v>
      </c>
      <c r="G26" t="s">
        <v>43</v>
      </c>
      <c r="I26" s="11">
        <v>0</v>
      </c>
      <c r="J26" t="s">
        <v>45</v>
      </c>
      <c r="K26" s="8" t="s">
        <v>49</v>
      </c>
    </row>
    <row r="27" spans="1:21" x14ac:dyDescent="0.3">
      <c r="B27" s="7"/>
      <c r="C27" t="s">
        <v>187</v>
      </c>
      <c r="D27" t="s">
        <v>42</v>
      </c>
      <c r="E27">
        <v>1.14E-2</v>
      </c>
      <c r="F27">
        <v>1.14E-2</v>
      </c>
      <c r="G27" t="s">
        <v>43</v>
      </c>
      <c r="I27" s="11">
        <v>0</v>
      </c>
      <c r="J27" t="s">
        <v>61</v>
      </c>
      <c r="K27" s="8" t="s">
        <v>49</v>
      </c>
      <c r="N27" t="s">
        <v>270</v>
      </c>
      <c r="O27" s="38">
        <v>0.8</v>
      </c>
    </row>
    <row r="28" spans="1:21" ht="15" thickBot="1" x14ac:dyDescent="0.35">
      <c r="B28" s="4"/>
      <c r="C28" s="5" t="s">
        <v>124</v>
      </c>
      <c r="D28" s="5" t="s">
        <v>42</v>
      </c>
      <c r="E28" s="5">
        <v>459</v>
      </c>
      <c r="F28" s="5">
        <v>459</v>
      </c>
      <c r="G28" s="5" t="s">
        <v>43</v>
      </c>
      <c r="H28" s="5"/>
      <c r="I28" s="13">
        <v>0</v>
      </c>
      <c r="J28" s="5" t="s">
        <v>45</v>
      </c>
      <c r="K28" s="6"/>
      <c r="N28" t="s">
        <v>448</v>
      </c>
      <c r="O28" s="46">
        <f>(Q18-Q18*O27)/(1-Q18*O27)</f>
        <v>0.81632653061224525</v>
      </c>
    </row>
    <row r="31" spans="1:21" x14ac:dyDescent="0.3">
      <c r="E31" t="s">
        <v>252</v>
      </c>
      <c r="F31" s="18">
        <f>F6</f>
        <v>1000</v>
      </c>
      <c r="G31" t="s">
        <v>255</v>
      </c>
      <c r="H31" t="s">
        <v>278</v>
      </c>
      <c r="I31" s="39">
        <f>E15/(E15+E16)</f>
        <v>0.79001627780792194</v>
      </c>
    </row>
    <row r="32" spans="1:21" x14ac:dyDescent="0.3">
      <c r="E32" t="s">
        <v>253</v>
      </c>
      <c r="F32" s="18">
        <f>F14</f>
        <v>1000</v>
      </c>
      <c r="G32" t="s">
        <v>255</v>
      </c>
    </row>
    <row r="33" spans="5:9" x14ac:dyDescent="0.3">
      <c r="E33" t="s">
        <v>254</v>
      </c>
      <c r="F33" s="20">
        <f>F32/F31</f>
        <v>1</v>
      </c>
    </row>
    <row r="34" spans="5:9" x14ac:dyDescent="0.3">
      <c r="E34" s="193" t="s">
        <v>537</v>
      </c>
      <c r="F34" s="193" t="s">
        <v>534</v>
      </c>
      <c r="G34" s="193" t="s">
        <v>535</v>
      </c>
      <c r="H34" s="193" t="s">
        <v>536</v>
      </c>
      <c r="I34" s="208"/>
    </row>
    <row r="35" spans="5:9" x14ac:dyDescent="0.3">
      <c r="E35" s="193" t="s">
        <v>248</v>
      </c>
      <c r="F35" s="225">
        <f>SUM(F9:F10)</f>
        <v>992.03164529942103</v>
      </c>
      <c r="G35" s="213">
        <f>F35/F6</f>
        <v>0.99203164529942101</v>
      </c>
      <c r="H35" s="228">
        <f>F35/F37</f>
        <v>0.83869217503755478</v>
      </c>
      <c r="I35" s="222">
        <f>H35</f>
        <v>0.83869217503755478</v>
      </c>
    </row>
    <row r="36" spans="5:9" x14ac:dyDescent="0.3">
      <c r="E36" s="193" t="s">
        <v>249</v>
      </c>
      <c r="F36" s="226">
        <f>F7</f>
        <v>190.8</v>
      </c>
      <c r="G36" s="223">
        <f>F36/F6</f>
        <v>0.19080000000000003</v>
      </c>
      <c r="H36" s="229">
        <f>F36/F37</f>
        <v>0.16130782496244514</v>
      </c>
      <c r="I36" s="222">
        <f>H36</f>
        <v>0.16130782496244514</v>
      </c>
    </row>
    <row r="37" spans="5:9" x14ac:dyDescent="0.3">
      <c r="E37" s="193" t="s">
        <v>263</v>
      </c>
      <c r="F37" s="227">
        <f>SUM(F35:F36)</f>
        <v>1182.8316452994211</v>
      </c>
      <c r="G37" s="230">
        <f>F37/F6</f>
        <v>1.1828316452994212</v>
      </c>
      <c r="H37" s="224">
        <f>SUM(H35:H36)</f>
        <v>0.99999999999999989</v>
      </c>
      <c r="I37" s="208"/>
    </row>
    <row r="38" spans="5:9" x14ac:dyDescent="0.3">
      <c r="G38" s="18"/>
    </row>
    <row r="39" spans="5:9" x14ac:dyDescent="0.3">
      <c r="E39" t="s">
        <v>2</v>
      </c>
      <c r="F39" s="43">
        <f>F37/F31</f>
        <v>1.1828316452994212</v>
      </c>
    </row>
    <row r="40" spans="5:9" x14ac:dyDescent="0.3">
      <c r="E40" t="s">
        <v>301</v>
      </c>
      <c r="F40" s="20">
        <f>F37/F32</f>
        <v>1.1828316452994212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E473-DD98-1A46-9483-D534FE35428F}">
  <dimension ref="A1:AR97"/>
  <sheetViews>
    <sheetView topLeftCell="A81" zoomScale="130" zoomScaleNormal="130" workbookViewId="0">
      <selection activeCell="C21" sqref="C21"/>
    </sheetView>
  </sheetViews>
  <sheetFormatPr defaultColWidth="11.44140625" defaultRowHeight="14.4" x14ac:dyDescent="0.3"/>
  <cols>
    <col min="1" max="1" width="30.44140625" customWidth="1"/>
    <col min="3" max="3" width="47.44140625" customWidth="1"/>
    <col min="4" max="4" width="16.6640625" customWidth="1"/>
    <col min="5" max="5" width="14.6640625" customWidth="1"/>
    <col min="9" max="9" width="11.44140625" customWidth="1"/>
    <col min="10" max="11" width="14.44140625" customWidth="1"/>
    <col min="12" max="12" width="12.44140625" customWidth="1"/>
    <col min="13" max="13" width="31.6640625" customWidth="1"/>
    <col min="15" max="15" width="43.44140625" customWidth="1"/>
    <col min="17" max="17" width="12.6640625" customWidth="1"/>
    <col min="23" max="23" width="14.6640625" customWidth="1"/>
    <col min="24" max="24" width="14.109375" customWidth="1"/>
    <col min="25" max="25" width="28.109375" customWidth="1"/>
    <col min="27" max="27" width="46.6640625" customWidth="1"/>
    <col min="29" max="29" width="13.33203125" customWidth="1"/>
    <col min="33" max="33" width="12.109375" customWidth="1"/>
    <col min="35" max="35" width="14.6640625" customWidth="1"/>
    <col min="36" max="36" width="14.44140625" customWidth="1"/>
    <col min="37" max="37" width="27.109375" customWidth="1"/>
    <col min="39" max="39" width="31" customWidth="1"/>
  </cols>
  <sheetData>
    <row r="1" spans="1:44" x14ac:dyDescent="0.3">
      <c r="A1" s="9" t="s">
        <v>0</v>
      </c>
      <c r="B1" s="1" t="s">
        <v>12</v>
      </c>
      <c r="C1" s="2"/>
      <c r="D1" s="2"/>
      <c r="E1" s="2"/>
      <c r="F1" s="2"/>
      <c r="G1" s="2"/>
      <c r="H1" s="2"/>
      <c r="I1" s="2"/>
      <c r="J1" s="3"/>
      <c r="N1" s="1" t="s">
        <v>15</v>
      </c>
      <c r="O1" s="2"/>
      <c r="P1" s="2"/>
      <c r="Q1" s="2"/>
      <c r="R1" s="2"/>
      <c r="S1" s="2"/>
      <c r="T1" s="2"/>
      <c r="U1" s="2"/>
      <c r="V1" s="3"/>
      <c r="Z1" s="1" t="s">
        <v>13</v>
      </c>
      <c r="AA1" s="2"/>
      <c r="AB1" s="2"/>
      <c r="AC1" s="2"/>
      <c r="AD1" s="2"/>
      <c r="AE1" s="2"/>
      <c r="AF1" s="2"/>
      <c r="AG1" s="2"/>
      <c r="AH1" s="3"/>
      <c r="AM1" t="s">
        <v>381</v>
      </c>
    </row>
    <row r="2" spans="1:44" x14ac:dyDescent="0.3">
      <c r="A2" s="9" t="s">
        <v>16</v>
      </c>
      <c r="B2" s="7" t="s">
        <v>25</v>
      </c>
      <c r="J2" s="8"/>
      <c r="N2" s="7" t="s">
        <v>25</v>
      </c>
      <c r="V2" s="8"/>
      <c r="Z2" s="7" t="s">
        <v>26</v>
      </c>
      <c r="AH2" s="8"/>
      <c r="AM2" t="s">
        <v>259</v>
      </c>
    </row>
    <row r="3" spans="1:44" x14ac:dyDescent="0.3">
      <c r="A3" s="10" t="s">
        <v>300</v>
      </c>
      <c r="B3" s="7">
        <v>1</v>
      </c>
      <c r="J3" s="8"/>
      <c r="N3" s="7">
        <v>1</v>
      </c>
      <c r="V3" s="8"/>
      <c r="Z3" s="7">
        <v>1</v>
      </c>
      <c r="AH3" s="8"/>
      <c r="AM3" s="21" t="s">
        <v>312</v>
      </c>
      <c r="AN3" s="21">
        <v>1310</v>
      </c>
      <c r="AO3" s="21" t="s">
        <v>43</v>
      </c>
    </row>
    <row r="4" spans="1:44" x14ac:dyDescent="0.3">
      <c r="B4" s="7" t="s">
        <v>30</v>
      </c>
      <c r="J4" s="8"/>
      <c r="N4" s="7" t="s">
        <v>30</v>
      </c>
      <c r="V4" s="8"/>
      <c r="Z4" s="7" t="s">
        <v>31</v>
      </c>
      <c r="AA4" t="s">
        <v>32</v>
      </c>
      <c r="AB4" t="s">
        <v>33</v>
      </c>
      <c r="AC4" t="s">
        <v>34</v>
      </c>
      <c r="AD4" t="s">
        <v>35</v>
      </c>
      <c r="AE4" t="s">
        <v>36</v>
      </c>
      <c r="AF4" t="s">
        <v>37</v>
      </c>
      <c r="AG4" t="s">
        <v>38</v>
      </c>
      <c r="AH4" s="8" t="s">
        <v>39</v>
      </c>
      <c r="AM4" s="22" t="s">
        <v>313</v>
      </c>
      <c r="AN4" s="22">
        <f>1440</f>
        <v>1440</v>
      </c>
      <c r="AO4" s="22" t="s">
        <v>48</v>
      </c>
    </row>
    <row r="5" spans="1:44" x14ac:dyDescent="0.3">
      <c r="B5" s="7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s="8" t="s">
        <v>39</v>
      </c>
      <c r="N5" s="7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s="8" t="s">
        <v>39</v>
      </c>
      <c r="Z5" s="7"/>
      <c r="AA5" t="s">
        <v>41</v>
      </c>
      <c r="AB5" t="s">
        <v>42</v>
      </c>
      <c r="AC5">
        <v>10.300091415214199</v>
      </c>
      <c r="AD5">
        <v>10.300091415214199</v>
      </c>
      <c r="AE5" t="s">
        <v>43</v>
      </c>
      <c r="AF5" t="s">
        <v>44</v>
      </c>
      <c r="AG5" s="11">
        <v>0</v>
      </c>
      <c r="AH5" s="8" t="s">
        <v>45</v>
      </c>
      <c r="AM5" s="22" t="s">
        <v>314</v>
      </c>
      <c r="AN5" s="22">
        <f>0.155</f>
        <v>0.155</v>
      </c>
      <c r="AO5" s="22" t="s">
        <v>48</v>
      </c>
    </row>
    <row r="6" spans="1:44" x14ac:dyDescent="0.3">
      <c r="B6" s="7"/>
      <c r="C6" t="s">
        <v>41</v>
      </c>
      <c r="D6" t="s">
        <v>42</v>
      </c>
      <c r="E6">
        <v>9.5659601269901895</v>
      </c>
      <c r="F6">
        <v>9.5659601269901895</v>
      </c>
      <c r="G6" t="s">
        <v>43</v>
      </c>
      <c r="H6" t="s">
        <v>44</v>
      </c>
      <c r="I6" s="11">
        <v>0</v>
      </c>
      <c r="J6" s="8" t="s">
        <v>45</v>
      </c>
      <c r="N6" s="7"/>
      <c r="O6" t="s">
        <v>41</v>
      </c>
      <c r="P6" t="s">
        <v>42</v>
      </c>
      <c r="Q6">
        <v>6.8108894743772002</v>
      </c>
      <c r="R6">
        <v>6.8108894743772002</v>
      </c>
      <c r="S6" t="s">
        <v>43</v>
      </c>
      <c r="T6" t="s">
        <v>44</v>
      </c>
      <c r="U6" s="11">
        <v>0</v>
      </c>
      <c r="V6" s="8" t="s">
        <v>45</v>
      </c>
      <c r="Z6" s="7"/>
      <c r="AA6" t="s">
        <v>56</v>
      </c>
      <c r="AB6" t="s">
        <v>42</v>
      </c>
      <c r="AC6">
        <v>1.5097312694704701</v>
      </c>
      <c r="AD6">
        <v>1.5097312694704701</v>
      </c>
      <c r="AE6" t="s">
        <v>43</v>
      </c>
      <c r="AF6" t="s">
        <v>44</v>
      </c>
      <c r="AG6" s="11">
        <v>0</v>
      </c>
      <c r="AH6" s="8" t="s">
        <v>45</v>
      </c>
      <c r="AM6" s="22" t="s">
        <v>315</v>
      </c>
      <c r="AN6" s="22">
        <v>2910</v>
      </c>
      <c r="AO6" s="22" t="s">
        <v>48</v>
      </c>
    </row>
    <row r="7" spans="1:44" x14ac:dyDescent="0.3">
      <c r="B7" s="7"/>
      <c r="C7" t="s">
        <v>56</v>
      </c>
      <c r="D7" t="s">
        <v>42</v>
      </c>
      <c r="E7">
        <v>1.4021263058784701</v>
      </c>
      <c r="F7">
        <v>1.4021263058784701</v>
      </c>
      <c r="G7" t="s">
        <v>43</v>
      </c>
      <c r="H7" t="s">
        <v>44</v>
      </c>
      <c r="I7" s="11">
        <v>0</v>
      </c>
      <c r="J7" s="8" t="s">
        <v>45</v>
      </c>
      <c r="N7" s="7"/>
      <c r="O7" t="s">
        <v>56</v>
      </c>
      <c r="P7" t="s">
        <v>42</v>
      </c>
      <c r="Q7">
        <v>1.0659942995456799</v>
      </c>
      <c r="R7">
        <v>1.0659942995456799</v>
      </c>
      <c r="S7" t="s">
        <v>43</v>
      </c>
      <c r="T7" t="s">
        <v>44</v>
      </c>
      <c r="U7" s="11">
        <v>0</v>
      </c>
      <c r="V7" s="8" t="s">
        <v>45</v>
      </c>
      <c r="Z7" s="7"/>
      <c r="AA7" t="s">
        <v>65</v>
      </c>
      <c r="AB7" t="s">
        <v>42</v>
      </c>
      <c r="AC7">
        <v>2.9867942049240002</v>
      </c>
      <c r="AD7">
        <v>2.9867942049240002</v>
      </c>
      <c r="AE7" t="s">
        <v>43</v>
      </c>
      <c r="AF7" t="s">
        <v>44</v>
      </c>
      <c r="AG7" s="11">
        <v>0</v>
      </c>
      <c r="AH7" s="8" t="s">
        <v>45</v>
      </c>
    </row>
    <row r="8" spans="1:44" x14ac:dyDescent="0.3">
      <c r="B8" s="7"/>
      <c r="C8" t="s">
        <v>65</v>
      </c>
      <c r="D8" t="s">
        <v>42</v>
      </c>
      <c r="E8">
        <v>0.65319881030240001</v>
      </c>
      <c r="F8">
        <v>0.65319881030240001</v>
      </c>
      <c r="G8" t="s">
        <v>43</v>
      </c>
      <c r="H8" t="s">
        <v>44</v>
      </c>
      <c r="I8" s="11">
        <v>0</v>
      </c>
      <c r="J8" s="8" t="s">
        <v>45</v>
      </c>
      <c r="N8" s="7"/>
      <c r="O8" t="s">
        <v>65</v>
      </c>
      <c r="P8" t="s">
        <v>42</v>
      </c>
      <c r="Q8">
        <v>0.65659714719999995</v>
      </c>
      <c r="R8">
        <v>0.65659714719999995</v>
      </c>
      <c r="S8" t="s">
        <v>43</v>
      </c>
      <c r="T8" t="s">
        <v>44</v>
      </c>
      <c r="U8" s="11">
        <v>0</v>
      </c>
      <c r="V8" s="8" t="s">
        <v>45</v>
      </c>
      <c r="Z8" s="7"/>
      <c r="AA8" t="s">
        <v>75</v>
      </c>
      <c r="AB8" t="s">
        <v>42</v>
      </c>
      <c r="AC8">
        <v>8.9505890560544199E-2</v>
      </c>
      <c r="AD8">
        <v>8.9505890560544199E-2</v>
      </c>
      <c r="AE8" t="s">
        <v>43</v>
      </c>
      <c r="AF8" t="s">
        <v>44</v>
      </c>
      <c r="AG8" s="11">
        <v>0</v>
      </c>
      <c r="AH8" s="8" t="s">
        <v>45</v>
      </c>
      <c r="AM8" t="s">
        <v>260</v>
      </c>
    </row>
    <row r="9" spans="1:44" x14ac:dyDescent="0.3">
      <c r="B9" s="7"/>
      <c r="C9" t="s">
        <v>75</v>
      </c>
      <c r="D9" t="s">
        <v>42</v>
      </c>
      <c r="E9">
        <v>8.3126425360478998E-2</v>
      </c>
      <c r="F9">
        <v>8.3126425360478998E-2</v>
      </c>
      <c r="G9" t="s">
        <v>43</v>
      </c>
      <c r="H9" t="s">
        <v>44</v>
      </c>
      <c r="I9" s="11">
        <v>0</v>
      </c>
      <c r="J9" s="8" t="s">
        <v>45</v>
      </c>
      <c r="N9" s="7"/>
      <c r="O9" t="s">
        <v>75</v>
      </c>
      <c r="P9" t="s">
        <v>42</v>
      </c>
      <c r="Q9">
        <v>6.3198511578000896E-2</v>
      </c>
      <c r="R9">
        <v>6.3198511578000896E-2</v>
      </c>
      <c r="S9" t="s">
        <v>43</v>
      </c>
      <c r="T9" t="s">
        <v>44</v>
      </c>
      <c r="U9" s="11">
        <v>0</v>
      </c>
      <c r="V9" s="8" t="s">
        <v>45</v>
      </c>
      <c r="Z9" s="7"/>
      <c r="AA9" t="s">
        <v>46</v>
      </c>
      <c r="AB9" t="s">
        <v>47</v>
      </c>
      <c r="AC9">
        <v>4813.6112756248504</v>
      </c>
      <c r="AD9">
        <v>4813.6112756248504</v>
      </c>
      <c r="AE9" t="s">
        <v>48</v>
      </c>
      <c r="AF9" t="s">
        <v>44</v>
      </c>
      <c r="AG9" s="11">
        <v>0</v>
      </c>
      <c r="AH9" s="8" t="s">
        <v>45</v>
      </c>
      <c r="AM9" s="21" t="s">
        <v>316</v>
      </c>
      <c r="AN9" s="21">
        <f>1000</f>
        <v>1000</v>
      </c>
      <c r="AO9" s="21" t="s">
        <v>43</v>
      </c>
    </row>
    <row r="10" spans="1:44" x14ac:dyDescent="0.3">
      <c r="B10" s="7"/>
      <c r="C10" s="22" t="s">
        <v>46</v>
      </c>
      <c r="D10" t="s">
        <v>47</v>
      </c>
      <c r="E10" s="22">
        <v>3148.2445833513798</v>
      </c>
      <c r="F10" s="22">
        <v>3148.2445833513798</v>
      </c>
      <c r="G10" s="22" t="s">
        <v>48</v>
      </c>
      <c r="H10" t="s">
        <v>44</v>
      </c>
      <c r="I10" s="11">
        <v>0</v>
      </c>
      <c r="J10" s="8" t="s">
        <v>45</v>
      </c>
      <c r="N10" s="7"/>
      <c r="O10" s="22" t="s">
        <v>46</v>
      </c>
      <c r="P10" t="s">
        <v>47</v>
      </c>
      <c r="Q10" s="22">
        <v>2970.8328236614602</v>
      </c>
      <c r="R10" s="22">
        <v>2970.8328236614602</v>
      </c>
      <c r="S10" s="22" t="s">
        <v>48</v>
      </c>
      <c r="T10" t="s">
        <v>44</v>
      </c>
      <c r="U10" s="11">
        <v>0</v>
      </c>
      <c r="V10" s="8" t="s">
        <v>45</v>
      </c>
      <c r="Z10" s="7"/>
      <c r="AA10" t="s">
        <v>89</v>
      </c>
      <c r="AB10" t="s">
        <v>42</v>
      </c>
      <c r="AC10">
        <v>0.44763710787400202</v>
      </c>
      <c r="AD10">
        <v>0.44763710787400202</v>
      </c>
      <c r="AE10" t="s">
        <v>43</v>
      </c>
      <c r="AF10" t="s">
        <v>44</v>
      </c>
      <c r="AG10" s="11">
        <v>0</v>
      </c>
      <c r="AH10" s="8" t="s">
        <v>45</v>
      </c>
      <c r="AM10" s="21" t="s">
        <v>317</v>
      </c>
      <c r="AN10" s="21">
        <f>308</f>
        <v>308</v>
      </c>
      <c r="AO10" s="21" t="s">
        <v>43</v>
      </c>
    </row>
    <row r="11" spans="1:44" x14ac:dyDescent="0.3">
      <c r="B11" s="7"/>
      <c r="C11" t="s">
        <v>89</v>
      </c>
      <c r="D11" t="s">
        <v>42</v>
      </c>
      <c r="E11">
        <v>0.20670357234907</v>
      </c>
      <c r="F11">
        <v>0.20670357234907</v>
      </c>
      <c r="G11" t="s">
        <v>43</v>
      </c>
      <c r="H11" t="s">
        <v>44</v>
      </c>
      <c r="I11" s="11">
        <v>0</v>
      </c>
      <c r="J11" s="8" t="s">
        <v>45</v>
      </c>
      <c r="N11" s="7"/>
      <c r="O11" t="s">
        <v>89</v>
      </c>
      <c r="P11" t="s">
        <v>42</v>
      </c>
      <c r="Q11">
        <v>0.17471522896216601</v>
      </c>
      <c r="R11">
        <v>0.17471522896216601</v>
      </c>
      <c r="S11" t="s">
        <v>43</v>
      </c>
      <c r="T11" t="s">
        <v>44</v>
      </c>
      <c r="U11" s="11">
        <v>0</v>
      </c>
      <c r="V11" s="8" t="s">
        <v>45</v>
      </c>
      <c r="Z11" s="7"/>
      <c r="AA11" t="s">
        <v>93</v>
      </c>
      <c r="AB11" t="s">
        <v>42</v>
      </c>
      <c r="AC11">
        <v>0.398378128414901</v>
      </c>
      <c r="AD11">
        <v>0.398378128414901</v>
      </c>
      <c r="AE11" t="s">
        <v>43</v>
      </c>
      <c r="AF11" t="s">
        <v>44</v>
      </c>
      <c r="AG11" s="11">
        <v>0</v>
      </c>
      <c r="AH11" s="8" t="s">
        <v>45</v>
      </c>
    </row>
    <row r="12" spans="1:44" x14ac:dyDescent="0.3">
      <c r="B12" s="7"/>
      <c r="C12" t="s">
        <v>93</v>
      </c>
      <c r="D12" t="s">
        <v>42</v>
      </c>
      <c r="E12">
        <v>0.79886731096053998</v>
      </c>
      <c r="F12">
        <v>0.79886731096053998</v>
      </c>
      <c r="G12" t="s">
        <v>43</v>
      </c>
      <c r="H12" t="s">
        <v>44</v>
      </c>
      <c r="I12" s="11">
        <v>0</v>
      </c>
      <c r="J12" s="8" t="s">
        <v>45</v>
      </c>
      <c r="N12" s="7"/>
      <c r="O12" t="s">
        <v>93</v>
      </c>
      <c r="P12" t="s">
        <v>42</v>
      </c>
      <c r="Q12">
        <v>0.78701756103881604</v>
      </c>
      <c r="R12">
        <v>0.78701756103881604</v>
      </c>
      <c r="S12" t="s">
        <v>43</v>
      </c>
      <c r="T12" t="s">
        <v>44</v>
      </c>
      <c r="U12" s="11">
        <v>0</v>
      </c>
      <c r="V12" s="8" t="s">
        <v>45</v>
      </c>
      <c r="Z12" s="7"/>
      <c r="AA12" t="s">
        <v>68</v>
      </c>
      <c r="AB12" t="s">
        <v>42</v>
      </c>
      <c r="AC12">
        <v>0.351782353082984</v>
      </c>
      <c r="AD12">
        <v>0.351782353082984</v>
      </c>
      <c r="AE12" t="s">
        <v>43</v>
      </c>
      <c r="AF12" t="s">
        <v>44</v>
      </c>
      <c r="AG12" s="11">
        <v>0</v>
      </c>
      <c r="AH12" s="8" t="s">
        <v>45</v>
      </c>
    </row>
    <row r="13" spans="1:44" x14ac:dyDescent="0.3">
      <c r="B13" s="7"/>
      <c r="C13" t="s">
        <v>68</v>
      </c>
      <c r="D13" t="s">
        <v>42</v>
      </c>
      <c r="E13">
        <v>0.32670932978322798</v>
      </c>
      <c r="F13">
        <v>0.32670932978322798</v>
      </c>
      <c r="G13" t="s">
        <v>43</v>
      </c>
      <c r="H13" t="s">
        <v>44</v>
      </c>
      <c r="I13" s="11">
        <v>0</v>
      </c>
      <c r="J13" s="8" t="s">
        <v>45</v>
      </c>
      <c r="N13" s="7"/>
      <c r="O13" t="s">
        <v>68</v>
      </c>
      <c r="P13" t="s">
        <v>42</v>
      </c>
      <c r="Q13">
        <v>0.248387239934929</v>
      </c>
      <c r="R13">
        <v>0.248387239934929</v>
      </c>
      <c r="S13" t="s">
        <v>43</v>
      </c>
      <c r="T13" t="s">
        <v>44</v>
      </c>
      <c r="U13" s="11">
        <v>0</v>
      </c>
      <c r="V13" s="8" t="s">
        <v>45</v>
      </c>
      <c r="Z13" s="7"/>
      <c r="AA13" t="s">
        <v>103</v>
      </c>
      <c r="AB13" t="s">
        <v>42</v>
      </c>
      <c r="AC13">
        <v>8.6940709188102794</v>
      </c>
      <c r="AD13">
        <v>8.6940709188102794</v>
      </c>
      <c r="AE13" t="s">
        <v>43</v>
      </c>
      <c r="AF13" t="s">
        <v>44</v>
      </c>
      <c r="AG13" s="11">
        <v>0</v>
      </c>
      <c r="AH13" s="8" t="s">
        <v>45</v>
      </c>
      <c r="AM13" t="s">
        <v>259</v>
      </c>
      <c r="AN13" s="9">
        <f>AN3</f>
        <v>1310</v>
      </c>
      <c r="AO13">
        <f>20.9</f>
        <v>20.9</v>
      </c>
      <c r="AP13" t="s">
        <v>43</v>
      </c>
      <c r="AR13" s="20"/>
    </row>
    <row r="14" spans="1:44" x14ac:dyDescent="0.3">
      <c r="B14" s="7"/>
      <c r="C14" t="s">
        <v>103</v>
      </c>
      <c r="D14" t="s">
        <v>42</v>
      </c>
      <c r="E14">
        <v>4.8061894519545403</v>
      </c>
      <c r="F14">
        <v>4.8061894519545403</v>
      </c>
      <c r="G14" t="s">
        <v>43</v>
      </c>
      <c r="H14" t="s">
        <v>44</v>
      </c>
      <c r="I14" s="11">
        <v>0</v>
      </c>
      <c r="J14" s="8" t="s">
        <v>45</v>
      </c>
      <c r="N14" s="7"/>
      <c r="O14" t="s">
        <v>103</v>
      </c>
      <c r="P14" t="s">
        <v>42</v>
      </c>
      <c r="Q14">
        <v>4.8441889518535204</v>
      </c>
      <c r="R14">
        <v>4.8441889518535204</v>
      </c>
      <c r="S14" t="s">
        <v>43</v>
      </c>
      <c r="T14" t="s">
        <v>44</v>
      </c>
      <c r="U14" s="11">
        <v>0</v>
      </c>
      <c r="V14" s="8" t="s">
        <v>45</v>
      </c>
      <c r="Z14" s="7"/>
      <c r="AA14" t="s">
        <v>72</v>
      </c>
      <c r="AB14" t="s">
        <v>42</v>
      </c>
      <c r="AC14">
        <v>231.96782765119201</v>
      </c>
      <c r="AD14">
        <v>231.96782765119201</v>
      </c>
      <c r="AE14" t="s">
        <v>43</v>
      </c>
      <c r="AF14" t="s">
        <v>44</v>
      </c>
      <c r="AG14" s="11">
        <v>0</v>
      </c>
      <c r="AH14" s="8" t="s">
        <v>45</v>
      </c>
      <c r="AL14" t="s">
        <v>286</v>
      </c>
      <c r="AM14" t="s">
        <v>260</v>
      </c>
      <c r="AN14">
        <f>AN9</f>
        <v>1000</v>
      </c>
      <c r="AO14">
        <f>16</f>
        <v>16</v>
      </c>
      <c r="AP14" t="s">
        <v>43</v>
      </c>
      <c r="AR14" s="20"/>
    </row>
    <row r="15" spans="1:44" x14ac:dyDescent="0.3">
      <c r="B15" s="7"/>
      <c r="C15" t="s">
        <v>72</v>
      </c>
      <c r="D15" t="s">
        <v>42</v>
      </c>
      <c r="E15">
        <v>44.618358283370704</v>
      </c>
      <c r="F15">
        <v>44.618358283370704</v>
      </c>
      <c r="G15" t="s">
        <v>43</v>
      </c>
      <c r="H15" t="s">
        <v>44</v>
      </c>
      <c r="I15" s="11">
        <v>0</v>
      </c>
      <c r="J15" s="8" t="s">
        <v>45</v>
      </c>
      <c r="N15" s="7"/>
      <c r="O15" t="s">
        <v>72</v>
      </c>
      <c r="P15" t="s">
        <v>42</v>
      </c>
      <c r="Q15">
        <v>38.2224006050551</v>
      </c>
      <c r="R15">
        <v>38.2224006050551</v>
      </c>
      <c r="S15" t="s">
        <v>43</v>
      </c>
      <c r="T15" t="s">
        <v>44</v>
      </c>
      <c r="U15" s="11">
        <v>0</v>
      </c>
      <c r="V15" s="8" t="s">
        <v>45</v>
      </c>
      <c r="Z15" s="7"/>
      <c r="AA15" t="s">
        <v>110</v>
      </c>
      <c r="AB15" t="s">
        <v>42</v>
      </c>
      <c r="AC15">
        <v>2.7833966269127399E-2</v>
      </c>
      <c r="AD15">
        <v>2.7833966269127399E-2</v>
      </c>
      <c r="AE15" t="s">
        <v>43</v>
      </c>
      <c r="AF15" t="s">
        <v>44</v>
      </c>
      <c r="AG15" s="11">
        <v>0</v>
      </c>
      <c r="AH15" s="8" t="s">
        <v>45</v>
      </c>
      <c r="AM15" t="s">
        <v>261</v>
      </c>
      <c r="AN15" s="20">
        <f>AN14/AN13</f>
        <v>0.76335877862595425</v>
      </c>
      <c r="AO15" s="20">
        <f>AO14/AO13</f>
        <v>0.76555023923444976</v>
      </c>
    </row>
    <row r="16" spans="1:44" x14ac:dyDescent="0.3">
      <c r="B16" s="7"/>
      <c r="C16" t="s">
        <v>110</v>
      </c>
      <c r="D16" t="s">
        <v>42</v>
      </c>
      <c r="E16">
        <v>0.14275216994432499</v>
      </c>
      <c r="F16">
        <v>0.14275216994432499</v>
      </c>
      <c r="G16" t="s">
        <v>43</v>
      </c>
      <c r="H16" t="s">
        <v>44</v>
      </c>
      <c r="I16" s="11">
        <v>0</v>
      </c>
      <c r="J16" s="8" t="s">
        <v>45</v>
      </c>
      <c r="N16" s="7"/>
      <c r="O16" t="s">
        <v>110</v>
      </c>
      <c r="P16" t="s">
        <v>42</v>
      </c>
      <c r="Q16">
        <v>0.14291023244807999</v>
      </c>
      <c r="R16">
        <v>0.14291023244807999</v>
      </c>
      <c r="S16" t="s">
        <v>43</v>
      </c>
      <c r="T16" t="s">
        <v>44</v>
      </c>
      <c r="U16" s="11">
        <v>0</v>
      </c>
      <c r="V16" s="8" t="s">
        <v>45</v>
      </c>
      <c r="Z16" s="7"/>
      <c r="AA16" t="s">
        <v>116</v>
      </c>
      <c r="AB16" t="s">
        <v>42</v>
      </c>
      <c r="AC16">
        <v>3.459991</v>
      </c>
      <c r="AD16">
        <v>3.459991</v>
      </c>
      <c r="AE16" t="s">
        <v>43</v>
      </c>
      <c r="AF16" t="s">
        <v>44</v>
      </c>
      <c r="AG16" s="11">
        <v>0</v>
      </c>
      <c r="AH16" s="8" t="s">
        <v>45</v>
      </c>
    </row>
    <row r="17" spans="1:42" x14ac:dyDescent="0.3">
      <c r="B17" s="7"/>
      <c r="C17" t="s">
        <v>116</v>
      </c>
      <c r="D17" t="s">
        <v>42</v>
      </c>
      <c r="E17">
        <v>1.8641559999999999</v>
      </c>
      <c r="F17">
        <v>1.8641559999999999</v>
      </c>
      <c r="G17" t="s">
        <v>43</v>
      </c>
      <c r="H17" t="s">
        <v>44</v>
      </c>
      <c r="I17" s="11">
        <v>0</v>
      </c>
      <c r="J17" s="8" t="s">
        <v>45</v>
      </c>
      <c r="N17" s="7"/>
      <c r="O17" t="s">
        <v>116</v>
      </c>
      <c r="P17" t="s">
        <v>42</v>
      </c>
      <c r="Q17">
        <v>1.8641559999999999</v>
      </c>
      <c r="R17">
        <v>1.8641559999999999</v>
      </c>
      <c r="S17" t="s">
        <v>43</v>
      </c>
      <c r="T17" t="s">
        <v>44</v>
      </c>
      <c r="U17" s="11">
        <v>0</v>
      </c>
      <c r="V17" s="8" t="s">
        <v>45</v>
      </c>
      <c r="Z17" s="7"/>
      <c r="AA17" t="s">
        <v>123</v>
      </c>
      <c r="AB17" t="s">
        <v>42</v>
      </c>
      <c r="AC17">
        <v>6.8611990053928498E-2</v>
      </c>
      <c r="AD17">
        <v>6.8611990053928498E-2</v>
      </c>
      <c r="AE17" t="s">
        <v>43</v>
      </c>
      <c r="AF17" t="s">
        <v>44</v>
      </c>
      <c r="AG17" s="11">
        <v>0</v>
      </c>
      <c r="AH17" s="8" t="s">
        <v>45</v>
      </c>
      <c r="AM17" t="s">
        <v>248</v>
      </c>
      <c r="AN17" s="44">
        <f>SUM(AN5:AN6)</f>
        <v>2910.1550000000002</v>
      </c>
      <c r="AO17" t="s">
        <v>48</v>
      </c>
      <c r="AP17" s="20">
        <f>AN17/AN19</f>
        <v>0.66897731230266499</v>
      </c>
    </row>
    <row r="18" spans="1:42" x14ac:dyDescent="0.3">
      <c r="B18" s="7"/>
      <c r="C18" t="s">
        <v>123</v>
      </c>
      <c r="D18" t="s">
        <v>42</v>
      </c>
      <c r="E18">
        <v>0.212823904245527</v>
      </c>
      <c r="F18">
        <v>0.212823904245527</v>
      </c>
      <c r="G18" t="s">
        <v>43</v>
      </c>
      <c r="H18" t="s">
        <v>44</v>
      </c>
      <c r="I18" s="11">
        <v>0</v>
      </c>
      <c r="J18" s="8" t="s">
        <v>45</v>
      </c>
      <c r="N18" s="7"/>
      <c r="O18" t="s">
        <v>123</v>
      </c>
      <c r="P18" t="s">
        <v>42</v>
      </c>
      <c r="Q18">
        <v>0.2136142178648</v>
      </c>
      <c r="R18">
        <v>0.2136142178648</v>
      </c>
      <c r="S18" t="s">
        <v>43</v>
      </c>
      <c r="T18" t="s">
        <v>44</v>
      </c>
      <c r="U18" s="11">
        <v>0</v>
      </c>
      <c r="V18" s="8" t="s">
        <v>45</v>
      </c>
      <c r="Z18" s="7"/>
      <c r="AA18" t="s">
        <v>92</v>
      </c>
      <c r="AB18" t="s">
        <v>42</v>
      </c>
      <c r="AC18">
        <v>0.759648394565277</v>
      </c>
      <c r="AD18">
        <v>0.759648394565277</v>
      </c>
      <c r="AE18" t="s">
        <v>43</v>
      </c>
      <c r="AF18" t="s">
        <v>44</v>
      </c>
      <c r="AG18" s="11">
        <v>0</v>
      </c>
      <c r="AH18" s="8" t="s">
        <v>45</v>
      </c>
      <c r="AM18" t="s">
        <v>249</v>
      </c>
      <c r="AN18" s="44">
        <f>AN4</f>
        <v>1440</v>
      </c>
      <c r="AO18" t="s">
        <v>48</v>
      </c>
      <c r="AP18" s="20">
        <f>AN18/AN19</f>
        <v>0.33102268769733489</v>
      </c>
    </row>
    <row r="19" spans="1:42" x14ac:dyDescent="0.3">
      <c r="B19" s="7"/>
      <c r="C19" t="s">
        <v>92</v>
      </c>
      <c r="D19" t="s">
        <v>42</v>
      </c>
      <c r="E19">
        <v>0.70550502515054103</v>
      </c>
      <c r="F19">
        <v>0.70550502515054103</v>
      </c>
      <c r="G19" t="s">
        <v>43</v>
      </c>
      <c r="H19" t="s">
        <v>44</v>
      </c>
      <c r="I19" s="11">
        <v>0</v>
      </c>
      <c r="J19" s="8" t="s">
        <v>45</v>
      </c>
      <c r="N19" s="7"/>
      <c r="O19" t="s">
        <v>92</v>
      </c>
      <c r="P19" t="s">
        <v>42</v>
      </c>
      <c r="Q19">
        <v>0.536374171113008</v>
      </c>
      <c r="R19">
        <v>0.536374171113008</v>
      </c>
      <c r="S19" t="s">
        <v>43</v>
      </c>
      <c r="T19" t="s">
        <v>44</v>
      </c>
      <c r="U19" s="11">
        <v>0</v>
      </c>
      <c r="V19" s="8" t="s">
        <v>45</v>
      </c>
      <c r="Z19" s="7"/>
      <c r="AA19" s="21" t="s">
        <v>140</v>
      </c>
      <c r="AB19" t="s">
        <v>42</v>
      </c>
      <c r="AC19" s="21">
        <v>227.14865624445301</v>
      </c>
      <c r="AD19" s="21">
        <v>227.14865624445301</v>
      </c>
      <c r="AE19" s="21" t="s">
        <v>43</v>
      </c>
      <c r="AF19" t="s">
        <v>44</v>
      </c>
      <c r="AG19" s="11">
        <v>0</v>
      </c>
      <c r="AH19" s="8" t="s">
        <v>45</v>
      </c>
      <c r="AM19" t="s">
        <v>263</v>
      </c>
      <c r="AN19" s="18">
        <f>SUM(AN17:AN18)</f>
        <v>4350.1550000000007</v>
      </c>
      <c r="AO19" s="18" t="s">
        <v>48</v>
      </c>
    </row>
    <row r="20" spans="1:42" x14ac:dyDescent="0.3">
      <c r="B20" s="7"/>
      <c r="C20" s="21" t="s">
        <v>140</v>
      </c>
      <c r="D20" t="s">
        <v>42</v>
      </c>
      <c r="E20" s="21">
        <v>210.958806183436</v>
      </c>
      <c r="F20" s="21">
        <v>210.958806183436</v>
      </c>
      <c r="G20" s="21" t="s">
        <v>43</v>
      </c>
      <c r="H20" t="s">
        <v>44</v>
      </c>
      <c r="I20" s="11">
        <v>0</v>
      </c>
      <c r="J20" s="8" t="s">
        <v>45</v>
      </c>
      <c r="N20" s="7"/>
      <c r="O20" s="21" t="s">
        <v>148</v>
      </c>
      <c r="P20" t="s">
        <v>42</v>
      </c>
      <c r="Q20" s="21">
        <v>254.970742233153</v>
      </c>
      <c r="R20" s="21">
        <v>254.970742233153</v>
      </c>
      <c r="S20" s="21" t="s">
        <v>43</v>
      </c>
      <c r="T20" t="s">
        <v>44</v>
      </c>
      <c r="U20" s="11">
        <v>0</v>
      </c>
      <c r="V20" s="8" t="s">
        <v>45</v>
      </c>
      <c r="Z20" s="7"/>
      <c r="AA20" s="21" t="s">
        <v>147</v>
      </c>
      <c r="AB20" t="s">
        <v>42</v>
      </c>
      <c r="AC20" s="21">
        <v>206.64218033349599</v>
      </c>
      <c r="AD20" s="21">
        <v>206.64218033349599</v>
      </c>
      <c r="AE20" s="21" t="s">
        <v>43</v>
      </c>
      <c r="AF20" t="s">
        <v>44</v>
      </c>
      <c r="AG20" s="11">
        <v>0</v>
      </c>
      <c r="AH20" s="8" t="s">
        <v>45</v>
      </c>
      <c r="AO20" s="18"/>
    </row>
    <row r="21" spans="1:42" x14ac:dyDescent="0.3">
      <c r="B21" s="7"/>
      <c r="C21" s="21" t="s">
        <v>147</v>
      </c>
      <c r="D21" t="s">
        <v>42</v>
      </c>
      <c r="E21" s="21">
        <v>191.913913958542</v>
      </c>
      <c r="F21" s="21">
        <v>191.913913958542</v>
      </c>
      <c r="G21" s="21" t="s">
        <v>43</v>
      </c>
      <c r="H21" t="s">
        <v>44</v>
      </c>
      <c r="I21" s="11">
        <v>0</v>
      </c>
      <c r="J21" s="8" t="s">
        <v>45</v>
      </c>
      <c r="N21" s="7"/>
      <c r="O21" s="21" t="s">
        <v>156</v>
      </c>
      <c r="P21" t="s">
        <v>42</v>
      </c>
      <c r="Q21" s="21">
        <v>771.97271030912805</v>
      </c>
      <c r="R21" s="21">
        <v>771.97271030912805</v>
      </c>
      <c r="S21" s="21" t="s">
        <v>43</v>
      </c>
      <c r="T21" t="s">
        <v>44</v>
      </c>
      <c r="U21" s="11">
        <v>0</v>
      </c>
      <c r="V21" s="8" t="s">
        <v>45</v>
      </c>
      <c r="Z21" s="7"/>
      <c r="AA21" s="21" t="s">
        <v>148</v>
      </c>
      <c r="AB21" t="s">
        <v>42</v>
      </c>
      <c r="AC21" s="21">
        <v>600.99748631344903</v>
      </c>
      <c r="AD21" s="21">
        <v>600.99748631344903</v>
      </c>
      <c r="AE21" s="21" t="s">
        <v>43</v>
      </c>
      <c r="AF21" t="s">
        <v>44</v>
      </c>
      <c r="AG21" s="11">
        <v>0</v>
      </c>
      <c r="AH21" s="8" t="s">
        <v>45</v>
      </c>
      <c r="AM21" t="s">
        <v>2</v>
      </c>
      <c r="AN21" s="43">
        <f>AN19/AN13</f>
        <v>3.3207290076335885</v>
      </c>
      <c r="AO21" t="s">
        <v>319</v>
      </c>
    </row>
    <row r="22" spans="1:42" x14ac:dyDescent="0.3">
      <c r="A22" s="21" t="s">
        <v>250</v>
      </c>
      <c r="B22" s="7"/>
      <c r="C22" s="21" t="s">
        <v>148</v>
      </c>
      <c r="D22" t="s">
        <v>42</v>
      </c>
      <c r="E22" s="21">
        <v>558.16184136033996</v>
      </c>
      <c r="F22" s="21">
        <v>558.16184136033996</v>
      </c>
      <c r="G22" s="21" t="s">
        <v>43</v>
      </c>
      <c r="H22" t="s">
        <v>44</v>
      </c>
      <c r="I22" s="11">
        <v>0</v>
      </c>
      <c r="J22" s="8" t="s">
        <v>45</v>
      </c>
      <c r="N22" s="7"/>
      <c r="O22" t="s">
        <v>161</v>
      </c>
      <c r="P22" t="s">
        <v>42</v>
      </c>
      <c r="Q22">
        <v>693.61664886708104</v>
      </c>
      <c r="R22">
        <v>693.61664886708104</v>
      </c>
      <c r="S22" t="s">
        <v>43</v>
      </c>
      <c r="T22" t="s">
        <v>44</v>
      </c>
      <c r="U22" s="11">
        <v>0</v>
      </c>
      <c r="V22" s="8" t="s">
        <v>45</v>
      </c>
      <c r="Z22" s="7"/>
      <c r="AA22" s="21" t="s">
        <v>156</v>
      </c>
      <c r="AB22" t="s">
        <v>42</v>
      </c>
      <c r="AC22" s="21">
        <v>278.57561391276403</v>
      </c>
      <c r="AD22" s="21">
        <v>278.57561391276403</v>
      </c>
      <c r="AE22" s="21" t="s">
        <v>43</v>
      </c>
      <c r="AF22" t="s">
        <v>44</v>
      </c>
      <c r="AG22" s="11">
        <v>0</v>
      </c>
      <c r="AH22" s="8" t="s">
        <v>45</v>
      </c>
      <c r="AM22" t="s">
        <v>301</v>
      </c>
      <c r="AN22" s="20">
        <f>AN19/AN14</f>
        <v>4.3501550000000009</v>
      </c>
      <c r="AO22" t="s">
        <v>320</v>
      </c>
    </row>
    <row r="23" spans="1:42" x14ac:dyDescent="0.3">
      <c r="A23" s="22" t="s">
        <v>251</v>
      </c>
      <c r="B23" s="7"/>
      <c r="C23" s="21" t="s">
        <v>156</v>
      </c>
      <c r="D23" t="s">
        <v>42</v>
      </c>
      <c r="E23" s="21">
        <v>258.72034602577298</v>
      </c>
      <c r="F23" s="21">
        <v>258.72034602577298</v>
      </c>
      <c r="G23" s="21" t="s">
        <v>43</v>
      </c>
      <c r="H23" t="s">
        <v>44</v>
      </c>
      <c r="I23" s="11">
        <v>0</v>
      </c>
      <c r="J23" s="8" t="s">
        <v>45</v>
      </c>
      <c r="N23" s="7"/>
      <c r="O23" t="s">
        <v>80</v>
      </c>
      <c r="P23" t="s">
        <v>42</v>
      </c>
      <c r="Q23">
        <v>0.52004841541387503</v>
      </c>
      <c r="R23">
        <v>0.52004841541387503</v>
      </c>
      <c r="S23" t="s">
        <v>43</v>
      </c>
      <c r="T23" t="s">
        <v>44</v>
      </c>
      <c r="U23" s="11">
        <v>0</v>
      </c>
      <c r="V23" s="8" t="s">
        <v>45</v>
      </c>
      <c r="Z23" s="7"/>
      <c r="AA23" t="s">
        <v>161</v>
      </c>
      <c r="AB23" t="s">
        <v>42</v>
      </c>
      <c r="AC23">
        <v>743.987524004188</v>
      </c>
      <c r="AD23">
        <v>743.987524004188</v>
      </c>
      <c r="AE23" t="s">
        <v>43</v>
      </c>
      <c r="AF23" t="s">
        <v>44</v>
      </c>
      <c r="AG23" s="11">
        <v>0</v>
      </c>
      <c r="AH23" s="8" t="s">
        <v>45</v>
      </c>
    </row>
    <row r="24" spans="1:42" x14ac:dyDescent="0.3">
      <c r="A24" s="40" t="s">
        <v>277</v>
      </c>
      <c r="B24" s="7"/>
      <c r="C24" t="s">
        <v>161</v>
      </c>
      <c r="D24" t="s">
        <v>42</v>
      </c>
      <c r="E24">
        <v>794.15067962547801</v>
      </c>
      <c r="F24">
        <v>794.15067962547801</v>
      </c>
      <c r="G24" t="s">
        <v>43</v>
      </c>
      <c r="H24" t="s">
        <v>44</v>
      </c>
      <c r="I24" s="11">
        <v>0</v>
      </c>
      <c r="J24" s="8" t="s">
        <v>45</v>
      </c>
      <c r="N24" s="7"/>
      <c r="O24" t="s">
        <v>174</v>
      </c>
      <c r="P24" t="s">
        <v>42</v>
      </c>
      <c r="Q24">
        <v>0.43882543904720001</v>
      </c>
      <c r="R24">
        <v>0.43882543904720001</v>
      </c>
      <c r="S24" t="s">
        <v>43</v>
      </c>
      <c r="T24" t="s">
        <v>44</v>
      </c>
      <c r="U24" s="11">
        <v>0</v>
      </c>
      <c r="V24" s="8" t="s">
        <v>45</v>
      </c>
      <c r="Z24" s="7"/>
      <c r="AA24" t="s">
        <v>80</v>
      </c>
      <c r="AB24" t="s">
        <v>42</v>
      </c>
      <c r="AC24">
        <v>0.73652678510899605</v>
      </c>
      <c r="AD24">
        <v>0.73652678510899605</v>
      </c>
      <c r="AE24" t="s">
        <v>43</v>
      </c>
      <c r="AF24" t="s">
        <v>44</v>
      </c>
      <c r="AG24" s="11">
        <v>0</v>
      </c>
      <c r="AH24" s="8" t="s">
        <v>45</v>
      </c>
      <c r="AM24" t="s">
        <v>271</v>
      </c>
      <c r="AN24" s="43">
        <f>4.51/20.9</f>
        <v>0.21578947368421053</v>
      </c>
      <c r="AO24" t="s">
        <v>321</v>
      </c>
    </row>
    <row r="25" spans="1:42" x14ac:dyDescent="0.3">
      <c r="B25" s="7"/>
      <c r="C25" t="s">
        <v>80</v>
      </c>
      <c r="D25" t="s">
        <v>42</v>
      </c>
      <c r="E25">
        <v>0.68403139106182598</v>
      </c>
      <c r="F25">
        <v>0.68403139106182598</v>
      </c>
      <c r="G25" t="s">
        <v>43</v>
      </c>
      <c r="H25" t="s">
        <v>44</v>
      </c>
      <c r="I25" s="11">
        <v>0</v>
      </c>
      <c r="J25" s="8" t="s">
        <v>45</v>
      </c>
      <c r="N25" s="7"/>
      <c r="O25" t="s">
        <v>102</v>
      </c>
      <c r="P25" t="s">
        <v>42</v>
      </c>
      <c r="Q25">
        <v>1.48351040497316</v>
      </c>
      <c r="R25">
        <v>1.48351040497316</v>
      </c>
      <c r="S25" t="s">
        <v>43</v>
      </c>
      <c r="T25" t="s">
        <v>44</v>
      </c>
      <c r="U25" s="11">
        <v>0</v>
      </c>
      <c r="V25" s="8" t="s">
        <v>45</v>
      </c>
      <c r="Z25" s="7"/>
      <c r="AA25" t="s">
        <v>174</v>
      </c>
      <c r="AB25" t="s">
        <v>42</v>
      </c>
      <c r="AC25">
        <v>9.4349618643861502E-2</v>
      </c>
      <c r="AD25">
        <v>9.4349618643861502E-2</v>
      </c>
      <c r="AE25" t="s">
        <v>43</v>
      </c>
      <c r="AF25" t="s">
        <v>44</v>
      </c>
      <c r="AG25" s="11">
        <v>0</v>
      </c>
      <c r="AH25" s="8" t="s">
        <v>45</v>
      </c>
      <c r="AM25" t="s">
        <v>269</v>
      </c>
      <c r="AN25" s="20">
        <f>4.51/16</f>
        <v>0.28187499999999999</v>
      </c>
      <c r="AO25" t="s">
        <v>322</v>
      </c>
    </row>
    <row r="26" spans="1:42" x14ac:dyDescent="0.3">
      <c r="B26" s="7"/>
      <c r="C26" t="s">
        <v>174</v>
      </c>
      <c r="D26" t="s">
        <v>42</v>
      </c>
      <c r="E26">
        <v>0.43839037048747698</v>
      </c>
      <c r="F26">
        <v>0.43839037048747698</v>
      </c>
      <c r="G26" t="s">
        <v>43</v>
      </c>
      <c r="H26" t="s">
        <v>44</v>
      </c>
      <c r="I26" s="11">
        <v>0</v>
      </c>
      <c r="J26" s="8" t="s">
        <v>45</v>
      </c>
      <c r="N26" s="7"/>
      <c r="O26" t="s">
        <v>79</v>
      </c>
      <c r="P26" t="s">
        <v>42</v>
      </c>
      <c r="Q26">
        <v>3.79596076061001E-2</v>
      </c>
      <c r="R26">
        <v>3.79596076061001E-2</v>
      </c>
      <c r="S26" t="s">
        <v>43</v>
      </c>
      <c r="T26" t="s">
        <v>44</v>
      </c>
      <c r="U26" s="11">
        <v>0</v>
      </c>
      <c r="V26" s="8" t="s">
        <v>45</v>
      </c>
      <c r="Z26" s="7"/>
      <c r="AA26" s="21" t="s">
        <v>180</v>
      </c>
      <c r="AB26" t="s">
        <v>42</v>
      </c>
      <c r="AC26" s="21">
        <v>57.891358917857197</v>
      </c>
      <c r="AD26" s="21">
        <v>57.891358917857197</v>
      </c>
      <c r="AE26" s="21" t="s">
        <v>43</v>
      </c>
      <c r="AF26" t="s">
        <v>44</v>
      </c>
      <c r="AG26" s="11">
        <v>0</v>
      </c>
      <c r="AH26" s="8" t="s">
        <v>45</v>
      </c>
    </row>
    <row r="27" spans="1:42" x14ac:dyDescent="0.3">
      <c r="B27" s="7"/>
      <c r="C27" s="21" t="s">
        <v>180</v>
      </c>
      <c r="D27" t="s">
        <v>42</v>
      </c>
      <c r="E27" s="21">
        <v>53.765195742583998</v>
      </c>
      <c r="F27" s="21">
        <v>53.765195742583998</v>
      </c>
      <c r="G27" s="21" t="s">
        <v>43</v>
      </c>
      <c r="H27" t="s">
        <v>44</v>
      </c>
      <c r="I27" s="11">
        <v>0</v>
      </c>
      <c r="J27" s="8" t="s">
        <v>45</v>
      </c>
      <c r="N27" s="7"/>
      <c r="O27" t="s">
        <v>189</v>
      </c>
      <c r="P27" t="s">
        <v>42</v>
      </c>
      <c r="Q27">
        <v>3.02576178206501E-2</v>
      </c>
      <c r="R27">
        <v>3.02576178206501E-2</v>
      </c>
      <c r="S27" t="s">
        <v>43</v>
      </c>
      <c r="T27" t="s">
        <v>44</v>
      </c>
      <c r="U27" s="11">
        <v>0</v>
      </c>
      <c r="V27" s="8" t="s">
        <v>45</v>
      </c>
      <c r="Z27" s="7"/>
      <c r="AA27" t="s">
        <v>102</v>
      </c>
      <c r="AB27" t="s">
        <v>42</v>
      </c>
      <c r="AC27">
        <v>2.1010450505479499</v>
      </c>
      <c r="AD27">
        <v>2.1010450505479499</v>
      </c>
      <c r="AE27" t="s">
        <v>43</v>
      </c>
      <c r="AF27" t="s">
        <v>44</v>
      </c>
      <c r="AG27" s="11">
        <v>0</v>
      </c>
      <c r="AH27" s="8" t="s">
        <v>45</v>
      </c>
      <c r="AM27" t="s">
        <v>382</v>
      </c>
      <c r="AN27" s="102">
        <f>7.19/12.99</f>
        <v>0.55350269438029254</v>
      </c>
    </row>
    <row r="28" spans="1:42" x14ac:dyDescent="0.3">
      <c r="B28" s="7"/>
      <c r="C28" t="s">
        <v>102</v>
      </c>
      <c r="D28" t="s">
        <v>42</v>
      </c>
      <c r="E28">
        <v>1.9512946408285601</v>
      </c>
      <c r="F28">
        <v>1.9512946408285601</v>
      </c>
      <c r="G28" t="s">
        <v>43</v>
      </c>
      <c r="H28" t="s">
        <v>44</v>
      </c>
      <c r="I28" s="11">
        <v>0</v>
      </c>
      <c r="J28" s="8" t="s">
        <v>45</v>
      </c>
      <c r="N28" s="7"/>
      <c r="O28" t="s">
        <v>129</v>
      </c>
      <c r="P28" t="s">
        <v>42</v>
      </c>
      <c r="Q28">
        <v>0.29821317072756798</v>
      </c>
      <c r="R28">
        <v>0.29821317072756798</v>
      </c>
      <c r="S28" t="s">
        <v>43</v>
      </c>
      <c r="T28" t="s">
        <v>44</v>
      </c>
      <c r="U28" s="11">
        <v>0</v>
      </c>
      <c r="V28" s="8" t="s">
        <v>45</v>
      </c>
      <c r="Z28" s="7"/>
      <c r="AA28" t="s">
        <v>79</v>
      </c>
      <c r="AB28" t="s">
        <v>42</v>
      </c>
      <c r="AC28">
        <v>5.3760894034971099E-2</v>
      </c>
      <c r="AD28">
        <v>5.3760894034971099E-2</v>
      </c>
      <c r="AE28" t="s">
        <v>43</v>
      </c>
      <c r="AF28" t="s">
        <v>44</v>
      </c>
      <c r="AG28" s="11">
        <v>0</v>
      </c>
      <c r="AH28" s="8" t="s">
        <v>45</v>
      </c>
      <c r="AM28" t="s">
        <v>380</v>
      </c>
      <c r="AN28" s="43">
        <f>AN27*AN44</f>
        <v>0.46701789838337182</v>
      </c>
    </row>
    <row r="29" spans="1:42" x14ac:dyDescent="0.3">
      <c r="B29" s="7"/>
      <c r="C29" t="s">
        <v>79</v>
      </c>
      <c r="D29" t="s">
        <v>42</v>
      </c>
      <c r="E29">
        <v>4.9929126645443897E-2</v>
      </c>
      <c r="F29">
        <v>4.9929126645443897E-2</v>
      </c>
      <c r="G29" t="s">
        <v>43</v>
      </c>
      <c r="H29" t="s">
        <v>44</v>
      </c>
      <c r="I29" s="11">
        <v>0</v>
      </c>
      <c r="J29" s="8" t="s">
        <v>45</v>
      </c>
      <c r="N29" s="7"/>
      <c r="O29" t="s">
        <v>194</v>
      </c>
      <c r="P29" t="s">
        <v>42</v>
      </c>
      <c r="Q29">
        <v>0.58524847043252703</v>
      </c>
      <c r="R29">
        <v>0.58524847043252703</v>
      </c>
      <c r="S29" t="s">
        <v>43</v>
      </c>
      <c r="T29" t="s">
        <v>44</v>
      </c>
      <c r="U29" s="11">
        <v>0</v>
      </c>
      <c r="V29" s="8" t="s">
        <v>45</v>
      </c>
      <c r="Z29" s="7"/>
      <c r="AA29" t="s">
        <v>189</v>
      </c>
      <c r="AB29" t="s">
        <v>42</v>
      </c>
      <c r="AC29">
        <v>4.2852829309679499E-2</v>
      </c>
      <c r="AD29">
        <v>4.2852829309679499E-2</v>
      </c>
      <c r="AE29" t="s">
        <v>43</v>
      </c>
      <c r="AF29" t="s">
        <v>44</v>
      </c>
      <c r="AG29" s="11">
        <v>0</v>
      </c>
      <c r="AH29" s="8" t="s">
        <v>45</v>
      </c>
      <c r="AM29" t="s">
        <v>379</v>
      </c>
      <c r="AN29" s="43">
        <f>AN28*AN15</f>
        <v>0.35650221250639075</v>
      </c>
    </row>
    <row r="30" spans="1:42" x14ac:dyDescent="0.3">
      <c r="B30" s="7"/>
      <c r="C30" t="s">
        <v>189</v>
      </c>
      <c r="D30" t="s">
        <v>42</v>
      </c>
      <c r="E30">
        <v>3.9798526049934703E-2</v>
      </c>
      <c r="F30">
        <v>3.9798526049934703E-2</v>
      </c>
      <c r="G30" t="s">
        <v>43</v>
      </c>
      <c r="H30" t="s">
        <v>44</v>
      </c>
      <c r="I30" s="11">
        <v>0</v>
      </c>
      <c r="J30" s="8" t="s">
        <v>45</v>
      </c>
      <c r="N30" s="7"/>
      <c r="O30" s="22" t="s">
        <v>139</v>
      </c>
      <c r="P30" t="s">
        <v>47</v>
      </c>
      <c r="Q30" s="22">
        <v>9.0670096992932798</v>
      </c>
      <c r="R30" s="22">
        <v>9.0670096992932798</v>
      </c>
      <c r="S30" s="22" t="s">
        <v>48</v>
      </c>
      <c r="T30" t="s">
        <v>44</v>
      </c>
      <c r="U30" s="11">
        <v>0</v>
      </c>
      <c r="V30" s="8" t="s">
        <v>45</v>
      </c>
      <c r="Z30" s="7"/>
      <c r="AA30" t="s">
        <v>129</v>
      </c>
      <c r="AB30" t="s">
        <v>42</v>
      </c>
      <c r="AC30">
        <v>0.61912353926483799</v>
      </c>
      <c r="AD30">
        <v>0.61912353926483799</v>
      </c>
      <c r="AE30" t="s">
        <v>43</v>
      </c>
      <c r="AF30" t="s">
        <v>44</v>
      </c>
      <c r="AG30" s="11">
        <v>0</v>
      </c>
      <c r="AH30" s="8" t="s">
        <v>45</v>
      </c>
    </row>
    <row r="31" spans="1:42" x14ac:dyDescent="0.3">
      <c r="B31" s="7"/>
      <c r="C31" t="s">
        <v>129</v>
      </c>
      <c r="D31" t="s">
        <v>42</v>
      </c>
      <c r="E31">
        <v>0.300780267667067</v>
      </c>
      <c r="F31">
        <v>0.300780267667067</v>
      </c>
      <c r="G31" t="s">
        <v>43</v>
      </c>
      <c r="H31" t="s">
        <v>44</v>
      </c>
      <c r="I31" s="11">
        <v>0</v>
      </c>
      <c r="J31" s="8" t="s">
        <v>45</v>
      </c>
      <c r="N31" s="7"/>
      <c r="O31" s="22" t="s">
        <v>59</v>
      </c>
      <c r="P31" t="s">
        <v>47</v>
      </c>
      <c r="Q31" s="22">
        <v>0.10978499999999999</v>
      </c>
      <c r="R31" s="22">
        <v>0.10978499999999999</v>
      </c>
      <c r="S31" s="22" t="s">
        <v>48</v>
      </c>
      <c r="T31" t="s">
        <v>44</v>
      </c>
      <c r="U31" s="11">
        <v>0</v>
      </c>
      <c r="V31" s="8" t="s">
        <v>45</v>
      </c>
      <c r="Z31" s="7"/>
      <c r="AA31" t="s">
        <v>194</v>
      </c>
      <c r="AB31" t="s">
        <v>42</v>
      </c>
      <c r="AC31">
        <v>0.82886739319180402</v>
      </c>
      <c r="AD31">
        <v>0.82886739319180402</v>
      </c>
      <c r="AE31" t="s">
        <v>43</v>
      </c>
      <c r="AF31" t="s">
        <v>44</v>
      </c>
      <c r="AG31" s="11">
        <v>0</v>
      </c>
      <c r="AH31" s="8" t="s">
        <v>45</v>
      </c>
      <c r="AM31" t="s">
        <v>332</v>
      </c>
    </row>
    <row r="32" spans="1:42" x14ac:dyDescent="0.3">
      <c r="B32" s="7"/>
      <c r="C32" t="s">
        <v>194</v>
      </c>
      <c r="D32" t="s">
        <v>42</v>
      </c>
      <c r="E32">
        <v>0.76979049157984702</v>
      </c>
      <c r="F32">
        <v>0.76979049157984702</v>
      </c>
      <c r="G32" t="s">
        <v>43</v>
      </c>
      <c r="H32" t="s">
        <v>44</v>
      </c>
      <c r="I32" s="11">
        <v>0</v>
      </c>
      <c r="J32" s="8" t="s">
        <v>45</v>
      </c>
      <c r="N32" s="7"/>
      <c r="O32" s="22" t="s">
        <v>202</v>
      </c>
      <c r="P32" t="s">
        <v>47</v>
      </c>
      <c r="Q32" s="22">
        <v>3.6477096846637198</v>
      </c>
      <c r="R32" s="22">
        <v>3.6477096846637198</v>
      </c>
      <c r="S32" s="22" t="s">
        <v>48</v>
      </c>
      <c r="T32" t="s">
        <v>44</v>
      </c>
      <c r="U32" s="11">
        <v>0</v>
      </c>
      <c r="V32" s="8" t="s">
        <v>45</v>
      </c>
      <c r="Z32" s="7"/>
      <c r="AA32" s="22" t="s">
        <v>139</v>
      </c>
      <c r="AB32" t="s">
        <v>47</v>
      </c>
      <c r="AC32" s="22">
        <v>4.7320568114971602</v>
      </c>
      <c r="AD32" s="22">
        <v>4.7320568114971602</v>
      </c>
      <c r="AE32" s="22" t="s">
        <v>48</v>
      </c>
      <c r="AF32" t="s">
        <v>44</v>
      </c>
      <c r="AG32" s="11">
        <v>0</v>
      </c>
      <c r="AH32" s="8" t="s">
        <v>45</v>
      </c>
      <c r="AM32" t="s">
        <v>259</v>
      </c>
    </row>
    <row r="33" spans="2:42" x14ac:dyDescent="0.3">
      <c r="B33" s="7"/>
      <c r="C33" s="22" t="s">
        <v>139</v>
      </c>
      <c r="D33" t="s">
        <v>47</v>
      </c>
      <c r="E33" s="22">
        <v>9.5117205406418606</v>
      </c>
      <c r="F33" s="22">
        <v>9.5117205406418606</v>
      </c>
      <c r="G33" s="22" t="s">
        <v>48</v>
      </c>
      <c r="H33" t="s">
        <v>44</v>
      </c>
      <c r="I33" s="11">
        <v>0</v>
      </c>
      <c r="J33" s="8" t="s">
        <v>45</v>
      </c>
      <c r="N33" s="7"/>
      <c r="O33" s="22" t="s">
        <v>86</v>
      </c>
      <c r="P33" t="s">
        <v>47</v>
      </c>
      <c r="Q33" s="22">
        <v>8146.4733228887198</v>
      </c>
      <c r="R33" s="22">
        <v>8146.4733228887198</v>
      </c>
      <c r="S33" s="22" t="s">
        <v>48</v>
      </c>
      <c r="T33" t="s">
        <v>44</v>
      </c>
      <c r="U33" s="11">
        <v>0</v>
      </c>
      <c r="V33" s="8" t="s">
        <v>45</v>
      </c>
      <c r="Z33" s="7"/>
      <c r="AA33" s="22" t="s">
        <v>202</v>
      </c>
      <c r="AB33" t="s">
        <v>47</v>
      </c>
      <c r="AC33" s="22">
        <v>5.1661264748171503</v>
      </c>
      <c r="AD33" s="22">
        <v>5.1661264748171503</v>
      </c>
      <c r="AE33" s="22" t="s">
        <v>48</v>
      </c>
      <c r="AF33" t="s">
        <v>44</v>
      </c>
      <c r="AG33" s="11">
        <v>0</v>
      </c>
      <c r="AH33" s="8" t="s">
        <v>45</v>
      </c>
      <c r="AM33" s="21" t="s">
        <v>333</v>
      </c>
      <c r="AN33" s="21">
        <v>16</v>
      </c>
      <c r="AO33" s="21" t="s">
        <v>43</v>
      </c>
    </row>
    <row r="34" spans="2:42" x14ac:dyDescent="0.3">
      <c r="B34" s="7"/>
      <c r="C34" s="22" t="s">
        <v>59</v>
      </c>
      <c r="D34" t="s">
        <v>47</v>
      </c>
      <c r="E34" s="22">
        <v>0.10978499999999999</v>
      </c>
      <c r="F34" s="22">
        <v>0.10978499999999999</v>
      </c>
      <c r="G34" s="22" t="s">
        <v>48</v>
      </c>
      <c r="H34" t="s">
        <v>44</v>
      </c>
      <c r="I34" s="11">
        <v>0</v>
      </c>
      <c r="J34" s="8" t="s">
        <v>45</v>
      </c>
      <c r="N34" s="7"/>
      <c r="O34" s="22" t="s">
        <v>154</v>
      </c>
      <c r="P34" t="s">
        <v>47</v>
      </c>
      <c r="Q34" s="22">
        <v>9.1958775718848997</v>
      </c>
      <c r="R34" s="22">
        <v>9.1958775718848997</v>
      </c>
      <c r="S34" s="22" t="s">
        <v>48</v>
      </c>
      <c r="T34" t="s">
        <v>44</v>
      </c>
      <c r="U34" s="11">
        <v>0</v>
      </c>
      <c r="V34" s="8" t="s">
        <v>45</v>
      </c>
      <c r="Z34" s="7"/>
      <c r="AA34" s="22" t="s">
        <v>86</v>
      </c>
      <c r="AB34" t="s">
        <v>47</v>
      </c>
      <c r="AC34" s="22">
        <v>12026.8269904472</v>
      </c>
      <c r="AD34" s="22">
        <v>12026.8269904472</v>
      </c>
      <c r="AE34" s="22" t="s">
        <v>48</v>
      </c>
      <c r="AF34" t="s">
        <v>44</v>
      </c>
      <c r="AG34" s="11">
        <v>0</v>
      </c>
      <c r="AH34" s="8" t="s">
        <v>45</v>
      </c>
      <c r="AM34" s="22" t="s">
        <v>249</v>
      </c>
      <c r="AN34" s="22">
        <v>109</v>
      </c>
      <c r="AO34" s="22" t="s">
        <v>48</v>
      </c>
    </row>
    <row r="35" spans="2:42" x14ac:dyDescent="0.3">
      <c r="B35" s="7"/>
      <c r="C35" s="22" t="s">
        <v>202</v>
      </c>
      <c r="D35" t="s">
        <v>47</v>
      </c>
      <c r="E35" s="22">
        <v>4.7979146860864601</v>
      </c>
      <c r="F35" s="22">
        <v>4.7979146860864601</v>
      </c>
      <c r="G35" s="22" t="s">
        <v>48</v>
      </c>
      <c r="H35" t="s">
        <v>44</v>
      </c>
      <c r="I35" s="11">
        <v>0</v>
      </c>
      <c r="J35" s="8" t="s">
        <v>45</v>
      </c>
      <c r="N35" s="7"/>
      <c r="O35" s="22" t="s">
        <v>206</v>
      </c>
      <c r="P35" t="s">
        <v>47</v>
      </c>
      <c r="Q35" s="22">
        <v>6.2770412315653203</v>
      </c>
      <c r="R35" s="22">
        <v>6.2770412315653203</v>
      </c>
      <c r="S35" s="22" t="s">
        <v>48</v>
      </c>
      <c r="T35" t="s">
        <v>44</v>
      </c>
      <c r="U35" s="11">
        <v>0</v>
      </c>
      <c r="V35" s="8" t="s">
        <v>45</v>
      </c>
      <c r="Z35" s="7"/>
      <c r="AA35" s="22" t="s">
        <v>154</v>
      </c>
      <c r="AB35" t="s">
        <v>47</v>
      </c>
      <c r="AC35" s="22">
        <v>22.373289950526001</v>
      </c>
      <c r="AD35" s="22">
        <v>22.373289950526001</v>
      </c>
      <c r="AE35" s="22" t="s">
        <v>48</v>
      </c>
      <c r="AF35" t="s">
        <v>44</v>
      </c>
      <c r="AG35" s="11">
        <v>0</v>
      </c>
      <c r="AH35" s="8" t="s">
        <v>45</v>
      </c>
      <c r="AM35" s="22" t="s">
        <v>315</v>
      </c>
      <c r="AN35" s="22">
        <v>67.5</v>
      </c>
      <c r="AO35" s="22" t="s">
        <v>48</v>
      </c>
    </row>
    <row r="36" spans="2:42" x14ac:dyDescent="0.3">
      <c r="B36" s="7"/>
      <c r="C36" s="22" t="s">
        <v>86</v>
      </c>
      <c r="D36" t="s">
        <v>47</v>
      </c>
      <c r="E36" s="22">
        <v>9632.7005168953201</v>
      </c>
      <c r="F36" s="22">
        <v>9632.7005168953201</v>
      </c>
      <c r="G36" s="22" t="s">
        <v>48</v>
      </c>
      <c r="H36" t="s">
        <v>44</v>
      </c>
      <c r="I36" s="11">
        <v>0</v>
      </c>
      <c r="J36" s="8" t="s">
        <v>45</v>
      </c>
      <c r="N36" s="7"/>
      <c r="O36" t="s">
        <v>201</v>
      </c>
      <c r="P36" t="s">
        <v>42</v>
      </c>
      <c r="Q36">
        <v>4.1194338153279997</v>
      </c>
      <c r="R36">
        <v>4.1194338153279997</v>
      </c>
      <c r="S36" t="s">
        <v>43</v>
      </c>
      <c r="T36" t="s">
        <v>44</v>
      </c>
      <c r="U36" s="11">
        <v>0</v>
      </c>
      <c r="V36" s="8" t="s">
        <v>45</v>
      </c>
      <c r="Z36" s="7"/>
      <c r="AA36" s="22" t="s">
        <v>206</v>
      </c>
      <c r="AB36" t="s">
        <v>47</v>
      </c>
      <c r="AC36" s="22">
        <v>8.8899588216264203</v>
      </c>
      <c r="AD36" s="22">
        <v>8.8899588216264203</v>
      </c>
      <c r="AE36" s="22" t="s">
        <v>48</v>
      </c>
      <c r="AF36" t="s">
        <v>44</v>
      </c>
      <c r="AG36" s="11">
        <v>0</v>
      </c>
      <c r="AH36" s="8" t="s">
        <v>45</v>
      </c>
    </row>
    <row r="37" spans="2:42" x14ac:dyDescent="0.3">
      <c r="B37" s="7"/>
      <c r="C37" s="22" t="s">
        <v>154</v>
      </c>
      <c r="D37" t="s">
        <v>47</v>
      </c>
      <c r="E37" s="22">
        <v>9.3401238184100492</v>
      </c>
      <c r="F37" s="22">
        <v>9.3401238184100492</v>
      </c>
      <c r="G37" s="22" t="s">
        <v>48</v>
      </c>
      <c r="H37" t="s">
        <v>44</v>
      </c>
      <c r="I37" s="11">
        <v>0</v>
      </c>
      <c r="J37" s="8" t="s">
        <v>45</v>
      </c>
      <c r="N37" s="7"/>
      <c r="O37" s="21" t="s">
        <v>209</v>
      </c>
      <c r="P37" t="s">
        <v>42</v>
      </c>
      <c r="Q37" s="21">
        <v>521.274375519263</v>
      </c>
      <c r="R37" s="21">
        <v>521.274375519263</v>
      </c>
      <c r="S37" s="21" t="s">
        <v>43</v>
      </c>
      <c r="T37" t="s">
        <v>99</v>
      </c>
      <c r="U37" s="11">
        <v>0</v>
      </c>
      <c r="V37" s="8" t="s">
        <v>45</v>
      </c>
      <c r="Z37" s="7"/>
      <c r="AA37" t="s">
        <v>201</v>
      </c>
      <c r="AB37" t="s">
        <v>42</v>
      </c>
      <c r="AC37">
        <v>12.038390303944301</v>
      </c>
      <c r="AD37">
        <v>12.038390303944301</v>
      </c>
      <c r="AE37" t="s">
        <v>43</v>
      </c>
      <c r="AF37" t="s">
        <v>44</v>
      </c>
      <c r="AG37" s="11">
        <v>0</v>
      </c>
      <c r="AH37" s="8" t="s">
        <v>45</v>
      </c>
      <c r="AM37" t="s">
        <v>260</v>
      </c>
    </row>
    <row r="38" spans="2:42" x14ac:dyDescent="0.3">
      <c r="B38" s="7"/>
      <c r="C38" s="22" t="s">
        <v>206</v>
      </c>
      <c r="D38" t="s">
        <v>47</v>
      </c>
      <c r="E38" s="22">
        <v>8.2563336760923907</v>
      </c>
      <c r="F38" s="22">
        <v>8.2563336760923907</v>
      </c>
      <c r="G38" s="22" t="s">
        <v>48</v>
      </c>
      <c r="H38" t="s">
        <v>44</v>
      </c>
      <c r="I38" s="11">
        <v>0</v>
      </c>
      <c r="J38" s="8" t="s">
        <v>45</v>
      </c>
      <c r="N38" s="7" t="s">
        <v>84</v>
      </c>
      <c r="U38" s="11"/>
      <c r="V38" s="8"/>
      <c r="Z38" s="7"/>
      <c r="AA38" s="21" t="s">
        <v>209</v>
      </c>
      <c r="AB38" t="s">
        <v>42</v>
      </c>
      <c r="AC38" s="21">
        <v>199.00385696417601</v>
      </c>
      <c r="AD38" s="21">
        <v>199.00385696417601</v>
      </c>
      <c r="AE38" s="21" t="s">
        <v>43</v>
      </c>
      <c r="AG38" s="11">
        <v>0</v>
      </c>
      <c r="AH38" s="8" t="s">
        <v>45</v>
      </c>
      <c r="AM38" s="21" t="s">
        <v>334</v>
      </c>
      <c r="AN38" s="21">
        <v>13.5</v>
      </c>
      <c r="AO38" s="21" t="s">
        <v>43</v>
      </c>
    </row>
    <row r="39" spans="2:42" x14ac:dyDescent="0.3">
      <c r="B39" s="7"/>
      <c r="C39" t="s">
        <v>201</v>
      </c>
      <c r="D39" t="s">
        <v>42</v>
      </c>
      <c r="E39">
        <v>4.0612272594175796</v>
      </c>
      <c r="F39">
        <v>4.0612272594175796</v>
      </c>
      <c r="G39" t="s">
        <v>43</v>
      </c>
      <c r="H39" t="s">
        <v>44</v>
      </c>
      <c r="I39" s="11">
        <v>0</v>
      </c>
      <c r="J39" s="8" t="s">
        <v>45</v>
      </c>
      <c r="N39" s="7" t="s">
        <v>31</v>
      </c>
      <c r="O39" t="s">
        <v>32</v>
      </c>
      <c r="P39" t="s">
        <v>33</v>
      </c>
      <c r="Q39" t="s">
        <v>34</v>
      </c>
      <c r="R39" t="s">
        <v>35</v>
      </c>
      <c r="S39" t="s">
        <v>36</v>
      </c>
      <c r="T39" t="s">
        <v>37</v>
      </c>
      <c r="U39" s="11" t="s">
        <v>38</v>
      </c>
      <c r="V39" s="8" t="s">
        <v>39</v>
      </c>
      <c r="Z39" s="7" t="s">
        <v>84</v>
      </c>
      <c r="AG39" s="11"/>
      <c r="AH39" s="8"/>
      <c r="AM39" s="21" t="s">
        <v>335</v>
      </c>
      <c r="AN39" s="21">
        <v>2.5</v>
      </c>
      <c r="AO39" s="21" t="s">
        <v>43</v>
      </c>
    </row>
    <row r="40" spans="2:42" x14ac:dyDescent="0.3">
      <c r="B40" s="7"/>
      <c r="C40" s="21" t="s">
        <v>209</v>
      </c>
      <c r="D40" t="s">
        <v>42</v>
      </c>
      <c r="E40" s="21">
        <v>184.82000635690201</v>
      </c>
      <c r="F40" s="21">
        <v>184.82000635690201</v>
      </c>
      <c r="G40" s="21" t="s">
        <v>43</v>
      </c>
      <c r="I40" s="11">
        <v>0</v>
      </c>
      <c r="J40" s="8" t="s">
        <v>45</v>
      </c>
      <c r="N40" s="7"/>
      <c r="O40" s="21" t="s">
        <v>215</v>
      </c>
      <c r="P40" t="s">
        <v>42</v>
      </c>
      <c r="Q40" s="21">
        <v>1000</v>
      </c>
      <c r="R40" s="21">
        <v>1000</v>
      </c>
      <c r="S40" s="21" t="s">
        <v>43</v>
      </c>
      <c r="T40" t="s">
        <v>44</v>
      </c>
      <c r="U40" s="11">
        <v>0</v>
      </c>
      <c r="V40" s="8" t="s">
        <v>45</v>
      </c>
      <c r="Z40" s="7" t="s">
        <v>31</v>
      </c>
      <c r="AA40" t="s">
        <v>32</v>
      </c>
      <c r="AB40" t="s">
        <v>33</v>
      </c>
      <c r="AC40" t="s">
        <v>34</v>
      </c>
      <c r="AD40" t="s">
        <v>35</v>
      </c>
      <c r="AE40" t="s">
        <v>36</v>
      </c>
      <c r="AF40" t="s">
        <v>37</v>
      </c>
      <c r="AG40" s="11" t="s">
        <v>38</v>
      </c>
      <c r="AH40" s="8" t="s">
        <v>39</v>
      </c>
      <c r="AL40" s="19"/>
      <c r="AM40" s="19"/>
      <c r="AN40" s="19"/>
      <c r="AO40" s="19"/>
      <c r="AP40" s="19"/>
    </row>
    <row r="41" spans="2:42" x14ac:dyDescent="0.3">
      <c r="B41" s="7" t="s">
        <v>84</v>
      </c>
      <c r="I41" s="11"/>
      <c r="J41" s="8"/>
      <c r="N41" s="7"/>
      <c r="O41" s="40" t="s">
        <v>218</v>
      </c>
      <c r="P41" t="s">
        <v>42</v>
      </c>
      <c r="Q41" s="40">
        <v>495.40219584800002</v>
      </c>
      <c r="R41" s="40">
        <v>495.40219584800002</v>
      </c>
      <c r="S41" s="40" t="s">
        <v>43</v>
      </c>
      <c r="T41" t="s">
        <v>99</v>
      </c>
      <c r="U41" s="11">
        <v>0</v>
      </c>
      <c r="V41" s="8" t="s">
        <v>45</v>
      </c>
      <c r="Z41" s="7"/>
      <c r="AA41" s="21" t="s">
        <v>217</v>
      </c>
      <c r="AB41" t="s">
        <v>42</v>
      </c>
      <c r="AC41" s="21">
        <v>1000</v>
      </c>
      <c r="AD41" s="21">
        <v>1000</v>
      </c>
      <c r="AE41" s="21" t="s">
        <v>43</v>
      </c>
      <c r="AF41" t="s">
        <v>44</v>
      </c>
      <c r="AG41" s="11">
        <v>0</v>
      </c>
      <c r="AH41" s="8" t="s">
        <v>45</v>
      </c>
    </row>
    <row r="42" spans="2:42" x14ac:dyDescent="0.3">
      <c r="B42" s="7" t="s">
        <v>31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s="11" t="s">
        <v>38</v>
      </c>
      <c r="J42" s="8" t="s">
        <v>39</v>
      </c>
      <c r="N42" s="7"/>
      <c r="O42" s="40" t="s">
        <v>207</v>
      </c>
      <c r="P42" t="s">
        <v>42</v>
      </c>
      <c r="Q42" s="40">
        <v>15.275296528</v>
      </c>
      <c r="R42" s="40">
        <v>15.275296528</v>
      </c>
      <c r="S42" s="40" t="s">
        <v>43</v>
      </c>
      <c r="T42" t="s">
        <v>99</v>
      </c>
      <c r="U42" s="11">
        <v>0</v>
      </c>
      <c r="V42" s="8" t="s">
        <v>45</v>
      </c>
      <c r="Z42" s="7"/>
      <c r="AA42" s="40" t="s">
        <v>218</v>
      </c>
      <c r="AB42" t="s">
        <v>42</v>
      </c>
      <c r="AC42" s="40">
        <v>230.70712963025599</v>
      </c>
      <c r="AD42" s="40">
        <v>230.70712963025599</v>
      </c>
      <c r="AE42" s="40" t="s">
        <v>43</v>
      </c>
      <c r="AF42" t="s">
        <v>99</v>
      </c>
      <c r="AG42" s="11">
        <v>0</v>
      </c>
      <c r="AH42" s="8" t="s">
        <v>45</v>
      </c>
      <c r="AM42" t="s">
        <v>259</v>
      </c>
      <c r="AN42">
        <f>AN33</f>
        <v>16</v>
      </c>
      <c r="AO42" t="s">
        <v>43</v>
      </c>
    </row>
    <row r="43" spans="2:42" x14ac:dyDescent="0.3">
      <c r="B43" s="7"/>
      <c r="C43" s="21" t="s">
        <v>215</v>
      </c>
      <c r="D43" t="s">
        <v>42</v>
      </c>
      <c r="E43" s="21">
        <v>1000</v>
      </c>
      <c r="F43" s="21">
        <v>1000</v>
      </c>
      <c r="G43" s="21" t="s">
        <v>43</v>
      </c>
      <c r="H43" t="s">
        <v>44</v>
      </c>
      <c r="I43" s="11">
        <v>0</v>
      </c>
      <c r="J43" s="8" t="s">
        <v>45</v>
      </c>
      <c r="N43" s="7"/>
      <c r="O43" s="40" t="s">
        <v>109</v>
      </c>
      <c r="P43" t="s">
        <v>42</v>
      </c>
      <c r="Q43" s="40">
        <v>44.833886618734901</v>
      </c>
      <c r="R43" s="40">
        <v>44.833886618734901</v>
      </c>
      <c r="S43" s="40" t="s">
        <v>43</v>
      </c>
      <c r="T43" t="s">
        <v>99</v>
      </c>
      <c r="U43" s="11">
        <v>0</v>
      </c>
      <c r="V43" s="8" t="s">
        <v>45</v>
      </c>
      <c r="Z43" s="7"/>
      <c r="AA43" s="40" t="s">
        <v>207</v>
      </c>
      <c r="AB43" t="s">
        <v>42</v>
      </c>
      <c r="AC43" s="40">
        <v>288.71920830401803</v>
      </c>
      <c r="AD43" s="40">
        <v>288.71920830401803</v>
      </c>
      <c r="AE43" s="40" t="s">
        <v>43</v>
      </c>
      <c r="AF43" t="s">
        <v>99</v>
      </c>
      <c r="AG43" s="11">
        <v>0</v>
      </c>
      <c r="AH43" s="8" t="s">
        <v>45</v>
      </c>
      <c r="AL43" t="s">
        <v>338</v>
      </c>
      <c r="AM43" t="s">
        <v>260</v>
      </c>
      <c r="AN43">
        <f>AN38</f>
        <v>13.5</v>
      </c>
      <c r="AO43" t="s">
        <v>43</v>
      </c>
    </row>
    <row r="44" spans="2:42" x14ac:dyDescent="0.3">
      <c r="B44" s="7"/>
      <c r="C44" s="40" t="s">
        <v>218</v>
      </c>
      <c r="D44" t="s">
        <v>42</v>
      </c>
      <c r="E44" s="40">
        <v>234.972181212923</v>
      </c>
      <c r="F44" s="40">
        <v>234.972181212923</v>
      </c>
      <c r="G44" s="40" t="s">
        <v>43</v>
      </c>
      <c r="H44" t="s">
        <v>99</v>
      </c>
      <c r="I44" s="11">
        <v>0</v>
      </c>
      <c r="J44" s="8" t="s">
        <v>45</v>
      </c>
      <c r="N44" s="7"/>
      <c r="O44" t="s">
        <v>120</v>
      </c>
      <c r="P44" t="s">
        <v>42</v>
      </c>
      <c r="Q44">
        <v>2.6594131541769301</v>
      </c>
      <c r="R44">
        <v>2.6594131541769301</v>
      </c>
      <c r="S44" t="s">
        <v>43</v>
      </c>
      <c r="T44" t="s">
        <v>99</v>
      </c>
      <c r="U44" s="11">
        <v>0</v>
      </c>
      <c r="V44" s="8" t="s">
        <v>45</v>
      </c>
      <c r="Z44" s="7"/>
      <c r="AA44" s="40" t="s">
        <v>109</v>
      </c>
      <c r="AB44" t="s">
        <v>42</v>
      </c>
      <c r="AC44" s="40">
        <v>63.5195773412363</v>
      </c>
      <c r="AD44" s="40">
        <v>63.5195773412363</v>
      </c>
      <c r="AE44" s="40" t="s">
        <v>43</v>
      </c>
      <c r="AF44" t="s">
        <v>99</v>
      </c>
      <c r="AG44" s="11">
        <v>0</v>
      </c>
      <c r="AH44" s="8" t="s">
        <v>45</v>
      </c>
      <c r="AM44" t="s">
        <v>261</v>
      </c>
      <c r="AN44" s="20">
        <f>AN43/AN42</f>
        <v>0.84375</v>
      </c>
      <c r="AO44" s="18"/>
    </row>
    <row r="45" spans="2:42" x14ac:dyDescent="0.3">
      <c r="B45" s="7"/>
      <c r="C45" s="40" t="s">
        <v>207</v>
      </c>
      <c r="D45" t="s">
        <v>42</v>
      </c>
      <c r="E45" s="40">
        <v>175.817803481901</v>
      </c>
      <c r="F45" s="40">
        <v>175.817803481901</v>
      </c>
      <c r="G45" s="40" t="s">
        <v>43</v>
      </c>
      <c r="H45" t="s">
        <v>99</v>
      </c>
      <c r="I45" s="11">
        <v>0</v>
      </c>
      <c r="J45" s="8" t="s">
        <v>45</v>
      </c>
      <c r="N45" s="7"/>
      <c r="O45" t="s">
        <v>221</v>
      </c>
      <c r="P45" t="s">
        <v>42</v>
      </c>
      <c r="Q45">
        <v>5.7470399999999998E-2</v>
      </c>
      <c r="R45">
        <v>5.7470399999999998E-2</v>
      </c>
      <c r="S45" t="s">
        <v>43</v>
      </c>
      <c r="T45" t="s">
        <v>99</v>
      </c>
      <c r="U45" s="11">
        <v>0</v>
      </c>
      <c r="V45" s="8" t="s">
        <v>45</v>
      </c>
      <c r="Z45" s="7"/>
      <c r="AA45" t="s">
        <v>120</v>
      </c>
      <c r="AB45" t="s">
        <v>42</v>
      </c>
      <c r="AC45">
        <v>3.7664358984031798</v>
      </c>
      <c r="AD45">
        <v>3.7664358984031798</v>
      </c>
      <c r="AE45" t="s">
        <v>43</v>
      </c>
      <c r="AF45" t="s">
        <v>99</v>
      </c>
      <c r="AG45" s="11">
        <v>0</v>
      </c>
      <c r="AH45" s="8" t="s">
        <v>45</v>
      </c>
      <c r="AO45" s="18"/>
    </row>
    <row r="46" spans="2:42" x14ac:dyDescent="0.3">
      <c r="B46" s="7"/>
      <c r="C46" s="40" t="s">
        <v>109</v>
      </c>
      <c r="D46" t="s">
        <v>42</v>
      </c>
      <c r="E46" s="40">
        <v>58.992267120271997</v>
      </c>
      <c r="F46" s="40">
        <v>58.992267120271997</v>
      </c>
      <c r="G46" s="40" t="s">
        <v>43</v>
      </c>
      <c r="H46" t="s">
        <v>99</v>
      </c>
      <c r="I46" s="11">
        <v>0</v>
      </c>
      <c r="J46" s="8" t="s">
        <v>45</v>
      </c>
      <c r="N46" s="7"/>
      <c r="O46" t="s">
        <v>200</v>
      </c>
      <c r="P46" t="s">
        <v>42</v>
      </c>
      <c r="Q46" s="14">
        <v>2.7303797475459799</v>
      </c>
      <c r="R46" s="14">
        <v>2.7303797475459799</v>
      </c>
      <c r="S46" t="s">
        <v>43</v>
      </c>
      <c r="T46" t="s">
        <v>99</v>
      </c>
      <c r="U46" s="11">
        <v>0</v>
      </c>
      <c r="V46" s="8" t="s">
        <v>45</v>
      </c>
      <c r="Z46" s="7"/>
      <c r="AA46" t="s">
        <v>200</v>
      </c>
      <c r="AB46" t="s">
        <v>42</v>
      </c>
      <c r="AC46">
        <v>4.1384681236873204</v>
      </c>
      <c r="AD46">
        <v>4.1384681236873204</v>
      </c>
      <c r="AE46" t="s">
        <v>43</v>
      </c>
      <c r="AF46" t="s">
        <v>99</v>
      </c>
      <c r="AG46" s="11">
        <v>0</v>
      </c>
      <c r="AH46" s="8" t="s">
        <v>45</v>
      </c>
      <c r="AM46" t="s">
        <v>248</v>
      </c>
      <c r="AN46" s="18">
        <f>AN35</f>
        <v>67.5</v>
      </c>
      <c r="AO46" s="20">
        <f>AN46/AN48</f>
        <v>0.38243626062322944</v>
      </c>
    </row>
    <row r="47" spans="2:42" x14ac:dyDescent="0.3">
      <c r="B47" s="7"/>
      <c r="C47" t="s">
        <v>221</v>
      </c>
      <c r="D47" t="s">
        <v>42</v>
      </c>
      <c r="E47">
        <v>5.7470399999999998E-2</v>
      </c>
      <c r="F47">
        <v>5.7470399999999998E-2</v>
      </c>
      <c r="G47" t="s">
        <v>43</v>
      </c>
      <c r="H47" t="s">
        <v>99</v>
      </c>
      <c r="I47" s="11">
        <v>0</v>
      </c>
      <c r="J47" s="8" t="s">
        <v>45</v>
      </c>
      <c r="N47" s="7"/>
      <c r="O47" t="s">
        <v>118</v>
      </c>
      <c r="P47" t="s">
        <v>42</v>
      </c>
      <c r="Q47">
        <v>0.20257132006463699</v>
      </c>
      <c r="R47">
        <v>0.20257132006463699</v>
      </c>
      <c r="S47" t="s">
        <v>43</v>
      </c>
      <c r="T47" t="s">
        <v>99</v>
      </c>
      <c r="U47" s="11">
        <v>0</v>
      </c>
      <c r="V47" s="8" t="s">
        <v>45</v>
      </c>
      <c r="Z47" s="7"/>
      <c r="AA47" t="s">
        <v>118</v>
      </c>
      <c r="AB47" t="s">
        <v>42</v>
      </c>
      <c r="AC47">
        <v>0.33867244477693398</v>
      </c>
      <c r="AD47">
        <v>0.33867244477693398</v>
      </c>
      <c r="AE47" t="s">
        <v>43</v>
      </c>
      <c r="AF47" t="s">
        <v>99</v>
      </c>
      <c r="AG47" s="11">
        <v>0</v>
      </c>
      <c r="AH47" s="8" t="s">
        <v>45</v>
      </c>
      <c r="AM47" t="s">
        <v>249</v>
      </c>
      <c r="AN47" s="18">
        <f>AN34</f>
        <v>109</v>
      </c>
      <c r="AO47" s="20">
        <f>AN47/AN48</f>
        <v>0.61756373937677056</v>
      </c>
    </row>
    <row r="48" spans="2:42" x14ac:dyDescent="0.3">
      <c r="B48" s="7"/>
      <c r="C48" t="s">
        <v>120</v>
      </c>
      <c r="D48" t="s">
        <v>42</v>
      </c>
      <c r="E48">
        <v>3.4979860054222698</v>
      </c>
      <c r="F48">
        <v>3.4979860054222698</v>
      </c>
      <c r="G48" t="s">
        <v>43</v>
      </c>
      <c r="H48" t="s">
        <v>99</v>
      </c>
      <c r="I48" s="11">
        <v>0</v>
      </c>
      <c r="J48" s="8" t="s">
        <v>45</v>
      </c>
      <c r="N48" s="7"/>
      <c r="O48" t="s">
        <v>144</v>
      </c>
      <c r="P48" t="s">
        <v>42</v>
      </c>
      <c r="Q48">
        <v>4.1289819592635597</v>
      </c>
      <c r="R48">
        <v>4.1289819592635597</v>
      </c>
      <c r="S48" t="s">
        <v>43</v>
      </c>
      <c r="T48" t="s">
        <v>99</v>
      </c>
      <c r="U48" s="11">
        <v>0</v>
      </c>
      <c r="V48" s="8" t="s">
        <v>45</v>
      </c>
      <c r="Z48" s="7"/>
      <c r="AA48" t="s">
        <v>144</v>
      </c>
      <c r="AB48" t="s">
        <v>42</v>
      </c>
      <c r="AC48" s="14">
        <v>4.4701615707479903</v>
      </c>
      <c r="AD48" s="14">
        <v>4.4701615707479903</v>
      </c>
      <c r="AE48" t="s">
        <v>43</v>
      </c>
      <c r="AF48" t="s">
        <v>99</v>
      </c>
      <c r="AG48" s="11">
        <v>0</v>
      </c>
      <c r="AH48" s="8" t="s">
        <v>45</v>
      </c>
      <c r="AM48" t="s">
        <v>263</v>
      </c>
      <c r="AN48" s="18">
        <f>SUM(AN46:AN47)</f>
        <v>176.5</v>
      </c>
    </row>
    <row r="49" spans="2:41" x14ac:dyDescent="0.3">
      <c r="B49" s="7"/>
      <c r="C49" t="s">
        <v>200</v>
      </c>
      <c r="D49" t="s">
        <v>42</v>
      </c>
      <c r="E49" s="14">
        <v>3.1151597755162901</v>
      </c>
      <c r="F49" s="14">
        <v>3.1151597755162901</v>
      </c>
      <c r="G49" t="s">
        <v>43</v>
      </c>
      <c r="H49" t="s">
        <v>99</v>
      </c>
      <c r="I49" s="11">
        <v>0</v>
      </c>
      <c r="J49" s="8" t="s">
        <v>45</v>
      </c>
      <c r="N49" s="7"/>
      <c r="O49" t="s">
        <v>155</v>
      </c>
      <c r="P49" t="s">
        <v>42</v>
      </c>
      <c r="Q49" s="14">
        <v>2.0775937252640202</v>
      </c>
      <c r="R49" s="14">
        <v>2.0775937252640202</v>
      </c>
      <c r="S49" t="s">
        <v>43</v>
      </c>
      <c r="T49" t="s">
        <v>99</v>
      </c>
      <c r="U49" s="11">
        <v>0</v>
      </c>
      <c r="V49" s="8" t="s">
        <v>45</v>
      </c>
      <c r="Z49" s="7"/>
      <c r="AA49" t="s">
        <v>155</v>
      </c>
      <c r="AB49" t="s">
        <v>42</v>
      </c>
      <c r="AC49">
        <v>2.94242493944249</v>
      </c>
      <c r="AD49">
        <v>2.94242493944249</v>
      </c>
      <c r="AE49" t="s">
        <v>43</v>
      </c>
      <c r="AF49" t="s">
        <v>99</v>
      </c>
      <c r="AG49" s="11">
        <v>0</v>
      </c>
      <c r="AH49" s="8" t="s">
        <v>45</v>
      </c>
    </row>
    <row r="50" spans="2:41" x14ac:dyDescent="0.3">
      <c r="B50" s="7"/>
      <c r="C50" t="s">
        <v>118</v>
      </c>
      <c r="D50" t="s">
        <v>42</v>
      </c>
      <c r="E50">
        <v>0.21570003662817699</v>
      </c>
      <c r="F50">
        <v>0.21570003662817699</v>
      </c>
      <c r="G50" t="s">
        <v>43</v>
      </c>
      <c r="H50" t="s">
        <v>99</v>
      </c>
      <c r="I50" s="11">
        <v>0</v>
      </c>
      <c r="J50" s="8" t="s">
        <v>45</v>
      </c>
      <c r="N50" s="7"/>
      <c r="O50" t="s">
        <v>204</v>
      </c>
      <c r="P50" t="s">
        <v>42</v>
      </c>
      <c r="Q50" s="14">
        <v>0.98089786661368605</v>
      </c>
      <c r="R50" s="14">
        <v>0.98089786661368605</v>
      </c>
      <c r="S50" t="s">
        <v>43</v>
      </c>
      <c r="T50" t="s">
        <v>99</v>
      </c>
      <c r="U50" s="11">
        <v>0</v>
      </c>
      <c r="V50" s="8" t="s">
        <v>45</v>
      </c>
      <c r="Z50" s="7"/>
      <c r="AA50" t="s">
        <v>204</v>
      </c>
      <c r="AB50" t="s">
        <v>42</v>
      </c>
      <c r="AC50">
        <v>1.38921210180458</v>
      </c>
      <c r="AD50">
        <v>1.38921210180458</v>
      </c>
      <c r="AE50" t="s">
        <v>43</v>
      </c>
      <c r="AF50" t="s">
        <v>99</v>
      </c>
      <c r="AG50" s="11">
        <v>0</v>
      </c>
      <c r="AH50" s="8" t="s">
        <v>45</v>
      </c>
      <c r="AM50" t="s">
        <v>2</v>
      </c>
      <c r="AN50" s="44">
        <f>AN48/AN42</f>
        <v>11.03125</v>
      </c>
      <c r="AO50" t="s">
        <v>336</v>
      </c>
    </row>
    <row r="51" spans="2:41" x14ac:dyDescent="0.3">
      <c r="B51" s="7"/>
      <c r="C51" t="s">
        <v>144</v>
      </c>
      <c r="D51" t="s">
        <v>42</v>
      </c>
      <c r="E51">
        <v>4.76078315842393</v>
      </c>
      <c r="F51">
        <v>4.76078315842393</v>
      </c>
      <c r="G51" t="s">
        <v>43</v>
      </c>
      <c r="H51" t="s">
        <v>99</v>
      </c>
      <c r="I51" s="11">
        <v>0</v>
      </c>
      <c r="J51" s="8" t="s">
        <v>45</v>
      </c>
      <c r="N51" s="7"/>
      <c r="O51" t="s">
        <v>163</v>
      </c>
      <c r="P51" t="s">
        <v>42</v>
      </c>
      <c r="Q51">
        <v>4.6542017069378003</v>
      </c>
      <c r="R51">
        <v>4.6542017069378003</v>
      </c>
      <c r="S51" t="s">
        <v>43</v>
      </c>
      <c r="T51" t="s">
        <v>99</v>
      </c>
      <c r="U51" s="11">
        <v>0</v>
      </c>
      <c r="V51" s="8" t="s">
        <v>45</v>
      </c>
      <c r="Z51" s="7"/>
      <c r="AA51" t="s">
        <v>163</v>
      </c>
      <c r="AB51" t="s">
        <v>42</v>
      </c>
      <c r="AC51" s="14">
        <v>5.9689213345119203</v>
      </c>
      <c r="AD51" s="14">
        <v>5.9689213345119203</v>
      </c>
      <c r="AE51" t="s">
        <v>43</v>
      </c>
      <c r="AF51" t="s">
        <v>99</v>
      </c>
      <c r="AG51" s="11">
        <v>0</v>
      </c>
      <c r="AH51" s="8" t="s">
        <v>45</v>
      </c>
      <c r="AM51" t="s">
        <v>301</v>
      </c>
      <c r="AN51" s="18">
        <f>AN48/AN43</f>
        <v>13.074074074074074</v>
      </c>
      <c r="AO51" t="s">
        <v>337</v>
      </c>
    </row>
    <row r="52" spans="2:41" x14ac:dyDescent="0.3">
      <c r="B52" s="7"/>
      <c r="C52" s="40" t="s">
        <v>155</v>
      </c>
      <c r="D52" t="s">
        <v>42</v>
      </c>
      <c r="E52" s="41">
        <v>2.7327058093671299</v>
      </c>
      <c r="F52" s="41">
        <v>2.7327058093671299</v>
      </c>
      <c r="G52" s="40" t="s">
        <v>43</v>
      </c>
      <c r="H52" t="s">
        <v>99</v>
      </c>
      <c r="I52" s="11">
        <v>0</v>
      </c>
      <c r="J52" s="8" t="s">
        <v>45</v>
      </c>
      <c r="N52" s="7"/>
      <c r="O52" t="s">
        <v>169</v>
      </c>
      <c r="P52" t="s">
        <v>42</v>
      </c>
      <c r="Q52">
        <v>2.8075988808517698</v>
      </c>
      <c r="R52">
        <v>2.8075988808517698</v>
      </c>
      <c r="S52" t="s">
        <v>43</v>
      </c>
      <c r="T52" t="s">
        <v>99</v>
      </c>
      <c r="U52" s="11">
        <v>0</v>
      </c>
      <c r="V52" s="8" t="s">
        <v>45</v>
      </c>
      <c r="Z52" s="7"/>
      <c r="AA52" t="s">
        <v>169</v>
      </c>
      <c r="AB52" t="s">
        <v>42</v>
      </c>
      <c r="AC52" s="14">
        <v>2.7107563790860101</v>
      </c>
      <c r="AD52" s="14">
        <v>2.7107563790860101</v>
      </c>
      <c r="AE52" t="s">
        <v>43</v>
      </c>
      <c r="AF52" t="s">
        <v>99</v>
      </c>
      <c r="AG52" s="11">
        <v>0</v>
      </c>
      <c r="AH52" s="8" t="s">
        <v>45</v>
      </c>
    </row>
    <row r="53" spans="2:41" x14ac:dyDescent="0.3">
      <c r="B53" s="7"/>
      <c r="C53" s="40" t="s">
        <v>204</v>
      </c>
      <c r="D53" t="s">
        <v>42</v>
      </c>
      <c r="E53" s="41">
        <v>1.2901970514713701</v>
      </c>
      <c r="F53" s="41">
        <v>1.2901970514713701</v>
      </c>
      <c r="G53" s="40" t="s">
        <v>43</v>
      </c>
      <c r="H53" t="s">
        <v>99</v>
      </c>
      <c r="I53" s="11">
        <v>0</v>
      </c>
      <c r="J53" s="8" t="s">
        <v>45</v>
      </c>
      <c r="N53" s="7"/>
      <c r="O53" t="s">
        <v>220</v>
      </c>
      <c r="P53" t="s">
        <v>42</v>
      </c>
      <c r="Q53" s="14">
        <v>0.42010197225599999</v>
      </c>
      <c r="R53" s="14">
        <v>0.42010197225599999</v>
      </c>
      <c r="S53" t="s">
        <v>43</v>
      </c>
      <c r="T53" t="s">
        <v>99</v>
      </c>
      <c r="U53" s="11">
        <v>0</v>
      </c>
      <c r="V53" s="8" t="s">
        <v>45</v>
      </c>
      <c r="Z53" s="7"/>
      <c r="AA53" t="s">
        <v>220</v>
      </c>
      <c r="AB53" t="s">
        <v>42</v>
      </c>
      <c r="AC53">
        <v>0.19624742784801999</v>
      </c>
      <c r="AD53">
        <v>0.19624742784801999</v>
      </c>
      <c r="AE53" t="s">
        <v>43</v>
      </c>
      <c r="AF53" t="s">
        <v>99</v>
      </c>
      <c r="AG53" s="11">
        <v>0</v>
      </c>
      <c r="AH53" s="8" t="s">
        <v>45</v>
      </c>
      <c r="AM53" t="s">
        <v>382</v>
      </c>
      <c r="AN53" s="20">
        <f>23.4/12.99</f>
        <v>1.8013856812933025</v>
      </c>
    </row>
    <row r="54" spans="2:41" x14ac:dyDescent="0.3">
      <c r="B54" s="7"/>
      <c r="C54" t="s">
        <v>163</v>
      </c>
      <c r="D54" t="s">
        <v>42</v>
      </c>
      <c r="E54">
        <v>5.8318107647479298</v>
      </c>
      <c r="F54">
        <v>5.8318107647479298</v>
      </c>
      <c r="G54" t="s">
        <v>43</v>
      </c>
      <c r="H54" t="s">
        <v>99</v>
      </c>
      <c r="I54" s="11">
        <v>0</v>
      </c>
      <c r="J54" s="8" t="s">
        <v>45</v>
      </c>
      <c r="N54" s="7"/>
      <c r="O54" t="s">
        <v>160</v>
      </c>
      <c r="P54" t="s">
        <v>42</v>
      </c>
      <c r="Q54">
        <v>0.234316</v>
      </c>
      <c r="R54">
        <v>0.234316</v>
      </c>
      <c r="S54" t="s">
        <v>43</v>
      </c>
      <c r="T54" t="s">
        <v>99</v>
      </c>
      <c r="U54" s="11">
        <v>0</v>
      </c>
      <c r="V54" s="8" t="s">
        <v>45</v>
      </c>
      <c r="Z54" s="7"/>
      <c r="AA54" t="s">
        <v>160</v>
      </c>
      <c r="AB54" t="s">
        <v>42</v>
      </c>
      <c r="AC54">
        <v>0.20954</v>
      </c>
      <c r="AD54">
        <v>0.20954</v>
      </c>
      <c r="AE54" t="s">
        <v>43</v>
      </c>
      <c r="AF54" t="s">
        <v>99</v>
      </c>
      <c r="AG54" s="11">
        <v>0</v>
      </c>
      <c r="AH54" s="8" t="s">
        <v>45</v>
      </c>
      <c r="AM54" t="s">
        <v>380</v>
      </c>
      <c r="AN54" s="43">
        <f>AN53*AN44</f>
        <v>1.5199191685912239</v>
      </c>
      <c r="AO54" s="20">
        <f>AN50*AO46*0.069+AN50*AO47*0.1222</f>
        <v>1.12358125</v>
      </c>
    </row>
    <row r="55" spans="2:41" x14ac:dyDescent="0.3">
      <c r="B55" s="7"/>
      <c r="C55" t="s">
        <v>169</v>
      </c>
      <c r="D55" t="s">
        <v>42</v>
      </c>
      <c r="E55">
        <v>3.3410085044581601</v>
      </c>
      <c r="F55">
        <v>3.3410085044581601</v>
      </c>
      <c r="G55" t="s">
        <v>43</v>
      </c>
      <c r="H55" t="s">
        <v>99</v>
      </c>
      <c r="I55" s="11">
        <v>0</v>
      </c>
      <c r="J55" s="8" t="s">
        <v>45</v>
      </c>
      <c r="N55" s="7"/>
      <c r="O55" t="s">
        <v>175</v>
      </c>
      <c r="P55" t="s">
        <v>42</v>
      </c>
      <c r="Q55">
        <v>3.2842206167574601</v>
      </c>
      <c r="R55">
        <v>3.2842206167574601</v>
      </c>
      <c r="S55" t="s">
        <v>43</v>
      </c>
      <c r="T55" t="s">
        <v>99</v>
      </c>
      <c r="U55" s="11">
        <v>0</v>
      </c>
      <c r="V55" s="8" t="s">
        <v>45</v>
      </c>
      <c r="Z55" s="7"/>
      <c r="AA55" t="s">
        <v>175</v>
      </c>
      <c r="AB55" t="s">
        <v>42</v>
      </c>
      <c r="AC55" s="14">
        <v>1.0538353517374499</v>
      </c>
      <c r="AD55" s="14">
        <v>1.0538353517374499</v>
      </c>
      <c r="AE55" t="s">
        <v>43</v>
      </c>
      <c r="AF55" t="s">
        <v>99</v>
      </c>
      <c r="AG55" s="11">
        <v>0</v>
      </c>
      <c r="AH55" s="8" t="s">
        <v>45</v>
      </c>
    </row>
    <row r="56" spans="2:41" x14ac:dyDescent="0.3">
      <c r="B56" s="7"/>
      <c r="C56" t="s">
        <v>220</v>
      </c>
      <c r="D56" t="s">
        <v>42</v>
      </c>
      <c r="E56" s="14">
        <v>0.41757496541735201</v>
      </c>
      <c r="F56" s="14">
        <v>0.41757496541735201</v>
      </c>
      <c r="G56" t="s">
        <v>43</v>
      </c>
      <c r="H56" t="s">
        <v>99</v>
      </c>
      <c r="I56" s="11">
        <v>0</v>
      </c>
      <c r="J56" s="8" t="s">
        <v>45</v>
      </c>
      <c r="N56" s="7"/>
      <c r="O56" t="s">
        <v>210</v>
      </c>
      <c r="P56" t="s">
        <v>42</v>
      </c>
      <c r="Q56" s="14">
        <v>100.54392334275801</v>
      </c>
      <c r="R56" s="14">
        <v>100.54392334275801</v>
      </c>
      <c r="S56" t="s">
        <v>43</v>
      </c>
      <c r="T56" t="s">
        <v>99</v>
      </c>
      <c r="U56" s="11">
        <v>0</v>
      </c>
      <c r="V56" s="8" t="s">
        <v>45</v>
      </c>
      <c r="Z56" s="7"/>
      <c r="AA56" t="s">
        <v>210</v>
      </c>
      <c r="AB56" t="s">
        <v>42</v>
      </c>
      <c r="AC56">
        <v>77.731786957300301</v>
      </c>
      <c r="AD56">
        <v>77.731786957300301</v>
      </c>
      <c r="AE56" t="s">
        <v>43</v>
      </c>
      <c r="AF56" t="s">
        <v>99</v>
      </c>
      <c r="AG56" s="11">
        <v>0</v>
      </c>
      <c r="AH56" s="8" t="s">
        <v>45</v>
      </c>
    </row>
    <row r="57" spans="2:41" x14ac:dyDescent="0.3">
      <c r="B57" s="7"/>
      <c r="C57" t="s">
        <v>160</v>
      </c>
      <c r="D57" t="s">
        <v>42</v>
      </c>
      <c r="E57">
        <v>0.234316</v>
      </c>
      <c r="F57">
        <v>0.234316</v>
      </c>
      <c r="G57" t="s">
        <v>43</v>
      </c>
      <c r="H57" t="s">
        <v>99</v>
      </c>
      <c r="I57" s="11">
        <v>0</v>
      </c>
      <c r="J57" s="8" t="s">
        <v>45</v>
      </c>
      <c r="N57" s="7"/>
      <c r="O57" t="s">
        <v>211</v>
      </c>
      <c r="P57" t="s">
        <v>42</v>
      </c>
      <c r="Q57" s="14">
        <v>2.3072345168862501E-4</v>
      </c>
      <c r="R57" s="14">
        <v>2.3072345168862501E-4</v>
      </c>
      <c r="S57" t="s">
        <v>43</v>
      </c>
      <c r="U57" s="11">
        <v>0</v>
      </c>
      <c r="V57" s="8" t="s">
        <v>45</v>
      </c>
      <c r="Z57" s="7"/>
      <c r="AA57" t="s">
        <v>211</v>
      </c>
      <c r="AB57" t="s">
        <v>42</v>
      </c>
      <c r="AC57">
        <v>3.2088680152767002E-4</v>
      </c>
      <c r="AD57">
        <v>3.2088680152767002E-4</v>
      </c>
      <c r="AE57" t="s">
        <v>43</v>
      </c>
      <c r="AG57" s="11">
        <v>0</v>
      </c>
      <c r="AH57" s="8" t="s">
        <v>45</v>
      </c>
    </row>
    <row r="58" spans="2:41" x14ac:dyDescent="0.3">
      <c r="B58" s="7"/>
      <c r="C58" t="s">
        <v>175</v>
      </c>
      <c r="D58" t="s">
        <v>42</v>
      </c>
      <c r="E58">
        <v>3.35326225308693</v>
      </c>
      <c r="F58">
        <v>3.35326225308693</v>
      </c>
      <c r="G58" t="s">
        <v>43</v>
      </c>
      <c r="H58" t="s">
        <v>99</v>
      </c>
      <c r="I58" s="11">
        <v>0</v>
      </c>
      <c r="J58" s="8" t="s">
        <v>45</v>
      </c>
      <c r="N58" s="7"/>
      <c r="O58" t="s">
        <v>213</v>
      </c>
      <c r="P58" t="s">
        <v>42</v>
      </c>
      <c r="Q58">
        <v>6.8269637231363504E-3</v>
      </c>
      <c r="R58">
        <v>6.8269637231363504E-3</v>
      </c>
      <c r="S58" t="s">
        <v>43</v>
      </c>
      <c r="U58" s="11">
        <v>0</v>
      </c>
      <c r="V58" s="8" t="s">
        <v>45</v>
      </c>
      <c r="Z58" s="7"/>
      <c r="AA58" t="s">
        <v>213</v>
      </c>
      <c r="AB58" t="s">
        <v>42</v>
      </c>
      <c r="AC58" s="14">
        <v>3.5965164328557E-4</v>
      </c>
      <c r="AD58" s="14">
        <v>3.5965164328557E-4</v>
      </c>
      <c r="AE58" t="s">
        <v>43</v>
      </c>
      <c r="AG58" s="11">
        <v>0</v>
      </c>
      <c r="AH58" s="8" t="s">
        <v>45</v>
      </c>
    </row>
    <row r="59" spans="2:41" x14ac:dyDescent="0.3">
      <c r="B59" s="7"/>
      <c r="C59" t="s">
        <v>210</v>
      </c>
      <c r="D59" t="s">
        <v>42</v>
      </c>
      <c r="E59" s="14">
        <v>117.32800315831901</v>
      </c>
      <c r="F59" s="14">
        <v>117.32800315831901</v>
      </c>
      <c r="G59" t="s">
        <v>43</v>
      </c>
      <c r="H59" t="s">
        <v>99</v>
      </c>
      <c r="I59" s="11">
        <v>0</v>
      </c>
      <c r="J59" s="8" t="s">
        <v>45</v>
      </c>
      <c r="N59" s="7"/>
      <c r="O59" t="s">
        <v>216</v>
      </c>
      <c r="P59" t="s">
        <v>42</v>
      </c>
      <c r="Q59" s="14">
        <v>8.1535953113952095E-7</v>
      </c>
      <c r="R59" s="14">
        <v>8.1535953113952095E-7</v>
      </c>
      <c r="S59" t="s">
        <v>43</v>
      </c>
      <c r="U59" s="11">
        <v>0</v>
      </c>
      <c r="V59" s="8" t="s">
        <v>45</v>
      </c>
      <c r="Z59" s="7"/>
      <c r="AA59" t="s">
        <v>216</v>
      </c>
      <c r="AB59" t="s">
        <v>42</v>
      </c>
      <c r="AC59" s="14">
        <v>7.4797745800049101E-7</v>
      </c>
      <c r="AD59" s="14">
        <v>7.4797745800049101E-7</v>
      </c>
      <c r="AE59" t="s">
        <v>43</v>
      </c>
      <c r="AG59" s="11">
        <v>0</v>
      </c>
      <c r="AH59" s="8" t="s">
        <v>45</v>
      </c>
    </row>
    <row r="60" spans="2:41" x14ac:dyDescent="0.3">
      <c r="B60" s="7"/>
      <c r="C60" t="s">
        <v>211</v>
      </c>
      <c r="D60" t="s">
        <v>42</v>
      </c>
      <c r="E60" s="14">
        <v>2.9801583548637599E-4</v>
      </c>
      <c r="F60" s="14">
        <v>2.9801583548637599E-4</v>
      </c>
      <c r="G60" t="s">
        <v>43</v>
      </c>
      <c r="I60" s="11">
        <v>0</v>
      </c>
      <c r="J60" s="8" t="s">
        <v>45</v>
      </c>
      <c r="N60" s="7"/>
      <c r="O60" t="s">
        <v>224</v>
      </c>
      <c r="P60" t="s">
        <v>42</v>
      </c>
      <c r="Q60">
        <v>3.8873760000000001E-3</v>
      </c>
      <c r="R60">
        <v>3.8873760000000001E-3</v>
      </c>
      <c r="S60" t="s">
        <v>43</v>
      </c>
      <c r="U60" s="11">
        <v>0</v>
      </c>
      <c r="V60" s="8" t="s">
        <v>45</v>
      </c>
      <c r="Z60" s="7"/>
      <c r="AA60" t="s">
        <v>224</v>
      </c>
      <c r="AB60" t="s">
        <v>42</v>
      </c>
      <c r="AC60">
        <v>3.3261180000000001E-2</v>
      </c>
      <c r="AD60">
        <v>3.3261180000000001E-2</v>
      </c>
      <c r="AE60" t="s">
        <v>43</v>
      </c>
      <c r="AG60" s="11">
        <v>0</v>
      </c>
      <c r="AH60" s="8" t="s">
        <v>45</v>
      </c>
    </row>
    <row r="61" spans="2:41" x14ac:dyDescent="0.3">
      <c r="B61" s="7"/>
      <c r="C61" t="s">
        <v>213</v>
      </c>
      <c r="D61" t="s">
        <v>42</v>
      </c>
      <c r="E61">
        <v>6.90670074223037E-3</v>
      </c>
      <c r="F61">
        <v>6.90670074223037E-3</v>
      </c>
      <c r="G61" t="s">
        <v>43</v>
      </c>
      <c r="I61" s="11">
        <v>0</v>
      </c>
      <c r="J61" s="8" t="s">
        <v>45</v>
      </c>
      <c r="N61" s="7"/>
      <c r="O61" t="s">
        <v>225</v>
      </c>
      <c r="P61" t="s">
        <v>42</v>
      </c>
      <c r="Q61" s="14">
        <v>4.8412231416280998E-5</v>
      </c>
      <c r="R61" s="14">
        <v>4.8412231416280998E-5</v>
      </c>
      <c r="S61" t="s">
        <v>43</v>
      </c>
      <c r="U61" s="11">
        <v>0</v>
      </c>
      <c r="V61" s="8" t="s">
        <v>45</v>
      </c>
      <c r="Z61" s="7"/>
      <c r="AA61" t="s">
        <v>225</v>
      </c>
      <c r="AB61" t="s">
        <v>42</v>
      </c>
      <c r="AC61" s="14">
        <v>6.8564587657879894E-5</v>
      </c>
      <c r="AD61" s="14">
        <v>6.8564587657879894E-5</v>
      </c>
      <c r="AE61" t="s">
        <v>43</v>
      </c>
      <c r="AG61" s="11">
        <v>0</v>
      </c>
      <c r="AH61" s="8" t="s">
        <v>45</v>
      </c>
    </row>
    <row r="62" spans="2:41" x14ac:dyDescent="0.3">
      <c r="B62" s="7"/>
      <c r="C62" t="s">
        <v>216</v>
      </c>
      <c r="D62" t="s">
        <v>42</v>
      </c>
      <c r="E62" s="14">
        <v>9.8189192583357095E-7</v>
      </c>
      <c r="F62" s="14">
        <v>9.8189192583357095E-7</v>
      </c>
      <c r="G62" t="s">
        <v>43</v>
      </c>
      <c r="I62" s="11">
        <v>0</v>
      </c>
      <c r="J62" s="8" t="s">
        <v>45</v>
      </c>
      <c r="N62" s="7"/>
      <c r="O62" t="s">
        <v>226</v>
      </c>
      <c r="P62" t="s">
        <v>42</v>
      </c>
      <c r="Q62">
        <v>1.92854893936324E-3</v>
      </c>
      <c r="R62">
        <v>1.92854893936324E-3</v>
      </c>
      <c r="S62" t="s">
        <v>43</v>
      </c>
      <c r="U62" s="11">
        <v>0</v>
      </c>
      <c r="V62" s="8" t="s">
        <v>45</v>
      </c>
      <c r="Z62" s="7"/>
      <c r="AA62" t="s">
        <v>226</v>
      </c>
      <c r="AB62" t="s">
        <v>42</v>
      </c>
      <c r="AC62">
        <v>2.7313379064988299E-3</v>
      </c>
      <c r="AD62">
        <v>2.7313379064988299E-3</v>
      </c>
      <c r="AE62" t="s">
        <v>43</v>
      </c>
      <c r="AG62" s="11">
        <v>0</v>
      </c>
      <c r="AH62" s="8" t="s">
        <v>45</v>
      </c>
    </row>
    <row r="63" spans="2:41" x14ac:dyDescent="0.3">
      <c r="B63" s="7"/>
      <c r="C63" t="s">
        <v>224</v>
      </c>
      <c r="D63" t="s">
        <v>42</v>
      </c>
      <c r="E63">
        <v>3.8873760000000001E-3</v>
      </c>
      <c r="F63">
        <v>3.8873760000000001E-3</v>
      </c>
      <c r="G63" t="s">
        <v>43</v>
      </c>
      <c r="I63" s="11">
        <v>0</v>
      </c>
      <c r="J63" s="8" t="s">
        <v>45</v>
      </c>
      <c r="N63" s="7"/>
      <c r="O63" t="s">
        <v>219</v>
      </c>
      <c r="P63" t="s">
        <v>42</v>
      </c>
      <c r="Q63" s="14">
        <v>1.7006017182112002E-5</v>
      </c>
      <c r="R63" s="14">
        <v>1.7006017182112002E-5</v>
      </c>
      <c r="S63" t="s">
        <v>43</v>
      </c>
      <c r="U63" s="11">
        <v>0</v>
      </c>
      <c r="V63" s="8" t="s">
        <v>45</v>
      </c>
      <c r="Z63" s="7"/>
      <c r="AA63" t="s">
        <v>219</v>
      </c>
      <c r="AB63" t="s">
        <v>42</v>
      </c>
      <c r="AC63" s="14">
        <v>1.86683337002838E-5</v>
      </c>
      <c r="AD63" s="14">
        <v>1.86683337002838E-5</v>
      </c>
      <c r="AE63" t="s">
        <v>43</v>
      </c>
      <c r="AG63" s="11">
        <v>0</v>
      </c>
      <c r="AH63" s="8" t="s">
        <v>45</v>
      </c>
    </row>
    <row r="64" spans="2:41" x14ac:dyDescent="0.3">
      <c r="B64" s="7"/>
      <c r="C64" t="s">
        <v>225</v>
      </c>
      <c r="D64" t="s">
        <v>42</v>
      </c>
      <c r="E64" s="14">
        <v>6.3677698111494306E-5</v>
      </c>
      <c r="F64" s="14">
        <v>6.3677698111494306E-5</v>
      </c>
      <c r="G64" t="s">
        <v>43</v>
      </c>
      <c r="I64" s="11">
        <v>0</v>
      </c>
      <c r="J64" s="8" t="s">
        <v>45</v>
      </c>
      <c r="N64" s="7"/>
      <c r="O64" t="s">
        <v>167</v>
      </c>
      <c r="P64" t="s">
        <v>42</v>
      </c>
      <c r="Q64">
        <v>0.179730541106842</v>
      </c>
      <c r="R64">
        <v>0.179730541106842</v>
      </c>
      <c r="S64" t="s">
        <v>43</v>
      </c>
      <c r="U64" s="11">
        <v>0</v>
      </c>
      <c r="V64" s="8" t="s">
        <v>45</v>
      </c>
      <c r="Z64" s="7"/>
      <c r="AA64" t="s">
        <v>167</v>
      </c>
      <c r="AB64" t="s">
        <v>42</v>
      </c>
      <c r="AC64">
        <v>0.24240338898243799</v>
      </c>
      <c r="AD64">
        <v>0.24240338898243799</v>
      </c>
      <c r="AE64" t="s">
        <v>43</v>
      </c>
      <c r="AG64" s="11">
        <v>0</v>
      </c>
      <c r="AH64" s="8" t="s">
        <v>45</v>
      </c>
    </row>
    <row r="65" spans="2:35" x14ac:dyDescent="0.3">
      <c r="B65" s="7"/>
      <c r="C65" t="s">
        <v>226</v>
      </c>
      <c r="D65" t="s">
        <v>42</v>
      </c>
      <c r="E65">
        <v>2.5366638463335798E-3</v>
      </c>
      <c r="F65">
        <v>2.5366638463335798E-3</v>
      </c>
      <c r="G65" t="s">
        <v>43</v>
      </c>
      <c r="I65" s="11">
        <v>0</v>
      </c>
      <c r="J65" s="8" t="s">
        <v>45</v>
      </c>
      <c r="N65" s="7"/>
      <c r="O65" t="s">
        <v>191</v>
      </c>
      <c r="P65" t="s">
        <v>42</v>
      </c>
      <c r="Q65">
        <v>0.204053429285981</v>
      </c>
      <c r="R65">
        <v>0.204053429285981</v>
      </c>
      <c r="S65" t="s">
        <v>43</v>
      </c>
      <c r="U65" s="11">
        <v>0</v>
      </c>
      <c r="V65" s="8" t="s">
        <v>45</v>
      </c>
      <c r="Z65" s="7"/>
      <c r="AA65" t="s">
        <v>191</v>
      </c>
      <c r="AB65" t="s">
        <v>42</v>
      </c>
      <c r="AC65" s="14">
        <v>0.23377540317189199</v>
      </c>
      <c r="AD65" s="14">
        <v>0.23377540317189199</v>
      </c>
      <c r="AE65" t="s">
        <v>43</v>
      </c>
      <c r="AG65" s="11">
        <v>0</v>
      </c>
      <c r="AH65" s="8" t="s">
        <v>45</v>
      </c>
    </row>
    <row r="66" spans="2:35" x14ac:dyDescent="0.3">
      <c r="B66" s="7"/>
      <c r="C66" t="s">
        <v>219</v>
      </c>
      <c r="D66" t="s">
        <v>42</v>
      </c>
      <c r="E66" s="14">
        <v>2.1162402221263601E-5</v>
      </c>
      <c r="F66" s="14">
        <v>2.1162402221263601E-5</v>
      </c>
      <c r="G66" t="s">
        <v>43</v>
      </c>
      <c r="I66" s="11">
        <v>0</v>
      </c>
      <c r="J66" s="8" t="s">
        <v>45</v>
      </c>
      <c r="N66" s="7"/>
      <c r="O66" t="s">
        <v>227</v>
      </c>
      <c r="P66" t="s">
        <v>42</v>
      </c>
      <c r="Q66">
        <v>2.3246181369686401E-4</v>
      </c>
      <c r="R66">
        <v>2.3246181369686401E-4</v>
      </c>
      <c r="S66" t="s">
        <v>43</v>
      </c>
      <c r="U66" s="11">
        <v>0</v>
      </c>
      <c r="V66" s="8" t="s">
        <v>45</v>
      </c>
      <c r="Z66" s="7"/>
      <c r="AA66" t="s">
        <v>227</v>
      </c>
      <c r="AB66" t="s">
        <v>42</v>
      </c>
      <c r="AC66">
        <v>3.1944582197445699E-4</v>
      </c>
      <c r="AD66">
        <v>3.1944582197445699E-4</v>
      </c>
      <c r="AE66" t="s">
        <v>43</v>
      </c>
      <c r="AG66" s="11">
        <v>0</v>
      </c>
      <c r="AH66" s="8" t="s">
        <v>45</v>
      </c>
    </row>
    <row r="67" spans="2:35" x14ac:dyDescent="0.3">
      <c r="B67" s="7"/>
      <c r="C67" t="s">
        <v>167</v>
      </c>
      <c r="D67" t="s">
        <v>42</v>
      </c>
      <c r="E67">
        <v>0.19827957006368899</v>
      </c>
      <c r="F67">
        <v>0.19827957006368899</v>
      </c>
      <c r="G67" t="s">
        <v>43</v>
      </c>
      <c r="I67" s="11">
        <v>0</v>
      </c>
      <c r="J67" s="8" t="s">
        <v>45</v>
      </c>
      <c r="N67" s="7"/>
      <c r="O67" t="s">
        <v>165</v>
      </c>
      <c r="P67" t="s">
        <v>42</v>
      </c>
      <c r="Q67">
        <v>5.2891832794574302E-2</v>
      </c>
      <c r="R67">
        <v>5.2891832794574302E-2</v>
      </c>
      <c r="S67" t="s">
        <v>43</v>
      </c>
      <c r="U67" s="11">
        <v>0</v>
      </c>
      <c r="V67" s="8" t="s">
        <v>45</v>
      </c>
      <c r="Z67" s="7"/>
      <c r="AA67" t="s">
        <v>165</v>
      </c>
      <c r="AB67" t="s">
        <v>42</v>
      </c>
      <c r="AC67">
        <v>7.4908893887711298E-2</v>
      </c>
      <c r="AD67">
        <v>7.4908893887711298E-2</v>
      </c>
      <c r="AE67" t="s">
        <v>43</v>
      </c>
      <c r="AG67" s="11">
        <v>0</v>
      </c>
      <c r="AH67" s="8" t="s">
        <v>45</v>
      </c>
    </row>
    <row r="68" spans="2:35" x14ac:dyDescent="0.3">
      <c r="B68" s="7"/>
      <c r="C68" t="s">
        <v>191</v>
      </c>
      <c r="D68" t="s">
        <v>42</v>
      </c>
      <c r="E68">
        <v>0.21742606284684299</v>
      </c>
      <c r="F68">
        <v>0.21742606284684299</v>
      </c>
      <c r="G68" t="s">
        <v>43</v>
      </c>
      <c r="I68" s="11">
        <v>0</v>
      </c>
      <c r="J68" s="8" t="s">
        <v>45</v>
      </c>
      <c r="N68" s="7"/>
      <c r="O68" t="s">
        <v>179</v>
      </c>
      <c r="P68" t="s">
        <v>42</v>
      </c>
      <c r="Q68">
        <v>6.2296428037287499E-3</v>
      </c>
      <c r="R68">
        <v>6.2296428037287499E-3</v>
      </c>
      <c r="S68" t="s">
        <v>43</v>
      </c>
      <c r="U68" s="11">
        <v>0</v>
      </c>
      <c r="V68" s="8" t="s">
        <v>45</v>
      </c>
      <c r="Z68" s="7"/>
      <c r="AA68" t="s">
        <v>179</v>
      </c>
      <c r="AB68" t="s">
        <v>42</v>
      </c>
      <c r="AC68">
        <v>8.8228300493064307E-3</v>
      </c>
      <c r="AD68">
        <v>8.8228300493064307E-3</v>
      </c>
      <c r="AE68" t="s">
        <v>43</v>
      </c>
      <c r="AG68" s="11">
        <v>0</v>
      </c>
      <c r="AH68" s="8" t="s">
        <v>45</v>
      </c>
    </row>
    <row r="69" spans="2:35" x14ac:dyDescent="0.3">
      <c r="B69" s="7"/>
      <c r="C69" t="s">
        <v>227</v>
      </c>
      <c r="D69" t="s">
        <v>42</v>
      </c>
      <c r="E69">
        <v>3.0235643066975798E-4</v>
      </c>
      <c r="F69">
        <v>3.0235643066975798E-4</v>
      </c>
      <c r="G69" t="s">
        <v>43</v>
      </c>
      <c r="I69" s="11">
        <v>0</v>
      </c>
      <c r="J69" s="8" t="s">
        <v>45</v>
      </c>
      <c r="N69" s="7"/>
      <c r="O69" t="s">
        <v>222</v>
      </c>
      <c r="P69" t="s">
        <v>42</v>
      </c>
      <c r="Q69" s="14">
        <v>1.2036045589076599E-5</v>
      </c>
      <c r="R69" s="14">
        <v>1.2036045589076599E-5</v>
      </c>
      <c r="S69" t="s">
        <v>43</v>
      </c>
      <c r="U69" s="11">
        <v>0</v>
      </c>
      <c r="V69" s="8" t="s">
        <v>45</v>
      </c>
      <c r="Z69" s="7"/>
      <c r="AA69" t="s">
        <v>185</v>
      </c>
      <c r="AB69" t="s">
        <v>42</v>
      </c>
      <c r="AC69">
        <v>2.2154272165580001E-4</v>
      </c>
      <c r="AD69">
        <v>2.2154272165580001E-4</v>
      </c>
      <c r="AE69" t="s">
        <v>43</v>
      </c>
      <c r="AG69" s="11">
        <v>0</v>
      </c>
      <c r="AH69" s="8" t="s">
        <v>45</v>
      </c>
    </row>
    <row r="70" spans="2:35" x14ac:dyDescent="0.3">
      <c r="B70" s="7"/>
      <c r="C70" t="s">
        <v>165</v>
      </c>
      <c r="D70" t="s">
        <v>42</v>
      </c>
      <c r="E70">
        <v>6.9569818674457398E-2</v>
      </c>
      <c r="F70">
        <v>6.9569818674457398E-2</v>
      </c>
      <c r="G70" t="s">
        <v>43</v>
      </c>
      <c r="I70" s="11">
        <v>0</v>
      </c>
      <c r="J70" s="8" t="s">
        <v>45</v>
      </c>
      <c r="N70" s="7"/>
      <c r="O70" t="s">
        <v>185</v>
      </c>
      <c r="P70" t="s">
        <v>42</v>
      </c>
      <c r="Q70" s="14">
        <v>3.5079944321860098E-4</v>
      </c>
      <c r="R70" s="14">
        <v>3.5079944321860098E-4</v>
      </c>
      <c r="S70" t="s">
        <v>43</v>
      </c>
      <c r="U70" s="11">
        <v>0</v>
      </c>
      <c r="V70" s="8" t="s">
        <v>45</v>
      </c>
      <c r="Z70" s="7"/>
      <c r="AA70" t="s">
        <v>222</v>
      </c>
      <c r="AB70" t="s">
        <v>42</v>
      </c>
      <c r="AC70" s="14">
        <v>1.63932378141612E-5</v>
      </c>
      <c r="AD70" s="14">
        <v>1.63932378141612E-5</v>
      </c>
      <c r="AE70" t="s">
        <v>43</v>
      </c>
      <c r="AG70" s="11">
        <v>0</v>
      </c>
      <c r="AH70" s="8" t="s">
        <v>45</v>
      </c>
    </row>
    <row r="71" spans="2:35" x14ac:dyDescent="0.3">
      <c r="B71" s="7"/>
      <c r="C71" t="s">
        <v>179</v>
      </c>
      <c r="D71" t="s">
        <v>42</v>
      </c>
      <c r="E71">
        <v>8.1939894566577694E-3</v>
      </c>
      <c r="F71">
        <v>8.1939894566577694E-3</v>
      </c>
      <c r="G71" t="s">
        <v>43</v>
      </c>
      <c r="I71" s="11">
        <v>0</v>
      </c>
      <c r="J71" s="8" t="s">
        <v>45</v>
      </c>
      <c r="N71" s="7"/>
      <c r="O71" t="s">
        <v>228</v>
      </c>
      <c r="P71" t="s">
        <v>42</v>
      </c>
      <c r="Q71">
        <v>2.4025558557259899E-3</v>
      </c>
      <c r="R71">
        <v>2.4025558557259899E-3</v>
      </c>
      <c r="S71" t="s">
        <v>43</v>
      </c>
      <c r="U71" s="11">
        <v>0</v>
      </c>
      <c r="V71" s="8" t="s">
        <v>45</v>
      </c>
      <c r="Z71" s="7"/>
      <c r="AA71" t="s">
        <v>230</v>
      </c>
      <c r="AB71" t="s">
        <v>42</v>
      </c>
      <c r="AC71">
        <v>1.3628542846845E-4</v>
      </c>
      <c r="AD71">
        <v>1.3628542846845E-4</v>
      </c>
      <c r="AE71" t="s">
        <v>43</v>
      </c>
      <c r="AG71" s="11">
        <v>0</v>
      </c>
      <c r="AH71" s="8" t="s">
        <v>45</v>
      </c>
    </row>
    <row r="72" spans="2:35" x14ac:dyDescent="0.3">
      <c r="B72" s="7"/>
      <c r="C72" t="s">
        <v>185</v>
      </c>
      <c r="D72" t="s">
        <v>42</v>
      </c>
      <c r="E72">
        <v>2.7099803037687202E-4</v>
      </c>
      <c r="F72">
        <v>2.7099803037687202E-4</v>
      </c>
      <c r="G72" t="s">
        <v>43</v>
      </c>
      <c r="I72" s="11">
        <v>0</v>
      </c>
      <c r="J72" s="8" t="s">
        <v>45</v>
      </c>
      <c r="N72" s="7"/>
      <c r="O72" t="s">
        <v>188</v>
      </c>
      <c r="P72" t="s">
        <v>42</v>
      </c>
      <c r="Q72">
        <v>0.25235692468582099</v>
      </c>
      <c r="R72">
        <v>0.25235692468582099</v>
      </c>
      <c r="S72" t="s">
        <v>43</v>
      </c>
      <c r="U72" s="11">
        <v>0</v>
      </c>
      <c r="V72" s="8" t="s">
        <v>45</v>
      </c>
      <c r="Z72" s="7"/>
      <c r="AA72" t="s">
        <v>228</v>
      </c>
      <c r="AB72" t="s">
        <v>42</v>
      </c>
      <c r="AC72" s="14">
        <v>2.6991130086580798E-3</v>
      </c>
      <c r="AD72" s="14">
        <v>2.6991130086580798E-3</v>
      </c>
      <c r="AE72" t="s">
        <v>43</v>
      </c>
      <c r="AG72" s="11">
        <v>0</v>
      </c>
      <c r="AH72" s="8" t="s">
        <v>45</v>
      </c>
    </row>
    <row r="73" spans="2:35" x14ac:dyDescent="0.3">
      <c r="B73" s="7"/>
      <c r="C73" t="s">
        <v>222</v>
      </c>
      <c r="D73" t="s">
        <v>42</v>
      </c>
      <c r="E73" s="14">
        <v>1.56858950875885E-5</v>
      </c>
      <c r="F73" s="14">
        <v>1.56858950875885E-5</v>
      </c>
      <c r="G73" t="s">
        <v>43</v>
      </c>
      <c r="I73" s="11">
        <v>0</v>
      </c>
      <c r="J73" s="8" t="s">
        <v>45</v>
      </c>
      <c r="N73" s="7"/>
      <c r="O73" t="s">
        <v>229</v>
      </c>
      <c r="P73" t="s">
        <v>42</v>
      </c>
      <c r="Q73">
        <v>1.6676610237881799E-3</v>
      </c>
      <c r="R73">
        <v>1.6676610237881799E-3</v>
      </c>
      <c r="S73" t="s">
        <v>43</v>
      </c>
      <c r="U73" s="11">
        <v>0</v>
      </c>
      <c r="V73" s="8" t="s">
        <v>45</v>
      </c>
      <c r="Z73" s="7"/>
      <c r="AA73" t="s">
        <v>188</v>
      </c>
      <c r="AB73" t="s">
        <v>42</v>
      </c>
      <c r="AC73">
        <v>0.29861562255163199</v>
      </c>
      <c r="AD73">
        <v>0.29861562255163199</v>
      </c>
      <c r="AE73" t="s">
        <v>43</v>
      </c>
      <c r="AG73" s="11">
        <v>0</v>
      </c>
      <c r="AH73" s="8" t="s">
        <v>45</v>
      </c>
    </row>
    <row r="74" spans="2:35" x14ac:dyDescent="0.3">
      <c r="B74" s="7"/>
      <c r="C74" t="s">
        <v>230</v>
      </c>
      <c r="D74" t="s">
        <v>42</v>
      </c>
      <c r="E74">
        <v>1.2657178679922001E-4</v>
      </c>
      <c r="F74">
        <v>1.2657178679922001E-4</v>
      </c>
      <c r="G74" t="s">
        <v>43</v>
      </c>
      <c r="I74" s="11">
        <v>0</v>
      </c>
      <c r="J74" s="8" t="s">
        <v>45</v>
      </c>
      <c r="N74" s="7"/>
      <c r="O74" t="s">
        <v>223</v>
      </c>
      <c r="P74" t="s">
        <v>42</v>
      </c>
      <c r="Q74">
        <v>0.47678054763004102</v>
      </c>
      <c r="R74">
        <v>0.47678054763004102</v>
      </c>
      <c r="S74" t="s">
        <v>43</v>
      </c>
      <c r="U74" s="11">
        <v>0</v>
      </c>
      <c r="V74" s="8" t="s">
        <v>45</v>
      </c>
      <c r="Z74" s="7"/>
      <c r="AA74" t="s">
        <v>229</v>
      </c>
      <c r="AB74" t="s">
        <v>42</v>
      </c>
      <c r="AC74">
        <v>2.1512870683943201E-3</v>
      </c>
      <c r="AD74">
        <v>2.1512870683943201E-3</v>
      </c>
      <c r="AE74" t="s">
        <v>43</v>
      </c>
      <c r="AG74" s="11">
        <v>0</v>
      </c>
      <c r="AH74" s="8" t="s">
        <v>45</v>
      </c>
    </row>
    <row r="75" spans="2:35" x14ac:dyDescent="0.3">
      <c r="B75" s="7"/>
      <c r="C75" t="s">
        <v>228</v>
      </c>
      <c r="D75" t="s">
        <v>42</v>
      </c>
      <c r="E75">
        <v>2.7861766287104101E-3</v>
      </c>
      <c r="F75">
        <v>2.7861766287104101E-3</v>
      </c>
      <c r="G75" t="s">
        <v>43</v>
      </c>
      <c r="I75" s="11">
        <v>0</v>
      </c>
      <c r="J75" s="8" t="s">
        <v>45</v>
      </c>
      <c r="N75" s="7"/>
      <c r="O75" t="s">
        <v>231</v>
      </c>
      <c r="P75" t="s">
        <v>42</v>
      </c>
      <c r="Q75" s="14">
        <v>1.390204008792E-5</v>
      </c>
      <c r="R75" s="14">
        <v>1.390204008792E-5</v>
      </c>
      <c r="S75" t="s">
        <v>43</v>
      </c>
      <c r="U75" s="11">
        <v>0</v>
      </c>
      <c r="V75" s="8" t="s">
        <v>45</v>
      </c>
      <c r="Z75" s="7"/>
      <c r="AA75" t="s">
        <v>223</v>
      </c>
      <c r="AB75" t="s">
        <v>42</v>
      </c>
      <c r="AC75">
        <v>0.57409646632703903</v>
      </c>
      <c r="AD75">
        <v>0.57409646632703903</v>
      </c>
      <c r="AE75" t="s">
        <v>43</v>
      </c>
      <c r="AG75" s="11">
        <v>0</v>
      </c>
      <c r="AH75" s="8" t="s">
        <v>45</v>
      </c>
    </row>
    <row r="76" spans="2:35" x14ac:dyDescent="0.3">
      <c r="B76" s="7"/>
      <c r="C76" t="s">
        <v>188</v>
      </c>
      <c r="D76" t="s">
        <v>42</v>
      </c>
      <c r="E76">
        <v>0.29348978064540299</v>
      </c>
      <c r="F76">
        <v>0.29348978064540299</v>
      </c>
      <c r="G76" t="s">
        <v>43</v>
      </c>
      <c r="I76" s="11">
        <v>0</v>
      </c>
      <c r="J76" s="8" t="s">
        <v>45</v>
      </c>
      <c r="N76" s="7"/>
      <c r="O76" t="s">
        <v>187</v>
      </c>
      <c r="P76" t="s">
        <v>42</v>
      </c>
      <c r="Q76" s="14">
        <v>1.14225588562635E-2</v>
      </c>
      <c r="R76" s="14">
        <v>1.14225588562635E-2</v>
      </c>
      <c r="S76" t="s">
        <v>43</v>
      </c>
      <c r="U76" s="11">
        <v>0</v>
      </c>
      <c r="V76" s="8" t="s">
        <v>45</v>
      </c>
      <c r="Z76" s="7"/>
      <c r="AA76" t="s">
        <v>231</v>
      </c>
      <c r="AB76" t="s">
        <v>42</v>
      </c>
      <c r="AC76" s="14">
        <v>1.0644506052117599E-5</v>
      </c>
      <c r="AD76" s="14">
        <v>1.0644506052117599E-5</v>
      </c>
      <c r="AE76" t="s">
        <v>43</v>
      </c>
      <c r="AG76" s="11">
        <v>0</v>
      </c>
      <c r="AH76" s="8" t="s">
        <v>45</v>
      </c>
    </row>
    <row r="77" spans="2:35" ht="15" thickBot="1" x14ac:dyDescent="0.35">
      <c r="B77" s="7"/>
      <c r="C77" t="s">
        <v>229</v>
      </c>
      <c r="D77" t="s">
        <v>42</v>
      </c>
      <c r="E77">
        <v>2.1309656965458001E-3</v>
      </c>
      <c r="F77">
        <v>2.1309656965458001E-3</v>
      </c>
      <c r="G77" t="s">
        <v>43</v>
      </c>
      <c r="I77" s="11">
        <v>0</v>
      </c>
      <c r="J77" s="8" t="s">
        <v>45</v>
      </c>
      <c r="N77" s="4"/>
      <c r="O77" s="5" t="s">
        <v>124</v>
      </c>
      <c r="P77" s="5" t="s">
        <v>42</v>
      </c>
      <c r="Q77" s="5">
        <v>593.07272601104705</v>
      </c>
      <c r="R77" s="5">
        <v>593.07272601104705</v>
      </c>
      <c r="S77" s="5" t="s">
        <v>43</v>
      </c>
      <c r="T77" s="5"/>
      <c r="U77" s="13">
        <v>0</v>
      </c>
      <c r="V77" s="6" t="s">
        <v>45</v>
      </c>
      <c r="Z77" s="7"/>
      <c r="AA77" t="s">
        <v>187</v>
      </c>
      <c r="AB77" t="s">
        <v>42</v>
      </c>
      <c r="AC77">
        <v>1.21544870331897E-2</v>
      </c>
      <c r="AD77">
        <v>1.21544870331897E-2</v>
      </c>
      <c r="AE77" t="s">
        <v>43</v>
      </c>
      <c r="AG77" s="11">
        <v>0</v>
      </c>
      <c r="AH77" s="8" t="s">
        <v>45</v>
      </c>
    </row>
    <row r="78" spans="2:35" ht="15" thickBot="1" x14ac:dyDescent="0.35">
      <c r="B78" s="7"/>
      <c r="C78" t="s">
        <v>223</v>
      </c>
      <c r="D78" t="s">
        <v>42</v>
      </c>
      <c r="E78">
        <v>0.48719764173967001</v>
      </c>
      <c r="F78">
        <v>0.48719764173967001</v>
      </c>
      <c r="G78" t="s">
        <v>43</v>
      </c>
      <c r="I78" s="11">
        <v>0</v>
      </c>
      <c r="J78" s="8" t="s">
        <v>45</v>
      </c>
      <c r="Z78" s="4"/>
      <c r="AA78" s="5" t="s">
        <v>124</v>
      </c>
      <c r="AB78" s="5" t="s">
        <v>42</v>
      </c>
      <c r="AC78" s="17">
        <v>666.25573811982497</v>
      </c>
      <c r="AD78" s="17">
        <v>666.25573811982497</v>
      </c>
      <c r="AE78" s="5" t="s">
        <v>43</v>
      </c>
      <c r="AF78" s="5"/>
      <c r="AG78" s="13">
        <v>0</v>
      </c>
      <c r="AH78" s="6" t="s">
        <v>45</v>
      </c>
    </row>
    <row r="79" spans="2:35" x14ac:dyDescent="0.3">
      <c r="B79" s="7"/>
      <c r="C79" t="s">
        <v>231</v>
      </c>
      <c r="D79" t="s">
        <v>42</v>
      </c>
      <c r="E79" s="14">
        <v>1.3702506869037101E-5</v>
      </c>
      <c r="F79" s="14">
        <v>1.3702506869037101E-5</v>
      </c>
      <c r="G79" t="s">
        <v>43</v>
      </c>
      <c r="I79" s="11">
        <v>0</v>
      </c>
      <c r="J79" s="8" t="s">
        <v>45</v>
      </c>
      <c r="Q79" s="9" t="s">
        <v>287</v>
      </c>
      <c r="U79" t="s">
        <v>275</v>
      </c>
      <c r="V79" t="s">
        <v>276</v>
      </c>
      <c r="W79" t="s">
        <v>279</v>
      </c>
    </row>
    <row r="80" spans="2:35" x14ac:dyDescent="0.3">
      <c r="B80" s="7"/>
      <c r="C80" t="s">
        <v>187</v>
      </c>
      <c r="D80" t="s">
        <v>42</v>
      </c>
      <c r="E80">
        <v>1.20904244311438E-2</v>
      </c>
      <c r="F80">
        <v>1.20904244311438E-2</v>
      </c>
      <c r="G80" t="s">
        <v>43</v>
      </c>
      <c r="I80" s="11">
        <v>0</v>
      </c>
      <c r="J80" s="8" t="s">
        <v>45</v>
      </c>
      <c r="Q80" t="s">
        <v>259</v>
      </c>
      <c r="R80" s="67">
        <f>1.358*1.112*1000</f>
        <v>1510.0960000000002</v>
      </c>
      <c r="S80" t="s">
        <v>255</v>
      </c>
      <c r="T80" t="s">
        <v>273</v>
      </c>
      <c r="U80" s="43">
        <f>438/R80</f>
        <v>0.29004778504148077</v>
      </c>
      <c r="V80" s="43">
        <f>334/R80</f>
        <v>0.22117799133300131</v>
      </c>
      <c r="W80" s="20">
        <f>R21/R80</f>
        <v>0.51120770488043665</v>
      </c>
      <c r="X80" t="s">
        <v>324</v>
      </c>
      <c r="AC80" t="s">
        <v>259</v>
      </c>
      <c r="AD80" s="21">
        <f>1.294*1.174*1000</f>
        <v>1519.1559999999999</v>
      </c>
      <c r="AG80" t="s">
        <v>326</v>
      </c>
      <c r="AH80" s="43">
        <f>AD22/AD80</f>
        <v>0.18337525172711955</v>
      </c>
      <c r="AI80" t="s">
        <v>282</v>
      </c>
    </row>
    <row r="81" spans="2:36" ht="15" thickBot="1" x14ac:dyDescent="0.35">
      <c r="B81" s="4"/>
      <c r="C81" s="5" t="s">
        <v>124</v>
      </c>
      <c r="D81" s="5" t="s">
        <v>42</v>
      </c>
      <c r="E81" s="5">
        <v>676.82267686643104</v>
      </c>
      <c r="F81" s="5">
        <v>676.82267686643104</v>
      </c>
      <c r="G81" s="5" t="s">
        <v>43</v>
      </c>
      <c r="H81" s="5"/>
      <c r="I81" s="13">
        <v>0</v>
      </c>
      <c r="J81" s="6" t="s">
        <v>45</v>
      </c>
      <c r="Q81" t="s">
        <v>260</v>
      </c>
      <c r="R81" s="67">
        <f>R40</f>
        <v>1000</v>
      </c>
      <c r="S81" t="s">
        <v>255</v>
      </c>
      <c r="T81" t="s">
        <v>274</v>
      </c>
      <c r="U81">
        <f>438/R81</f>
        <v>0.438</v>
      </c>
      <c r="V81" s="20">
        <f>334/R81</f>
        <v>0.33400000000000002</v>
      </c>
      <c r="W81" s="20">
        <f>R21/R81</f>
        <v>0.77197271030912806</v>
      </c>
      <c r="X81" t="s">
        <v>325</v>
      </c>
      <c r="AB81" s="9" t="s">
        <v>234</v>
      </c>
      <c r="AC81" t="s">
        <v>260</v>
      </c>
      <c r="AD81" s="21">
        <f>AD41</f>
        <v>1000</v>
      </c>
      <c r="AG81" t="s">
        <v>327</v>
      </c>
      <c r="AH81" s="20">
        <f>AD22/AD81</f>
        <v>0.27857561391276403</v>
      </c>
      <c r="AI81" t="s">
        <v>323</v>
      </c>
    </row>
    <row r="82" spans="2:36" x14ac:dyDescent="0.3">
      <c r="Q82" t="s">
        <v>261</v>
      </c>
      <c r="R82" s="18">
        <f>R81/R80</f>
        <v>0.6622095548892255</v>
      </c>
      <c r="V82" s="20"/>
      <c r="W82" s="20"/>
      <c r="X82" s="20"/>
      <c r="Y82" s="20"/>
      <c r="AC82" t="s">
        <v>261</v>
      </c>
      <c r="AD82" s="20">
        <f>AD81/AD80</f>
        <v>0.65826024450418519</v>
      </c>
    </row>
    <row r="83" spans="2:36" x14ac:dyDescent="0.3">
      <c r="Q83" s="53"/>
      <c r="R83" s="54"/>
      <c r="S83" s="54"/>
      <c r="T83" s="54" t="s">
        <v>390</v>
      </c>
      <c r="U83" s="54" t="s">
        <v>389</v>
      </c>
      <c r="V83" s="54" t="s">
        <v>418</v>
      </c>
      <c r="W83" s="54" t="s">
        <v>388</v>
      </c>
      <c r="X83" s="55" t="s">
        <v>391</v>
      </c>
      <c r="AC83" s="53"/>
      <c r="AD83" s="54"/>
      <c r="AE83" s="54"/>
      <c r="AF83" s="54" t="s">
        <v>390</v>
      </c>
      <c r="AG83" s="54" t="s">
        <v>389</v>
      </c>
      <c r="AH83" s="54" t="s">
        <v>418</v>
      </c>
      <c r="AI83" s="54" t="s">
        <v>388</v>
      </c>
      <c r="AJ83" s="55" t="s">
        <v>391</v>
      </c>
    </row>
    <row r="84" spans="2:36" x14ac:dyDescent="0.3">
      <c r="E84" t="s">
        <v>252</v>
      </c>
      <c r="F84" s="67">
        <f>1.294*1.09*1000</f>
        <v>1410.46</v>
      </c>
      <c r="G84" t="s">
        <v>255</v>
      </c>
      <c r="I84" t="s">
        <v>272</v>
      </c>
      <c r="J84" s="43">
        <f>F23/F84</f>
        <v>0.18342976477586956</v>
      </c>
      <c r="K84" t="s">
        <v>282</v>
      </c>
      <c r="Q84" s="56" t="s">
        <v>248</v>
      </c>
      <c r="R84" s="57">
        <f>X88*U84/V84</f>
        <v>2313.5134080760572</v>
      </c>
      <c r="S84" t="s">
        <v>48</v>
      </c>
      <c r="T84" s="39">
        <f>R84/R86</f>
        <v>0.38234258466756754</v>
      </c>
      <c r="U84" s="64">
        <f>(R91-X88/R80*X85)/(X88/R80)/(X84-X85)</f>
        <v>0.21908252202461329</v>
      </c>
      <c r="V84" s="21">
        <f>1.109</f>
        <v>1.109</v>
      </c>
      <c r="W84" s="21">
        <f>0.069</f>
        <v>6.9000000000000006E-2</v>
      </c>
      <c r="X84" s="58">
        <f>W84/V84</f>
        <v>6.2218214607754743E-2</v>
      </c>
      <c r="AC84" s="56" t="s">
        <v>248</v>
      </c>
      <c r="AD84" s="57">
        <f>AJ88*AG84/AH84</f>
        <v>4349.6029192874676</v>
      </c>
      <c r="AE84" t="s">
        <v>48</v>
      </c>
      <c r="AF84" s="39">
        <f>AD84/AD86</f>
        <v>0.42023525036997678</v>
      </c>
      <c r="AG84" s="64">
        <f>(AD91-AJ88/AD80*AJ85)/(AJ88/AD80)/(AJ84-AJ85)</f>
        <v>0.24727259125337436</v>
      </c>
      <c r="AH84" s="21">
        <f>1.109</f>
        <v>1.109</v>
      </c>
      <c r="AI84" s="21">
        <f>0.069</f>
        <v>6.9000000000000006E-2</v>
      </c>
      <c r="AJ84" s="58">
        <f>AI84/AH84</f>
        <v>6.2218214607754743E-2</v>
      </c>
    </row>
    <row r="85" spans="2:36" x14ac:dyDescent="0.3">
      <c r="D85" t="s">
        <v>289</v>
      </c>
      <c r="E85" t="s">
        <v>253</v>
      </c>
      <c r="F85" s="67">
        <f>F43</f>
        <v>1000</v>
      </c>
      <c r="G85" t="s">
        <v>255</v>
      </c>
      <c r="I85" t="s">
        <v>262</v>
      </c>
      <c r="J85" s="20">
        <f>E23/F85</f>
        <v>0.25872034602577298</v>
      </c>
      <c r="K85" t="s">
        <v>323</v>
      </c>
      <c r="Q85" s="56" t="s">
        <v>249</v>
      </c>
      <c r="R85" s="57">
        <f>X88*U85/V85</f>
        <v>3737.3778628703112</v>
      </c>
      <c r="S85" t="s">
        <v>48</v>
      </c>
      <c r="T85" s="39">
        <f>R85/R86</f>
        <v>0.61765741533243246</v>
      </c>
      <c r="U85" s="39">
        <f>1-U84</f>
        <v>0.78091747797538669</v>
      </c>
      <c r="V85" s="21">
        <v>2.4470000000000001</v>
      </c>
      <c r="W85" s="21">
        <f>0.1222</f>
        <v>0.1222</v>
      </c>
      <c r="X85" s="58">
        <f>W85/V85</f>
        <v>4.9938700449530034E-2</v>
      </c>
      <c r="AC85" s="56" t="s">
        <v>249</v>
      </c>
      <c r="AD85" s="57">
        <f>AJ88*AG85/AH85</f>
        <v>6000.7970423008564</v>
      </c>
      <c r="AE85" t="s">
        <v>48</v>
      </c>
      <c r="AF85" s="39">
        <f>AD85/AD86</f>
        <v>0.57976474963002322</v>
      </c>
      <c r="AG85" s="39">
        <f>1-AG84</f>
        <v>0.75272740874662558</v>
      </c>
      <c r="AH85" s="21">
        <v>2.4470000000000001</v>
      </c>
      <c r="AI85" s="21">
        <v>0.1222</v>
      </c>
      <c r="AJ85" s="58">
        <f>AI85/AH85</f>
        <v>4.9938700449530034E-2</v>
      </c>
    </row>
    <row r="86" spans="2:36" x14ac:dyDescent="0.3">
      <c r="E86" t="s">
        <v>254</v>
      </c>
      <c r="F86" s="20">
        <f>F85/F84</f>
        <v>0.7089885569246912</v>
      </c>
      <c r="G86">
        <f>1/1.35</f>
        <v>0.7407407407407407</v>
      </c>
      <c r="Q86" s="56" t="s">
        <v>263</v>
      </c>
      <c r="R86" s="18">
        <f>SUM(R84:R85)</f>
        <v>6050.8912709463684</v>
      </c>
      <c r="S86" s="18" t="s">
        <v>48</v>
      </c>
      <c r="X86" s="59"/>
      <c r="AC86" s="56" t="s">
        <v>263</v>
      </c>
      <c r="AD86" s="18">
        <f>SUM(AD84:AD85)</f>
        <v>10350.399961588324</v>
      </c>
      <c r="AE86" s="18" t="s">
        <v>48</v>
      </c>
      <c r="AJ86" s="59"/>
    </row>
    <row r="87" spans="2:36" x14ac:dyDescent="0.3">
      <c r="E87" s="53"/>
      <c r="F87" s="54"/>
      <c r="G87" s="54"/>
      <c r="H87" s="54" t="s">
        <v>390</v>
      </c>
      <c r="I87" s="54" t="s">
        <v>389</v>
      </c>
      <c r="J87" s="54" t="s">
        <v>418</v>
      </c>
      <c r="K87" s="54" t="s">
        <v>388</v>
      </c>
      <c r="L87" s="55" t="s">
        <v>391</v>
      </c>
      <c r="Q87" s="56"/>
      <c r="S87" s="18"/>
      <c r="X87" s="59" t="s">
        <v>385</v>
      </c>
      <c r="AC87" s="56"/>
      <c r="AE87" s="18"/>
      <c r="AJ87" s="59" t="s">
        <v>385</v>
      </c>
    </row>
    <row r="88" spans="2:36" x14ac:dyDescent="0.3">
      <c r="E88" s="56" t="s">
        <v>248</v>
      </c>
      <c r="F88" s="57">
        <f>$L$92*I88/J88</f>
        <v>2756.0608224900284</v>
      </c>
      <c r="G88" t="s">
        <v>48</v>
      </c>
      <c r="H88" s="39">
        <f>F88/F90</f>
        <v>0.44142492044756704</v>
      </c>
      <c r="I88" s="64">
        <f>(F95-L92/F84*L89)/(L92/F84)/(L88-L89)</f>
        <v>0.26370784126317293</v>
      </c>
      <c r="J88" s="21">
        <f>1.109</f>
        <v>1.109</v>
      </c>
      <c r="K88" s="21">
        <f>0.069</f>
        <v>6.9000000000000006E-2</v>
      </c>
      <c r="L88" s="58">
        <f>K88/J88</f>
        <v>6.2218214607754743E-2</v>
      </c>
      <c r="Q88" s="56" t="s">
        <v>2</v>
      </c>
      <c r="R88" s="44">
        <f>R86/R80</f>
        <v>4.0069580152164948</v>
      </c>
      <c r="S88" t="s">
        <v>311</v>
      </c>
      <c r="X88" s="60">
        <v>11711.05</v>
      </c>
      <c r="AC88" s="56" t="s">
        <v>2</v>
      </c>
      <c r="AD88" s="44">
        <f>AD86/AD80</f>
        <v>6.8132568094312393</v>
      </c>
      <c r="AE88" t="s">
        <v>311</v>
      </c>
      <c r="AJ88" s="60">
        <v>19507.66</v>
      </c>
    </row>
    <row r="89" spans="2:36" x14ac:dyDescent="0.3">
      <c r="E89" s="56" t="s">
        <v>249</v>
      </c>
      <c r="F89" s="57">
        <f>$L$92*I89/J89</f>
        <v>3487.4942982666767</v>
      </c>
      <c r="G89" t="s">
        <v>48</v>
      </c>
      <c r="H89" s="39">
        <f>F89/F90</f>
        <v>0.55857507955243291</v>
      </c>
      <c r="I89" s="39">
        <f>1-I88</f>
        <v>0.73629215873682707</v>
      </c>
      <c r="J89" s="21">
        <v>2.4470000000000001</v>
      </c>
      <c r="K89" s="21">
        <f>0.1222</f>
        <v>0.1222</v>
      </c>
      <c r="L89" s="58">
        <f>K89/J89</f>
        <v>4.9938700449530034E-2</v>
      </c>
      <c r="Q89" s="56" t="s">
        <v>301</v>
      </c>
      <c r="R89" s="18">
        <f>R86/R81</f>
        <v>6.0508912709463685</v>
      </c>
      <c r="S89" t="s">
        <v>318</v>
      </c>
      <c r="X89" s="59"/>
      <c r="AC89" s="56" t="s">
        <v>301</v>
      </c>
      <c r="AD89" s="18">
        <f>AD86/AD81</f>
        <v>10.350399961588325</v>
      </c>
      <c r="AE89" t="s">
        <v>318</v>
      </c>
      <c r="AJ89" s="59"/>
    </row>
    <row r="90" spans="2:36" x14ac:dyDescent="0.3">
      <c r="E90" s="56" t="s">
        <v>263</v>
      </c>
      <c r="F90" s="18">
        <f>SUM(F88:F89)</f>
        <v>6243.555120756705</v>
      </c>
      <c r="G90" s="18" t="s">
        <v>48</v>
      </c>
      <c r="L90" s="59"/>
      <c r="Q90" s="56"/>
      <c r="X90" s="59"/>
      <c r="AC90" s="56"/>
      <c r="AJ90" s="59"/>
    </row>
    <row r="91" spans="2:36" x14ac:dyDescent="0.3">
      <c r="E91" s="56"/>
      <c r="G91" s="18"/>
      <c r="L91" s="59" t="s">
        <v>385</v>
      </c>
      <c r="Q91" s="56" t="s">
        <v>386</v>
      </c>
      <c r="R91" s="46">
        <f>R92*R82</f>
        <v>0.40814623706042524</v>
      </c>
      <c r="U91" s="39">
        <f>R84*W84/R80+R85*W85/R80</f>
        <v>0.40814623706042519</v>
      </c>
      <c r="X91" s="59"/>
      <c r="AC91" s="56" t="s">
        <v>386</v>
      </c>
      <c r="AD91" s="46">
        <f>AD92*AD82</f>
        <v>0.68025930187551509</v>
      </c>
      <c r="AG91" s="39">
        <f>AD84*AI84/AD80+AD85*AI85/AD80</f>
        <v>0.68025930187551509</v>
      </c>
      <c r="AJ91" s="59"/>
    </row>
    <row r="92" spans="2:36" x14ac:dyDescent="0.3">
      <c r="E92" s="56" t="s">
        <v>2</v>
      </c>
      <c r="F92" s="43">
        <f>F90/F84</f>
        <v>4.4266091351450623</v>
      </c>
      <c r="G92" t="s">
        <v>311</v>
      </c>
      <c r="L92" s="60">
        <f>11590.37</f>
        <v>11590.37</v>
      </c>
      <c r="Q92" s="61" t="s">
        <v>387</v>
      </c>
      <c r="R92" s="62">
        <f>616.34/1000</f>
        <v>0.61634</v>
      </c>
      <c r="S92" s="19"/>
      <c r="T92" s="19"/>
      <c r="U92" s="19"/>
      <c r="V92" s="19"/>
      <c r="W92" s="19"/>
      <c r="X92" s="63"/>
      <c r="AC92" s="61" t="s">
        <v>387</v>
      </c>
      <c r="AD92" s="62">
        <f>1033.42/1000</f>
        <v>1.03342</v>
      </c>
      <c r="AE92" s="19"/>
      <c r="AF92" s="19"/>
      <c r="AG92" s="19"/>
      <c r="AH92" s="19"/>
      <c r="AI92" s="19"/>
      <c r="AJ92" s="63"/>
    </row>
    <row r="93" spans="2:36" x14ac:dyDescent="0.3">
      <c r="E93" s="56" t="s">
        <v>301</v>
      </c>
      <c r="F93" s="20">
        <f>F90/F85</f>
        <v>6.2435551207567048</v>
      </c>
      <c r="G93" t="s">
        <v>318</v>
      </c>
      <c r="L93" s="59"/>
    </row>
    <row r="94" spans="2:36" x14ac:dyDescent="0.3">
      <c r="E94" s="56"/>
      <c r="L94" s="59"/>
    </row>
    <row r="95" spans="2:36" x14ac:dyDescent="0.3">
      <c r="E95" s="56" t="s">
        <v>386</v>
      </c>
      <c r="F95" s="46">
        <f>F96*F86</f>
        <v>0.43697800717496416</v>
      </c>
      <c r="G95" s="66" t="s">
        <v>417</v>
      </c>
      <c r="I95" s="39">
        <f>F88*K88/F84+F89*K89/F84</f>
        <v>0.43697800717496404</v>
      </c>
      <c r="J95" t="s">
        <v>393</v>
      </c>
      <c r="L95" s="59"/>
    </row>
    <row r="96" spans="2:36" x14ac:dyDescent="0.3">
      <c r="E96" s="61" t="s">
        <v>387</v>
      </c>
      <c r="F96" s="62">
        <f>616.34/1000</f>
        <v>0.61634</v>
      </c>
      <c r="G96" s="19"/>
      <c r="H96" s="19"/>
      <c r="I96" s="19"/>
      <c r="J96" s="19"/>
      <c r="K96" s="19"/>
      <c r="L96" s="63"/>
    </row>
    <row r="97" spans="5:5" x14ac:dyDescent="0.3">
      <c r="E97" s="56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C249-F3BF-A941-9706-1DEF27DC282E}">
  <dimension ref="A1:Y83"/>
  <sheetViews>
    <sheetView topLeftCell="A69" zoomScale="130" zoomScaleNormal="130" workbookViewId="0">
      <selection activeCell="U73" sqref="U73"/>
    </sheetView>
  </sheetViews>
  <sheetFormatPr defaultColWidth="11.44140625" defaultRowHeight="14.4" x14ac:dyDescent="0.3"/>
  <cols>
    <col min="1" max="1" width="30.44140625" customWidth="1"/>
    <col min="3" max="3" width="47.6640625" customWidth="1"/>
    <col min="10" max="10" width="14.109375" customWidth="1"/>
    <col min="16" max="16" width="50.44140625" customWidth="1"/>
    <col min="17" max="17" width="13.6640625" customWidth="1"/>
  </cols>
  <sheetData>
    <row r="1" spans="1:23" x14ac:dyDescent="0.3">
      <c r="A1" s="9" t="s">
        <v>0</v>
      </c>
      <c r="B1" s="1" t="s">
        <v>11</v>
      </c>
      <c r="C1" s="2"/>
      <c r="D1" s="2" t="s">
        <v>283</v>
      </c>
      <c r="E1" s="2"/>
      <c r="F1" s="2"/>
      <c r="G1" s="2"/>
      <c r="H1" s="2"/>
      <c r="I1" s="2"/>
      <c r="J1" s="3"/>
      <c r="O1" s="1" t="s">
        <v>293</v>
      </c>
      <c r="P1" s="2"/>
      <c r="Q1" s="2"/>
      <c r="R1" s="2"/>
      <c r="S1" s="2"/>
      <c r="T1" s="2"/>
      <c r="U1" s="2"/>
      <c r="V1" s="2"/>
      <c r="W1" s="3"/>
    </row>
    <row r="2" spans="1:23" x14ac:dyDescent="0.3">
      <c r="A2" s="9" t="s">
        <v>16</v>
      </c>
      <c r="B2" s="7" t="s">
        <v>24</v>
      </c>
      <c r="J2" s="8"/>
      <c r="O2" s="7" t="s">
        <v>24</v>
      </c>
      <c r="W2" s="8"/>
    </row>
    <row r="3" spans="1:23" x14ac:dyDescent="0.3">
      <c r="A3" s="10" t="s">
        <v>300</v>
      </c>
      <c r="B3" s="7">
        <v>1</v>
      </c>
      <c r="J3" s="8"/>
      <c r="O3" s="7">
        <v>1</v>
      </c>
      <c r="W3" s="8"/>
    </row>
    <row r="4" spans="1:23" x14ac:dyDescent="0.3">
      <c r="B4" s="7" t="s">
        <v>30</v>
      </c>
      <c r="J4" s="8"/>
      <c r="O4" s="7" t="s">
        <v>30</v>
      </c>
      <c r="W4" s="8"/>
    </row>
    <row r="5" spans="1:23" x14ac:dyDescent="0.3">
      <c r="B5" s="7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s="8" t="s">
        <v>39</v>
      </c>
      <c r="O5" s="7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s="8" t="s">
        <v>39</v>
      </c>
    </row>
    <row r="6" spans="1:23" x14ac:dyDescent="0.3">
      <c r="B6" s="7"/>
      <c r="C6" t="s">
        <v>41</v>
      </c>
      <c r="D6" t="s">
        <v>42</v>
      </c>
      <c r="E6">
        <v>20.2910406020682</v>
      </c>
      <c r="F6">
        <v>20.2910406020682</v>
      </c>
      <c r="G6" t="s">
        <v>43</v>
      </c>
      <c r="H6" t="s">
        <v>44</v>
      </c>
      <c r="I6" s="11">
        <v>0</v>
      </c>
      <c r="J6" s="8" t="s">
        <v>45</v>
      </c>
      <c r="O6" s="7"/>
      <c r="P6" t="s">
        <v>41</v>
      </c>
      <c r="Q6" t="s">
        <v>42</v>
      </c>
      <c r="R6">
        <v>13.5221061846979</v>
      </c>
      <c r="S6">
        <v>13.5221061846979</v>
      </c>
      <c r="T6" t="s">
        <v>43</v>
      </c>
      <c r="U6" t="s">
        <v>44</v>
      </c>
      <c r="V6" s="11">
        <v>0</v>
      </c>
      <c r="W6" s="8" t="s">
        <v>45</v>
      </c>
    </row>
    <row r="7" spans="1:23" x14ac:dyDescent="0.3">
      <c r="B7" s="7"/>
      <c r="C7" t="s">
        <v>56</v>
      </c>
      <c r="D7" t="s">
        <v>42</v>
      </c>
      <c r="E7">
        <v>0.61758918682520003</v>
      </c>
      <c r="F7">
        <v>0.61758918682520003</v>
      </c>
      <c r="G7" t="s">
        <v>43</v>
      </c>
      <c r="H7" t="s">
        <v>44</v>
      </c>
      <c r="I7" s="11">
        <v>0</v>
      </c>
      <c r="J7" s="8" t="s">
        <v>45</v>
      </c>
      <c r="O7" s="7"/>
      <c r="P7" t="s">
        <v>56</v>
      </c>
      <c r="Q7" t="s">
        <v>42</v>
      </c>
      <c r="R7">
        <v>0.61758918682520003</v>
      </c>
      <c r="S7">
        <v>0.61758918682520003</v>
      </c>
      <c r="T7" t="s">
        <v>43</v>
      </c>
      <c r="U7" t="s">
        <v>44</v>
      </c>
      <c r="V7" s="11">
        <v>0</v>
      </c>
      <c r="W7" s="8" t="s">
        <v>45</v>
      </c>
    </row>
    <row r="8" spans="1:23" x14ac:dyDescent="0.3">
      <c r="B8" s="7"/>
      <c r="C8" t="s">
        <v>65</v>
      </c>
      <c r="D8" t="s">
        <v>42</v>
      </c>
      <c r="E8">
        <v>5.0928834846879001</v>
      </c>
      <c r="F8">
        <v>5.0928834846879001</v>
      </c>
      <c r="G8" t="s">
        <v>43</v>
      </c>
      <c r="H8" t="s">
        <v>44</v>
      </c>
      <c r="I8" s="11">
        <v>0</v>
      </c>
      <c r="J8" s="8" t="s">
        <v>45</v>
      </c>
      <c r="O8" s="7"/>
      <c r="P8" t="s">
        <v>65</v>
      </c>
      <c r="Q8" t="s">
        <v>42</v>
      </c>
      <c r="R8">
        <v>5.0928834846879001</v>
      </c>
      <c r="S8">
        <v>5.0928834846879001</v>
      </c>
      <c r="T8" t="s">
        <v>43</v>
      </c>
      <c r="U8" t="s">
        <v>44</v>
      </c>
      <c r="V8" s="11">
        <v>0</v>
      </c>
      <c r="W8" s="8" t="s">
        <v>45</v>
      </c>
    </row>
    <row r="9" spans="1:23" x14ac:dyDescent="0.3">
      <c r="B9" s="7"/>
      <c r="C9" t="s">
        <v>75</v>
      </c>
      <c r="D9" t="s">
        <v>42</v>
      </c>
      <c r="E9">
        <v>1.3613936280600001E-3</v>
      </c>
      <c r="F9">
        <v>1.3613936280600001E-3</v>
      </c>
      <c r="G9" t="s">
        <v>43</v>
      </c>
      <c r="H9" t="s">
        <v>44</v>
      </c>
      <c r="I9" s="11">
        <v>0</v>
      </c>
      <c r="J9" s="8" t="s">
        <v>45</v>
      </c>
      <c r="O9" s="7"/>
      <c r="P9" t="s">
        <v>75</v>
      </c>
      <c r="Q9" t="s">
        <v>42</v>
      </c>
      <c r="R9">
        <v>1.3613936280600001E-3</v>
      </c>
      <c r="S9">
        <v>1.3613936280600001E-3</v>
      </c>
      <c r="T9" t="s">
        <v>43</v>
      </c>
      <c r="U9" t="s">
        <v>44</v>
      </c>
      <c r="V9" s="11">
        <v>0</v>
      </c>
      <c r="W9" s="8" t="s">
        <v>45</v>
      </c>
    </row>
    <row r="10" spans="1:23" x14ac:dyDescent="0.3">
      <c r="B10" s="7"/>
      <c r="C10" s="22" t="s">
        <v>46</v>
      </c>
      <c r="D10" t="s">
        <v>47</v>
      </c>
      <c r="E10" s="22">
        <v>2372.5041335999999</v>
      </c>
      <c r="F10" s="22">
        <v>2372.5041335999999</v>
      </c>
      <c r="G10" s="22" t="s">
        <v>48</v>
      </c>
      <c r="H10" t="s">
        <v>44</v>
      </c>
      <c r="I10" s="11">
        <v>0</v>
      </c>
      <c r="J10" s="8" t="s">
        <v>45</v>
      </c>
      <c r="O10" s="7"/>
      <c r="P10" s="22" t="s">
        <v>46</v>
      </c>
      <c r="Q10" t="s">
        <v>47</v>
      </c>
      <c r="R10" s="22">
        <v>2372.5041335999999</v>
      </c>
      <c r="S10" s="22">
        <v>2372.5041335999999</v>
      </c>
      <c r="T10" s="22" t="s">
        <v>48</v>
      </c>
      <c r="U10" t="s">
        <v>44</v>
      </c>
      <c r="V10" s="11">
        <v>0</v>
      </c>
      <c r="W10" s="8" t="s">
        <v>45</v>
      </c>
    </row>
    <row r="11" spans="1:23" x14ac:dyDescent="0.3">
      <c r="B11" s="7"/>
      <c r="C11" s="22" t="s">
        <v>46</v>
      </c>
      <c r="D11" t="s">
        <v>47</v>
      </c>
      <c r="E11" s="22">
        <v>789.03775266744697</v>
      </c>
      <c r="F11" s="22">
        <v>789.03775266744697</v>
      </c>
      <c r="G11" s="22" t="s">
        <v>48</v>
      </c>
      <c r="H11" t="s">
        <v>44</v>
      </c>
      <c r="I11" s="11">
        <v>0</v>
      </c>
      <c r="J11" s="8" t="s">
        <v>45</v>
      </c>
      <c r="O11" s="7"/>
      <c r="P11" s="22" t="s">
        <v>46</v>
      </c>
      <c r="Q11" t="s">
        <v>47</v>
      </c>
      <c r="R11" s="22">
        <v>789.03775266744697</v>
      </c>
      <c r="S11" s="22">
        <v>789.03775266744697</v>
      </c>
      <c r="T11" s="22" t="s">
        <v>48</v>
      </c>
      <c r="U11" t="s">
        <v>44</v>
      </c>
      <c r="V11" s="11">
        <v>0</v>
      </c>
      <c r="W11" s="8" t="s">
        <v>45</v>
      </c>
    </row>
    <row r="12" spans="1:23" x14ac:dyDescent="0.3">
      <c r="B12" s="7"/>
      <c r="C12" t="s">
        <v>93</v>
      </c>
      <c r="D12" t="s">
        <v>42</v>
      </c>
      <c r="E12">
        <v>0.23691672845731801</v>
      </c>
      <c r="F12">
        <v>0.23691672845731801</v>
      </c>
      <c r="G12" t="s">
        <v>43</v>
      </c>
      <c r="H12" t="s">
        <v>44</v>
      </c>
      <c r="I12" s="11">
        <v>0</v>
      </c>
      <c r="J12" s="8" t="s">
        <v>45</v>
      </c>
      <c r="O12" s="7"/>
      <c r="P12" t="s">
        <v>93</v>
      </c>
      <c r="Q12" t="s">
        <v>42</v>
      </c>
      <c r="R12">
        <v>0.23691672845731801</v>
      </c>
      <c r="S12">
        <v>0.23691672845731801</v>
      </c>
      <c r="T12" t="s">
        <v>43</v>
      </c>
      <c r="U12" t="s">
        <v>44</v>
      </c>
      <c r="V12" s="11">
        <v>0</v>
      </c>
      <c r="W12" s="8" t="s">
        <v>45</v>
      </c>
    </row>
    <row r="13" spans="1:23" x14ac:dyDescent="0.3">
      <c r="B13" s="7"/>
      <c r="C13" t="s">
        <v>103</v>
      </c>
      <c r="D13" t="s">
        <v>42</v>
      </c>
      <c r="E13">
        <v>1.6289100000000001E-2</v>
      </c>
      <c r="F13">
        <v>1.6289100000000001E-2</v>
      </c>
      <c r="G13" t="s">
        <v>43</v>
      </c>
      <c r="H13" t="s">
        <v>44</v>
      </c>
      <c r="I13" s="11">
        <v>0</v>
      </c>
      <c r="J13" s="8" t="s">
        <v>45</v>
      </c>
      <c r="O13" s="7"/>
      <c r="P13" t="s">
        <v>103</v>
      </c>
      <c r="Q13" t="s">
        <v>42</v>
      </c>
      <c r="R13">
        <v>1.6289100000000001E-2</v>
      </c>
      <c r="S13">
        <v>1.6289100000000001E-2</v>
      </c>
      <c r="T13" t="s">
        <v>43</v>
      </c>
      <c r="U13" t="s">
        <v>44</v>
      </c>
      <c r="V13" s="11">
        <v>0</v>
      </c>
      <c r="W13" s="8" t="s">
        <v>45</v>
      </c>
    </row>
    <row r="14" spans="1:23" x14ac:dyDescent="0.3">
      <c r="B14" s="7"/>
      <c r="C14" t="s">
        <v>72</v>
      </c>
      <c r="D14" t="s">
        <v>42</v>
      </c>
      <c r="E14">
        <v>1.45620139634168</v>
      </c>
      <c r="F14">
        <v>1.45620139634168</v>
      </c>
      <c r="G14" t="s">
        <v>43</v>
      </c>
      <c r="H14" t="s">
        <v>44</v>
      </c>
      <c r="I14" s="11">
        <v>0</v>
      </c>
      <c r="J14" s="8" t="s">
        <v>45</v>
      </c>
      <c r="O14" s="7"/>
      <c r="P14" t="s">
        <v>72</v>
      </c>
      <c r="Q14" t="s">
        <v>42</v>
      </c>
      <c r="R14">
        <v>1.45620139634168</v>
      </c>
      <c r="S14">
        <v>1.45620139634168</v>
      </c>
      <c r="T14" t="s">
        <v>43</v>
      </c>
      <c r="U14" t="s">
        <v>44</v>
      </c>
      <c r="V14" s="11">
        <v>0</v>
      </c>
      <c r="W14" s="8" t="s">
        <v>45</v>
      </c>
    </row>
    <row r="15" spans="1:23" x14ac:dyDescent="0.3">
      <c r="B15" s="7"/>
      <c r="C15" t="s">
        <v>110</v>
      </c>
      <c r="D15" t="s">
        <v>42</v>
      </c>
      <c r="E15">
        <v>0.161999</v>
      </c>
      <c r="F15">
        <v>0.161999</v>
      </c>
      <c r="G15" t="s">
        <v>43</v>
      </c>
      <c r="H15" t="s">
        <v>44</v>
      </c>
      <c r="I15" s="11">
        <v>0</v>
      </c>
      <c r="J15" s="8" t="s">
        <v>45</v>
      </c>
      <c r="O15" s="7"/>
      <c r="P15" t="s">
        <v>110</v>
      </c>
      <c r="Q15" t="s">
        <v>42</v>
      </c>
      <c r="R15">
        <v>0.161999</v>
      </c>
      <c r="S15">
        <v>0.161999</v>
      </c>
      <c r="T15" t="s">
        <v>43</v>
      </c>
      <c r="U15" t="s">
        <v>44</v>
      </c>
      <c r="V15" s="11">
        <v>0</v>
      </c>
      <c r="W15" s="8" t="s">
        <v>45</v>
      </c>
    </row>
    <row r="16" spans="1:23" x14ac:dyDescent="0.3">
      <c r="B16" s="7"/>
      <c r="C16" t="s">
        <v>115</v>
      </c>
      <c r="D16" t="s">
        <v>42</v>
      </c>
      <c r="E16">
        <v>0.73825038970536006</v>
      </c>
      <c r="F16">
        <v>0.73825038970536006</v>
      </c>
      <c r="G16" t="s">
        <v>43</v>
      </c>
      <c r="H16" t="s">
        <v>44</v>
      </c>
      <c r="I16" s="11">
        <v>0</v>
      </c>
      <c r="J16" s="8" t="s">
        <v>45</v>
      </c>
      <c r="O16" s="7"/>
      <c r="P16" t="s">
        <v>115</v>
      </c>
      <c r="Q16" t="s">
        <v>42</v>
      </c>
      <c r="R16">
        <v>0.73825038970536006</v>
      </c>
      <c r="S16">
        <v>0.73825038970536006</v>
      </c>
      <c r="T16" t="s">
        <v>43</v>
      </c>
      <c r="U16" t="s">
        <v>44</v>
      </c>
      <c r="V16" s="11">
        <v>0</v>
      </c>
      <c r="W16" s="8" t="s">
        <v>45</v>
      </c>
    </row>
    <row r="17" spans="1:23" x14ac:dyDescent="0.3">
      <c r="B17" s="7"/>
      <c r="C17" t="s">
        <v>116</v>
      </c>
      <c r="D17" t="s">
        <v>42</v>
      </c>
      <c r="E17">
        <v>4.8909779999999996</v>
      </c>
      <c r="F17">
        <v>4.8909779999999996</v>
      </c>
      <c r="G17" t="s">
        <v>43</v>
      </c>
      <c r="H17" t="s">
        <v>44</v>
      </c>
      <c r="I17" s="11">
        <v>0</v>
      </c>
      <c r="J17" s="8" t="s">
        <v>45</v>
      </c>
      <c r="O17" s="7"/>
      <c r="P17" t="s">
        <v>116</v>
      </c>
      <c r="Q17" t="s">
        <v>42</v>
      </c>
      <c r="R17">
        <v>4.8909779999999996</v>
      </c>
      <c r="S17">
        <v>4.8909779999999996</v>
      </c>
      <c r="T17" t="s">
        <v>43</v>
      </c>
      <c r="U17" t="s">
        <v>44</v>
      </c>
      <c r="V17" s="11">
        <v>0</v>
      </c>
      <c r="W17" s="8" t="s">
        <v>45</v>
      </c>
    </row>
    <row r="18" spans="1:23" x14ac:dyDescent="0.3">
      <c r="B18" s="7"/>
      <c r="C18" t="s">
        <v>123</v>
      </c>
      <c r="D18" t="s">
        <v>42</v>
      </c>
      <c r="E18">
        <v>0.66772797828171204</v>
      </c>
      <c r="F18">
        <v>0.66772797828171204</v>
      </c>
      <c r="G18" t="s">
        <v>43</v>
      </c>
      <c r="H18" t="s">
        <v>44</v>
      </c>
      <c r="I18" s="11">
        <v>0</v>
      </c>
      <c r="J18" s="8" t="s">
        <v>45</v>
      </c>
      <c r="O18" s="7"/>
      <c r="P18" t="s">
        <v>123</v>
      </c>
      <c r="Q18" t="s">
        <v>42</v>
      </c>
      <c r="R18">
        <v>0.66772797828171204</v>
      </c>
      <c r="S18">
        <v>0.66772797828171204</v>
      </c>
      <c r="T18" t="s">
        <v>43</v>
      </c>
      <c r="U18" t="s">
        <v>44</v>
      </c>
      <c r="V18" s="11">
        <v>0</v>
      </c>
      <c r="W18" s="8" t="s">
        <v>45</v>
      </c>
    </row>
    <row r="19" spans="1:23" x14ac:dyDescent="0.3">
      <c r="B19" s="7"/>
      <c r="C19" t="s">
        <v>92</v>
      </c>
      <c r="D19" t="s">
        <v>42</v>
      </c>
      <c r="E19">
        <v>1.5052775672484E-2</v>
      </c>
      <c r="F19">
        <v>1.5052775672484E-2</v>
      </c>
      <c r="G19" t="s">
        <v>43</v>
      </c>
      <c r="H19" t="s">
        <v>44</v>
      </c>
      <c r="I19" s="11">
        <v>0</v>
      </c>
      <c r="J19" s="8" t="s">
        <v>45</v>
      </c>
      <c r="O19" s="7"/>
      <c r="P19" t="s">
        <v>92</v>
      </c>
      <c r="Q19" t="s">
        <v>42</v>
      </c>
      <c r="R19">
        <v>1.5052775672484E-2</v>
      </c>
      <c r="S19">
        <v>1.5052775672484E-2</v>
      </c>
      <c r="T19" t="s">
        <v>43</v>
      </c>
      <c r="U19" t="s">
        <v>44</v>
      </c>
      <c r="V19" s="11">
        <v>0</v>
      </c>
      <c r="W19" s="8" t="s">
        <v>45</v>
      </c>
    </row>
    <row r="20" spans="1:23" x14ac:dyDescent="0.3">
      <c r="B20" s="7"/>
      <c r="C20" s="21" t="s">
        <v>140</v>
      </c>
      <c r="D20" t="s">
        <v>42</v>
      </c>
      <c r="E20" s="21">
        <v>406.37318853605098</v>
      </c>
      <c r="F20" s="21">
        <v>406.37318853605098</v>
      </c>
      <c r="G20" s="21" t="s">
        <v>43</v>
      </c>
      <c r="H20" t="s">
        <v>44</v>
      </c>
      <c r="I20" s="11">
        <v>0</v>
      </c>
      <c r="J20" s="8" t="s">
        <v>45</v>
      </c>
      <c r="O20" s="7"/>
      <c r="P20" t="s">
        <v>140</v>
      </c>
      <c r="Q20" t="s">
        <v>42</v>
      </c>
      <c r="R20">
        <v>0</v>
      </c>
      <c r="S20">
        <v>0</v>
      </c>
      <c r="T20" t="s">
        <v>43</v>
      </c>
      <c r="U20" t="s">
        <v>44</v>
      </c>
      <c r="V20" s="11">
        <v>0</v>
      </c>
      <c r="W20" s="8" t="s">
        <v>45</v>
      </c>
    </row>
    <row r="21" spans="1:23" x14ac:dyDescent="0.3">
      <c r="B21" s="7"/>
      <c r="C21" s="21" t="s">
        <v>147</v>
      </c>
      <c r="D21" t="s">
        <v>42</v>
      </c>
      <c r="E21" s="21">
        <v>320.82093831793497</v>
      </c>
      <c r="F21" s="21">
        <v>320.82093831793497</v>
      </c>
      <c r="G21" s="21" t="s">
        <v>43</v>
      </c>
      <c r="H21" t="s">
        <v>44</v>
      </c>
      <c r="I21" s="11">
        <v>0</v>
      </c>
      <c r="J21" s="8" t="s">
        <v>45</v>
      </c>
      <c r="O21" s="7"/>
      <c r="P21" s="21" t="s">
        <v>147</v>
      </c>
      <c r="Q21" t="s">
        <v>42</v>
      </c>
      <c r="R21" s="21">
        <v>224.811257966548</v>
      </c>
      <c r="S21" s="21">
        <v>224.811257966548</v>
      </c>
      <c r="T21" s="21" t="s">
        <v>43</v>
      </c>
      <c r="U21" t="s">
        <v>44</v>
      </c>
      <c r="V21" s="11">
        <v>0</v>
      </c>
      <c r="W21" s="8" t="s">
        <v>45</v>
      </c>
    </row>
    <row r="22" spans="1:23" x14ac:dyDescent="0.3">
      <c r="A22" s="21" t="s">
        <v>250</v>
      </c>
      <c r="B22" s="7"/>
      <c r="C22" s="21" t="s">
        <v>148</v>
      </c>
      <c r="D22" t="s">
        <v>42</v>
      </c>
      <c r="E22" s="21">
        <v>271.46387088440702</v>
      </c>
      <c r="F22" s="21">
        <v>271.46387088440702</v>
      </c>
      <c r="G22" s="21" t="s">
        <v>43</v>
      </c>
      <c r="H22" t="s">
        <v>44</v>
      </c>
      <c r="I22" s="11">
        <v>0</v>
      </c>
      <c r="J22" s="8" t="s">
        <v>45</v>
      </c>
      <c r="O22" s="7"/>
      <c r="P22" s="21" t="s">
        <v>148</v>
      </c>
      <c r="Q22" t="s">
        <v>42</v>
      </c>
      <c r="R22" s="21">
        <v>793.61082631564398</v>
      </c>
      <c r="S22" s="21">
        <v>793.61082631564398</v>
      </c>
      <c r="T22" s="21" t="s">
        <v>43</v>
      </c>
      <c r="U22" t="s">
        <v>44</v>
      </c>
      <c r="V22" s="11">
        <v>0</v>
      </c>
      <c r="W22" s="8" t="s">
        <v>45</v>
      </c>
    </row>
    <row r="23" spans="1:23" x14ac:dyDescent="0.3">
      <c r="A23" s="22" t="s">
        <v>251</v>
      </c>
      <c r="B23" s="7"/>
      <c r="C23" s="21" t="s">
        <v>156</v>
      </c>
      <c r="D23" t="s">
        <v>42</v>
      </c>
      <c r="E23" s="21">
        <v>358.46069654260799</v>
      </c>
      <c r="F23" s="21">
        <v>358.46069654260799</v>
      </c>
      <c r="G23" s="21" t="s">
        <v>43</v>
      </c>
      <c r="H23" t="s">
        <v>44</v>
      </c>
      <c r="I23" s="11">
        <v>0</v>
      </c>
      <c r="J23" s="8" t="s">
        <v>45</v>
      </c>
      <c r="O23" s="7"/>
      <c r="P23" s="21" t="s">
        <v>156</v>
      </c>
      <c r="Q23" t="s">
        <v>42</v>
      </c>
      <c r="R23" s="21">
        <v>373.43534947780802</v>
      </c>
      <c r="S23" s="21">
        <v>373.43534947780802</v>
      </c>
      <c r="T23" s="21" t="s">
        <v>43</v>
      </c>
      <c r="U23" t="s">
        <v>44</v>
      </c>
      <c r="V23" s="11">
        <v>0</v>
      </c>
      <c r="W23" s="8" t="s">
        <v>45</v>
      </c>
    </row>
    <row r="24" spans="1:23" x14ac:dyDescent="0.3">
      <c r="A24" s="40" t="s">
        <v>277</v>
      </c>
      <c r="B24" s="7"/>
      <c r="C24" t="s">
        <v>161</v>
      </c>
      <c r="D24" t="s">
        <v>42</v>
      </c>
      <c r="E24">
        <v>2438.6339317635602</v>
      </c>
      <c r="F24">
        <v>2438.6339317635602</v>
      </c>
      <c r="G24" t="s">
        <v>43</v>
      </c>
      <c r="H24" t="s">
        <v>44</v>
      </c>
      <c r="I24" s="11">
        <v>0</v>
      </c>
      <c r="J24" s="8" t="s">
        <v>45</v>
      </c>
      <c r="O24" s="7"/>
      <c r="P24" t="s">
        <v>161</v>
      </c>
      <c r="Q24" t="s">
        <v>42</v>
      </c>
      <c r="R24">
        <v>2438.6339317635602</v>
      </c>
      <c r="S24">
        <v>2438.6339317635602</v>
      </c>
      <c r="T24" t="s">
        <v>43</v>
      </c>
      <c r="U24" t="s">
        <v>44</v>
      </c>
      <c r="V24" s="11">
        <v>0</v>
      </c>
      <c r="W24" s="8" t="s">
        <v>45</v>
      </c>
    </row>
    <row r="25" spans="1:23" x14ac:dyDescent="0.3">
      <c r="B25" s="7"/>
      <c r="C25" s="21" t="s">
        <v>180</v>
      </c>
      <c r="D25" t="s">
        <v>42</v>
      </c>
      <c r="E25" s="21">
        <v>27.969004878999499</v>
      </c>
      <c r="F25" s="21">
        <v>27.969004878999499</v>
      </c>
      <c r="G25" s="21" t="s">
        <v>43</v>
      </c>
      <c r="H25" t="s">
        <v>44</v>
      </c>
      <c r="I25" s="11">
        <v>0</v>
      </c>
      <c r="J25" s="8" t="s">
        <v>45</v>
      </c>
      <c r="O25" s="7"/>
      <c r="P25" t="s">
        <v>180</v>
      </c>
      <c r="Q25" t="s">
        <v>42</v>
      </c>
      <c r="R25">
        <v>0</v>
      </c>
      <c r="S25">
        <v>0</v>
      </c>
      <c r="T25" t="s">
        <v>43</v>
      </c>
      <c r="U25" t="s">
        <v>44</v>
      </c>
      <c r="V25" s="11">
        <v>0</v>
      </c>
      <c r="W25" s="8" t="s">
        <v>45</v>
      </c>
    </row>
    <row r="26" spans="1:23" x14ac:dyDescent="0.3">
      <c r="B26" s="7"/>
      <c r="C26" t="s">
        <v>102</v>
      </c>
      <c r="D26" t="s">
        <v>42</v>
      </c>
      <c r="E26">
        <v>4.4649242975532001E-2</v>
      </c>
      <c r="F26">
        <v>4.4649242975532001E-2</v>
      </c>
      <c r="G26" t="s">
        <v>43</v>
      </c>
      <c r="H26" t="s">
        <v>44</v>
      </c>
      <c r="I26" s="11">
        <v>0</v>
      </c>
      <c r="J26" s="8" t="s">
        <v>45</v>
      </c>
      <c r="O26" s="7"/>
      <c r="P26" t="s">
        <v>102</v>
      </c>
      <c r="Q26" t="s">
        <v>42</v>
      </c>
      <c r="R26">
        <v>4.4649242975532001E-2</v>
      </c>
      <c r="S26">
        <v>4.4649242975532001E-2</v>
      </c>
      <c r="T26" t="s">
        <v>43</v>
      </c>
      <c r="U26" t="s">
        <v>44</v>
      </c>
      <c r="V26" s="11">
        <v>0</v>
      </c>
      <c r="W26" s="8" t="s">
        <v>45</v>
      </c>
    </row>
    <row r="27" spans="1:23" x14ac:dyDescent="0.3">
      <c r="B27" s="7"/>
      <c r="C27" t="s">
        <v>79</v>
      </c>
      <c r="D27" t="s">
        <v>42</v>
      </c>
      <c r="E27">
        <v>4.0700890698384402</v>
      </c>
      <c r="F27">
        <v>4.0700890698384402</v>
      </c>
      <c r="G27" t="s">
        <v>43</v>
      </c>
      <c r="H27" t="s">
        <v>44</v>
      </c>
      <c r="I27" s="11">
        <v>0</v>
      </c>
      <c r="J27" s="8" t="s">
        <v>45</v>
      </c>
      <c r="O27" s="7"/>
      <c r="P27" t="s">
        <v>79</v>
      </c>
      <c r="Q27" t="s">
        <v>42</v>
      </c>
      <c r="R27">
        <v>4.0700890698384402</v>
      </c>
      <c r="S27">
        <v>4.0700890698384402</v>
      </c>
      <c r="T27" t="s">
        <v>43</v>
      </c>
      <c r="U27" t="s">
        <v>44</v>
      </c>
      <c r="V27" s="11">
        <v>0</v>
      </c>
      <c r="W27" s="8" t="s">
        <v>45</v>
      </c>
    </row>
    <row r="28" spans="1:23" x14ac:dyDescent="0.3">
      <c r="B28" s="7"/>
      <c r="C28" t="s">
        <v>189</v>
      </c>
      <c r="D28" t="s">
        <v>42</v>
      </c>
      <c r="E28">
        <v>0.37606099999999998</v>
      </c>
      <c r="F28">
        <v>0.37606099999999998</v>
      </c>
      <c r="G28" t="s">
        <v>43</v>
      </c>
      <c r="H28" t="s">
        <v>44</v>
      </c>
      <c r="I28" s="11">
        <v>0</v>
      </c>
      <c r="J28" s="8" t="s">
        <v>45</v>
      </c>
      <c r="O28" s="7"/>
      <c r="P28" t="s">
        <v>189</v>
      </c>
      <c r="Q28" t="s">
        <v>42</v>
      </c>
      <c r="R28">
        <v>0.37606099999999998</v>
      </c>
      <c r="S28">
        <v>0.37606099999999998</v>
      </c>
      <c r="T28" t="s">
        <v>43</v>
      </c>
      <c r="U28" t="s">
        <v>44</v>
      </c>
      <c r="V28" s="11">
        <v>0</v>
      </c>
      <c r="W28" s="8" t="s">
        <v>45</v>
      </c>
    </row>
    <row r="29" spans="1:23" x14ac:dyDescent="0.3">
      <c r="B29" s="7"/>
      <c r="C29" t="s">
        <v>129</v>
      </c>
      <c r="D29" t="s">
        <v>42</v>
      </c>
      <c r="E29">
        <v>0.205297793596008</v>
      </c>
      <c r="F29">
        <v>0.205297793596008</v>
      </c>
      <c r="G29" t="s">
        <v>43</v>
      </c>
      <c r="H29" t="s">
        <v>44</v>
      </c>
      <c r="I29" s="11">
        <v>0</v>
      </c>
      <c r="J29" s="8" t="s">
        <v>45</v>
      </c>
      <c r="O29" s="7"/>
      <c r="P29" t="s">
        <v>129</v>
      </c>
      <c r="Q29" t="s">
        <v>42</v>
      </c>
      <c r="R29">
        <v>0.205297793596008</v>
      </c>
      <c r="S29">
        <v>0.205297793596008</v>
      </c>
      <c r="T29" t="s">
        <v>43</v>
      </c>
      <c r="U29" t="s">
        <v>44</v>
      </c>
      <c r="V29" s="11">
        <v>0</v>
      </c>
      <c r="W29" s="8" t="s">
        <v>45</v>
      </c>
    </row>
    <row r="30" spans="1:23" x14ac:dyDescent="0.3">
      <c r="B30" s="7"/>
      <c r="C30" t="s">
        <v>194</v>
      </c>
      <c r="D30" t="s">
        <v>42</v>
      </c>
      <c r="E30">
        <v>0.38073528969168002</v>
      </c>
      <c r="F30">
        <v>0.38073528969168002</v>
      </c>
      <c r="G30" t="s">
        <v>43</v>
      </c>
      <c r="H30" t="s">
        <v>44</v>
      </c>
      <c r="I30" s="11">
        <v>0</v>
      </c>
      <c r="J30" s="8" t="s">
        <v>45</v>
      </c>
      <c r="O30" s="7"/>
      <c r="P30" t="s">
        <v>194</v>
      </c>
      <c r="Q30" t="s">
        <v>42</v>
      </c>
      <c r="R30">
        <v>0.38073528969168002</v>
      </c>
      <c r="S30">
        <v>0.38073528969168002</v>
      </c>
      <c r="T30" t="s">
        <v>43</v>
      </c>
      <c r="U30" t="s">
        <v>44</v>
      </c>
      <c r="V30" s="11">
        <v>0</v>
      </c>
      <c r="W30" s="8" t="s">
        <v>45</v>
      </c>
    </row>
    <row r="31" spans="1:23" x14ac:dyDescent="0.3">
      <c r="B31" s="7"/>
      <c r="C31" s="22" t="s">
        <v>86</v>
      </c>
      <c r="D31" t="s">
        <v>47</v>
      </c>
      <c r="E31" s="22">
        <v>10825.5504096486</v>
      </c>
      <c r="F31" s="22">
        <v>10825.5504096486</v>
      </c>
      <c r="G31" s="22" t="s">
        <v>48</v>
      </c>
      <c r="H31" t="s">
        <v>44</v>
      </c>
      <c r="I31" s="11">
        <v>0</v>
      </c>
      <c r="J31" s="8" t="s">
        <v>45</v>
      </c>
      <c r="O31" s="7"/>
      <c r="P31" s="22" t="s">
        <v>86</v>
      </c>
      <c r="Q31" t="s">
        <v>47</v>
      </c>
      <c r="R31" s="22">
        <v>10825.5504096486</v>
      </c>
      <c r="S31" s="22">
        <v>10825.5504096486</v>
      </c>
      <c r="T31" s="22" t="s">
        <v>48</v>
      </c>
      <c r="U31" t="s">
        <v>44</v>
      </c>
      <c r="V31" s="11">
        <v>0</v>
      </c>
      <c r="W31" s="8" t="s">
        <v>45</v>
      </c>
    </row>
    <row r="32" spans="1:23" x14ac:dyDescent="0.3">
      <c r="B32" s="7"/>
      <c r="C32" t="s">
        <v>201</v>
      </c>
      <c r="D32" t="s">
        <v>42</v>
      </c>
      <c r="E32">
        <v>12.544535</v>
      </c>
      <c r="F32">
        <v>12.544535</v>
      </c>
      <c r="G32" t="s">
        <v>43</v>
      </c>
      <c r="H32" t="s">
        <v>44</v>
      </c>
      <c r="I32" s="11">
        <v>0</v>
      </c>
      <c r="J32" s="8" t="s">
        <v>45</v>
      </c>
      <c r="O32" s="7"/>
      <c r="P32" t="s">
        <v>201</v>
      </c>
      <c r="Q32" t="s">
        <v>42</v>
      </c>
      <c r="R32">
        <v>12.544535</v>
      </c>
      <c r="S32">
        <v>12.544535</v>
      </c>
      <c r="T32" t="s">
        <v>43</v>
      </c>
      <c r="U32" t="s">
        <v>44</v>
      </c>
      <c r="V32" s="11">
        <v>0</v>
      </c>
      <c r="W32" s="8" t="s">
        <v>45</v>
      </c>
    </row>
    <row r="33" spans="2:23" x14ac:dyDescent="0.3">
      <c r="B33" s="7" t="s">
        <v>84</v>
      </c>
      <c r="J33" s="8"/>
      <c r="O33" s="7" t="s">
        <v>84</v>
      </c>
      <c r="W33" s="8"/>
    </row>
    <row r="34" spans="2:23" x14ac:dyDescent="0.3">
      <c r="B34" s="7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 s="8" t="s">
        <v>39</v>
      </c>
      <c r="O34" s="7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  <c r="V34" t="s">
        <v>38</v>
      </c>
      <c r="W34" s="8" t="s">
        <v>39</v>
      </c>
    </row>
    <row r="35" spans="2:23" x14ac:dyDescent="0.3">
      <c r="B35" s="7"/>
      <c r="C35" s="21" t="s">
        <v>205</v>
      </c>
      <c r="D35" t="s">
        <v>42</v>
      </c>
      <c r="E35" s="21">
        <v>1000</v>
      </c>
      <c r="F35" s="21">
        <v>1000</v>
      </c>
      <c r="G35" s="21" t="s">
        <v>43</v>
      </c>
      <c r="H35" t="s">
        <v>44</v>
      </c>
      <c r="I35" s="11">
        <v>0</v>
      </c>
      <c r="J35" s="8" t="s">
        <v>45</v>
      </c>
      <c r="O35" s="7"/>
      <c r="P35" s="21" t="s">
        <v>205</v>
      </c>
      <c r="Q35" t="s">
        <v>42</v>
      </c>
      <c r="R35" s="21">
        <v>1000</v>
      </c>
      <c r="S35" s="21">
        <v>1000</v>
      </c>
      <c r="T35" s="21" t="s">
        <v>43</v>
      </c>
      <c r="U35" t="s">
        <v>44</v>
      </c>
      <c r="V35" s="11">
        <v>0</v>
      </c>
      <c r="W35" s="8" t="s">
        <v>45</v>
      </c>
    </row>
    <row r="36" spans="2:23" x14ac:dyDescent="0.3">
      <c r="B36" s="7"/>
      <c r="C36" s="40" t="s">
        <v>207</v>
      </c>
      <c r="D36" t="s">
        <v>42</v>
      </c>
      <c r="E36" s="40">
        <v>247.13248899999999</v>
      </c>
      <c r="F36" s="40">
        <v>247.13248899999999</v>
      </c>
      <c r="G36" s="40" t="s">
        <v>43</v>
      </c>
      <c r="H36" t="s">
        <v>99</v>
      </c>
      <c r="I36" s="11">
        <v>0</v>
      </c>
      <c r="J36" s="8" t="s">
        <v>45</v>
      </c>
      <c r="O36" s="7"/>
      <c r="P36" s="42" t="s">
        <v>207</v>
      </c>
      <c r="Q36" t="s">
        <v>42</v>
      </c>
      <c r="R36" s="42">
        <v>247.13248899999999</v>
      </c>
      <c r="S36" s="42">
        <v>247.13248899999999</v>
      </c>
      <c r="T36" s="42" t="s">
        <v>43</v>
      </c>
      <c r="U36" t="s">
        <v>99</v>
      </c>
      <c r="V36" s="11">
        <v>0</v>
      </c>
      <c r="W36" s="8" t="s">
        <v>45</v>
      </c>
    </row>
    <row r="37" spans="2:23" x14ac:dyDescent="0.3">
      <c r="B37" s="7"/>
      <c r="C37" s="40" t="s">
        <v>109</v>
      </c>
      <c r="D37" t="s">
        <v>42</v>
      </c>
      <c r="E37" s="40">
        <v>52.843750812864101</v>
      </c>
      <c r="F37" s="40">
        <v>52.843750812864101</v>
      </c>
      <c r="G37" s="40" t="s">
        <v>43</v>
      </c>
      <c r="H37" t="s">
        <v>99</v>
      </c>
      <c r="I37" s="11">
        <v>0</v>
      </c>
      <c r="J37" s="8" t="s">
        <v>45</v>
      </c>
      <c r="O37" s="7"/>
      <c r="P37" s="42" t="s">
        <v>109</v>
      </c>
      <c r="Q37" t="s">
        <v>42</v>
      </c>
      <c r="R37" s="42">
        <v>52.843750812864101</v>
      </c>
      <c r="S37" s="42">
        <v>52.843750812864101</v>
      </c>
      <c r="T37" s="42" t="s">
        <v>43</v>
      </c>
      <c r="U37" t="s">
        <v>99</v>
      </c>
      <c r="V37" s="11">
        <v>0</v>
      </c>
      <c r="W37" s="8" t="s">
        <v>45</v>
      </c>
    </row>
    <row r="38" spans="2:23" x14ac:dyDescent="0.3">
      <c r="B38" s="7"/>
      <c r="C38" t="s">
        <v>120</v>
      </c>
      <c r="D38" t="s">
        <v>42</v>
      </c>
      <c r="E38">
        <v>0.20033540207087999</v>
      </c>
      <c r="F38">
        <v>0.20033540207087999</v>
      </c>
      <c r="G38" t="s">
        <v>43</v>
      </c>
      <c r="H38" t="s">
        <v>99</v>
      </c>
      <c r="I38" s="11">
        <v>0</v>
      </c>
      <c r="J38" s="8" t="s">
        <v>45</v>
      </c>
      <c r="O38" s="7"/>
      <c r="P38" t="s">
        <v>120</v>
      </c>
      <c r="Q38" t="s">
        <v>42</v>
      </c>
      <c r="R38">
        <v>0.20033540207087999</v>
      </c>
      <c r="S38">
        <v>0.20033540207087999</v>
      </c>
      <c r="T38" t="s">
        <v>43</v>
      </c>
      <c r="U38" t="s">
        <v>99</v>
      </c>
      <c r="V38" s="11">
        <v>0</v>
      </c>
      <c r="W38" s="8" t="s">
        <v>45</v>
      </c>
    </row>
    <row r="39" spans="2:23" x14ac:dyDescent="0.3">
      <c r="B39" s="7"/>
      <c r="C39" t="s">
        <v>200</v>
      </c>
      <c r="D39" t="s">
        <v>42</v>
      </c>
      <c r="E39">
        <v>2.8307100000000002E-3</v>
      </c>
      <c r="F39">
        <v>2.8307100000000002E-3</v>
      </c>
      <c r="G39" t="s">
        <v>43</v>
      </c>
      <c r="H39" t="s">
        <v>99</v>
      </c>
      <c r="I39" s="11">
        <v>0</v>
      </c>
      <c r="J39" s="8" t="s">
        <v>45</v>
      </c>
      <c r="O39" s="7"/>
      <c r="P39" t="s">
        <v>200</v>
      </c>
      <c r="Q39" t="s">
        <v>42</v>
      </c>
      <c r="R39">
        <v>2.8307100000000002E-3</v>
      </c>
      <c r="S39">
        <v>2.8307100000000002E-3</v>
      </c>
      <c r="T39" t="s">
        <v>43</v>
      </c>
      <c r="U39" t="s">
        <v>99</v>
      </c>
      <c r="V39" s="11">
        <v>0</v>
      </c>
      <c r="W39" s="8" t="s">
        <v>45</v>
      </c>
    </row>
    <row r="40" spans="2:23" x14ac:dyDescent="0.3">
      <c r="B40" s="7"/>
      <c r="C40" t="s">
        <v>214</v>
      </c>
      <c r="D40" t="s">
        <v>42</v>
      </c>
      <c r="E40">
        <v>2.4158183450759201</v>
      </c>
      <c r="F40">
        <v>2.4158183450759201</v>
      </c>
      <c r="G40" t="s">
        <v>43</v>
      </c>
      <c r="H40" t="s">
        <v>99</v>
      </c>
      <c r="I40" s="11">
        <v>0</v>
      </c>
      <c r="J40" s="8" t="s">
        <v>45</v>
      </c>
      <c r="O40" s="7"/>
      <c r="P40" t="s">
        <v>214</v>
      </c>
      <c r="Q40" t="s">
        <v>42</v>
      </c>
      <c r="R40">
        <v>2.4158183450759201</v>
      </c>
      <c r="S40">
        <v>2.4158183450759201</v>
      </c>
      <c r="T40" t="s">
        <v>43</v>
      </c>
      <c r="U40" t="s">
        <v>99</v>
      </c>
      <c r="V40" s="11">
        <v>0</v>
      </c>
      <c r="W40" s="8" t="s">
        <v>45</v>
      </c>
    </row>
    <row r="41" spans="2:23" x14ac:dyDescent="0.3">
      <c r="B41" s="7"/>
      <c r="C41" t="s">
        <v>209</v>
      </c>
      <c r="D41" t="s">
        <v>42</v>
      </c>
      <c r="E41">
        <v>107.32187999999999</v>
      </c>
      <c r="F41">
        <v>107.32187999999999</v>
      </c>
      <c r="G41" t="s">
        <v>43</v>
      </c>
      <c r="H41" t="s">
        <v>99</v>
      </c>
      <c r="I41" s="11">
        <v>0</v>
      </c>
      <c r="J41" s="8" t="s">
        <v>45</v>
      </c>
      <c r="O41" s="7"/>
      <c r="P41" s="42" t="s">
        <v>209</v>
      </c>
      <c r="Q41" t="s">
        <v>42</v>
      </c>
      <c r="R41" s="42">
        <v>107.32187999999999</v>
      </c>
      <c r="S41" s="42">
        <v>107.32187999999999</v>
      </c>
      <c r="T41" s="42" t="s">
        <v>43</v>
      </c>
      <c r="U41" t="s">
        <v>99</v>
      </c>
      <c r="V41" s="11">
        <v>0</v>
      </c>
      <c r="W41" s="8" t="s">
        <v>45</v>
      </c>
    </row>
    <row r="42" spans="2:23" x14ac:dyDescent="0.3">
      <c r="B42" s="7"/>
      <c r="C42" t="s">
        <v>163</v>
      </c>
      <c r="D42" t="s">
        <v>42</v>
      </c>
      <c r="E42">
        <v>3.5106907559073202</v>
      </c>
      <c r="F42">
        <v>3.5106907559073202</v>
      </c>
      <c r="G42" t="s">
        <v>43</v>
      </c>
      <c r="H42" t="s">
        <v>99</v>
      </c>
      <c r="I42" s="11">
        <v>0</v>
      </c>
      <c r="J42" s="8" t="s">
        <v>45</v>
      </c>
      <c r="O42" s="7"/>
      <c r="P42" t="s">
        <v>163</v>
      </c>
      <c r="Q42" t="s">
        <v>42</v>
      </c>
      <c r="R42">
        <v>3.5106907559073202</v>
      </c>
      <c r="S42">
        <v>3.5106907559073202</v>
      </c>
      <c r="T42" t="s">
        <v>43</v>
      </c>
      <c r="U42" t="s">
        <v>99</v>
      </c>
      <c r="V42" s="11">
        <v>0</v>
      </c>
      <c r="W42" s="8" t="s">
        <v>45</v>
      </c>
    </row>
    <row r="43" spans="2:23" x14ac:dyDescent="0.3">
      <c r="B43" s="7"/>
      <c r="C43" t="s">
        <v>169</v>
      </c>
      <c r="D43" t="s">
        <v>42</v>
      </c>
      <c r="E43">
        <v>32.245156274622502</v>
      </c>
      <c r="F43">
        <v>32.245156274622502</v>
      </c>
      <c r="G43" t="s">
        <v>43</v>
      </c>
      <c r="H43" t="s">
        <v>99</v>
      </c>
      <c r="I43" s="11">
        <v>0</v>
      </c>
      <c r="J43" s="8" t="s">
        <v>45</v>
      </c>
      <c r="O43" s="7"/>
      <c r="P43" t="s">
        <v>169</v>
      </c>
      <c r="Q43" t="s">
        <v>42</v>
      </c>
      <c r="R43">
        <v>32.245156274622502</v>
      </c>
      <c r="S43">
        <v>32.245156274622502</v>
      </c>
      <c r="T43" t="s">
        <v>43</v>
      </c>
      <c r="U43" t="s">
        <v>99</v>
      </c>
      <c r="V43" s="11">
        <v>0</v>
      </c>
      <c r="W43" s="8" t="s">
        <v>45</v>
      </c>
    </row>
    <row r="44" spans="2:23" x14ac:dyDescent="0.3">
      <c r="B44" s="7"/>
      <c r="C44" t="s">
        <v>220</v>
      </c>
      <c r="D44" t="s">
        <v>42</v>
      </c>
      <c r="E44">
        <v>1.9495700000000001E-2</v>
      </c>
      <c r="F44">
        <v>1.9495700000000001E-2</v>
      </c>
      <c r="G44" t="s">
        <v>43</v>
      </c>
      <c r="H44" t="s">
        <v>99</v>
      </c>
      <c r="I44" s="11">
        <v>0</v>
      </c>
      <c r="J44" s="8" t="s">
        <v>45</v>
      </c>
      <c r="O44" s="7"/>
      <c r="P44" t="s">
        <v>220</v>
      </c>
      <c r="Q44" t="s">
        <v>42</v>
      </c>
      <c r="R44">
        <v>1.9495700000000001E-2</v>
      </c>
      <c r="S44">
        <v>1.9495700000000001E-2</v>
      </c>
      <c r="T44" t="s">
        <v>43</v>
      </c>
      <c r="U44" t="s">
        <v>99</v>
      </c>
      <c r="V44" s="11">
        <v>0</v>
      </c>
      <c r="W44" s="8" t="s">
        <v>45</v>
      </c>
    </row>
    <row r="45" spans="2:23" x14ac:dyDescent="0.3">
      <c r="B45" s="7"/>
      <c r="C45" t="s">
        <v>175</v>
      </c>
      <c r="D45" t="s">
        <v>42</v>
      </c>
      <c r="E45">
        <v>0.77408299999999997</v>
      </c>
      <c r="F45">
        <v>0.77408299999999997</v>
      </c>
      <c r="G45" t="s">
        <v>43</v>
      </c>
      <c r="H45" t="s">
        <v>99</v>
      </c>
      <c r="I45" s="11">
        <v>0</v>
      </c>
      <c r="J45" s="8" t="s">
        <v>45</v>
      </c>
      <c r="O45" s="7"/>
      <c r="P45" t="s">
        <v>175</v>
      </c>
      <c r="Q45" t="s">
        <v>42</v>
      </c>
      <c r="R45">
        <v>0.77408299999999997</v>
      </c>
      <c r="S45">
        <v>0.77408299999999997</v>
      </c>
      <c r="T45" t="s">
        <v>43</v>
      </c>
      <c r="U45" t="s">
        <v>99</v>
      </c>
      <c r="V45" s="11">
        <v>0</v>
      </c>
      <c r="W45" s="8" t="s">
        <v>45</v>
      </c>
    </row>
    <row r="46" spans="2:23" x14ac:dyDescent="0.3">
      <c r="B46" s="7"/>
      <c r="C46" t="s">
        <v>210</v>
      </c>
      <c r="D46" t="s">
        <v>42</v>
      </c>
      <c r="E46">
        <v>1301.50520375156</v>
      </c>
      <c r="F46">
        <v>1301.50520375156</v>
      </c>
      <c r="G46" t="s">
        <v>43</v>
      </c>
      <c r="H46" t="s">
        <v>99</v>
      </c>
      <c r="I46" s="11">
        <v>0</v>
      </c>
      <c r="J46" s="8" t="s">
        <v>45</v>
      </c>
      <c r="O46" s="7"/>
      <c r="P46" t="s">
        <v>210</v>
      </c>
      <c r="Q46" t="s">
        <v>42</v>
      </c>
      <c r="R46">
        <v>1301.50520375156</v>
      </c>
      <c r="S46">
        <v>1301.50520375156</v>
      </c>
      <c r="T46" t="s">
        <v>43</v>
      </c>
      <c r="U46" t="s">
        <v>99</v>
      </c>
      <c r="V46" s="11">
        <v>0</v>
      </c>
      <c r="W46" s="8" t="s">
        <v>45</v>
      </c>
    </row>
    <row r="47" spans="2:23" x14ac:dyDescent="0.3">
      <c r="B47" s="7"/>
      <c r="C47" t="s">
        <v>211</v>
      </c>
      <c r="D47" t="s">
        <v>42</v>
      </c>
      <c r="E47">
        <v>7.5283999999999995E-4</v>
      </c>
      <c r="F47">
        <v>7.5283999999999995E-4</v>
      </c>
      <c r="G47" t="s">
        <v>43</v>
      </c>
      <c r="I47" s="11">
        <v>0</v>
      </c>
      <c r="J47" s="8" t="s">
        <v>45</v>
      </c>
      <c r="O47" s="7"/>
      <c r="P47" t="s">
        <v>211</v>
      </c>
      <c r="Q47" t="s">
        <v>42</v>
      </c>
      <c r="R47">
        <v>7.5283999999999995E-4</v>
      </c>
      <c r="S47">
        <v>7.5283999999999995E-4</v>
      </c>
      <c r="T47" t="s">
        <v>43</v>
      </c>
      <c r="V47" s="11">
        <v>0</v>
      </c>
      <c r="W47" s="8" t="s">
        <v>45</v>
      </c>
    </row>
    <row r="48" spans="2:23" x14ac:dyDescent="0.3">
      <c r="B48" s="7"/>
      <c r="C48" t="s">
        <v>213</v>
      </c>
      <c r="D48" t="s">
        <v>42</v>
      </c>
      <c r="E48">
        <v>3.0788065999999999E-2</v>
      </c>
      <c r="F48">
        <v>3.0788065999999999E-2</v>
      </c>
      <c r="G48" t="s">
        <v>43</v>
      </c>
      <c r="I48" s="11">
        <v>0</v>
      </c>
      <c r="J48" s="8" t="s">
        <v>45</v>
      </c>
      <c r="O48" s="7"/>
      <c r="P48" t="s">
        <v>213</v>
      </c>
      <c r="Q48" t="s">
        <v>42</v>
      </c>
      <c r="R48">
        <v>3.0788065999999999E-2</v>
      </c>
      <c r="S48">
        <v>3.0788065999999999E-2</v>
      </c>
      <c r="T48" t="s">
        <v>43</v>
      </c>
      <c r="V48" s="11">
        <v>0</v>
      </c>
      <c r="W48" s="8" t="s">
        <v>45</v>
      </c>
    </row>
    <row r="49" spans="2:23" x14ac:dyDescent="0.3">
      <c r="B49" s="7"/>
      <c r="C49" t="s">
        <v>216</v>
      </c>
      <c r="D49" t="s">
        <v>42</v>
      </c>
      <c r="E49" s="14">
        <v>3.1369200000000001E-6</v>
      </c>
      <c r="F49" s="14">
        <v>3.1369200000000001E-6</v>
      </c>
      <c r="G49" t="s">
        <v>43</v>
      </c>
      <c r="I49" s="11">
        <v>0</v>
      </c>
      <c r="J49" s="8" t="s">
        <v>45</v>
      </c>
      <c r="O49" s="7"/>
      <c r="P49" t="s">
        <v>216</v>
      </c>
      <c r="Q49" t="s">
        <v>42</v>
      </c>
      <c r="R49" s="14">
        <v>3.1369200000000001E-6</v>
      </c>
      <c r="S49" s="14">
        <v>3.1369200000000001E-6</v>
      </c>
      <c r="T49" t="s">
        <v>43</v>
      </c>
      <c r="V49" s="11">
        <v>0</v>
      </c>
      <c r="W49" s="8" t="s">
        <v>45</v>
      </c>
    </row>
    <row r="50" spans="2:23" x14ac:dyDescent="0.3">
      <c r="B50" s="7"/>
      <c r="C50" t="s">
        <v>224</v>
      </c>
      <c r="D50" t="s">
        <v>42</v>
      </c>
      <c r="E50">
        <v>1.0398476E-2</v>
      </c>
      <c r="F50">
        <v>1.0398476E-2</v>
      </c>
      <c r="G50" t="s">
        <v>43</v>
      </c>
      <c r="I50" s="11">
        <v>0</v>
      </c>
      <c r="J50" s="8" t="s">
        <v>45</v>
      </c>
      <c r="O50" s="7"/>
      <c r="P50" t="s">
        <v>224</v>
      </c>
      <c r="Q50" t="s">
        <v>42</v>
      </c>
      <c r="R50">
        <v>1.0398476E-2</v>
      </c>
      <c r="S50">
        <v>1.0398476E-2</v>
      </c>
      <c r="T50" t="s">
        <v>43</v>
      </c>
      <c r="V50" s="11">
        <v>0</v>
      </c>
      <c r="W50" s="8" t="s">
        <v>45</v>
      </c>
    </row>
    <row r="51" spans="2:23" x14ac:dyDescent="0.3">
      <c r="B51" s="7"/>
      <c r="C51" t="s">
        <v>225</v>
      </c>
      <c r="D51" t="s">
        <v>42</v>
      </c>
      <c r="E51">
        <v>1.5673211999999999E-2</v>
      </c>
      <c r="F51">
        <v>1.5673211999999999E-2</v>
      </c>
      <c r="G51" t="s">
        <v>43</v>
      </c>
      <c r="I51" s="11">
        <v>0</v>
      </c>
      <c r="J51" s="8" t="s">
        <v>45</v>
      </c>
      <c r="O51" s="7"/>
      <c r="P51" t="s">
        <v>225</v>
      </c>
      <c r="Q51" t="s">
        <v>42</v>
      </c>
      <c r="R51">
        <v>1.5673211999999999E-2</v>
      </c>
      <c r="S51">
        <v>1.5673211999999999E-2</v>
      </c>
      <c r="T51" t="s">
        <v>43</v>
      </c>
      <c r="V51" s="11">
        <v>0</v>
      </c>
      <c r="W51" s="8" t="s">
        <v>45</v>
      </c>
    </row>
    <row r="52" spans="2:23" x14ac:dyDescent="0.3">
      <c r="B52" s="7"/>
      <c r="C52" t="s">
        <v>226</v>
      </c>
      <c r="D52" t="s">
        <v>42</v>
      </c>
      <c r="E52" s="14">
        <v>4.2059277912264004E-6</v>
      </c>
      <c r="F52" s="14">
        <v>4.2059277912264004E-6</v>
      </c>
      <c r="G52" t="s">
        <v>43</v>
      </c>
      <c r="I52" s="11">
        <v>0</v>
      </c>
      <c r="J52" s="8" t="s">
        <v>45</v>
      </c>
      <c r="O52" s="7"/>
      <c r="P52" t="s">
        <v>226</v>
      </c>
      <c r="Q52" t="s">
        <v>42</v>
      </c>
      <c r="R52" s="14">
        <v>4.2059277912264004E-6</v>
      </c>
      <c r="S52" s="14">
        <v>4.2059277912264004E-6</v>
      </c>
      <c r="T52" t="s">
        <v>43</v>
      </c>
      <c r="V52" s="11">
        <v>0</v>
      </c>
      <c r="W52" s="8" t="s">
        <v>45</v>
      </c>
    </row>
    <row r="53" spans="2:23" x14ac:dyDescent="0.3">
      <c r="B53" s="7"/>
      <c r="C53" t="s">
        <v>219</v>
      </c>
      <c r="D53" t="s">
        <v>42</v>
      </c>
      <c r="E53" s="14">
        <v>1.8367900000000001E-5</v>
      </c>
      <c r="F53" s="14">
        <v>1.8367900000000001E-5</v>
      </c>
      <c r="G53" t="s">
        <v>43</v>
      </c>
      <c r="I53" s="11">
        <v>0</v>
      </c>
      <c r="J53" s="8" t="s">
        <v>45</v>
      </c>
      <c r="O53" s="7"/>
      <c r="P53" t="s">
        <v>219</v>
      </c>
      <c r="Q53" t="s">
        <v>42</v>
      </c>
      <c r="R53" s="14">
        <v>1.8367900000000001E-5</v>
      </c>
      <c r="S53" s="14">
        <v>1.8367900000000001E-5</v>
      </c>
      <c r="T53" t="s">
        <v>43</v>
      </c>
      <c r="V53" s="11">
        <v>0</v>
      </c>
      <c r="W53" s="8" t="s">
        <v>45</v>
      </c>
    </row>
    <row r="54" spans="2:23" x14ac:dyDescent="0.3">
      <c r="B54" s="7"/>
      <c r="C54" t="s">
        <v>167</v>
      </c>
      <c r="D54" t="s">
        <v>42</v>
      </c>
      <c r="E54">
        <v>0.110791783471111</v>
      </c>
      <c r="F54">
        <v>0.110791783471111</v>
      </c>
      <c r="G54" t="s">
        <v>43</v>
      </c>
      <c r="I54" s="11">
        <v>0</v>
      </c>
      <c r="J54" s="8" t="s">
        <v>45</v>
      </c>
      <c r="O54" s="7"/>
      <c r="P54" t="s">
        <v>167</v>
      </c>
      <c r="Q54" t="s">
        <v>42</v>
      </c>
      <c r="R54">
        <v>0.110791783471111</v>
      </c>
      <c r="S54">
        <v>0.110791783471111</v>
      </c>
      <c r="T54" t="s">
        <v>43</v>
      </c>
      <c r="V54" s="11">
        <v>0</v>
      </c>
      <c r="W54" s="8" t="s">
        <v>45</v>
      </c>
    </row>
    <row r="55" spans="2:23" x14ac:dyDescent="0.3">
      <c r="B55" s="7"/>
      <c r="C55" t="s">
        <v>191</v>
      </c>
      <c r="D55" t="s">
        <v>42</v>
      </c>
      <c r="E55">
        <v>1.2990480469772799E-2</v>
      </c>
      <c r="F55">
        <v>1.2990480469772799E-2</v>
      </c>
      <c r="G55" t="s">
        <v>43</v>
      </c>
      <c r="I55" s="11">
        <v>0</v>
      </c>
      <c r="J55" s="8" t="s">
        <v>45</v>
      </c>
      <c r="O55" s="7"/>
      <c r="P55" t="s">
        <v>191</v>
      </c>
      <c r="Q55" t="s">
        <v>42</v>
      </c>
      <c r="R55">
        <v>1.2990480469772799E-2</v>
      </c>
      <c r="S55">
        <v>1.2990480469772799E-2</v>
      </c>
      <c r="T55" t="s">
        <v>43</v>
      </c>
      <c r="V55" s="11">
        <v>0</v>
      </c>
      <c r="W55" s="8" t="s">
        <v>45</v>
      </c>
    </row>
    <row r="56" spans="2:23" x14ac:dyDescent="0.3">
      <c r="B56" s="7"/>
      <c r="C56" t="s">
        <v>227</v>
      </c>
      <c r="D56" t="s">
        <v>42</v>
      </c>
      <c r="E56" s="14">
        <v>1.81097E-5</v>
      </c>
      <c r="F56" s="14">
        <v>1.81097E-5</v>
      </c>
      <c r="G56" t="s">
        <v>43</v>
      </c>
      <c r="I56" s="11">
        <v>0</v>
      </c>
      <c r="J56" s="8" t="s">
        <v>45</v>
      </c>
      <c r="O56" s="7"/>
      <c r="P56" t="s">
        <v>227</v>
      </c>
      <c r="Q56" t="s">
        <v>42</v>
      </c>
      <c r="R56" s="14">
        <v>1.81097E-5</v>
      </c>
      <c r="S56" s="14">
        <v>1.81097E-5</v>
      </c>
      <c r="T56" t="s">
        <v>43</v>
      </c>
      <c r="V56" s="11">
        <v>0</v>
      </c>
      <c r="W56" s="8" t="s">
        <v>45</v>
      </c>
    </row>
    <row r="57" spans="2:23" x14ac:dyDescent="0.3">
      <c r="B57" s="7"/>
      <c r="C57" t="s">
        <v>165</v>
      </c>
      <c r="D57" t="s">
        <v>42</v>
      </c>
      <c r="E57">
        <v>1.44456550419806E-2</v>
      </c>
      <c r="F57">
        <v>1.44456550419806E-2</v>
      </c>
      <c r="G57" t="s">
        <v>43</v>
      </c>
      <c r="I57" s="11">
        <v>0</v>
      </c>
      <c r="J57" s="8" t="s">
        <v>45</v>
      </c>
      <c r="O57" s="7"/>
      <c r="P57" t="s">
        <v>165</v>
      </c>
      <c r="Q57" t="s">
        <v>42</v>
      </c>
      <c r="R57">
        <v>1.44456550419806E-2</v>
      </c>
      <c r="S57">
        <v>1.44456550419806E-2</v>
      </c>
      <c r="T57" t="s">
        <v>43</v>
      </c>
      <c r="V57" s="11">
        <v>0</v>
      </c>
      <c r="W57" s="8" t="s">
        <v>45</v>
      </c>
    </row>
    <row r="58" spans="2:23" x14ac:dyDescent="0.3">
      <c r="B58" s="7"/>
      <c r="C58" t="s">
        <v>179</v>
      </c>
      <c r="D58" t="s">
        <v>42</v>
      </c>
      <c r="E58">
        <v>1.0936499999999999E-4</v>
      </c>
      <c r="F58">
        <v>1.0936499999999999E-4</v>
      </c>
      <c r="G58" t="s">
        <v>43</v>
      </c>
      <c r="I58" s="11">
        <v>0</v>
      </c>
      <c r="J58" s="8" t="s">
        <v>45</v>
      </c>
      <c r="O58" s="7"/>
      <c r="P58" t="s">
        <v>179</v>
      </c>
      <c r="Q58" t="s">
        <v>42</v>
      </c>
      <c r="R58">
        <v>1.0936499999999999E-4</v>
      </c>
      <c r="S58">
        <v>1.0936499999999999E-4</v>
      </c>
      <c r="T58" t="s">
        <v>43</v>
      </c>
      <c r="V58" s="11">
        <v>0</v>
      </c>
      <c r="W58" s="8" t="s">
        <v>45</v>
      </c>
    </row>
    <row r="59" spans="2:23" x14ac:dyDescent="0.3">
      <c r="B59" s="7"/>
      <c r="C59" t="s">
        <v>185</v>
      </c>
      <c r="D59" t="s">
        <v>42</v>
      </c>
      <c r="E59" s="14">
        <v>3.4951821677663997E-5</v>
      </c>
      <c r="F59" s="14">
        <v>3.4951821677663997E-5</v>
      </c>
      <c r="G59" t="s">
        <v>43</v>
      </c>
      <c r="I59" s="11">
        <v>0</v>
      </c>
      <c r="J59" s="8" t="s">
        <v>45</v>
      </c>
      <c r="O59" s="7"/>
      <c r="P59" t="s">
        <v>185</v>
      </c>
      <c r="Q59" t="s">
        <v>42</v>
      </c>
      <c r="R59" s="14">
        <v>3.4951821677663997E-5</v>
      </c>
      <c r="S59" s="14">
        <v>3.4951821677663997E-5</v>
      </c>
      <c r="T59" t="s">
        <v>43</v>
      </c>
      <c r="V59" s="11">
        <v>0</v>
      </c>
      <c r="W59" s="8" t="s">
        <v>45</v>
      </c>
    </row>
    <row r="60" spans="2:23" x14ac:dyDescent="0.3">
      <c r="B60" s="7"/>
      <c r="C60" t="s">
        <v>222</v>
      </c>
      <c r="D60" t="s">
        <v>42</v>
      </c>
      <c r="E60" s="14">
        <v>6.5478199999999999E-6</v>
      </c>
      <c r="F60" s="14">
        <v>6.5478199999999999E-6</v>
      </c>
      <c r="G60" t="s">
        <v>43</v>
      </c>
      <c r="I60" s="11">
        <v>0</v>
      </c>
      <c r="J60" s="8" t="s">
        <v>45</v>
      </c>
      <c r="O60" s="7"/>
      <c r="P60" t="s">
        <v>222</v>
      </c>
      <c r="Q60" t="s">
        <v>42</v>
      </c>
      <c r="R60" s="14">
        <v>6.5478199999999999E-6</v>
      </c>
      <c r="S60" s="14">
        <v>6.5478199999999999E-6</v>
      </c>
      <c r="T60" t="s">
        <v>43</v>
      </c>
      <c r="V60" s="11">
        <v>0</v>
      </c>
      <c r="W60" s="8" t="s">
        <v>45</v>
      </c>
    </row>
    <row r="61" spans="2:23" x14ac:dyDescent="0.3">
      <c r="B61" s="7"/>
      <c r="C61" t="s">
        <v>228</v>
      </c>
      <c r="D61" t="s">
        <v>42</v>
      </c>
      <c r="E61">
        <v>1.0517180468523201E-3</v>
      </c>
      <c r="F61">
        <v>1.0517180468523201E-3</v>
      </c>
      <c r="G61" t="s">
        <v>43</v>
      </c>
      <c r="I61" s="11">
        <v>0</v>
      </c>
      <c r="J61" s="8" t="s">
        <v>45</v>
      </c>
      <c r="O61" s="7"/>
      <c r="P61" t="s">
        <v>228</v>
      </c>
      <c r="Q61" t="s">
        <v>42</v>
      </c>
      <c r="R61">
        <v>1.0517180468523201E-3</v>
      </c>
      <c r="S61">
        <v>1.0517180468523201E-3</v>
      </c>
      <c r="T61" t="s">
        <v>43</v>
      </c>
      <c r="V61" s="11">
        <v>0</v>
      </c>
      <c r="W61" s="8" t="s">
        <v>45</v>
      </c>
    </row>
    <row r="62" spans="2:23" x14ac:dyDescent="0.3">
      <c r="B62" s="7"/>
      <c r="C62" t="s">
        <v>188</v>
      </c>
      <c r="D62" t="s">
        <v>42</v>
      </c>
      <c r="E62">
        <v>0.34869429619910303</v>
      </c>
      <c r="F62">
        <v>0.34869429619910303</v>
      </c>
      <c r="G62" t="s">
        <v>43</v>
      </c>
      <c r="I62" s="11">
        <v>0</v>
      </c>
      <c r="J62" s="8" t="s">
        <v>45</v>
      </c>
      <c r="O62" s="7"/>
      <c r="P62" t="s">
        <v>188</v>
      </c>
      <c r="Q62" t="s">
        <v>42</v>
      </c>
      <c r="R62">
        <v>0.34869429619910303</v>
      </c>
      <c r="S62">
        <v>0.34869429619910303</v>
      </c>
      <c r="T62" t="s">
        <v>43</v>
      </c>
      <c r="V62" s="11">
        <v>0</v>
      </c>
      <c r="W62" s="8" t="s">
        <v>45</v>
      </c>
    </row>
    <row r="63" spans="2:23" x14ac:dyDescent="0.3">
      <c r="B63" s="7"/>
      <c r="C63" t="s">
        <v>229</v>
      </c>
      <c r="D63" t="s">
        <v>42</v>
      </c>
      <c r="E63">
        <v>8.8975395099091998E-4</v>
      </c>
      <c r="F63">
        <v>8.8975395099091998E-4</v>
      </c>
      <c r="G63" t="s">
        <v>43</v>
      </c>
      <c r="I63" s="11">
        <v>0</v>
      </c>
      <c r="J63" s="8" t="s">
        <v>45</v>
      </c>
      <c r="O63" s="7"/>
      <c r="P63" t="s">
        <v>229</v>
      </c>
      <c r="Q63" t="s">
        <v>42</v>
      </c>
      <c r="R63">
        <v>8.8975395099091998E-4</v>
      </c>
      <c r="S63">
        <v>8.8975395099091998E-4</v>
      </c>
      <c r="T63" t="s">
        <v>43</v>
      </c>
      <c r="V63" s="11">
        <v>0</v>
      </c>
      <c r="W63" s="8" t="s">
        <v>45</v>
      </c>
    </row>
    <row r="64" spans="2:23" x14ac:dyDescent="0.3">
      <c r="B64" s="7"/>
      <c r="C64" t="s">
        <v>223</v>
      </c>
      <c r="D64" t="s">
        <v>42</v>
      </c>
      <c r="E64">
        <v>0.322924234553991</v>
      </c>
      <c r="F64">
        <v>0.322924234553991</v>
      </c>
      <c r="G64" t="s">
        <v>43</v>
      </c>
      <c r="I64" s="11">
        <v>0</v>
      </c>
      <c r="J64" s="8" t="s">
        <v>45</v>
      </c>
      <c r="O64" s="7"/>
      <c r="P64" t="s">
        <v>223</v>
      </c>
      <c r="Q64" t="s">
        <v>42</v>
      </c>
      <c r="R64">
        <v>0.322924234553991</v>
      </c>
      <c r="S64">
        <v>0.322924234553991</v>
      </c>
      <c r="T64" t="s">
        <v>43</v>
      </c>
      <c r="V64" s="11">
        <v>0</v>
      </c>
      <c r="W64" s="8" t="s">
        <v>45</v>
      </c>
    </row>
    <row r="65" spans="2:25" x14ac:dyDescent="0.3">
      <c r="B65" s="7"/>
      <c r="C65" t="s">
        <v>181</v>
      </c>
      <c r="D65" t="s">
        <v>42</v>
      </c>
      <c r="E65">
        <v>1.0774763E-2</v>
      </c>
      <c r="F65">
        <v>1.0774763E-2</v>
      </c>
      <c r="G65" t="s">
        <v>43</v>
      </c>
      <c r="I65" s="11">
        <v>0</v>
      </c>
      <c r="J65" s="8" t="s">
        <v>45</v>
      </c>
      <c r="O65" s="7"/>
      <c r="P65" t="s">
        <v>181</v>
      </c>
      <c r="Q65" t="s">
        <v>42</v>
      </c>
      <c r="R65">
        <v>1.0774763E-2</v>
      </c>
      <c r="S65">
        <v>1.0774763E-2</v>
      </c>
      <c r="T65" t="s">
        <v>43</v>
      </c>
      <c r="V65" s="11">
        <v>0</v>
      </c>
      <c r="W65" s="8" t="s">
        <v>45</v>
      </c>
    </row>
    <row r="66" spans="2:25" x14ac:dyDescent="0.3">
      <c r="B66" s="7"/>
      <c r="C66" t="s">
        <v>190</v>
      </c>
      <c r="D66" t="s">
        <v>42</v>
      </c>
      <c r="E66">
        <v>7.1878180000000003E-3</v>
      </c>
      <c r="F66">
        <v>7.1878180000000003E-3</v>
      </c>
      <c r="G66" t="s">
        <v>43</v>
      </c>
      <c r="I66" s="11">
        <v>0</v>
      </c>
      <c r="J66" s="8" t="s">
        <v>45</v>
      </c>
      <c r="O66" s="7"/>
      <c r="P66" t="s">
        <v>190</v>
      </c>
      <c r="Q66" t="s">
        <v>42</v>
      </c>
      <c r="R66">
        <v>7.1878180000000003E-3</v>
      </c>
      <c r="S66">
        <v>7.1878180000000003E-3</v>
      </c>
      <c r="T66" t="s">
        <v>43</v>
      </c>
      <c r="V66" s="11">
        <v>0</v>
      </c>
      <c r="W66" s="8" t="s">
        <v>45</v>
      </c>
    </row>
    <row r="67" spans="2:25" x14ac:dyDescent="0.3">
      <c r="B67" s="7"/>
      <c r="C67" t="s">
        <v>187</v>
      </c>
      <c r="D67" t="s">
        <v>42</v>
      </c>
      <c r="E67">
        <v>6.3242502657355204E-3</v>
      </c>
      <c r="F67">
        <v>6.3242502657355204E-3</v>
      </c>
      <c r="G67" t="s">
        <v>43</v>
      </c>
      <c r="I67" s="11">
        <v>0</v>
      </c>
      <c r="J67" s="8" t="s">
        <v>45</v>
      </c>
      <c r="O67" s="7"/>
      <c r="P67" t="s">
        <v>187</v>
      </c>
      <c r="Q67" t="s">
        <v>42</v>
      </c>
      <c r="R67">
        <v>6.3242502657355204E-3</v>
      </c>
      <c r="S67">
        <v>6.3242502657355204E-3</v>
      </c>
      <c r="T67" t="s">
        <v>43</v>
      </c>
      <c r="V67" s="11">
        <v>0</v>
      </c>
      <c r="W67" s="8" t="s">
        <v>45</v>
      </c>
    </row>
    <row r="68" spans="2:25" ht="15" thickBot="1" x14ac:dyDescent="0.35">
      <c r="B68" s="4"/>
      <c r="C68" s="5" t="s">
        <v>124</v>
      </c>
      <c r="D68" s="5" t="s">
        <v>42</v>
      </c>
      <c r="E68" s="5">
        <v>1137.12872881201</v>
      </c>
      <c r="F68" s="5">
        <v>1137.12872881201</v>
      </c>
      <c r="G68" s="5" t="s">
        <v>43</v>
      </c>
      <c r="H68" s="5"/>
      <c r="I68" s="13">
        <v>0</v>
      </c>
      <c r="J68" s="6" t="s">
        <v>45</v>
      </c>
      <c r="O68" s="4"/>
      <c r="P68" s="5" t="s">
        <v>124</v>
      </c>
      <c r="Q68" s="5" t="s">
        <v>42</v>
      </c>
      <c r="R68" s="5">
        <v>1137.12872881201</v>
      </c>
      <c r="S68" s="5">
        <v>1137.12872881201</v>
      </c>
      <c r="T68" s="5" t="s">
        <v>43</v>
      </c>
      <c r="U68" s="5"/>
      <c r="V68" s="13">
        <v>0</v>
      </c>
      <c r="W68" s="6" t="s">
        <v>45</v>
      </c>
    </row>
    <row r="70" spans="2:25" x14ac:dyDescent="0.3">
      <c r="B70" t="s">
        <v>383</v>
      </c>
    </row>
    <row r="71" spans="2:25" x14ac:dyDescent="0.3">
      <c r="E71" t="s">
        <v>252</v>
      </c>
      <c r="F71" s="67">
        <f>1.354*1000</f>
        <v>1354</v>
      </c>
      <c r="G71" t="s">
        <v>255</v>
      </c>
      <c r="H71" t="s">
        <v>443</v>
      </c>
      <c r="I71" s="102">
        <f>540/F71</f>
        <v>0.3988183161004431</v>
      </c>
      <c r="J71" t="s">
        <v>282</v>
      </c>
      <c r="R71" t="s">
        <v>259</v>
      </c>
      <c r="S71" s="21">
        <f>1.354*1000</f>
        <v>1354</v>
      </c>
      <c r="T71" t="s">
        <v>255</v>
      </c>
      <c r="U71" t="s">
        <v>443</v>
      </c>
      <c r="V71" s="102">
        <f>373/S71</f>
        <v>0.27548005908419498</v>
      </c>
      <c r="W71" t="s">
        <v>282</v>
      </c>
    </row>
    <row r="72" spans="2:25" x14ac:dyDescent="0.3">
      <c r="D72" t="s">
        <v>238</v>
      </c>
      <c r="E72" t="s">
        <v>253</v>
      </c>
      <c r="F72" s="67">
        <f>F35</f>
        <v>1000</v>
      </c>
      <c r="G72" t="s">
        <v>255</v>
      </c>
      <c r="H72" t="s">
        <v>262</v>
      </c>
      <c r="I72" s="20">
        <f>F23/F72</f>
        <v>0.35846069654260798</v>
      </c>
      <c r="J72" t="s">
        <v>284</v>
      </c>
      <c r="Q72" t="s">
        <v>331</v>
      </c>
      <c r="R72" t="s">
        <v>260</v>
      </c>
      <c r="S72" s="21">
        <f>S35</f>
        <v>1000</v>
      </c>
      <c r="T72" t="s">
        <v>255</v>
      </c>
      <c r="U72" t="s">
        <v>444</v>
      </c>
      <c r="V72" s="20">
        <f>S23/S72</f>
        <v>0.37343534947780804</v>
      </c>
      <c r="W72" t="s">
        <v>284</v>
      </c>
    </row>
    <row r="73" spans="2:25" x14ac:dyDescent="0.3">
      <c r="E73" t="s">
        <v>254</v>
      </c>
      <c r="F73" s="20">
        <f>F72/F71</f>
        <v>0.73855243722304287</v>
      </c>
      <c r="R73" t="s">
        <v>261</v>
      </c>
      <c r="S73" s="20">
        <f>S72/S71</f>
        <v>0.73855243722304287</v>
      </c>
    </row>
    <row r="74" spans="2:25" x14ac:dyDescent="0.3">
      <c r="E74" s="53"/>
      <c r="F74" s="54"/>
      <c r="G74" s="54"/>
      <c r="H74" s="54" t="s">
        <v>390</v>
      </c>
      <c r="I74" s="54" t="s">
        <v>389</v>
      </c>
      <c r="J74" s="54" t="s">
        <v>418</v>
      </c>
      <c r="K74" s="54" t="s">
        <v>388</v>
      </c>
      <c r="L74" s="55" t="s">
        <v>391</v>
      </c>
      <c r="R74" s="53"/>
      <c r="S74" s="54"/>
      <c r="T74" s="54"/>
      <c r="U74" s="54" t="s">
        <v>390</v>
      </c>
      <c r="V74" s="54" t="s">
        <v>389</v>
      </c>
      <c r="W74" s="54" t="s">
        <v>418</v>
      </c>
      <c r="X74" s="54" t="s">
        <v>388</v>
      </c>
      <c r="Y74" s="55" t="s">
        <v>391</v>
      </c>
    </row>
    <row r="75" spans="2:25" x14ac:dyDescent="0.3">
      <c r="E75" s="56" t="s">
        <v>248</v>
      </c>
      <c r="F75" s="57">
        <f>L79*I75/J75</f>
        <v>4208.3616219330652</v>
      </c>
      <c r="G75" t="s">
        <v>48</v>
      </c>
      <c r="H75" s="39">
        <f>F75/F77</f>
        <v>0.5268995613866736</v>
      </c>
      <c r="I75" s="64">
        <f>(F82-L79/F71*L76)/(L79/F71)/(L75-L76)</f>
        <v>0.33543559146092022</v>
      </c>
      <c r="J75" s="21">
        <f>1.109</f>
        <v>1.109</v>
      </c>
      <c r="K75" s="21">
        <f>0.069</f>
        <v>6.9000000000000006E-2</v>
      </c>
      <c r="L75" s="58">
        <f>K75/J75</f>
        <v>6.2218214607754743E-2</v>
      </c>
      <c r="R75" s="56" t="s">
        <v>248</v>
      </c>
      <c r="S75" s="57">
        <f>Y79*V75/W75</f>
        <v>4208.3616219330652</v>
      </c>
      <c r="T75" t="s">
        <v>48</v>
      </c>
      <c r="U75" s="39">
        <f>S75/S77</f>
        <v>0.5268995613866736</v>
      </c>
      <c r="V75" s="64">
        <f>(S82-Y79/S71*Y76)/(Y79/S71)/(Y75-Y76)</f>
        <v>0.33543559146092022</v>
      </c>
      <c r="W75" s="21">
        <f>1.109</f>
        <v>1.109</v>
      </c>
      <c r="X75" s="21">
        <f>0.069</f>
        <v>6.9000000000000006E-2</v>
      </c>
      <c r="Y75" s="58">
        <f>X75/W75</f>
        <v>6.2218214607754743E-2</v>
      </c>
    </row>
    <row r="76" spans="2:25" x14ac:dyDescent="0.3">
      <c r="E76" s="56" t="s">
        <v>249</v>
      </c>
      <c r="F76" s="57">
        <f>L79*I76/J76</f>
        <v>3778.6665146204455</v>
      </c>
      <c r="G76" t="s">
        <v>48</v>
      </c>
      <c r="H76" s="39">
        <f>F76/F77</f>
        <v>0.47310043861332651</v>
      </c>
      <c r="I76" s="39">
        <f>1-I75</f>
        <v>0.66456440853907983</v>
      </c>
      <c r="J76" s="21">
        <v>2.4470000000000001</v>
      </c>
      <c r="K76" s="21">
        <v>0.1222</v>
      </c>
      <c r="L76" s="58">
        <f>K76/J76</f>
        <v>4.9938700449530034E-2</v>
      </c>
      <c r="R76" s="56" t="s">
        <v>249</v>
      </c>
      <c r="S76" s="57">
        <f>Y79*V76/W76</f>
        <v>3778.6665146204455</v>
      </c>
      <c r="T76" t="s">
        <v>48</v>
      </c>
      <c r="U76" s="39">
        <f>S76/S77</f>
        <v>0.47310043861332651</v>
      </c>
      <c r="V76" s="39">
        <f>1-V75</f>
        <v>0.66456440853907983</v>
      </c>
      <c r="W76" s="21">
        <v>2.4470000000000001</v>
      </c>
      <c r="X76" s="21">
        <v>0.1222</v>
      </c>
      <c r="Y76" s="58">
        <f>X76/W76</f>
        <v>4.9938700449530034E-2</v>
      </c>
    </row>
    <row r="77" spans="2:25" x14ac:dyDescent="0.3">
      <c r="E77" s="56" t="s">
        <v>263</v>
      </c>
      <c r="F77" s="18">
        <f>SUM(F75:F76)</f>
        <v>7987.0281365535102</v>
      </c>
      <c r="G77" s="18" t="s">
        <v>48</v>
      </c>
      <c r="L77" s="59"/>
      <c r="R77" s="56" t="s">
        <v>263</v>
      </c>
      <c r="S77" s="18">
        <f>SUM(S75:S76)</f>
        <v>7987.0281365535102</v>
      </c>
      <c r="T77" s="18" t="s">
        <v>48</v>
      </c>
      <c r="Y77" s="59"/>
    </row>
    <row r="78" spans="2:25" x14ac:dyDescent="0.3">
      <c r="E78" s="56"/>
      <c r="G78" s="18"/>
      <c r="L78" s="59" t="s">
        <v>385</v>
      </c>
      <c r="R78" s="56"/>
      <c r="T78" s="18"/>
      <c r="Y78" s="59" t="s">
        <v>385</v>
      </c>
    </row>
    <row r="79" spans="2:25" x14ac:dyDescent="0.3">
      <c r="E79" s="56" t="s">
        <v>2</v>
      </c>
      <c r="F79" s="44">
        <f>F77/F71</f>
        <v>5.8988390964206134</v>
      </c>
      <c r="G79" t="s">
        <v>311</v>
      </c>
      <c r="L79" s="60">
        <v>13913.47</v>
      </c>
      <c r="R79" s="56" t="s">
        <v>2</v>
      </c>
      <c r="S79" s="44">
        <f>S77/S71</f>
        <v>5.8988390964206134</v>
      </c>
      <c r="T79" t="s">
        <v>311</v>
      </c>
      <c r="Y79" s="60">
        <v>13913.47</v>
      </c>
    </row>
    <row r="80" spans="2:25" x14ac:dyDescent="0.3">
      <c r="E80" s="56" t="s">
        <v>301</v>
      </c>
      <c r="F80" s="18">
        <f>F77/F72</f>
        <v>7.9870281365535103</v>
      </c>
      <c r="G80" t="s">
        <v>318</v>
      </c>
      <c r="L80" s="59"/>
      <c r="R80" s="56" t="s">
        <v>301</v>
      </c>
      <c r="S80" s="18">
        <f>S77/S72</f>
        <v>7.9870281365535103</v>
      </c>
      <c r="T80" t="s">
        <v>318</v>
      </c>
      <c r="Y80" s="59"/>
    </row>
    <row r="81" spans="5:25" x14ac:dyDescent="0.3">
      <c r="E81" s="56"/>
      <c r="L81" s="59"/>
      <c r="R81" s="56"/>
      <c r="Y81" s="59"/>
    </row>
    <row r="82" spans="5:25" x14ac:dyDescent="0.3">
      <c r="E82" s="56" t="s">
        <v>386</v>
      </c>
      <c r="F82" s="46">
        <f>F83*F73</f>
        <v>0.55548744460856725</v>
      </c>
      <c r="G82" t="s">
        <v>392</v>
      </c>
      <c r="I82" s="39">
        <f>F75*K75/F71+F76*K76/F71</f>
        <v>0.55548744460856714</v>
      </c>
      <c r="L82" s="59"/>
      <c r="R82" s="56" t="s">
        <v>386</v>
      </c>
      <c r="S82" s="46">
        <f>S83*S73</f>
        <v>0.55548744460856725</v>
      </c>
      <c r="T82" t="s">
        <v>392</v>
      </c>
      <c r="V82" s="39">
        <f>S75*X75/S71+S76*X76/S71</f>
        <v>0.55548744460856714</v>
      </c>
      <c r="Y82" s="59"/>
    </row>
    <row r="83" spans="5:25" x14ac:dyDescent="0.3">
      <c r="E83" s="61" t="s">
        <v>387</v>
      </c>
      <c r="F83" s="62">
        <f>752.13/1000</f>
        <v>0.75212999999999997</v>
      </c>
      <c r="G83" s="19"/>
      <c r="H83" s="19"/>
      <c r="I83" s="19"/>
      <c r="J83" s="19"/>
      <c r="K83" s="19"/>
      <c r="L83" s="63"/>
      <c r="R83" s="61" t="s">
        <v>387</v>
      </c>
      <c r="S83" s="62">
        <f>752.13/1000</f>
        <v>0.75212999999999997</v>
      </c>
      <c r="T83" s="19"/>
      <c r="U83" s="19"/>
      <c r="V83" s="19"/>
      <c r="W83" s="19"/>
      <c r="X83" s="19"/>
      <c r="Y83" s="63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7681-07FE-E242-9C5F-CBD379428900}">
  <dimension ref="A1:M93"/>
  <sheetViews>
    <sheetView topLeftCell="A28" zoomScale="130" zoomScaleNormal="130" workbookViewId="0">
      <selection activeCell="J40" sqref="J40"/>
    </sheetView>
  </sheetViews>
  <sheetFormatPr defaultColWidth="11.44140625" defaultRowHeight="14.4" x14ac:dyDescent="0.3"/>
  <cols>
    <col min="1" max="1" width="28.109375" customWidth="1"/>
    <col min="2" max="2" width="15" customWidth="1"/>
    <col min="6" max="6" width="11.6640625" bestFit="1" customWidth="1"/>
  </cols>
  <sheetData>
    <row r="1" spans="1:13" x14ac:dyDescent="0.3">
      <c r="A1" t="s">
        <v>237</v>
      </c>
      <c r="B1" t="s">
        <v>235</v>
      </c>
      <c r="D1" t="s">
        <v>266</v>
      </c>
      <c r="F1" t="s">
        <v>267</v>
      </c>
      <c r="H1" t="s">
        <v>264</v>
      </c>
      <c r="J1" t="s">
        <v>265</v>
      </c>
      <c r="L1" t="s">
        <v>268</v>
      </c>
    </row>
    <row r="2" spans="1:13" x14ac:dyDescent="0.3">
      <c r="A2" t="s">
        <v>232</v>
      </c>
      <c r="B2" s="26">
        <v>7856</v>
      </c>
      <c r="C2" s="24">
        <f>B2/$B$5</f>
        <v>0.72099853157121885</v>
      </c>
      <c r="D2" s="26">
        <v>1361</v>
      </c>
      <c r="E2" s="24">
        <f>D2/$B$5</f>
        <v>0.12490822320117474</v>
      </c>
      <c r="F2" s="26">
        <f>1720*D2/SUM(D2:D3)</f>
        <v>813.38429464906187</v>
      </c>
      <c r="G2" s="24">
        <f>F2/$B$5</f>
        <v>7.4649806777630501E-2</v>
      </c>
      <c r="H2">
        <f>B2-D2</f>
        <v>6495</v>
      </c>
      <c r="I2" s="24">
        <f>H2/$B$5</f>
        <v>0.59609030837004406</v>
      </c>
      <c r="J2" s="26">
        <v>4022</v>
      </c>
      <c r="K2" s="24">
        <f>J2/$B$5</f>
        <v>0.36912628487518356</v>
      </c>
      <c r="L2" s="31">
        <f>B2-D2-J2</f>
        <v>2473</v>
      </c>
      <c r="M2" s="24">
        <f>L2/$B$5</f>
        <v>0.2269640234948605</v>
      </c>
    </row>
    <row r="3" spans="1:13" x14ac:dyDescent="0.3">
      <c r="A3" t="s">
        <v>233</v>
      </c>
      <c r="B3" s="26">
        <v>1700</v>
      </c>
      <c r="C3" s="24">
        <f t="shared" ref="C3:C5" si="0">B3/$B$5</f>
        <v>0.15602055800293685</v>
      </c>
      <c r="D3" s="26">
        <v>1517</v>
      </c>
      <c r="E3" s="24">
        <f t="shared" ref="E3:E5" si="1">D3/$B$5</f>
        <v>0.13922540381791484</v>
      </c>
      <c r="F3" s="26">
        <f>1720*D3/SUM(D2:D3)</f>
        <v>906.61570535093813</v>
      </c>
      <c r="G3" s="24">
        <f>F3/$B$5</f>
        <v>8.3206287201811502E-2</v>
      </c>
      <c r="H3">
        <f t="shared" ref="H3:H5" si="2">B3-D3</f>
        <v>183</v>
      </c>
      <c r="I3" s="24">
        <f t="shared" ref="I3:I5" si="3">H3/$B$5</f>
        <v>1.6795154185022025E-2</v>
      </c>
      <c r="J3" s="26">
        <v>0</v>
      </c>
      <c r="K3" s="24">
        <f t="shared" ref="K3:K5" si="4">J3/$B$5</f>
        <v>0</v>
      </c>
      <c r="L3" s="31">
        <f t="shared" ref="L3:L5" si="5">B3-D3-J3</f>
        <v>183</v>
      </c>
      <c r="M3" s="24">
        <f t="shared" ref="M3:M5" si="6">L3/$B$5</f>
        <v>1.6795154185022025E-2</v>
      </c>
    </row>
    <row r="4" spans="1:13" x14ac:dyDescent="0.3">
      <c r="A4" s="19" t="s">
        <v>234</v>
      </c>
      <c r="B4" s="27">
        <v>1340</v>
      </c>
      <c r="C4" s="35">
        <f t="shared" si="0"/>
        <v>0.12298091042584434</v>
      </c>
      <c r="D4" s="27">
        <v>86</v>
      </c>
      <c r="E4" s="25">
        <f t="shared" si="1"/>
        <v>7.8928046989721005E-3</v>
      </c>
      <c r="F4" s="27">
        <v>70</v>
      </c>
      <c r="G4" s="25">
        <f t="shared" ref="G4:G5" si="7">F4/$B$5</f>
        <v>6.4243759177679879E-3</v>
      </c>
      <c r="H4" s="19">
        <f t="shared" si="2"/>
        <v>1254</v>
      </c>
      <c r="I4" s="25">
        <f t="shared" si="3"/>
        <v>0.11508810572687225</v>
      </c>
      <c r="J4" s="27">
        <v>0</v>
      </c>
      <c r="K4" s="25">
        <f t="shared" si="4"/>
        <v>0</v>
      </c>
      <c r="L4" s="32">
        <f t="shared" si="5"/>
        <v>1254</v>
      </c>
      <c r="M4" s="25">
        <f t="shared" si="6"/>
        <v>0.11508810572687225</v>
      </c>
    </row>
    <row r="5" spans="1:13" x14ac:dyDescent="0.3">
      <c r="A5" t="s">
        <v>236</v>
      </c>
      <c r="B5" s="28">
        <f>SUM(B2:B4)</f>
        <v>10896</v>
      </c>
      <c r="C5" s="24">
        <f t="shared" si="0"/>
        <v>1</v>
      </c>
      <c r="D5" s="29">
        <f>SUM(D2:D4)</f>
        <v>2964</v>
      </c>
      <c r="E5" s="24">
        <f t="shared" si="1"/>
        <v>0.27202643171806168</v>
      </c>
      <c r="F5" s="29">
        <f>SUM(F2:F4)</f>
        <v>1790</v>
      </c>
      <c r="G5" s="24">
        <f t="shared" si="7"/>
        <v>0.16428046989720999</v>
      </c>
      <c r="H5">
        <f t="shared" si="2"/>
        <v>7932</v>
      </c>
      <c r="I5" s="24">
        <f t="shared" si="3"/>
        <v>0.72797356828193838</v>
      </c>
      <c r="J5" s="29">
        <f>SUM(J2:J4)</f>
        <v>4022</v>
      </c>
      <c r="K5" s="37">
        <f t="shared" si="4"/>
        <v>0.36912628487518356</v>
      </c>
      <c r="L5" s="31">
        <f t="shared" si="5"/>
        <v>3910</v>
      </c>
      <c r="M5" s="34">
        <f t="shared" si="6"/>
        <v>0.35884728340675476</v>
      </c>
    </row>
    <row r="6" spans="1:13" x14ac:dyDescent="0.3">
      <c r="E6" s="36">
        <f>E5-E4</f>
        <v>0.2641336270190896</v>
      </c>
      <c r="K6" s="33"/>
      <c r="M6" s="36">
        <f>M5-M4</f>
        <v>0.2437591776798825</v>
      </c>
    </row>
    <row r="7" spans="1:13" x14ac:dyDescent="0.3">
      <c r="A7" t="s">
        <v>238</v>
      </c>
      <c r="B7" t="s">
        <v>235</v>
      </c>
      <c r="D7" t="s">
        <v>266</v>
      </c>
      <c r="F7" t="s">
        <v>267</v>
      </c>
      <c r="H7" t="s">
        <v>264</v>
      </c>
      <c r="M7" s="33">
        <f>M6+K5+E6+C4</f>
        <v>1</v>
      </c>
    </row>
    <row r="8" spans="1:13" x14ac:dyDescent="0.3">
      <c r="A8" t="s">
        <v>246</v>
      </c>
      <c r="B8" s="26">
        <v>3963</v>
      </c>
      <c r="C8" s="24">
        <f>B8/$B$11</f>
        <v>0.83837529088216622</v>
      </c>
      <c r="D8" s="26">
        <v>1127</v>
      </c>
      <c r="E8" s="24">
        <f>D8/$B$11</f>
        <v>0.23841760101544321</v>
      </c>
      <c r="F8" s="26">
        <v>352</v>
      </c>
      <c r="G8" s="24">
        <f>F8/$B$11</f>
        <v>7.4465834567378889E-2</v>
      </c>
      <c r="H8" s="31">
        <f>B8-D8</f>
        <v>2836</v>
      </c>
      <c r="I8" s="24">
        <f>H8/$B$11</f>
        <v>0.59995768986672304</v>
      </c>
    </row>
    <row r="9" spans="1:13" x14ac:dyDescent="0.3">
      <c r="A9" t="s">
        <v>239</v>
      </c>
      <c r="B9" s="26">
        <v>329</v>
      </c>
      <c r="C9" s="24">
        <f t="shared" ref="C9:C11" si="8">B9/$B$11</f>
        <v>6.9600169240533111E-2</v>
      </c>
      <c r="D9" s="26">
        <v>115</v>
      </c>
      <c r="E9" s="24">
        <f t="shared" ref="E9:E11" si="9">D9/$B$11</f>
        <v>2.4328326634228899E-2</v>
      </c>
      <c r="F9" s="26">
        <v>97</v>
      </c>
      <c r="G9" s="24">
        <f>F9/$B$11</f>
        <v>2.0520414639306112E-2</v>
      </c>
      <c r="H9" s="31">
        <f t="shared" ref="H9:H11" si="10">B9-D9</f>
        <v>214</v>
      </c>
      <c r="I9" s="24">
        <f t="shared" ref="I9:I11" si="11">H9/$B$11</f>
        <v>4.5271842606304208E-2</v>
      </c>
    </row>
    <row r="10" spans="1:13" x14ac:dyDescent="0.3">
      <c r="A10" s="19" t="s">
        <v>240</v>
      </c>
      <c r="B10" s="27">
        <v>435</v>
      </c>
      <c r="C10" s="25">
        <f t="shared" si="8"/>
        <v>9.202453987730061E-2</v>
      </c>
      <c r="D10" s="27">
        <v>112</v>
      </c>
      <c r="E10" s="25">
        <f t="shared" si="9"/>
        <v>2.3693674635075102E-2</v>
      </c>
      <c r="F10" s="27">
        <v>59</v>
      </c>
      <c r="G10" s="25">
        <f>F10/$B$11</f>
        <v>1.2481489316691347E-2</v>
      </c>
      <c r="H10" s="32">
        <f t="shared" si="10"/>
        <v>323</v>
      </c>
      <c r="I10" s="25">
        <f t="shared" si="11"/>
        <v>6.8330865242225508E-2</v>
      </c>
    </row>
    <row r="11" spans="1:13" x14ac:dyDescent="0.3">
      <c r="A11" t="s">
        <v>236</v>
      </c>
      <c r="B11" s="28">
        <f>SUM(B8:B10)</f>
        <v>4727</v>
      </c>
      <c r="C11" s="24">
        <f t="shared" si="8"/>
        <v>1</v>
      </c>
      <c r="D11" s="29">
        <f>SUM(D8:D10)</f>
        <v>1354</v>
      </c>
      <c r="E11" s="37">
        <f t="shared" si="9"/>
        <v>0.28643960228474719</v>
      </c>
      <c r="F11" s="29">
        <f>SUM(F8:F10)</f>
        <v>508</v>
      </c>
      <c r="G11" s="34">
        <f>F11/$B$11</f>
        <v>0.10746773852337635</v>
      </c>
      <c r="H11" s="31">
        <f t="shared" si="10"/>
        <v>3373</v>
      </c>
      <c r="I11" s="37">
        <f t="shared" si="11"/>
        <v>0.71356039771525281</v>
      </c>
    </row>
    <row r="13" spans="1:13" x14ac:dyDescent="0.3">
      <c r="A13" t="s">
        <v>241</v>
      </c>
      <c r="B13" t="s">
        <v>235</v>
      </c>
      <c r="D13" t="s">
        <v>266</v>
      </c>
      <c r="F13" t="s">
        <v>267</v>
      </c>
      <c r="H13" t="s">
        <v>264</v>
      </c>
    </row>
    <row r="14" spans="1:13" x14ac:dyDescent="0.3">
      <c r="A14" t="s">
        <v>242</v>
      </c>
      <c r="B14" s="26">
        <v>82</v>
      </c>
      <c r="C14" s="24">
        <f>B14/$B$17</f>
        <v>8.3844580777096112E-2</v>
      </c>
      <c r="D14" s="26">
        <v>18</v>
      </c>
      <c r="E14" s="24">
        <f>D14/$B$17</f>
        <v>1.8404907975460124E-2</v>
      </c>
      <c r="F14" s="26">
        <v>4</v>
      </c>
      <c r="G14" s="24">
        <f>F14/$F$17</f>
        <v>1</v>
      </c>
      <c r="H14" s="31">
        <f>B14-D14</f>
        <v>64</v>
      </c>
      <c r="I14" s="24">
        <f>H14/$B$17</f>
        <v>6.5439672801635998E-2</v>
      </c>
    </row>
    <row r="15" spans="1:13" x14ac:dyDescent="0.3">
      <c r="A15" t="s">
        <v>243</v>
      </c>
      <c r="B15" s="26">
        <v>460</v>
      </c>
      <c r="C15" s="24">
        <f t="shared" ref="C15:C16" si="12">B15/$B$17</f>
        <v>0.47034764826175868</v>
      </c>
      <c r="D15" s="26">
        <v>0</v>
      </c>
      <c r="E15" s="24">
        <f t="shared" ref="E15:E17" si="13">D15/$B$17</f>
        <v>0</v>
      </c>
      <c r="F15" s="26">
        <v>0</v>
      </c>
      <c r="G15" s="24">
        <f t="shared" ref="G15:G17" si="14">F15/$F$17</f>
        <v>0</v>
      </c>
      <c r="H15" s="31">
        <f>B15-D15</f>
        <v>460</v>
      </c>
      <c r="I15" s="24">
        <f t="shared" ref="I15:I17" si="15">H15/$B$17</f>
        <v>0.47034764826175868</v>
      </c>
    </row>
    <row r="16" spans="1:13" x14ac:dyDescent="0.3">
      <c r="A16" s="19" t="s">
        <v>244</v>
      </c>
      <c r="B16" s="27">
        <v>436</v>
      </c>
      <c r="C16" s="25">
        <f t="shared" si="12"/>
        <v>0.44580777096114521</v>
      </c>
      <c r="D16" s="27">
        <v>0</v>
      </c>
      <c r="E16" s="25">
        <f t="shared" si="13"/>
        <v>0</v>
      </c>
      <c r="F16" s="27">
        <v>0</v>
      </c>
      <c r="G16" s="25">
        <f t="shared" si="14"/>
        <v>0</v>
      </c>
      <c r="H16" s="32">
        <f>B16-D16</f>
        <v>436</v>
      </c>
      <c r="I16" s="25">
        <f t="shared" si="15"/>
        <v>0.44580777096114521</v>
      </c>
    </row>
    <row r="17" spans="1:13" x14ac:dyDescent="0.3">
      <c r="A17" t="s">
        <v>236</v>
      </c>
      <c r="B17" s="28">
        <f>SUM(B14:B16)</f>
        <v>978</v>
      </c>
      <c r="C17" s="24"/>
      <c r="D17" s="29">
        <f>SUM(D14:D16)</f>
        <v>18</v>
      </c>
      <c r="E17" s="37">
        <f t="shared" si="13"/>
        <v>1.8404907975460124E-2</v>
      </c>
      <c r="F17" s="29">
        <f>SUM(F14:F16)</f>
        <v>4</v>
      </c>
      <c r="G17" s="24">
        <f t="shared" si="14"/>
        <v>1</v>
      </c>
      <c r="H17" s="31">
        <f>B17-D17</f>
        <v>960</v>
      </c>
      <c r="I17" s="37">
        <f t="shared" si="15"/>
        <v>0.98159509202453987</v>
      </c>
    </row>
    <row r="19" spans="1:13" x14ac:dyDescent="0.3">
      <c r="A19" t="s">
        <v>245</v>
      </c>
      <c r="B19" t="s">
        <v>235</v>
      </c>
      <c r="D19" t="s">
        <v>266</v>
      </c>
      <c r="F19" t="s">
        <v>267</v>
      </c>
      <c r="H19" t="s">
        <v>264</v>
      </c>
    </row>
    <row r="20" spans="1:13" x14ac:dyDescent="0.3">
      <c r="A20" s="19" t="s">
        <v>247</v>
      </c>
      <c r="B20" s="30">
        <v>4685</v>
      </c>
      <c r="C20" s="19"/>
      <c r="D20" s="27">
        <v>3057</v>
      </c>
      <c r="E20" s="35">
        <f>D20/B20</f>
        <v>0.6525080042689434</v>
      </c>
      <c r="F20" s="27">
        <v>2630</v>
      </c>
      <c r="G20" s="25">
        <f>F20/B20</f>
        <v>0.56136606189967986</v>
      </c>
      <c r="H20" s="27">
        <f>B20-D20</f>
        <v>1628</v>
      </c>
      <c r="I20" s="35">
        <f>H20/B20</f>
        <v>0.34749199573105655</v>
      </c>
    </row>
    <row r="24" spans="1:13" x14ac:dyDescent="0.3">
      <c r="A24" s="68"/>
      <c r="B24" s="68"/>
      <c r="C24" s="68"/>
      <c r="D24" s="68"/>
      <c r="E24" s="68"/>
      <c r="F24" s="68"/>
      <c r="G24" s="68"/>
      <c r="H24" s="68"/>
      <c r="I24" s="68"/>
      <c r="L24" t="s">
        <v>299</v>
      </c>
    </row>
    <row r="25" spans="1:13" x14ac:dyDescent="0.3">
      <c r="A25" s="69" t="s">
        <v>421</v>
      </c>
      <c r="B25" s="68" t="s">
        <v>286</v>
      </c>
      <c r="C25" s="68" t="s">
        <v>287</v>
      </c>
      <c r="D25" s="68" t="s">
        <v>288</v>
      </c>
      <c r="E25" s="68" t="s">
        <v>289</v>
      </c>
      <c r="F25" s="68"/>
      <c r="G25" s="68"/>
      <c r="H25" s="68"/>
      <c r="I25" s="68"/>
      <c r="L25" s="20">
        <f>D27/(D27+E27)*D28+E27/(D27+E27)*E28</f>
        <v>1.4469096096096097</v>
      </c>
      <c r="M25" t="s">
        <v>296</v>
      </c>
    </row>
    <row r="26" spans="1:13" x14ac:dyDescent="0.3">
      <c r="A26" s="68" t="s">
        <v>254</v>
      </c>
      <c r="B26" s="70">
        <f>'Rolling (F1)'!AN15</f>
        <v>0.76335877862595425</v>
      </c>
      <c r="C26" s="71">
        <f>'Rolling (F1)'!R82</f>
        <v>0.6622095548892255</v>
      </c>
      <c r="D26" s="71">
        <f>'Rolling (F1)'!AD82</f>
        <v>0.65826024450418519</v>
      </c>
      <c r="E26" s="72">
        <f>'Rolling (F1)'!F86</f>
        <v>0.7089885569246912</v>
      </c>
      <c r="F26" s="73"/>
      <c r="G26" s="68"/>
      <c r="H26" s="68"/>
      <c r="I26" s="68"/>
      <c r="L26" s="20">
        <f>1/L25</f>
        <v>0.69112817646557045</v>
      </c>
      <c r="M26" t="s">
        <v>261</v>
      </c>
    </row>
    <row r="27" spans="1:13" x14ac:dyDescent="0.3">
      <c r="A27" s="68" t="s">
        <v>422</v>
      </c>
      <c r="B27" s="74">
        <f>K5</f>
        <v>0.36912628487518356</v>
      </c>
      <c r="C27" s="103">
        <f>E6</f>
        <v>0.2641336270190896</v>
      </c>
      <c r="D27" s="103">
        <f>C4</f>
        <v>0.12298091042584434</v>
      </c>
      <c r="E27" s="75">
        <f>M6</f>
        <v>0.2437591776798825</v>
      </c>
      <c r="F27" s="76"/>
      <c r="G27" s="68"/>
      <c r="H27" s="68"/>
      <c r="I27" s="68"/>
    </row>
    <row r="28" spans="1:13" x14ac:dyDescent="0.3">
      <c r="A28" s="68" t="s">
        <v>419</v>
      </c>
      <c r="B28" s="77">
        <f>1/B26</f>
        <v>1.3099999999999998</v>
      </c>
      <c r="C28" s="78">
        <f>1/C26</f>
        <v>1.5100960000000001</v>
      </c>
      <c r="D28" s="78">
        <f>1/D26</f>
        <v>1.5191560000000002</v>
      </c>
      <c r="E28" s="79">
        <f>1/E26</f>
        <v>1.41046</v>
      </c>
      <c r="F28" s="80">
        <f>SUMPRODUCT(B27:E27,B28:E28)</f>
        <v>1.4130623245227607</v>
      </c>
      <c r="G28" s="68" t="s">
        <v>290</v>
      </c>
      <c r="H28" s="68"/>
      <c r="I28" s="68"/>
    </row>
    <row r="29" spans="1:13" x14ac:dyDescent="0.3">
      <c r="A29" s="68" t="s">
        <v>426</v>
      </c>
      <c r="B29" s="77">
        <f>$K29*B27*B28</f>
        <v>0.48355543318649041</v>
      </c>
      <c r="C29" s="78">
        <f>$K29*C27*C28</f>
        <v>0.39886713362701914</v>
      </c>
      <c r="D29" s="78">
        <f>$K29*D27*D28</f>
        <v>0.18682718795888401</v>
      </c>
      <c r="E29" s="79">
        <f>$K29*E27*E28</f>
        <v>0.34381256975036711</v>
      </c>
      <c r="F29" s="80">
        <f>SUM(B29:E29)</f>
        <v>1.4130623245227607</v>
      </c>
      <c r="G29" s="68" t="s">
        <v>328</v>
      </c>
      <c r="H29" s="68"/>
      <c r="I29" s="68"/>
      <c r="K29" s="82">
        <v>1</v>
      </c>
    </row>
    <row r="30" spans="1:13" x14ac:dyDescent="0.3">
      <c r="A30" s="68" t="s">
        <v>429</v>
      </c>
      <c r="B30" s="104">
        <f>B29/$F$29</f>
        <v>0.34220389631420084</v>
      </c>
      <c r="C30" s="106">
        <f t="shared" ref="C30:E30" si="16">C29/$F$29</f>
        <v>0.28227143750487449</v>
      </c>
      <c r="D30" s="106">
        <f t="shared" si="16"/>
        <v>0.13221440039594992</v>
      </c>
      <c r="E30" s="105">
        <f t="shared" si="16"/>
        <v>0.24331026578497472</v>
      </c>
      <c r="G30" s="68"/>
      <c r="H30" s="68"/>
      <c r="I30" s="68"/>
    </row>
    <row r="31" spans="1:13" x14ac:dyDescent="0.3">
      <c r="A31" s="68"/>
      <c r="B31" s="81"/>
      <c r="C31" s="81"/>
      <c r="D31" s="81"/>
      <c r="E31" s="81"/>
      <c r="F31" s="68"/>
      <c r="G31" s="68"/>
      <c r="H31" s="68"/>
      <c r="I31" s="68"/>
    </row>
    <row r="32" spans="1:13" ht="15" thickBot="1" x14ac:dyDescent="0.35">
      <c r="A32" s="69" t="s">
        <v>420</v>
      </c>
      <c r="B32" s="68" t="s">
        <v>286</v>
      </c>
      <c r="C32" s="68" t="s">
        <v>287</v>
      </c>
      <c r="D32" s="68" t="s">
        <v>288</v>
      </c>
      <c r="E32" s="68" t="s">
        <v>289</v>
      </c>
      <c r="F32" s="83"/>
      <c r="G32" s="68"/>
      <c r="H32" s="68"/>
      <c r="I32" s="68"/>
    </row>
    <row r="33" spans="1:12" ht="15" thickBot="1" x14ac:dyDescent="0.35">
      <c r="A33" s="68" t="s">
        <v>428</v>
      </c>
      <c r="B33" s="84">
        <f>B29/$F$29</f>
        <v>0.34220389631420084</v>
      </c>
      <c r="C33" s="85">
        <f>C29/$F$29</f>
        <v>0.28227143750487449</v>
      </c>
      <c r="D33" s="85">
        <f>D29/$F$29</f>
        <v>0.13221440039594992</v>
      </c>
      <c r="E33" s="86">
        <f>E29/$F$29</f>
        <v>0.24331026578497472</v>
      </c>
      <c r="F33" s="73">
        <f>SUM(B33:E33)</f>
        <v>1</v>
      </c>
      <c r="G33" s="68"/>
      <c r="H33" s="68"/>
      <c r="I33" s="68"/>
      <c r="K33" s="52">
        <f>SUMPRODUCT(B33:E33,B26:E26)</f>
        <v>0.70768286907496036</v>
      </c>
      <c r="L33" t="s">
        <v>291</v>
      </c>
    </row>
    <row r="34" spans="1:12" ht="15" thickBot="1" x14ac:dyDescent="0.35">
      <c r="A34" s="68" t="s">
        <v>424</v>
      </c>
      <c r="B34" s="87">
        <f>'Rolling (F1)'!AN24</f>
        <v>0.21578947368421053</v>
      </c>
      <c r="C34" s="88">
        <f>'Rolling (F1)'!V80</f>
        <v>0.22117799133300131</v>
      </c>
      <c r="D34" s="88">
        <f>'Rolling (F1)'!AH80</f>
        <v>0.18337525172711955</v>
      </c>
      <c r="E34" s="89">
        <f>'Rolling (F1)'!J84</f>
        <v>0.18342976477586956</v>
      </c>
      <c r="F34" s="90">
        <f>SUMPRODUCT(B33:E33,B34:E34)</f>
        <v>0.20515142201138423</v>
      </c>
      <c r="G34" s="68" t="s">
        <v>292</v>
      </c>
      <c r="H34" s="68"/>
      <c r="I34" s="68"/>
      <c r="K34" s="48">
        <f>1/F28</f>
        <v>0.70768286907496036</v>
      </c>
      <c r="L34" t="s">
        <v>291</v>
      </c>
    </row>
    <row r="35" spans="1:12" x14ac:dyDescent="0.3">
      <c r="A35" s="68" t="s">
        <v>425</v>
      </c>
      <c r="B35" s="78">
        <f>B33*B34</f>
        <v>7.3843998678327555E-2</v>
      </c>
      <c r="C35" s="78">
        <f t="shared" ref="C35:E35" si="17">C33*C34</f>
        <v>6.2432229558006952E-2</v>
      </c>
      <c r="D35" s="78">
        <f t="shared" si="17"/>
        <v>2.4244848954557491E-2</v>
      </c>
      <c r="E35" s="78">
        <f t="shared" si="17"/>
        <v>4.4630344820492218E-2</v>
      </c>
      <c r="F35" s="91">
        <f>SUM(B35:E35)</f>
        <v>0.20515142201138423</v>
      </c>
      <c r="G35" s="68"/>
      <c r="H35" s="68"/>
      <c r="I35" s="68"/>
    </row>
    <row r="36" spans="1:12" x14ac:dyDescent="0.3">
      <c r="A36" s="68"/>
      <c r="B36" s="91"/>
      <c r="C36" s="91"/>
      <c r="D36" s="91"/>
      <c r="E36" s="91"/>
      <c r="F36" s="68"/>
      <c r="G36" s="68"/>
      <c r="H36" s="68"/>
      <c r="I36" s="68"/>
    </row>
    <row r="37" spans="1:12" x14ac:dyDescent="0.3">
      <c r="A37" s="231" t="s">
        <v>470</v>
      </c>
      <c r="B37" s="209" t="s">
        <v>286</v>
      </c>
      <c r="C37" s="209" t="s">
        <v>287</v>
      </c>
      <c r="D37" s="209" t="s">
        <v>288</v>
      </c>
      <c r="E37" s="209" t="s">
        <v>289</v>
      </c>
      <c r="F37" s="209" t="s">
        <v>472</v>
      </c>
      <c r="G37" s="209" t="s">
        <v>544</v>
      </c>
      <c r="H37" s="209"/>
      <c r="I37" s="68"/>
    </row>
    <row r="38" spans="1:12" x14ac:dyDescent="0.3">
      <c r="A38" s="209" t="s">
        <v>468</v>
      </c>
      <c r="B38" s="232">
        <f>'Rolling (F1)'!AN17/'Rolling (F1)'!AN13</f>
        <v>2.2214923664122139</v>
      </c>
      <c r="C38" s="233">
        <f>'Rolling (F1)'!R84/'Rolling (F1)'!R80</f>
        <v>1.5320306841923008</v>
      </c>
      <c r="D38" s="233">
        <f>'Rolling (F1)'!AD84/'Rolling (F1)'!AD80</f>
        <v>2.8631706811462863</v>
      </c>
      <c r="E38" s="233">
        <f>'Rolling (F1)'!F88/'Rolling (F1)'!F84</f>
        <v>1.9540155853338828</v>
      </c>
      <c r="F38" s="234">
        <f>SUMPRODUCT(B33:E33,B38:E38)</f>
        <v>2.0466362932016406</v>
      </c>
      <c r="G38" s="235">
        <f>F38/F40</f>
        <v>0.48209844620052844</v>
      </c>
      <c r="H38" s="209" t="s">
        <v>473</v>
      </c>
      <c r="I38" s="68"/>
    </row>
    <row r="39" spans="1:12" ht="15" thickBot="1" x14ac:dyDescent="0.35">
      <c r="A39" s="209" t="s">
        <v>249</v>
      </c>
      <c r="B39" s="236">
        <f>'Rolling (F1)'!AN18/'Rolling (F1)'!AN13</f>
        <v>1.0992366412213741</v>
      </c>
      <c r="C39" s="237">
        <f>'Rolling (F1)'!R85/'Rolling (F1)'!R80</f>
        <v>2.4749273310241935</v>
      </c>
      <c r="D39" s="237">
        <f>'Rolling (F1)'!AD85/'Rolling (F1)'!AD80</f>
        <v>3.9500861282849535</v>
      </c>
      <c r="E39" s="237">
        <f>'Rolling (F1)'!F89/'Rolling (F1)'!F84</f>
        <v>2.4725935498111795</v>
      </c>
      <c r="F39" s="238">
        <f>SUMPRODUCT(B33:E33,B39:E39)</f>
        <v>2.1986300197919175</v>
      </c>
      <c r="G39" s="239">
        <f>F39/F40</f>
        <v>0.51790155379947156</v>
      </c>
      <c r="H39" s="209"/>
      <c r="I39" s="68"/>
    </row>
    <row r="40" spans="1:12" ht="15" thickBot="1" x14ac:dyDescent="0.35">
      <c r="A40" s="209" t="s">
        <v>236</v>
      </c>
      <c r="B40" s="240">
        <f>SUM(B38:B39)</f>
        <v>3.320729007633588</v>
      </c>
      <c r="C40" s="241">
        <f t="shared" ref="C40:E40" si="18">SUM(C38:C39)</f>
        <v>4.0069580152164939</v>
      </c>
      <c r="D40" s="241">
        <f t="shared" si="18"/>
        <v>6.8132568094312393</v>
      </c>
      <c r="E40" s="241">
        <f t="shared" si="18"/>
        <v>4.4266091351450623</v>
      </c>
      <c r="F40" s="242">
        <f>SUM(F38:F39)</f>
        <v>4.2452663129935582</v>
      </c>
      <c r="G40" s="243">
        <f>G38+G39</f>
        <v>1</v>
      </c>
      <c r="H40" s="209"/>
      <c r="I40" s="68"/>
    </row>
    <row r="41" spans="1:12" x14ac:dyDescent="0.3">
      <c r="A41" s="209"/>
      <c r="B41" s="237">
        <f>'Rolling (F1)'!AN21</f>
        <v>3.3207290076335885</v>
      </c>
      <c r="C41" s="237">
        <f>'Rolling (F1)'!R88</f>
        <v>4.0069580152164948</v>
      </c>
      <c r="D41" s="237">
        <f>'Rolling (F1)'!AD88</f>
        <v>6.8132568094312393</v>
      </c>
      <c r="E41" s="237">
        <f>'Rolling (F1)'!F92</f>
        <v>4.4266091351450623</v>
      </c>
      <c r="F41" s="244">
        <f>SUMPRODUCT(B33:E33,B41:E41)</f>
        <v>4.2452663129935591</v>
      </c>
      <c r="G41" s="209" t="s">
        <v>356</v>
      </c>
      <c r="H41" s="209"/>
      <c r="I41" s="68"/>
    </row>
    <row r="42" spans="1:12" x14ac:dyDescent="0.3">
      <c r="A42" s="68"/>
      <c r="B42" s="68"/>
      <c r="C42" s="68"/>
      <c r="D42" s="68"/>
      <c r="E42" s="68"/>
      <c r="F42" s="68"/>
      <c r="G42" s="68"/>
      <c r="H42" s="68"/>
      <c r="I42" s="68"/>
    </row>
    <row r="43" spans="1:12" x14ac:dyDescent="0.3">
      <c r="A43" s="116" t="s">
        <v>471</v>
      </c>
      <c r="B43" s="68" t="s">
        <v>286</v>
      </c>
      <c r="C43" s="68" t="s">
        <v>287</v>
      </c>
      <c r="D43" s="68" t="s">
        <v>288</v>
      </c>
      <c r="E43" s="68" t="s">
        <v>289</v>
      </c>
      <c r="F43" s="68" t="s">
        <v>472</v>
      </c>
      <c r="G43" s="68"/>
      <c r="H43" s="68"/>
      <c r="I43" s="68"/>
    </row>
    <row r="44" spans="1:12" x14ac:dyDescent="0.3">
      <c r="A44" s="68" t="s">
        <v>468</v>
      </c>
      <c r="B44" s="129">
        <f>B38*$H$44</f>
        <v>0.15328297328244278</v>
      </c>
      <c r="C44" s="130">
        <f>C38*$H$44</f>
        <v>0.10571011720926876</v>
      </c>
      <c r="D44" s="130">
        <f>D38*$H$44</f>
        <v>0.19755877699909377</v>
      </c>
      <c r="E44" s="130">
        <f>E38*$H$44</f>
        <v>0.13482707538803793</v>
      </c>
      <c r="F44" s="131">
        <f>F41*G38*H44</f>
        <v>0.14121790423091324</v>
      </c>
      <c r="G44" s="68"/>
      <c r="H44" s="82">
        <f>0.069</f>
        <v>6.9000000000000006E-2</v>
      </c>
      <c r="I44" s="68" t="s">
        <v>394</v>
      </c>
    </row>
    <row r="45" spans="1:12" ht="15" thickBot="1" x14ac:dyDescent="0.35">
      <c r="A45" s="68" t="s">
        <v>249</v>
      </c>
      <c r="B45" s="77">
        <f>$H$45*B39</f>
        <v>0.13432671755725192</v>
      </c>
      <c r="C45" s="78">
        <f>$H$45*C39</f>
        <v>0.30243611985115643</v>
      </c>
      <c r="D45" s="78">
        <f>$H$45*D39</f>
        <v>0.48270052487642134</v>
      </c>
      <c r="E45" s="78">
        <f>$H$45*E39</f>
        <v>0.30215093178692615</v>
      </c>
      <c r="F45" s="98">
        <f>F41*G39*H45</f>
        <v>0.26867258841857239</v>
      </c>
      <c r="G45" s="68"/>
      <c r="H45" s="82">
        <v>0.1222</v>
      </c>
      <c r="I45" s="68" t="s">
        <v>395</v>
      </c>
    </row>
    <row r="46" spans="1:12" ht="15" thickBot="1" x14ac:dyDescent="0.35">
      <c r="A46" s="68" t="s">
        <v>236</v>
      </c>
      <c r="B46" s="127">
        <f>SUM(B44:B45)</f>
        <v>0.28760969083969468</v>
      </c>
      <c r="C46" s="128">
        <f t="shared" ref="C46:E46" si="19">SUM(C44:C45)</f>
        <v>0.40814623706042519</v>
      </c>
      <c r="D46" s="128">
        <f t="shared" si="19"/>
        <v>0.68025930187551509</v>
      </c>
      <c r="E46" s="128">
        <f t="shared" si="19"/>
        <v>0.43697800717496404</v>
      </c>
      <c r="F46" s="94">
        <f>SUMPRODUCT(B33:E33,B46:E46)</f>
        <v>0.40989049264948552</v>
      </c>
      <c r="G46" s="93">
        <f>SUM(F44:F45)</f>
        <v>0.40989049264948563</v>
      </c>
      <c r="H46" s="68"/>
      <c r="I46" s="68"/>
    </row>
    <row r="47" spans="1:12" x14ac:dyDescent="0.3">
      <c r="A47" s="68" t="s">
        <v>469</v>
      </c>
      <c r="B47" s="92">
        <f>'Rolling (F1)'!AN29</f>
        <v>0.35650221250639075</v>
      </c>
      <c r="C47" s="92">
        <f>'Rolling (F1)'!R91</f>
        <v>0.40814623706042524</v>
      </c>
      <c r="D47" s="92">
        <f>'Rolling (F1)'!AD91</f>
        <v>0.68025930187551509</v>
      </c>
      <c r="E47" s="92">
        <f>'Rolling (F1)'!F95</f>
        <v>0.43697800717496416</v>
      </c>
      <c r="F47" s="78">
        <f>SUMPRODUCT(B33:E33,B47:E47)</f>
        <v>0.43346578199073948</v>
      </c>
      <c r="G47" s="68"/>
      <c r="H47" s="68"/>
      <c r="I47" s="68"/>
    </row>
    <row r="48" spans="1:12" x14ac:dyDescent="0.3">
      <c r="A48" s="68"/>
      <c r="B48" s="68"/>
      <c r="C48" s="68"/>
      <c r="D48" s="68"/>
      <c r="E48" s="68"/>
      <c r="F48" s="68"/>
      <c r="G48" s="68"/>
      <c r="H48" s="68"/>
      <c r="I48" s="68"/>
    </row>
    <row r="49" spans="1:9" s="19" customFormat="1" x14ac:dyDescent="0.3">
      <c r="A49" s="109"/>
      <c r="B49" s="109"/>
      <c r="C49" s="109"/>
      <c r="D49" s="109"/>
      <c r="E49" s="109"/>
      <c r="F49" s="109"/>
      <c r="G49" s="109"/>
      <c r="H49" s="109"/>
      <c r="I49" s="109"/>
    </row>
    <row r="50" spans="1:9" x14ac:dyDescent="0.3">
      <c r="A50" s="68"/>
      <c r="B50" s="68"/>
      <c r="C50" s="68"/>
      <c r="D50" s="68"/>
      <c r="E50" s="68"/>
      <c r="F50" s="68"/>
      <c r="G50" s="68"/>
      <c r="H50" s="68"/>
      <c r="I50" s="68"/>
    </row>
    <row r="51" spans="1:9" x14ac:dyDescent="0.3">
      <c r="A51" s="69" t="s">
        <v>294</v>
      </c>
      <c r="B51" s="68" t="s">
        <v>294</v>
      </c>
      <c r="C51" s="68" t="s">
        <v>330</v>
      </c>
      <c r="D51" s="68"/>
      <c r="E51" s="68"/>
      <c r="F51" s="68"/>
      <c r="G51" s="68"/>
      <c r="H51" s="68"/>
      <c r="I51" s="68"/>
    </row>
    <row r="52" spans="1:9" x14ac:dyDescent="0.3">
      <c r="A52" s="68" t="s">
        <v>254</v>
      </c>
      <c r="B52" s="95">
        <f>'Extrusion (F2)'!F73</f>
        <v>0.73855243722304287</v>
      </c>
      <c r="C52" s="96">
        <f>'Extrusion (F2)'!S73</f>
        <v>0.73855243722304287</v>
      </c>
      <c r="D52" s="73">
        <f>SUM(B53:C53)</f>
        <v>1</v>
      </c>
      <c r="E52" s="68"/>
      <c r="F52" s="68"/>
      <c r="G52" s="68"/>
      <c r="H52" s="68"/>
      <c r="I52" s="68"/>
    </row>
    <row r="53" spans="1:9" x14ac:dyDescent="0.3">
      <c r="A53" s="68" t="s">
        <v>422</v>
      </c>
      <c r="B53" s="74">
        <f>I11</f>
        <v>0.71356039771525281</v>
      </c>
      <c r="C53" s="75">
        <f>E11</f>
        <v>0.28643960228474719</v>
      </c>
      <c r="D53" s="68"/>
      <c r="E53" s="68"/>
      <c r="F53" s="68"/>
      <c r="G53" s="68"/>
      <c r="H53" s="68"/>
      <c r="I53" s="68"/>
    </row>
    <row r="54" spans="1:9" x14ac:dyDescent="0.3">
      <c r="A54" s="68" t="s">
        <v>419</v>
      </c>
      <c r="B54" s="97">
        <f>1/B52</f>
        <v>1.3539999999999999</v>
      </c>
      <c r="C54" s="98">
        <f>1/C52</f>
        <v>1.3539999999999999</v>
      </c>
      <c r="D54" s="80">
        <f>SUMPRODUCT(B53:C53,B54:C54)</f>
        <v>1.3539999999999999</v>
      </c>
      <c r="E54" s="68" t="s">
        <v>295</v>
      </c>
      <c r="F54" s="68"/>
      <c r="G54" s="68"/>
      <c r="H54" s="82">
        <v>1</v>
      </c>
      <c r="I54" s="68"/>
    </row>
    <row r="55" spans="1:9" x14ac:dyDescent="0.3">
      <c r="A55" s="68" t="s">
        <v>427</v>
      </c>
      <c r="B55" s="97">
        <f>H54*B54*B53</f>
        <v>0.96616077850645221</v>
      </c>
      <c r="C55" s="98">
        <f>H54*C54*C53</f>
        <v>0.38783922149354766</v>
      </c>
      <c r="D55" s="80">
        <f>SUM(B55:C55)</f>
        <v>1.3539999999999999</v>
      </c>
      <c r="E55" s="68" t="s">
        <v>329</v>
      </c>
      <c r="F55" s="68"/>
      <c r="G55" s="68"/>
      <c r="H55" s="68"/>
      <c r="I55" s="68"/>
    </row>
    <row r="56" spans="1:9" x14ac:dyDescent="0.3">
      <c r="A56" s="68" t="s">
        <v>428</v>
      </c>
      <c r="B56" s="104">
        <f>B55/D55</f>
        <v>0.71356039771525281</v>
      </c>
      <c r="C56" s="105">
        <f>C55/D55</f>
        <v>0.28643960228474719</v>
      </c>
      <c r="E56" s="68"/>
      <c r="F56" s="68"/>
      <c r="G56" s="68"/>
      <c r="H56" s="68"/>
      <c r="I56" s="68"/>
    </row>
    <row r="57" spans="1:9" x14ac:dyDescent="0.3">
      <c r="A57" s="68"/>
      <c r="B57" s="68"/>
      <c r="C57" s="68"/>
      <c r="D57" s="68"/>
      <c r="E57" s="68"/>
      <c r="F57" s="68"/>
      <c r="G57" s="68"/>
      <c r="H57" s="68"/>
      <c r="I57" s="68"/>
    </row>
    <row r="58" spans="1:9" ht="15" thickBot="1" x14ac:dyDescent="0.35">
      <c r="A58" s="69" t="s">
        <v>423</v>
      </c>
      <c r="B58" s="68" t="s">
        <v>294</v>
      </c>
      <c r="C58" s="68" t="s">
        <v>330</v>
      </c>
      <c r="D58" s="68"/>
      <c r="E58" s="68"/>
      <c r="F58" s="68"/>
      <c r="G58" s="68"/>
      <c r="H58" s="68"/>
      <c r="I58" s="68"/>
    </row>
    <row r="59" spans="1:9" ht="15" thickBot="1" x14ac:dyDescent="0.35">
      <c r="A59" s="68" t="s">
        <v>429</v>
      </c>
      <c r="B59" s="84">
        <f>B55/D55</f>
        <v>0.71356039771525281</v>
      </c>
      <c r="C59" s="86">
        <f>C55/D55</f>
        <v>0.28643960228474719</v>
      </c>
      <c r="D59" s="73">
        <f>SUM(B59:C59)</f>
        <v>1</v>
      </c>
      <c r="E59" s="68"/>
      <c r="F59" s="68"/>
      <c r="G59" s="68"/>
      <c r="H59" s="99">
        <f>SUMPRODUCT(B52:C52,B59:C59)</f>
        <v>0.73855243722304287</v>
      </c>
      <c r="I59" s="68" t="s">
        <v>297</v>
      </c>
    </row>
    <row r="60" spans="1:9" ht="15" thickBot="1" x14ac:dyDescent="0.35">
      <c r="A60" s="68" t="s">
        <v>441</v>
      </c>
      <c r="B60" s="87">
        <f>'Extrusion (F2)'!I71</f>
        <v>0.3988183161004431</v>
      </c>
      <c r="C60" s="89">
        <f>'Extrusion (F2)'!V71</f>
        <v>0.27548005908419498</v>
      </c>
      <c r="D60" s="100">
        <f>SUMPRODUCT(B59:C59,B60:C60)</f>
        <v>0.36348935481421507</v>
      </c>
      <c r="E60" s="68" t="s">
        <v>298</v>
      </c>
      <c r="F60" s="68"/>
      <c r="G60" s="68"/>
      <c r="H60" s="101">
        <f>1/D54</f>
        <v>0.73855243722304287</v>
      </c>
      <c r="I60" s="68" t="s">
        <v>297</v>
      </c>
    </row>
    <row r="61" spans="1:9" x14ac:dyDescent="0.3">
      <c r="A61" s="68" t="s">
        <v>442</v>
      </c>
      <c r="B61" s="78">
        <f>B59*B60</f>
        <v>0.28458095625275959</v>
      </c>
      <c r="C61" s="78">
        <f>C59*C60</f>
        <v>7.890839856145547E-2</v>
      </c>
      <c r="D61" s="91">
        <f>SUM(B61:C61)</f>
        <v>0.36348935481421507</v>
      </c>
      <c r="E61" s="68"/>
      <c r="F61" s="68"/>
      <c r="G61" s="68"/>
      <c r="H61" s="68"/>
      <c r="I61" s="68"/>
    </row>
    <row r="62" spans="1:9" x14ac:dyDescent="0.3">
      <c r="A62" s="68"/>
      <c r="B62" s="68"/>
      <c r="C62" s="68"/>
      <c r="D62" s="68"/>
      <c r="E62" s="68"/>
      <c r="F62" s="68"/>
      <c r="G62" s="68"/>
      <c r="H62" s="68"/>
      <c r="I62" s="68"/>
    </row>
    <row r="63" spans="1:9" ht="15" thickBot="1" x14ac:dyDescent="0.35">
      <c r="A63" s="116" t="s">
        <v>470</v>
      </c>
      <c r="B63" s="68" t="s">
        <v>294</v>
      </c>
      <c r="C63" s="68" t="s">
        <v>330</v>
      </c>
      <c r="D63" s="68"/>
      <c r="E63" s="68"/>
      <c r="F63" s="68"/>
      <c r="G63" s="68"/>
      <c r="H63" s="68"/>
      <c r="I63" s="68"/>
    </row>
    <row r="64" spans="1:9" x14ac:dyDescent="0.3">
      <c r="A64" s="68" t="s">
        <v>468</v>
      </c>
      <c r="B64" s="124">
        <f>'Extrusion (F2)'!F75/'Extrusion (F2)'!F71</f>
        <v>3.1080957325945828</v>
      </c>
      <c r="C64" s="125">
        <f>'Extrusion (F2)'!S75/'Extrusion (F2)'!S71</f>
        <v>3.1080957325945828</v>
      </c>
      <c r="D64" s="131">
        <f>SUMPRODUCT(B59:C59,B64:C64)</f>
        <v>3.1080957325945828</v>
      </c>
      <c r="E64" s="132">
        <f>D64/D66</f>
        <v>0.52689956138667349</v>
      </c>
      <c r="F64" s="68" t="s">
        <v>473</v>
      </c>
      <c r="G64" s="68"/>
      <c r="H64" s="68"/>
      <c r="I64" s="68"/>
    </row>
    <row r="65" spans="1:9" ht="15" thickBot="1" x14ac:dyDescent="0.35">
      <c r="A65" s="68" t="s">
        <v>249</v>
      </c>
      <c r="B65" s="126">
        <f>'Extrusion (F2)'!F76/'Extrusion (F2)'!F71</f>
        <v>2.7907433638260306</v>
      </c>
      <c r="C65" s="92">
        <f>'Extrusion (F2)'!S76/'Extrusion (F2)'!S71</f>
        <v>2.7907433638260306</v>
      </c>
      <c r="D65" s="98">
        <f>SUMPRODUCT(B59:C59,B65:C65)</f>
        <v>2.7907433638260306</v>
      </c>
      <c r="E65" s="133">
        <f>D65/D66</f>
        <v>0.47310043861332646</v>
      </c>
      <c r="F65" s="68"/>
      <c r="G65" s="68"/>
      <c r="H65" s="68"/>
      <c r="I65" s="68"/>
    </row>
    <row r="66" spans="1:9" ht="15" thickBot="1" x14ac:dyDescent="0.35">
      <c r="A66" s="68" t="s">
        <v>236</v>
      </c>
      <c r="B66" s="127">
        <f>SUM(B64:B65)</f>
        <v>5.8988390964206134</v>
      </c>
      <c r="C66" s="128">
        <f t="shared" ref="C66:D66" si="20">SUM(C64:C65)</f>
        <v>5.8988390964206134</v>
      </c>
      <c r="D66" s="94">
        <f t="shared" si="20"/>
        <v>5.8988390964206134</v>
      </c>
      <c r="E66" s="68"/>
      <c r="F66" s="68"/>
      <c r="G66" s="68"/>
      <c r="H66" s="68"/>
      <c r="I66" s="68"/>
    </row>
    <row r="67" spans="1:9" x14ac:dyDescent="0.3">
      <c r="A67" s="68"/>
      <c r="B67" s="92">
        <f>'Extrusion (F2)'!F79</f>
        <v>5.8988390964206134</v>
      </c>
      <c r="C67" s="92">
        <f>'Extrusion (F2)'!S79</f>
        <v>5.8988390964206134</v>
      </c>
      <c r="D67" s="78">
        <f>SUMPRODUCT(B59:C59,B67:C67)</f>
        <v>5.8988390964206143</v>
      </c>
      <c r="E67" s="68" t="s">
        <v>356</v>
      </c>
      <c r="F67" s="68"/>
      <c r="G67" s="68"/>
      <c r="H67" s="68"/>
      <c r="I67" s="68"/>
    </row>
    <row r="68" spans="1:9" x14ac:dyDescent="0.3">
      <c r="A68" s="68"/>
      <c r="B68" s="68"/>
      <c r="C68" s="68"/>
      <c r="D68" s="68"/>
      <c r="E68" s="68"/>
      <c r="F68" s="68"/>
      <c r="G68" s="68"/>
      <c r="H68" s="68"/>
      <c r="I68" s="68"/>
    </row>
    <row r="69" spans="1:9" x14ac:dyDescent="0.3">
      <c r="A69" s="116" t="s">
        <v>471</v>
      </c>
      <c r="B69" s="68" t="s">
        <v>294</v>
      </c>
      <c r="C69" s="68" t="s">
        <v>330</v>
      </c>
      <c r="D69" s="68"/>
      <c r="E69" s="68"/>
      <c r="F69" s="68"/>
      <c r="G69" s="68"/>
      <c r="H69" s="68"/>
      <c r="I69" s="68"/>
    </row>
    <row r="70" spans="1:9" x14ac:dyDescent="0.3">
      <c r="A70" s="68" t="s">
        <v>468</v>
      </c>
      <c r="B70" s="129">
        <f>B64*$F$70</f>
        <v>0.21445860554902624</v>
      </c>
      <c r="C70" s="130">
        <f>C64*$F$70</f>
        <v>0.21445860554902624</v>
      </c>
      <c r="D70" s="131">
        <f>D67*E64*F70</f>
        <v>0.21445860554902624</v>
      </c>
      <c r="E70" s="68"/>
      <c r="F70" s="82">
        <f>0.069</f>
        <v>6.9000000000000006E-2</v>
      </c>
      <c r="G70" s="68" t="s">
        <v>394</v>
      </c>
      <c r="H70" s="68"/>
      <c r="I70" s="68"/>
    </row>
    <row r="71" spans="1:9" ht="15" thickBot="1" x14ac:dyDescent="0.35">
      <c r="A71" s="68" t="s">
        <v>249</v>
      </c>
      <c r="B71" s="77">
        <f>B65*$F$71</f>
        <v>0.34102883905954096</v>
      </c>
      <c r="C71" s="78">
        <f>C65*$F$71</f>
        <v>0.34102883905954096</v>
      </c>
      <c r="D71" s="98">
        <f>D67*E65*F71</f>
        <v>0.34102883905954101</v>
      </c>
      <c r="E71" s="68"/>
      <c r="F71" s="82">
        <v>0.1222</v>
      </c>
      <c r="G71" s="68" t="s">
        <v>395</v>
      </c>
      <c r="H71" s="68"/>
      <c r="I71" s="68"/>
    </row>
    <row r="72" spans="1:9" ht="15" thickBot="1" x14ac:dyDescent="0.35">
      <c r="A72" s="68" t="s">
        <v>236</v>
      </c>
      <c r="B72" s="127">
        <f>SUM(B70:B71)</f>
        <v>0.55548744460856714</v>
      </c>
      <c r="C72" s="128">
        <f>SUM(C70:C71)</f>
        <v>0.55548744460856714</v>
      </c>
      <c r="D72" s="94">
        <f>SUMPRODUCT(B59:C59,B72:C72)</f>
        <v>0.55548744460856714</v>
      </c>
      <c r="E72" s="93">
        <f>SUM(D70:D71)</f>
        <v>0.55548744460856725</v>
      </c>
      <c r="F72" s="68"/>
      <c r="G72" s="68"/>
      <c r="H72" s="68"/>
      <c r="I72" s="68"/>
    </row>
    <row r="73" spans="1:9" x14ac:dyDescent="0.3">
      <c r="A73" s="68" t="s">
        <v>469</v>
      </c>
      <c r="B73" s="92">
        <f>'Extrusion (F2)'!F82</f>
        <v>0.55548744460856725</v>
      </c>
      <c r="C73" s="92">
        <f>'Extrusion (F2)'!S82</f>
        <v>0.55548744460856725</v>
      </c>
      <c r="D73" s="78">
        <f>SUMPRODUCT(B59:C59,B73:C73)</f>
        <v>0.55548744460856725</v>
      </c>
      <c r="E73" s="68" t="b">
        <f>(D72=D73)</f>
        <v>1</v>
      </c>
      <c r="F73" s="68"/>
      <c r="G73" s="68"/>
      <c r="H73" s="68"/>
      <c r="I73" s="68"/>
    </row>
    <row r="74" spans="1:9" x14ac:dyDescent="0.3">
      <c r="A74" s="68"/>
      <c r="B74" s="68"/>
      <c r="C74" s="68"/>
      <c r="D74" s="68"/>
      <c r="E74" s="68"/>
      <c r="F74" s="68"/>
      <c r="G74" s="68"/>
      <c r="H74" s="68"/>
      <c r="I74" s="68"/>
    </row>
    <row r="76" spans="1:9" x14ac:dyDescent="0.3">
      <c r="A76" s="193" t="s">
        <v>540</v>
      </c>
      <c r="B76" s="193"/>
      <c r="C76" s="193"/>
      <c r="D76" s="193"/>
      <c r="E76" s="193"/>
      <c r="F76" s="193"/>
      <c r="G76" s="208"/>
    </row>
    <row r="77" spans="1:9" x14ac:dyDescent="0.3">
      <c r="A77" s="205" t="s">
        <v>541</v>
      </c>
      <c r="B77" s="206" t="s">
        <v>265</v>
      </c>
      <c r="C77" s="206" t="s">
        <v>539</v>
      </c>
      <c r="D77" s="206" t="s">
        <v>234</v>
      </c>
      <c r="E77" s="206" t="s">
        <v>538</v>
      </c>
      <c r="F77" s="207" t="s">
        <v>472</v>
      </c>
      <c r="G77" s="209"/>
    </row>
    <row r="78" spans="1:9" x14ac:dyDescent="0.3">
      <c r="A78" s="210" t="s">
        <v>429</v>
      </c>
      <c r="B78" s="211">
        <f>B33</f>
        <v>0.34220389631420084</v>
      </c>
      <c r="C78" s="211">
        <f t="shared" ref="C78:E78" si="21">C33</f>
        <v>0.28227143750487449</v>
      </c>
      <c r="D78" s="211">
        <f t="shared" si="21"/>
        <v>0.13221440039594992</v>
      </c>
      <c r="E78" s="211">
        <f t="shared" si="21"/>
        <v>0.24331026578497472</v>
      </c>
      <c r="F78" s="212">
        <f>F33</f>
        <v>1</v>
      </c>
      <c r="G78" s="209" t="s">
        <v>544</v>
      </c>
    </row>
    <row r="79" spans="1:9" x14ac:dyDescent="0.3">
      <c r="A79" s="203" t="s">
        <v>542</v>
      </c>
      <c r="B79" s="213">
        <f>B38</f>
        <v>2.2214923664122139</v>
      </c>
      <c r="C79" s="213">
        <f t="shared" ref="C79:E80" si="22">C38</f>
        <v>1.5320306841923008</v>
      </c>
      <c r="D79" s="213">
        <f t="shared" si="22"/>
        <v>2.8631706811462863</v>
      </c>
      <c r="E79" s="213">
        <f t="shared" si="22"/>
        <v>1.9540155853338828</v>
      </c>
      <c r="F79" s="214">
        <f>F38</f>
        <v>2.0466362932016406</v>
      </c>
      <c r="G79" s="215">
        <f>G38</f>
        <v>0.48209844620052844</v>
      </c>
    </row>
    <row r="80" spans="1:9" x14ac:dyDescent="0.3">
      <c r="A80" s="216" t="s">
        <v>543</v>
      </c>
      <c r="B80" s="217">
        <f>B39</f>
        <v>1.0992366412213741</v>
      </c>
      <c r="C80" s="217">
        <f t="shared" si="22"/>
        <v>2.4749273310241935</v>
      </c>
      <c r="D80" s="217">
        <f t="shared" si="22"/>
        <v>3.9500861282849535</v>
      </c>
      <c r="E80" s="217">
        <f t="shared" si="22"/>
        <v>2.4725935498111795</v>
      </c>
      <c r="F80" s="218">
        <f>F39</f>
        <v>2.1986300197919175</v>
      </c>
      <c r="G80" s="219">
        <f>G39</f>
        <v>0.51790155379947156</v>
      </c>
    </row>
    <row r="81" spans="1:7" x14ac:dyDescent="0.3">
      <c r="A81" s="216" t="s">
        <v>545</v>
      </c>
      <c r="B81" s="217">
        <f>B40</f>
        <v>3.320729007633588</v>
      </c>
      <c r="C81" s="217">
        <f t="shared" ref="C81:E81" si="23">C40</f>
        <v>4.0069580152164939</v>
      </c>
      <c r="D81" s="217">
        <f t="shared" si="23"/>
        <v>6.8132568094312393</v>
      </c>
      <c r="E81" s="217">
        <f t="shared" si="23"/>
        <v>4.4266091351450623</v>
      </c>
      <c r="F81" s="220">
        <f>F40</f>
        <v>4.2452663129935582</v>
      </c>
      <c r="G81" s="209"/>
    </row>
    <row r="82" spans="1:7" x14ac:dyDescent="0.3">
      <c r="A82" s="208"/>
      <c r="B82" s="208"/>
      <c r="C82" s="208"/>
      <c r="D82" s="208"/>
      <c r="E82" s="208"/>
      <c r="F82" s="221">
        <f>SUMPRODUCT(B78:E78,B81:E81)</f>
        <v>4.2452663129935582</v>
      </c>
      <c r="G82" s="208"/>
    </row>
    <row r="84" spans="1:7" x14ac:dyDescent="0.3">
      <c r="A84" s="111"/>
      <c r="B84" s="111"/>
      <c r="C84" s="111"/>
      <c r="D84" s="111"/>
      <c r="E84" s="111"/>
      <c r="F84" s="111"/>
    </row>
    <row r="85" spans="1:7" x14ac:dyDescent="0.3">
      <c r="A85" s="111"/>
      <c r="B85" s="204"/>
      <c r="C85" s="204"/>
      <c r="D85" s="204"/>
      <c r="E85" s="111"/>
      <c r="F85" s="111"/>
    </row>
    <row r="86" spans="1:7" x14ac:dyDescent="0.3">
      <c r="A86" s="111"/>
      <c r="B86" s="121"/>
      <c r="C86" s="121"/>
      <c r="D86" s="121"/>
      <c r="E86" s="111"/>
      <c r="F86" s="111"/>
    </row>
    <row r="87" spans="1:7" x14ac:dyDescent="0.3">
      <c r="A87" s="111"/>
      <c r="B87" s="111"/>
      <c r="C87" s="111"/>
      <c r="D87" s="111"/>
      <c r="E87" s="111"/>
      <c r="F87" s="111"/>
    </row>
    <row r="88" spans="1:7" x14ac:dyDescent="0.3">
      <c r="A88" s="111"/>
      <c r="B88" s="111"/>
      <c r="C88" s="111"/>
      <c r="D88" s="111"/>
      <c r="E88" s="111"/>
      <c r="F88" s="111"/>
    </row>
    <row r="89" spans="1:7" x14ac:dyDescent="0.3">
      <c r="A89" s="111"/>
      <c r="B89" s="111"/>
      <c r="C89" s="111"/>
      <c r="D89" s="111"/>
      <c r="E89" s="111"/>
      <c r="F89" s="111"/>
    </row>
    <row r="90" spans="1:7" x14ac:dyDescent="0.3">
      <c r="A90" s="111"/>
      <c r="B90" s="111"/>
      <c r="C90" s="111"/>
      <c r="D90" s="111"/>
      <c r="E90" s="111"/>
      <c r="F90" s="111"/>
    </row>
    <row r="91" spans="1:7" x14ac:dyDescent="0.3">
      <c r="A91" s="111"/>
      <c r="B91" s="111"/>
      <c r="C91" s="111"/>
      <c r="D91" s="111"/>
      <c r="E91" s="111"/>
      <c r="F91" s="111"/>
    </row>
    <row r="92" spans="1:7" x14ac:dyDescent="0.3">
      <c r="A92" s="111"/>
      <c r="B92" s="111"/>
      <c r="C92" s="111"/>
      <c r="D92" s="111"/>
      <c r="E92" s="111"/>
      <c r="F92" s="111"/>
    </row>
    <row r="93" spans="1:7" x14ac:dyDescent="0.3">
      <c r="A93" s="111"/>
      <c r="B93" s="111"/>
      <c r="C93" s="111"/>
      <c r="D93" s="111"/>
      <c r="E93" s="111"/>
      <c r="F93" s="111"/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72AD-9253-4E4E-86A9-599CA9AC5656}">
  <dimension ref="A1:J55"/>
  <sheetViews>
    <sheetView workbookViewId="0">
      <selection activeCell="M6" sqref="M6"/>
    </sheetView>
  </sheetViews>
  <sheetFormatPr defaultRowHeight="14.4" x14ac:dyDescent="0.3"/>
  <sheetData>
    <row r="1" spans="1:10" ht="15.6" x14ac:dyDescent="0.3">
      <c r="A1" t="s">
        <v>475</v>
      </c>
      <c r="B1" s="145" t="s">
        <v>482</v>
      </c>
      <c r="C1" s="146" t="s">
        <v>483</v>
      </c>
      <c r="D1" s="146" t="s">
        <v>484</v>
      </c>
      <c r="E1" s="146" t="s">
        <v>485</v>
      </c>
      <c r="F1" s="146" t="s">
        <v>486</v>
      </c>
      <c r="G1" s="146" t="s">
        <v>487</v>
      </c>
      <c r="H1" s="146" t="s">
        <v>488</v>
      </c>
      <c r="I1" s="146" t="s">
        <v>489</v>
      </c>
      <c r="J1" s="146" t="s">
        <v>236</v>
      </c>
    </row>
    <row r="2" spans="1:10" x14ac:dyDescent="0.3">
      <c r="A2">
        <v>1967</v>
      </c>
      <c r="B2">
        <v>784.0726483888659</v>
      </c>
      <c r="C2">
        <v>317.05373540871585</v>
      </c>
      <c r="D2">
        <v>235.24444369446618</v>
      </c>
      <c r="E2">
        <v>335.20266776051585</v>
      </c>
      <c r="F2">
        <v>528.93541020746238</v>
      </c>
      <c r="G2">
        <v>233.45614800062498</v>
      </c>
      <c r="H2">
        <v>342.03864262552247</v>
      </c>
      <c r="I2">
        <v>438.2304128450815</v>
      </c>
      <c r="J2">
        <f>SUM(B2:I2)</f>
        <v>3214.2341089312549</v>
      </c>
    </row>
    <row r="3" spans="1:10" x14ac:dyDescent="0.3">
      <c r="A3">
        <v>1968</v>
      </c>
      <c r="B3">
        <v>924.97813630870826</v>
      </c>
      <c r="C3">
        <v>341.04411733381625</v>
      </c>
      <c r="D3">
        <v>285.74840665375598</v>
      </c>
      <c r="E3">
        <v>395.85421032215493</v>
      </c>
      <c r="F3">
        <v>555.25430034649025</v>
      </c>
      <c r="G3">
        <v>253.60849577885594</v>
      </c>
      <c r="H3">
        <v>403.08980534104268</v>
      </c>
      <c r="I3">
        <v>472.25304110051678</v>
      </c>
      <c r="J3">
        <f t="shared" ref="J3:J55" si="0">SUM(B3:I3)</f>
        <v>3631.8305131853408</v>
      </c>
    </row>
    <row r="4" spans="1:10" x14ac:dyDescent="0.3">
      <c r="A4">
        <v>1969</v>
      </c>
      <c r="B4">
        <v>970.40834395725369</v>
      </c>
      <c r="C4">
        <v>334.21432965759129</v>
      </c>
      <c r="D4">
        <v>297.75405086416197</v>
      </c>
      <c r="E4">
        <v>424.7926018675052</v>
      </c>
      <c r="F4">
        <v>602.70602137690071</v>
      </c>
      <c r="G4">
        <v>259.93321713593338</v>
      </c>
      <c r="H4">
        <v>467.698621402382</v>
      </c>
      <c r="I4">
        <v>464.89076135556206</v>
      </c>
      <c r="J4">
        <f t="shared" si="0"/>
        <v>3822.3979476172904</v>
      </c>
    </row>
    <row r="5" spans="1:10" x14ac:dyDescent="0.3">
      <c r="A5">
        <v>1970</v>
      </c>
      <c r="B5">
        <v>913.86104277221341</v>
      </c>
      <c r="C5">
        <v>278.05345784609636</v>
      </c>
      <c r="D5">
        <v>187.39190169481319</v>
      </c>
      <c r="E5">
        <v>371.38589282609826</v>
      </c>
      <c r="F5">
        <v>572.27381051059001</v>
      </c>
      <c r="G5">
        <v>212.42752003267367</v>
      </c>
      <c r="H5">
        <v>572.26462656418312</v>
      </c>
      <c r="I5">
        <v>339.8108768361119</v>
      </c>
      <c r="J5">
        <f t="shared" si="0"/>
        <v>3447.4691290827795</v>
      </c>
    </row>
    <row r="6" spans="1:10" x14ac:dyDescent="0.3">
      <c r="A6">
        <v>1971</v>
      </c>
      <c r="B6">
        <v>1132.3848633082098</v>
      </c>
      <c r="C6">
        <v>349.10394345687666</v>
      </c>
      <c r="D6">
        <v>221.91677403844375</v>
      </c>
      <c r="E6">
        <v>388.75671780132353</v>
      </c>
      <c r="F6">
        <v>600.73549546858385</v>
      </c>
      <c r="G6">
        <v>224.63671846648737</v>
      </c>
      <c r="H6">
        <v>590.88813942368711</v>
      </c>
      <c r="I6">
        <v>315.69793142283322</v>
      </c>
      <c r="J6">
        <f t="shared" si="0"/>
        <v>3824.1205833864456</v>
      </c>
    </row>
    <row r="7" spans="1:10" x14ac:dyDescent="0.3">
      <c r="A7">
        <v>1972</v>
      </c>
      <c r="B7">
        <v>1294.1625030299208</v>
      </c>
      <c r="C7">
        <v>413.91762196847509</v>
      </c>
      <c r="D7">
        <v>335.47451284684496</v>
      </c>
      <c r="E7">
        <v>452.62171746637301</v>
      </c>
      <c r="F7">
        <v>646.13998732123991</v>
      </c>
      <c r="G7">
        <v>263.57575169333387</v>
      </c>
      <c r="H7">
        <v>704.17367859724095</v>
      </c>
      <c r="I7">
        <v>360.88694044964416</v>
      </c>
      <c r="J7">
        <f t="shared" si="0"/>
        <v>4470.9527133730735</v>
      </c>
    </row>
    <row r="8" spans="1:10" x14ac:dyDescent="0.3">
      <c r="A8">
        <v>1973</v>
      </c>
      <c r="B8">
        <v>1464.9034276491664</v>
      </c>
      <c r="C8">
        <v>531.81543645459533</v>
      </c>
      <c r="D8">
        <v>459.43621540231436</v>
      </c>
      <c r="E8">
        <v>539.11008892009488</v>
      </c>
      <c r="F8">
        <v>779.10744089576212</v>
      </c>
      <c r="G8">
        <v>338.57450184540221</v>
      </c>
      <c r="H8">
        <v>799.78787324186908</v>
      </c>
      <c r="I8">
        <v>381.73795485892566</v>
      </c>
      <c r="J8">
        <f t="shared" si="0"/>
        <v>5294.4729392681311</v>
      </c>
    </row>
    <row r="9" spans="1:10" x14ac:dyDescent="0.3">
      <c r="A9">
        <v>1974</v>
      </c>
      <c r="B9">
        <v>1270.9603914901852</v>
      </c>
      <c r="C9">
        <v>374.87197362260383</v>
      </c>
      <c r="D9">
        <v>427.8297850018364</v>
      </c>
      <c r="E9">
        <v>465.1320331854235</v>
      </c>
      <c r="F9">
        <v>773.43784534057204</v>
      </c>
      <c r="G9">
        <v>367.79377285935635</v>
      </c>
      <c r="H9">
        <v>878.59299429494399</v>
      </c>
      <c r="I9">
        <v>325.42269714029442</v>
      </c>
      <c r="J9">
        <f t="shared" si="0"/>
        <v>4884.0414929352155</v>
      </c>
    </row>
    <row r="10" spans="1:10" x14ac:dyDescent="0.3">
      <c r="A10">
        <v>1975</v>
      </c>
      <c r="B10">
        <v>893.5232278028227</v>
      </c>
      <c r="C10">
        <v>314.68124307673935</v>
      </c>
      <c r="D10">
        <v>210.25751260799632</v>
      </c>
      <c r="E10">
        <v>309.02586923431448</v>
      </c>
      <c r="F10">
        <v>515.46887979277312</v>
      </c>
      <c r="G10">
        <v>204.44317446746624</v>
      </c>
      <c r="H10">
        <v>774.66780204003385</v>
      </c>
      <c r="I10">
        <v>237.12893808560008</v>
      </c>
      <c r="J10">
        <f t="shared" si="0"/>
        <v>3459.1966471077462</v>
      </c>
    </row>
    <row r="11" spans="1:10" x14ac:dyDescent="0.3">
      <c r="A11">
        <v>1976</v>
      </c>
      <c r="B11">
        <v>1126.1665260044783</v>
      </c>
      <c r="C11">
        <v>480.3566556963018</v>
      </c>
      <c r="D11">
        <v>347.61444816741169</v>
      </c>
      <c r="E11">
        <v>421.3891244802424</v>
      </c>
      <c r="F11">
        <v>532.63596707091187</v>
      </c>
      <c r="G11">
        <v>303.22363065215109</v>
      </c>
      <c r="H11">
        <v>992.64333835628315</v>
      </c>
      <c r="I11">
        <v>259.19463888076433</v>
      </c>
      <c r="J11">
        <f t="shared" si="0"/>
        <v>4463.2243293085448</v>
      </c>
    </row>
    <row r="12" spans="1:10" x14ac:dyDescent="0.3">
      <c r="A12">
        <v>1977</v>
      </c>
      <c r="B12">
        <v>1188.9534958290624</v>
      </c>
      <c r="C12">
        <v>551.59670193410705</v>
      </c>
      <c r="D12">
        <v>431.88128351854328</v>
      </c>
      <c r="E12">
        <v>430.29858942065056</v>
      </c>
      <c r="F12">
        <v>569.25191951621809</v>
      </c>
      <c r="G12">
        <v>306.06410617299088</v>
      </c>
      <c r="H12">
        <v>1065.5067078108289</v>
      </c>
      <c r="I12">
        <v>260.91757649566148</v>
      </c>
      <c r="J12">
        <f t="shared" si="0"/>
        <v>4804.4703806980624</v>
      </c>
    </row>
    <row r="13" spans="1:10" x14ac:dyDescent="0.3">
      <c r="A13">
        <v>1978</v>
      </c>
      <c r="B13">
        <v>1254.7146511678027</v>
      </c>
      <c r="C13">
        <v>413.84351514167037</v>
      </c>
      <c r="D13">
        <v>505.13104123758274</v>
      </c>
      <c r="E13">
        <v>476.01413944283479</v>
      </c>
      <c r="F13">
        <v>628.6635535388541</v>
      </c>
      <c r="G13">
        <v>352.02927809745461</v>
      </c>
      <c r="H13">
        <v>1202.5667507669295</v>
      </c>
      <c r="I13">
        <v>287.71439618796921</v>
      </c>
      <c r="J13">
        <f t="shared" si="0"/>
        <v>5120.6773255810976</v>
      </c>
    </row>
    <row r="14" spans="1:10" x14ac:dyDescent="0.3">
      <c r="A14">
        <v>1979</v>
      </c>
      <c r="B14">
        <v>1213.6068899565048</v>
      </c>
      <c r="C14">
        <v>535.03275448840532</v>
      </c>
      <c r="D14">
        <v>522.80367904291984</v>
      </c>
      <c r="E14">
        <v>424.11334298381968</v>
      </c>
      <c r="F14">
        <v>665.4064987880123</v>
      </c>
      <c r="G14">
        <v>319.63605890633397</v>
      </c>
      <c r="H14">
        <v>1233.8833422380042</v>
      </c>
      <c r="I14">
        <v>284.4952506241591</v>
      </c>
      <c r="J14">
        <f t="shared" si="0"/>
        <v>5198.9778170281588</v>
      </c>
    </row>
    <row r="15" spans="1:10" x14ac:dyDescent="0.3">
      <c r="A15">
        <v>1980</v>
      </c>
      <c r="B15">
        <v>1067.1696732095302</v>
      </c>
      <c r="C15">
        <v>337.09136864025641</v>
      </c>
      <c r="D15">
        <v>372.36389010489364</v>
      </c>
      <c r="E15">
        <v>364.03320123212347</v>
      </c>
      <c r="F15">
        <v>577.24581863650292</v>
      </c>
      <c r="G15">
        <v>253.12891811404387</v>
      </c>
      <c r="H15">
        <v>1274.8001970574742</v>
      </c>
      <c r="I15">
        <v>261.49755690708781</v>
      </c>
      <c r="J15">
        <f t="shared" si="0"/>
        <v>4507.3306239019121</v>
      </c>
    </row>
    <row r="16" spans="1:10" x14ac:dyDescent="0.3">
      <c r="A16">
        <v>1981</v>
      </c>
      <c r="B16">
        <v>1059.2628161034791</v>
      </c>
      <c r="C16">
        <v>335.40379214983892</v>
      </c>
      <c r="D16">
        <v>339.72108132942122</v>
      </c>
      <c r="E16">
        <v>414.35586466295416</v>
      </c>
      <c r="F16">
        <v>544.00865084290172</v>
      </c>
      <c r="G16">
        <v>262.24644290740889</v>
      </c>
      <c r="H16">
        <v>1341.6843992392924</v>
      </c>
      <c r="I16">
        <v>280.33674906268891</v>
      </c>
      <c r="J16">
        <f t="shared" si="0"/>
        <v>4577.0197962979846</v>
      </c>
    </row>
    <row r="17" spans="1:10" x14ac:dyDescent="0.3">
      <c r="A17">
        <v>1982</v>
      </c>
      <c r="B17">
        <v>957.76080178397171</v>
      </c>
      <c r="C17">
        <v>168.97207210925995</v>
      </c>
      <c r="D17">
        <v>301.61746440244337</v>
      </c>
      <c r="E17">
        <v>380.47638200058941</v>
      </c>
      <c r="F17">
        <v>449.06761656583592</v>
      </c>
      <c r="G17">
        <v>191.31713493003849</v>
      </c>
      <c r="H17">
        <v>1360.4203016572919</v>
      </c>
      <c r="I17">
        <v>227.14113588417669</v>
      </c>
      <c r="J17">
        <f t="shared" si="0"/>
        <v>4036.772909333607</v>
      </c>
    </row>
    <row r="18" spans="1:10" x14ac:dyDescent="0.3">
      <c r="A18">
        <v>1983</v>
      </c>
      <c r="B18">
        <v>1224.819496835335</v>
      </c>
      <c r="C18">
        <v>400.82471837165866</v>
      </c>
      <c r="D18">
        <v>431.63219705468816</v>
      </c>
      <c r="E18">
        <v>479.13391297148058</v>
      </c>
      <c r="F18">
        <v>518.92584944552334</v>
      </c>
      <c r="G18">
        <v>228.65682756072127</v>
      </c>
      <c r="H18">
        <v>1493.8553573076076</v>
      </c>
      <c r="I18">
        <v>247.8602119360437</v>
      </c>
      <c r="J18">
        <f t="shared" si="0"/>
        <v>5025.7085714830591</v>
      </c>
    </row>
    <row r="19" spans="1:10" x14ac:dyDescent="0.3">
      <c r="A19">
        <v>1984</v>
      </c>
      <c r="B19">
        <v>1246.6611523513891</v>
      </c>
      <c r="C19">
        <v>473.47050444472501</v>
      </c>
      <c r="D19">
        <v>616.21388412944248</v>
      </c>
      <c r="E19">
        <v>546.58720465182853</v>
      </c>
      <c r="F19">
        <v>626.43389340609428</v>
      </c>
      <c r="G19">
        <v>270.02194067233114</v>
      </c>
      <c r="H19">
        <v>1535.7766483728121</v>
      </c>
      <c r="I19">
        <v>263.99600550063371</v>
      </c>
      <c r="J19">
        <f t="shared" si="0"/>
        <v>5579.1612335292566</v>
      </c>
    </row>
    <row r="20" spans="1:10" x14ac:dyDescent="0.3">
      <c r="A20">
        <v>1985</v>
      </c>
      <c r="B20">
        <v>1344.8370414224942</v>
      </c>
      <c r="C20">
        <v>638.88460927083031</v>
      </c>
      <c r="D20">
        <v>546.88834946516988</v>
      </c>
      <c r="E20">
        <v>537.95483165848827</v>
      </c>
      <c r="F20">
        <v>630.29426288515151</v>
      </c>
      <c r="G20">
        <v>324.22782447520746</v>
      </c>
      <c r="H20">
        <v>1561.7512793197373</v>
      </c>
      <c r="I20">
        <v>252.55139775567903</v>
      </c>
      <c r="J20">
        <f t="shared" si="0"/>
        <v>5837.3895962527586</v>
      </c>
    </row>
    <row r="21" spans="1:10" x14ac:dyDescent="0.3">
      <c r="A21">
        <v>1986</v>
      </c>
      <c r="B21">
        <v>1412.3130394623995</v>
      </c>
      <c r="C21">
        <v>658.76161798026953</v>
      </c>
      <c r="D21">
        <v>567.59021145830798</v>
      </c>
      <c r="E21">
        <v>623.0033828857346</v>
      </c>
      <c r="F21">
        <v>622.66132638605313</v>
      </c>
      <c r="G21">
        <v>257.85029868290525</v>
      </c>
      <c r="H21">
        <v>1615.6949178038528</v>
      </c>
      <c r="I21">
        <v>220.76338560163788</v>
      </c>
      <c r="J21">
        <f t="shared" si="0"/>
        <v>5978.6381802611613</v>
      </c>
    </row>
    <row r="22" spans="1:10" x14ac:dyDescent="0.3">
      <c r="A22">
        <v>1987</v>
      </c>
      <c r="B22">
        <v>1426.6009675039102</v>
      </c>
      <c r="C22">
        <v>683.36227690663497</v>
      </c>
      <c r="D22">
        <v>615.12591261564819</v>
      </c>
      <c r="E22">
        <v>646.5480327352011</v>
      </c>
      <c r="F22">
        <v>623.7509454913511</v>
      </c>
      <c r="G22">
        <v>308.73200804774979</v>
      </c>
      <c r="H22">
        <v>1720.763319258398</v>
      </c>
      <c r="I22">
        <v>261.48793847479766</v>
      </c>
      <c r="J22">
        <f t="shared" si="0"/>
        <v>6286.3714010336907</v>
      </c>
    </row>
    <row r="23" spans="1:10" x14ac:dyDescent="0.3">
      <c r="A23">
        <v>1988</v>
      </c>
      <c r="B23">
        <v>1323.968094491029</v>
      </c>
      <c r="C23">
        <v>687.53200659923095</v>
      </c>
      <c r="D23">
        <v>609.26769955443706</v>
      </c>
      <c r="E23">
        <v>643.01371699857077</v>
      </c>
      <c r="F23">
        <v>654.46026665960585</v>
      </c>
      <c r="G23">
        <v>328.27347032624749</v>
      </c>
      <c r="H23">
        <v>1707.7178633906292</v>
      </c>
      <c r="I23">
        <v>254.42902629540805</v>
      </c>
      <c r="J23">
        <f t="shared" si="0"/>
        <v>6208.6621443151589</v>
      </c>
    </row>
    <row r="24" spans="1:10" x14ac:dyDescent="0.3">
      <c r="A24">
        <v>1989</v>
      </c>
      <c r="B24">
        <v>1159.9348031854254</v>
      </c>
      <c r="C24">
        <v>568.5709917616839</v>
      </c>
      <c r="D24">
        <v>597.0028494163015</v>
      </c>
      <c r="E24">
        <v>588.84423814386207</v>
      </c>
      <c r="F24">
        <v>641.05572136112687</v>
      </c>
      <c r="G24">
        <v>322.68547584328735</v>
      </c>
      <c r="H24">
        <v>1772.1017577990763</v>
      </c>
      <c r="I24">
        <v>249.56731783250464</v>
      </c>
      <c r="J24">
        <f t="shared" si="0"/>
        <v>5899.7631553432684</v>
      </c>
    </row>
    <row r="25" spans="1:10" x14ac:dyDescent="0.3">
      <c r="A25">
        <v>1990</v>
      </c>
      <c r="B25">
        <v>1077.3733166587785</v>
      </c>
      <c r="C25">
        <v>558.12880408697924</v>
      </c>
      <c r="D25">
        <v>542.29098682037579</v>
      </c>
      <c r="E25">
        <v>552.86331697516482</v>
      </c>
      <c r="F25">
        <v>554.2835326996119</v>
      </c>
      <c r="G25">
        <v>316.29437009797078</v>
      </c>
      <c r="H25">
        <v>1813.3747385689596</v>
      </c>
      <c r="I25">
        <v>245.5381676018329</v>
      </c>
      <c r="J25">
        <f t="shared" si="0"/>
        <v>5660.1472335096742</v>
      </c>
    </row>
    <row r="26" spans="1:10" x14ac:dyDescent="0.3">
      <c r="A26">
        <v>1991</v>
      </c>
      <c r="B26">
        <v>930.70447064196082</v>
      </c>
      <c r="C26">
        <v>546.87532069390568</v>
      </c>
      <c r="D26">
        <v>449.34165438168912</v>
      </c>
      <c r="E26">
        <v>494.50488084722508</v>
      </c>
      <c r="F26">
        <v>488.45859152443825</v>
      </c>
      <c r="G26">
        <v>268.75166413386631</v>
      </c>
      <c r="H26">
        <v>1866.0438922879678</v>
      </c>
      <c r="I26">
        <v>227.37031990874522</v>
      </c>
      <c r="J26">
        <f t="shared" si="0"/>
        <v>5272.050794419798</v>
      </c>
    </row>
    <row r="27" spans="1:10" x14ac:dyDescent="0.3">
      <c r="A27">
        <v>1992</v>
      </c>
      <c r="B27">
        <v>1011.5876606765322</v>
      </c>
      <c r="C27">
        <v>635.00946305740467</v>
      </c>
      <c r="D27">
        <v>527.89771188242389</v>
      </c>
      <c r="E27">
        <v>567.64221580756259</v>
      </c>
      <c r="F27">
        <v>517.32561597798701</v>
      </c>
      <c r="G27">
        <v>293.77773139512857</v>
      </c>
      <c r="H27">
        <v>1900.5132068617038</v>
      </c>
      <c r="I27">
        <v>241.38114750004871</v>
      </c>
      <c r="J27">
        <f t="shared" si="0"/>
        <v>5695.1347531587908</v>
      </c>
    </row>
    <row r="28" spans="1:10" x14ac:dyDescent="0.3">
      <c r="A28">
        <v>1993</v>
      </c>
      <c r="B28">
        <v>1095.0452215967932</v>
      </c>
      <c r="C28">
        <v>856.84012653728485</v>
      </c>
      <c r="D28">
        <v>637.09583607743605</v>
      </c>
      <c r="E28">
        <v>625.76759523753583</v>
      </c>
      <c r="F28">
        <v>540.17501819152608</v>
      </c>
      <c r="G28">
        <v>310.40136665447915</v>
      </c>
      <c r="H28">
        <v>1838.3973437212078</v>
      </c>
      <c r="I28">
        <v>245.12437601130938</v>
      </c>
      <c r="J28">
        <f t="shared" si="0"/>
        <v>6148.8468840275718</v>
      </c>
    </row>
    <row r="29" spans="1:10" x14ac:dyDescent="0.3">
      <c r="A29">
        <v>1994</v>
      </c>
      <c r="B29">
        <v>1240.9786913120192</v>
      </c>
      <c r="C29">
        <v>1001.8780831721676</v>
      </c>
      <c r="D29">
        <v>790.40977754575579</v>
      </c>
      <c r="E29">
        <v>724.41024080171417</v>
      </c>
      <c r="F29">
        <v>626.99136813203609</v>
      </c>
      <c r="G29">
        <v>382.25897084081379</v>
      </c>
      <c r="H29">
        <v>1905.2365615724475</v>
      </c>
      <c r="I29">
        <v>260.15862690962268</v>
      </c>
      <c r="J29">
        <f t="shared" si="0"/>
        <v>6932.3223202865765</v>
      </c>
    </row>
    <row r="30" spans="1:10" x14ac:dyDescent="0.3">
      <c r="A30">
        <v>1995</v>
      </c>
      <c r="B30">
        <v>1079.9751121363497</v>
      </c>
      <c r="C30">
        <v>1155.3520355378714</v>
      </c>
      <c r="D30">
        <v>897.27653005275681</v>
      </c>
      <c r="E30">
        <v>704.5023691470451</v>
      </c>
      <c r="F30">
        <v>597.43918004490047</v>
      </c>
      <c r="G30">
        <v>346.53368286645855</v>
      </c>
      <c r="H30">
        <v>1934.5138633906292</v>
      </c>
      <c r="I30">
        <v>262.90841508901235</v>
      </c>
      <c r="J30">
        <f t="shared" si="0"/>
        <v>6978.5011882650233</v>
      </c>
    </row>
    <row r="31" spans="1:10" x14ac:dyDescent="0.3">
      <c r="A31">
        <v>1996</v>
      </c>
      <c r="B31">
        <v>1177.9370762288825</v>
      </c>
      <c r="C31">
        <v>1284.4900433186206</v>
      </c>
      <c r="D31">
        <v>788.26013484904342</v>
      </c>
      <c r="E31">
        <v>729.93421355400983</v>
      </c>
      <c r="F31">
        <v>615.87946421008303</v>
      </c>
      <c r="G31">
        <v>381.42540096196683</v>
      </c>
      <c r="H31">
        <v>1825.4080469987114</v>
      </c>
      <c r="I31">
        <v>269.89676998693579</v>
      </c>
      <c r="J31">
        <f t="shared" si="0"/>
        <v>7073.2311501082531</v>
      </c>
    </row>
    <row r="32" spans="1:10" x14ac:dyDescent="0.3">
      <c r="A32">
        <v>1997</v>
      </c>
      <c r="B32">
        <v>1174.6508869756092</v>
      </c>
      <c r="C32">
        <v>1479.2478378236463</v>
      </c>
      <c r="D32">
        <v>886.89664500518109</v>
      </c>
      <c r="E32">
        <v>784.29474597407057</v>
      </c>
      <c r="F32">
        <v>645.72932793450104</v>
      </c>
      <c r="G32">
        <v>425.95068065244959</v>
      </c>
      <c r="H32">
        <v>1862.8537535111084</v>
      </c>
      <c r="I32">
        <v>287.23807373189038</v>
      </c>
      <c r="J32">
        <f t="shared" si="0"/>
        <v>7546.8619516084564</v>
      </c>
    </row>
    <row r="33" spans="1:10" x14ac:dyDescent="0.3">
      <c r="A33">
        <v>1998</v>
      </c>
      <c r="B33">
        <v>1248.1443552922267</v>
      </c>
      <c r="C33">
        <v>1674.4958403386108</v>
      </c>
      <c r="D33">
        <v>965.24589070817331</v>
      </c>
      <c r="E33">
        <v>844.74793832929731</v>
      </c>
      <c r="F33">
        <v>682.85056978091029</v>
      </c>
      <c r="G33">
        <v>441.82776150479594</v>
      </c>
      <c r="H33">
        <v>1906.7359679904471</v>
      </c>
      <c r="I33">
        <v>260.1161068054987</v>
      </c>
      <c r="J33">
        <f t="shared" si="0"/>
        <v>8024.164430749961</v>
      </c>
    </row>
    <row r="34" spans="1:10" x14ac:dyDescent="0.3">
      <c r="A34">
        <v>1999</v>
      </c>
      <c r="B34">
        <v>1336.9991039197175</v>
      </c>
      <c r="C34">
        <v>1928.1548770484733</v>
      </c>
      <c r="D34">
        <v>1091.8013480660884</v>
      </c>
      <c r="E34">
        <v>902.70404192856461</v>
      </c>
      <c r="F34">
        <v>776.73293189221909</v>
      </c>
      <c r="G34">
        <v>514.33285288436412</v>
      </c>
      <c r="H34">
        <v>1942.9858410482982</v>
      </c>
      <c r="I34">
        <v>277.45488985785317</v>
      </c>
      <c r="J34">
        <f t="shared" si="0"/>
        <v>8771.1658866455782</v>
      </c>
    </row>
    <row r="35" spans="1:10" x14ac:dyDescent="0.3">
      <c r="A35">
        <v>2000</v>
      </c>
      <c r="B35">
        <v>1343.0271526809656</v>
      </c>
      <c r="C35">
        <v>1870.5115345461961</v>
      </c>
      <c r="D35">
        <v>1004.7115386870923</v>
      </c>
      <c r="E35">
        <v>963.45190932285198</v>
      </c>
      <c r="F35">
        <v>751.59718927072515</v>
      </c>
      <c r="G35">
        <v>558.84647237607589</v>
      </c>
      <c r="H35">
        <v>1899.9133445193727</v>
      </c>
      <c r="I35">
        <v>277.55038872925815</v>
      </c>
      <c r="J35">
        <f t="shared" si="0"/>
        <v>8669.6095301325386</v>
      </c>
    </row>
    <row r="36" spans="1:10" x14ac:dyDescent="0.3">
      <c r="A36">
        <v>2001</v>
      </c>
      <c r="B36">
        <v>1442.7769745505632</v>
      </c>
      <c r="C36">
        <v>1590.3930919547549</v>
      </c>
      <c r="D36">
        <v>708.50612571750105</v>
      </c>
      <c r="E36">
        <v>876.45722556306623</v>
      </c>
      <c r="F36">
        <v>614.60743826336193</v>
      </c>
      <c r="G36">
        <v>518.4459080485525</v>
      </c>
      <c r="H36">
        <v>1692.0817315558945</v>
      </c>
      <c r="I36">
        <v>324.21720505252074</v>
      </c>
      <c r="J36">
        <f t="shared" si="0"/>
        <v>7767.4857007062146</v>
      </c>
    </row>
    <row r="37" spans="1:10" x14ac:dyDescent="0.3">
      <c r="A37">
        <v>2002</v>
      </c>
      <c r="B37">
        <v>1499.7998766921473</v>
      </c>
      <c r="C37">
        <v>1814.2232068217197</v>
      </c>
      <c r="D37">
        <v>741.83914481024067</v>
      </c>
      <c r="E37">
        <v>1018.7308653486307</v>
      </c>
      <c r="F37">
        <v>664.49487067561699</v>
      </c>
      <c r="G37">
        <v>516.74800991539257</v>
      </c>
      <c r="H37">
        <v>1697.8244890542967</v>
      </c>
      <c r="I37">
        <v>334.08674946129833</v>
      </c>
      <c r="J37">
        <f t="shared" si="0"/>
        <v>8287.7472127793426</v>
      </c>
    </row>
    <row r="38" spans="1:10" x14ac:dyDescent="0.3">
      <c r="A38">
        <v>2003</v>
      </c>
      <c r="B38">
        <v>1509.8081308218841</v>
      </c>
      <c r="C38">
        <v>1894.0912646101608</v>
      </c>
      <c r="D38">
        <v>818.34082165794882</v>
      </c>
      <c r="E38">
        <v>1005.935591332139</v>
      </c>
      <c r="F38">
        <v>653.05291105990113</v>
      </c>
      <c r="G38">
        <v>558.11918693620373</v>
      </c>
      <c r="H38">
        <v>1685.8352233997375</v>
      </c>
      <c r="I38">
        <v>331.80859240450371</v>
      </c>
      <c r="J38">
        <f t="shared" si="0"/>
        <v>8456.9917222224794</v>
      </c>
    </row>
    <row r="39" spans="1:10" x14ac:dyDescent="0.3">
      <c r="A39">
        <v>2004</v>
      </c>
      <c r="B39">
        <v>1608.534563354521</v>
      </c>
      <c r="C39">
        <v>1982.5114789523329</v>
      </c>
      <c r="D39">
        <v>1029.8919820535332</v>
      </c>
      <c r="E39">
        <v>1097.5423003272169</v>
      </c>
      <c r="F39">
        <v>655.15007636565315</v>
      </c>
      <c r="G39">
        <v>623.623808607711</v>
      </c>
      <c r="H39">
        <v>1740.6097115862558</v>
      </c>
      <c r="I39">
        <v>324.50762268457504</v>
      </c>
      <c r="J39">
        <f t="shared" si="0"/>
        <v>9062.3715439318003</v>
      </c>
    </row>
    <row r="40" spans="1:10" x14ac:dyDescent="0.3">
      <c r="A40">
        <v>2005</v>
      </c>
      <c r="B40">
        <v>1608.7989875102153</v>
      </c>
      <c r="C40">
        <v>1877.9433458009787</v>
      </c>
      <c r="D40">
        <v>1128.8884434289798</v>
      </c>
      <c r="E40">
        <v>1153.2648796295578</v>
      </c>
      <c r="F40">
        <v>706.93668277927873</v>
      </c>
      <c r="G40">
        <v>616.31457842383827</v>
      </c>
      <c r="H40">
        <v>1747.4271371545349</v>
      </c>
      <c r="I40">
        <v>292.27665353527624</v>
      </c>
      <c r="J40">
        <f t="shared" si="0"/>
        <v>9131.8507082626602</v>
      </c>
    </row>
    <row r="41" spans="1:10" x14ac:dyDescent="0.3">
      <c r="A41">
        <v>2006</v>
      </c>
      <c r="B41">
        <v>1625.4998260180871</v>
      </c>
      <c r="C41">
        <v>1766.8158210128006</v>
      </c>
      <c r="D41">
        <v>1128.2249460968771</v>
      </c>
      <c r="E41">
        <v>1246.7761667804416</v>
      </c>
      <c r="F41">
        <v>843.15563927942958</v>
      </c>
      <c r="G41">
        <v>622.64502946582434</v>
      </c>
      <c r="H41">
        <v>1750.6847247413484</v>
      </c>
      <c r="I41">
        <v>287.71808121214787</v>
      </c>
      <c r="J41">
        <f t="shared" si="0"/>
        <v>9271.5202346069564</v>
      </c>
    </row>
    <row r="42" spans="1:10" x14ac:dyDescent="0.3">
      <c r="A42">
        <v>2007</v>
      </c>
      <c r="B42">
        <v>1457.9710163123757</v>
      </c>
      <c r="C42">
        <v>1620.0359831750059</v>
      </c>
      <c r="D42">
        <v>924.21726581577627</v>
      </c>
      <c r="E42">
        <v>1232.4297610197793</v>
      </c>
      <c r="F42">
        <v>845.3297569904197</v>
      </c>
      <c r="G42">
        <v>578.21949083319817</v>
      </c>
      <c r="H42">
        <v>1681.4022176114961</v>
      </c>
      <c r="I42">
        <v>313.83595828570321</v>
      </c>
      <c r="J42">
        <f t="shared" si="0"/>
        <v>8653.4414500437542</v>
      </c>
    </row>
    <row r="43" spans="1:10" x14ac:dyDescent="0.3">
      <c r="A43">
        <v>2008</v>
      </c>
      <c r="B43">
        <v>1211.278296931637</v>
      </c>
      <c r="C43">
        <v>1194.5356659079869</v>
      </c>
      <c r="D43">
        <v>788.48054364212339</v>
      </c>
      <c r="E43">
        <v>1047.8185629528784</v>
      </c>
      <c r="F43">
        <v>792.34361995937434</v>
      </c>
      <c r="G43">
        <v>514.70495178569945</v>
      </c>
      <c r="H43">
        <v>1690.2010624336106</v>
      </c>
      <c r="I43">
        <v>293.0990379846566</v>
      </c>
      <c r="J43">
        <f t="shared" si="0"/>
        <v>7532.4617415979665</v>
      </c>
    </row>
    <row r="44" spans="1:10" x14ac:dyDescent="0.3">
      <c r="A44">
        <v>2009</v>
      </c>
      <c r="B44">
        <v>1000.2433435534582</v>
      </c>
      <c r="C44">
        <v>793.81610754870337</v>
      </c>
      <c r="D44">
        <v>701.34992247265859</v>
      </c>
      <c r="E44">
        <v>835.20258384814861</v>
      </c>
      <c r="F44">
        <v>611.31328854854621</v>
      </c>
      <c r="G44">
        <v>434.62571767044005</v>
      </c>
      <c r="H44">
        <v>1657.0542691533569</v>
      </c>
      <c r="I44">
        <v>230.43930936918392</v>
      </c>
      <c r="J44">
        <f t="shared" si="0"/>
        <v>6264.0445421644954</v>
      </c>
    </row>
    <row r="45" spans="1:10" x14ac:dyDescent="0.3">
      <c r="A45">
        <v>2010</v>
      </c>
      <c r="B45">
        <v>1048.1419321011988</v>
      </c>
      <c r="C45">
        <v>989.5245261250634</v>
      </c>
      <c r="D45">
        <v>903.51681597482207</v>
      </c>
      <c r="E45">
        <v>1087.2294668064462</v>
      </c>
      <c r="F45">
        <v>701.24753963574301</v>
      </c>
      <c r="G45">
        <v>608.62996586596444</v>
      </c>
      <c r="H45">
        <v>1658.8341881440895</v>
      </c>
      <c r="I45">
        <v>280.17364084795349</v>
      </c>
      <c r="J45">
        <f t="shared" si="0"/>
        <v>7277.2980755012813</v>
      </c>
    </row>
    <row r="46" spans="1:10" x14ac:dyDescent="0.3">
      <c r="A46">
        <v>2011</v>
      </c>
      <c r="B46">
        <v>1029.5583158815762</v>
      </c>
      <c r="C46">
        <v>1028.5052545372014</v>
      </c>
      <c r="D46">
        <v>833.3839450941017</v>
      </c>
      <c r="E46">
        <v>1065.8747272678554</v>
      </c>
      <c r="F46">
        <v>794.09384115300065</v>
      </c>
      <c r="G46">
        <v>499.81295563136911</v>
      </c>
      <c r="H46">
        <v>1629.9524837661581</v>
      </c>
      <c r="I46">
        <v>294.88145862103022</v>
      </c>
      <c r="J46">
        <f t="shared" si="0"/>
        <v>7176.0629819522928</v>
      </c>
    </row>
    <row r="47" spans="1:10" x14ac:dyDescent="0.3">
      <c r="A47">
        <v>2012</v>
      </c>
      <c r="B47">
        <v>1110.3416070038863</v>
      </c>
      <c r="C47">
        <v>1376.6658455120562</v>
      </c>
      <c r="D47">
        <v>937.75960097191728</v>
      </c>
      <c r="E47">
        <v>1123.150147034961</v>
      </c>
      <c r="F47">
        <v>842.02649819040971</v>
      </c>
      <c r="G47">
        <v>543.73855331218715</v>
      </c>
      <c r="H47">
        <v>1593.5145195219075</v>
      </c>
      <c r="I47">
        <v>297.51902755395832</v>
      </c>
      <c r="J47">
        <f t="shared" si="0"/>
        <v>7824.7157991012828</v>
      </c>
    </row>
    <row r="48" spans="1:10" x14ac:dyDescent="0.3">
      <c r="A48">
        <v>2013</v>
      </c>
      <c r="B48">
        <v>1137.3244187462221</v>
      </c>
      <c r="C48">
        <v>1511.040682148041</v>
      </c>
      <c r="D48">
        <v>1006.6117529768319</v>
      </c>
      <c r="E48">
        <v>1208.0799237586248</v>
      </c>
      <c r="F48">
        <v>810.11198468798761</v>
      </c>
      <c r="G48">
        <v>640.7570316061724</v>
      </c>
      <c r="H48">
        <v>1573.3309098345394</v>
      </c>
      <c r="I48">
        <v>290.27813809308566</v>
      </c>
      <c r="J48">
        <f t="shared" si="0"/>
        <v>8177.534841851505</v>
      </c>
    </row>
    <row r="49" spans="1:10" x14ac:dyDescent="0.3">
      <c r="A49">
        <v>2014</v>
      </c>
      <c r="B49">
        <v>1222.057514721856</v>
      </c>
      <c r="C49">
        <v>1592.4612292332326</v>
      </c>
      <c r="D49">
        <v>1121.6442824718247</v>
      </c>
      <c r="E49">
        <v>1224.3285248396194</v>
      </c>
      <c r="F49">
        <v>822.45559183724106</v>
      </c>
      <c r="G49">
        <v>655.7494469876051</v>
      </c>
      <c r="H49">
        <v>1580.181918780002</v>
      </c>
      <c r="I49">
        <v>297.64168398787683</v>
      </c>
      <c r="J49">
        <f t="shared" si="0"/>
        <v>8516.5201928592578</v>
      </c>
    </row>
    <row r="50" spans="1:10" x14ac:dyDescent="0.3">
      <c r="A50">
        <v>2015</v>
      </c>
      <c r="B50">
        <v>1281.3729403209529</v>
      </c>
      <c r="C50">
        <v>1886.3121421586477</v>
      </c>
      <c r="D50">
        <v>1211.4858288189864</v>
      </c>
      <c r="E50">
        <v>1261.0596530041141</v>
      </c>
      <c r="F50">
        <v>838.28765127215866</v>
      </c>
      <c r="G50">
        <v>658.99744696286677</v>
      </c>
      <c r="H50">
        <v>1612.925711534052</v>
      </c>
      <c r="I50">
        <v>284.63356507015897</v>
      </c>
      <c r="J50">
        <f t="shared" si="0"/>
        <v>9035.0749391419376</v>
      </c>
    </row>
    <row r="51" spans="1:10" x14ac:dyDescent="0.3">
      <c r="A51">
        <v>2016</v>
      </c>
      <c r="B51">
        <v>1342.6807566231582</v>
      </c>
      <c r="C51">
        <v>2412.8067854549158</v>
      </c>
      <c r="D51">
        <v>1165.0428004518237</v>
      </c>
      <c r="E51">
        <v>1346.1071127654209</v>
      </c>
      <c r="F51">
        <v>880.78673992525023</v>
      </c>
      <c r="G51">
        <v>743.37780958380961</v>
      </c>
      <c r="H51">
        <v>1629.6166499943217</v>
      </c>
      <c r="I51">
        <v>276.32549332231468</v>
      </c>
      <c r="J51">
        <f t="shared" si="0"/>
        <v>9796.7441481210135</v>
      </c>
    </row>
    <row r="52" spans="1:10" x14ac:dyDescent="0.3">
      <c r="A52">
        <v>2017</v>
      </c>
      <c r="B52">
        <v>1389.921425529539</v>
      </c>
      <c r="C52">
        <v>2056.0161538024058</v>
      </c>
      <c r="D52">
        <v>1190.5595954543144</v>
      </c>
      <c r="E52">
        <v>1378.7419245626756</v>
      </c>
      <c r="F52">
        <v>1004.3745103183269</v>
      </c>
      <c r="G52">
        <v>790.53895531440855</v>
      </c>
      <c r="H52">
        <v>1607.7538714477714</v>
      </c>
      <c r="I52">
        <v>298.25116285719309</v>
      </c>
      <c r="J52">
        <f t="shared" si="0"/>
        <v>9716.1575992866365</v>
      </c>
    </row>
    <row r="53" spans="1:10" x14ac:dyDescent="0.3">
      <c r="A53">
        <v>2018</v>
      </c>
      <c r="B53">
        <v>1495.2842908864861</v>
      </c>
      <c r="C53">
        <v>2106.2972722918025</v>
      </c>
      <c r="D53">
        <v>1280.5076828444626</v>
      </c>
      <c r="E53">
        <v>1435.6912967214148</v>
      </c>
      <c r="F53">
        <v>976.95878314727474</v>
      </c>
      <c r="G53">
        <v>832.11583448044962</v>
      </c>
      <c r="H53">
        <v>1639.8595800353323</v>
      </c>
      <c r="I53">
        <v>309.16711006341063</v>
      </c>
      <c r="J53">
        <f t="shared" si="0"/>
        <v>10075.881850470634</v>
      </c>
    </row>
    <row r="54" spans="1:10" x14ac:dyDescent="0.3">
      <c r="A54">
        <v>2019</v>
      </c>
      <c r="B54">
        <v>1525.2868971290775</v>
      </c>
      <c r="C54">
        <v>2089.5211919200369</v>
      </c>
      <c r="D54">
        <v>1246.0117475249872</v>
      </c>
      <c r="E54">
        <v>1349.647686495138</v>
      </c>
      <c r="F54">
        <v>997.20855516121674</v>
      </c>
      <c r="G54">
        <v>791.50554922752826</v>
      </c>
      <c r="H54">
        <v>1678.5476305508869</v>
      </c>
      <c r="I54">
        <v>301.32113929916648</v>
      </c>
      <c r="J54">
        <f t="shared" si="0"/>
        <v>9979.0503973080395</v>
      </c>
    </row>
    <row r="55" spans="1:10" x14ac:dyDescent="0.3">
      <c r="A55">
        <v>2020</v>
      </c>
      <c r="B55">
        <v>1421.1591654032877</v>
      </c>
      <c r="C55">
        <v>1677.2115773374696</v>
      </c>
      <c r="D55">
        <v>891.96483452980954</v>
      </c>
      <c r="E55">
        <v>1424.8420745140418</v>
      </c>
      <c r="F55">
        <v>927.32103900023708</v>
      </c>
      <c r="G55">
        <v>709.19816731149763</v>
      </c>
      <c r="H55">
        <v>1699.8394916853156</v>
      </c>
      <c r="I55">
        <v>271.29741150358905</v>
      </c>
      <c r="J55">
        <f t="shared" si="0"/>
        <v>9022.8337612852465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8F73-CF43-417A-BEB2-AD88C7D97D22}">
  <dimension ref="A1:J85"/>
  <sheetViews>
    <sheetView tabSelected="1" topLeftCell="A60" workbookViewId="0">
      <selection activeCell="K65" sqref="K65"/>
    </sheetView>
  </sheetViews>
  <sheetFormatPr defaultRowHeight="14.4" x14ac:dyDescent="0.3"/>
  <sheetData>
    <row r="1" spans="1:10" ht="15.6" x14ac:dyDescent="0.3">
      <c r="A1" t="s">
        <v>475</v>
      </c>
      <c r="B1" s="145" t="s">
        <v>482</v>
      </c>
      <c r="C1" s="146" t="s">
        <v>483</v>
      </c>
      <c r="D1" s="146" t="s">
        <v>484</v>
      </c>
      <c r="E1" s="146" t="s">
        <v>485</v>
      </c>
      <c r="F1" s="146" t="s">
        <v>486</v>
      </c>
      <c r="G1" s="146" t="s">
        <v>487</v>
      </c>
      <c r="H1" s="146" t="s">
        <v>488</v>
      </c>
      <c r="I1" s="146" t="s">
        <v>489</v>
      </c>
      <c r="J1" s="146" t="s">
        <v>236</v>
      </c>
    </row>
    <row r="2" spans="1:10" x14ac:dyDescent="0.3">
      <c r="A2">
        <v>1967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336.15143238978101</v>
      </c>
      <c r="I2">
        <v>0</v>
      </c>
      <c r="J2">
        <f>SUM(B2:I2)</f>
        <v>336.15143238978101</v>
      </c>
    </row>
    <row r="3" spans="1:10" x14ac:dyDescent="0.3">
      <c r="A3">
        <v>1968</v>
      </c>
      <c r="B3">
        <v>1.2225944018100101</v>
      </c>
      <c r="C3">
        <v>0</v>
      </c>
      <c r="D3">
        <v>9.1009428059423692E-2</v>
      </c>
      <c r="E3">
        <v>0.28445932761753606</v>
      </c>
      <c r="F3">
        <v>0.60389545068358941</v>
      </c>
      <c r="G3">
        <v>0.33621623839280573</v>
      </c>
      <c r="H3">
        <v>397.18017420796281</v>
      </c>
      <c r="I3">
        <v>0.15359331625492345</v>
      </c>
      <c r="J3">
        <f t="shared" ref="J3:J66" si="0">SUM(B3:I3)</f>
        <v>399.87194237078108</v>
      </c>
    </row>
    <row r="4" spans="1:10" x14ac:dyDescent="0.3">
      <c r="A4">
        <v>1969</v>
      </c>
      <c r="B4">
        <v>1.4629068816193609</v>
      </c>
      <c r="C4">
        <v>0.14628859351933277</v>
      </c>
      <c r="D4">
        <v>0.13353196855310867</v>
      </c>
      <c r="E4">
        <v>0.5116671537953531</v>
      </c>
      <c r="F4">
        <v>0.78507916770220276</v>
      </c>
      <c r="G4">
        <v>0.43838652789415372</v>
      </c>
      <c r="H4">
        <v>461.78467855827546</v>
      </c>
      <c r="I4">
        <v>0.2187613189110742</v>
      </c>
      <c r="J4">
        <f t="shared" si="0"/>
        <v>465.48130017027</v>
      </c>
    </row>
    <row r="5" spans="1:10" x14ac:dyDescent="0.3">
      <c r="A5">
        <v>1970</v>
      </c>
      <c r="B5">
        <v>1.6174106345362969</v>
      </c>
      <c r="C5">
        <v>1.0593862031908312</v>
      </c>
      <c r="D5">
        <v>0.16443182469307016</v>
      </c>
      <c r="E5">
        <v>0.85333070901839547</v>
      </c>
      <c r="F5">
        <v>0.93559499075701702</v>
      </c>
      <c r="G5">
        <v>0.51031310624035364</v>
      </c>
      <c r="H5">
        <v>562.27266743110317</v>
      </c>
      <c r="I5">
        <v>0.28234911221852244</v>
      </c>
      <c r="J5">
        <f t="shared" si="0"/>
        <v>567.69548401175769</v>
      </c>
    </row>
    <row r="6" spans="1:10" x14ac:dyDescent="0.3">
      <c r="A6">
        <v>1971</v>
      </c>
      <c r="B6">
        <v>2.1132258224107545</v>
      </c>
      <c r="C6">
        <v>4.0284404589885305</v>
      </c>
      <c r="D6">
        <v>0.23897753821004841</v>
      </c>
      <c r="E6">
        <v>1.4289916782892074</v>
      </c>
      <c r="F6">
        <v>1.1680222581111428</v>
      </c>
      <c r="G6">
        <v>0.66006950836173317</v>
      </c>
      <c r="H6">
        <v>581.80336429060719</v>
      </c>
      <c r="I6">
        <v>0.39115398256012313</v>
      </c>
      <c r="J6">
        <f t="shared" si="0"/>
        <v>591.83224553753871</v>
      </c>
    </row>
    <row r="7" spans="1:10" x14ac:dyDescent="0.3">
      <c r="A7">
        <v>1972</v>
      </c>
      <c r="B7">
        <v>2.6136187742263814</v>
      </c>
      <c r="C7">
        <v>10.321693388841876</v>
      </c>
      <c r="D7">
        <v>0.35937088670973905</v>
      </c>
      <c r="E7">
        <v>2.3491686586496821</v>
      </c>
      <c r="F7">
        <v>1.4622620965662412</v>
      </c>
      <c r="G7">
        <v>0.87378279278338689</v>
      </c>
      <c r="H7">
        <v>695.08890346416092</v>
      </c>
      <c r="I7">
        <v>0.55417561226536627</v>
      </c>
      <c r="J7">
        <f t="shared" si="0"/>
        <v>713.62297567420353</v>
      </c>
    </row>
    <row r="8" spans="1:10" x14ac:dyDescent="0.3">
      <c r="A8">
        <v>1973</v>
      </c>
      <c r="B8">
        <v>3.1952743986330043</v>
      </c>
      <c r="C8">
        <v>20.699542635642814</v>
      </c>
      <c r="D8">
        <v>0.52666827143880623</v>
      </c>
      <c r="E8">
        <v>3.7643818254773564</v>
      </c>
      <c r="F8">
        <v>1.8927673988213649</v>
      </c>
      <c r="G8">
        <v>1.1766746478322978</v>
      </c>
      <c r="H8">
        <v>787.98154610878919</v>
      </c>
      <c r="I8">
        <v>0.76890547284157751</v>
      </c>
      <c r="J8">
        <f t="shared" si="0"/>
        <v>820.0057607594764</v>
      </c>
    </row>
    <row r="9" spans="1:10" x14ac:dyDescent="0.3">
      <c r="A9">
        <v>1974</v>
      </c>
      <c r="B9">
        <v>3.4312128066706311</v>
      </c>
      <c r="C9">
        <v>35.234776871160513</v>
      </c>
      <c r="D9">
        <v>0.717764456995998</v>
      </c>
      <c r="E9">
        <v>5.8032688625340958</v>
      </c>
      <c r="F9">
        <v>2.2867237898402739</v>
      </c>
      <c r="G9">
        <v>1.5047334707301379</v>
      </c>
      <c r="H9">
        <v>868.14313145083736</v>
      </c>
      <c r="I9">
        <v>1.0381324466919359</v>
      </c>
      <c r="J9">
        <f t="shared" si="0"/>
        <v>918.159744155461</v>
      </c>
    </row>
    <row r="10" spans="1:10" x14ac:dyDescent="0.3">
      <c r="A10">
        <v>1975</v>
      </c>
      <c r="B10">
        <v>3.4773383153645687</v>
      </c>
      <c r="C10">
        <v>53.808557770201396</v>
      </c>
      <c r="D10">
        <v>0.92815269278576629</v>
      </c>
      <c r="E10">
        <v>8.7023438108985278</v>
      </c>
      <c r="F10">
        <v>2.5294553055428159</v>
      </c>
      <c r="G10">
        <v>1.7057159308042618</v>
      </c>
      <c r="H10">
        <v>770.12325861798081</v>
      </c>
      <c r="I10">
        <v>1.3843495924017244</v>
      </c>
      <c r="J10">
        <f t="shared" si="0"/>
        <v>842.65917203597985</v>
      </c>
    </row>
    <row r="11" spans="1:10" x14ac:dyDescent="0.3">
      <c r="A11">
        <v>1976</v>
      </c>
      <c r="B11">
        <v>4.2301634008030131</v>
      </c>
      <c r="C11">
        <v>75.974516090437746</v>
      </c>
      <c r="D11">
        <v>1.2814054387931124</v>
      </c>
      <c r="E11">
        <v>12.861054801330049</v>
      </c>
      <c r="F11">
        <v>3.0486815204162214</v>
      </c>
      <c r="G11">
        <v>2.2106834402147366</v>
      </c>
      <c r="H11">
        <v>987.17867580115012</v>
      </c>
      <c r="I11">
        <v>1.8583881408305558</v>
      </c>
      <c r="J11">
        <f t="shared" si="0"/>
        <v>1088.6435686339755</v>
      </c>
    </row>
    <row r="12" spans="1:10" x14ac:dyDescent="0.3">
      <c r="A12">
        <v>1977</v>
      </c>
      <c r="B12">
        <v>4.884998432012452</v>
      </c>
      <c r="C12">
        <v>100.92390620030275</v>
      </c>
      <c r="D12">
        <v>1.7324702086308164</v>
      </c>
      <c r="E12">
        <v>18.501789997534942</v>
      </c>
      <c r="F12">
        <v>3.676112831784109</v>
      </c>
      <c r="G12">
        <v>2.7258928343062658</v>
      </c>
      <c r="H12">
        <v>1061.4028212556957</v>
      </c>
      <c r="I12">
        <v>2.4659007279053071</v>
      </c>
      <c r="J12">
        <f t="shared" si="0"/>
        <v>1196.3138924881723</v>
      </c>
    </row>
    <row r="13" spans="1:10" x14ac:dyDescent="0.3">
      <c r="A13">
        <v>1978</v>
      </c>
      <c r="B13">
        <v>5.6250937994881447</v>
      </c>
      <c r="C13">
        <v>127.72290019073549</v>
      </c>
      <c r="D13">
        <v>2.3145531162220823</v>
      </c>
      <c r="E13">
        <v>26.005350838613236</v>
      </c>
      <c r="F13">
        <v>4.4319331087359357</v>
      </c>
      <c r="G13">
        <v>3.3880638372944465</v>
      </c>
      <c r="H13">
        <v>1197.5384333676905</v>
      </c>
      <c r="I13">
        <v>3.247458578103176</v>
      </c>
      <c r="J13">
        <f t="shared" si="0"/>
        <v>1370.2737868368829</v>
      </c>
    </row>
    <row r="14" spans="1:10" x14ac:dyDescent="0.3">
      <c r="A14">
        <v>1979</v>
      </c>
      <c r="B14">
        <v>6.3312650244169859</v>
      </c>
      <c r="C14">
        <v>155.63356075353536</v>
      </c>
      <c r="D14">
        <v>3.0487905480124051</v>
      </c>
      <c r="E14">
        <v>35.663519010496664</v>
      </c>
      <c r="F14">
        <v>5.2958600328787142</v>
      </c>
      <c r="G14">
        <v>4.099139779298052</v>
      </c>
      <c r="H14">
        <v>1227.0406568387648</v>
      </c>
      <c r="I14">
        <v>4.2294810948889374</v>
      </c>
      <c r="J14">
        <f t="shared" si="0"/>
        <v>1441.342273082292</v>
      </c>
    </row>
    <row r="15" spans="1:10" x14ac:dyDescent="0.3">
      <c r="A15">
        <v>1980</v>
      </c>
      <c r="B15">
        <v>6.9955670799364018</v>
      </c>
      <c r="C15">
        <v>184.00583914985279</v>
      </c>
      <c r="D15">
        <v>3.9412967847275944</v>
      </c>
      <c r="E15">
        <v>47.790660158889722</v>
      </c>
      <c r="F15">
        <v>6.1902494598707642</v>
      </c>
      <c r="G15">
        <v>4.9023677520627684</v>
      </c>
      <c r="H15">
        <v>1265.6981750802884</v>
      </c>
      <c r="I15">
        <v>5.4535569921851526</v>
      </c>
      <c r="J15">
        <f t="shared" si="0"/>
        <v>1524.9777124578136</v>
      </c>
    </row>
    <row r="16" spans="1:10" x14ac:dyDescent="0.3">
      <c r="A16">
        <v>1981</v>
      </c>
      <c r="B16">
        <v>7.8917572659597486</v>
      </c>
      <c r="C16">
        <v>212.5229827377521</v>
      </c>
      <c r="D16">
        <v>5.0830526545623149</v>
      </c>
      <c r="E16">
        <v>62.653051133612749</v>
      </c>
      <c r="F16">
        <v>7.2677378757472608</v>
      </c>
      <c r="G16">
        <v>5.9190229174084843</v>
      </c>
      <c r="H16">
        <v>1331.6751932621064</v>
      </c>
      <c r="I16">
        <v>6.9781579470590405</v>
      </c>
      <c r="J16">
        <f t="shared" si="0"/>
        <v>1639.9909557942083</v>
      </c>
    </row>
    <row r="17" spans="1:10" x14ac:dyDescent="0.3">
      <c r="A17">
        <v>1982</v>
      </c>
      <c r="B17">
        <v>8.7789002784307684</v>
      </c>
      <c r="C17">
        <v>240.54488145110722</v>
      </c>
      <c r="D17">
        <v>6.4983949625385335</v>
      </c>
      <c r="E17">
        <v>80.304735905260756</v>
      </c>
      <c r="F17">
        <v>8.451120004990095</v>
      </c>
      <c r="G17">
        <v>7.0244516525496197</v>
      </c>
      <c r="H17">
        <v>1353.5905513911321</v>
      </c>
      <c r="I17">
        <v>8.8309305972254979</v>
      </c>
      <c r="J17">
        <f t="shared" si="0"/>
        <v>1714.0239662432346</v>
      </c>
    </row>
    <row r="18" spans="1:10" x14ac:dyDescent="0.3">
      <c r="A18">
        <v>1983</v>
      </c>
      <c r="B18">
        <v>10.18962487714785</v>
      </c>
      <c r="C18">
        <v>267.67225179273072</v>
      </c>
      <c r="D18">
        <v>8.2761290991473757</v>
      </c>
      <c r="E18">
        <v>100.78296013696017</v>
      </c>
      <c r="F18">
        <v>9.9470840155302067</v>
      </c>
      <c r="G18">
        <v>8.4124538821935104</v>
      </c>
      <c r="H18">
        <v>1484.7404001973414</v>
      </c>
      <c r="I18">
        <v>11.092618257831827</v>
      </c>
      <c r="J18">
        <f t="shared" si="0"/>
        <v>1901.1135222588832</v>
      </c>
    </row>
    <row r="19" spans="1:10" x14ac:dyDescent="0.3">
      <c r="A19">
        <v>1984</v>
      </c>
      <c r="B19">
        <v>11.480127223896629</v>
      </c>
      <c r="C19">
        <v>292.9324036422895</v>
      </c>
      <c r="D19">
        <v>10.460253235432964</v>
      </c>
      <c r="E19">
        <v>123.85211205031014</v>
      </c>
      <c r="F19">
        <v>11.693455562376974</v>
      </c>
      <c r="G19">
        <v>10.022891304367576</v>
      </c>
      <c r="H19">
        <v>1527.590433817679</v>
      </c>
      <c r="I19">
        <v>13.806863486856605</v>
      </c>
      <c r="J19">
        <f t="shared" si="0"/>
        <v>2001.8385403232094</v>
      </c>
    </row>
    <row r="20" spans="1:10" x14ac:dyDescent="0.3">
      <c r="A20">
        <v>1985</v>
      </c>
      <c r="B20">
        <v>12.999536927455372</v>
      </c>
      <c r="C20">
        <v>315.01235639941399</v>
      </c>
      <c r="D20">
        <v>13.047856266800302</v>
      </c>
      <c r="E20">
        <v>149.12306396713441</v>
      </c>
      <c r="F20">
        <v>13.596646688426617</v>
      </c>
      <c r="G20">
        <v>11.890084478150015</v>
      </c>
      <c r="H20">
        <v>1556.2909284756311</v>
      </c>
      <c r="I20">
        <v>17.025438652123324</v>
      </c>
      <c r="J20">
        <f t="shared" si="0"/>
        <v>2088.9859118551353</v>
      </c>
    </row>
    <row r="21" spans="1:10" x14ac:dyDescent="0.3">
      <c r="A21">
        <v>1986</v>
      </c>
      <c r="B21">
        <v>14.647566664855214</v>
      </c>
      <c r="C21">
        <v>332.75397127930637</v>
      </c>
      <c r="D21">
        <v>16.162419211061092</v>
      </c>
      <c r="E21">
        <v>176.12419845220975</v>
      </c>
      <c r="F21">
        <v>15.744343920013636</v>
      </c>
      <c r="G21">
        <v>13.903354682228958</v>
      </c>
      <c r="H21">
        <v>1612.506838670773</v>
      </c>
      <c r="I21">
        <v>20.80356085379869</v>
      </c>
      <c r="J21">
        <f t="shared" si="0"/>
        <v>2202.6462537342472</v>
      </c>
    </row>
    <row r="22" spans="1:10" x14ac:dyDescent="0.3">
      <c r="A22">
        <v>1987</v>
      </c>
      <c r="B22">
        <v>16.407541033950416</v>
      </c>
      <c r="C22">
        <v>345.59507359151445</v>
      </c>
      <c r="D22">
        <v>19.862359344840947</v>
      </c>
      <c r="E22">
        <v>204.16517641336171</v>
      </c>
      <c r="F22">
        <v>18.176693391985815</v>
      </c>
      <c r="G22">
        <v>16.301233082850061</v>
      </c>
      <c r="H22">
        <v>1718.4824241253182</v>
      </c>
      <c r="I22">
        <v>25.21293092919483</v>
      </c>
      <c r="J22">
        <f t="shared" si="0"/>
        <v>2364.2034319130166</v>
      </c>
    </row>
    <row r="23" spans="1:10" x14ac:dyDescent="0.3">
      <c r="A23">
        <v>1988</v>
      </c>
      <c r="B23">
        <v>18.210188175514631</v>
      </c>
      <c r="C23">
        <v>353.84560516534117</v>
      </c>
      <c r="D23">
        <v>24.199236491963916</v>
      </c>
      <c r="E23">
        <v>232.52968558247235</v>
      </c>
      <c r="F23">
        <v>20.939025458582101</v>
      </c>
      <c r="G23">
        <v>18.981390031856474</v>
      </c>
      <c r="H23">
        <v>1705.4369682575496</v>
      </c>
      <c r="I23">
        <v>30.278952561054503</v>
      </c>
      <c r="J23">
        <f t="shared" si="0"/>
        <v>2404.421051724335</v>
      </c>
    </row>
    <row r="24" spans="1:10" x14ac:dyDescent="0.3">
      <c r="A24">
        <v>1989</v>
      </c>
      <c r="B24">
        <v>20.113685308664916</v>
      </c>
      <c r="C24">
        <v>358.71110606135409</v>
      </c>
      <c r="D24">
        <v>29.246205540844915</v>
      </c>
      <c r="E24">
        <v>260.47113712703458</v>
      </c>
      <c r="F24">
        <v>23.997855139306946</v>
      </c>
      <c r="G24">
        <v>21.96544238434041</v>
      </c>
      <c r="H24">
        <v>1769.8165509549701</v>
      </c>
      <c r="I24">
        <v>36.048393479033599</v>
      </c>
      <c r="J24">
        <f t="shared" si="0"/>
        <v>2520.3703759955497</v>
      </c>
    </row>
    <row r="25" spans="1:10" x14ac:dyDescent="0.3">
      <c r="A25">
        <v>1990</v>
      </c>
      <c r="B25">
        <v>22.286132084080936</v>
      </c>
      <c r="C25">
        <v>362.16562380135088</v>
      </c>
      <c r="D25">
        <v>35.05750030065429</v>
      </c>
      <c r="E25">
        <v>287.32718479493184</v>
      </c>
      <c r="F25">
        <v>27.345565276039608</v>
      </c>
      <c r="G25">
        <v>25.292724685434045</v>
      </c>
      <c r="H25">
        <v>1811.0981551469065</v>
      </c>
      <c r="I25">
        <v>42.54906683372046</v>
      </c>
      <c r="J25">
        <f t="shared" si="0"/>
        <v>2613.1219529231184</v>
      </c>
    </row>
    <row r="26" spans="1:10" x14ac:dyDescent="0.3">
      <c r="A26">
        <v>1991</v>
      </c>
      <c r="B26">
        <v>24.582921252873881</v>
      </c>
      <c r="C26">
        <v>365.29567789545689</v>
      </c>
      <c r="D26">
        <v>41.687721903117946</v>
      </c>
      <c r="E26">
        <v>312.51806828277296</v>
      </c>
      <c r="F26">
        <v>31.076710677207213</v>
      </c>
      <c r="G26">
        <v>28.938770748975813</v>
      </c>
      <c r="H26">
        <v>1863.7673088659149</v>
      </c>
      <c r="I26">
        <v>49.792090133540661</v>
      </c>
      <c r="J26">
        <f t="shared" si="0"/>
        <v>2717.6592697598603</v>
      </c>
    </row>
    <row r="27" spans="1:10" x14ac:dyDescent="0.3">
      <c r="A27">
        <v>1992</v>
      </c>
      <c r="B27">
        <v>27.346543732827893</v>
      </c>
      <c r="C27">
        <v>369.03650682514626</v>
      </c>
      <c r="D27">
        <v>49.230696388458242</v>
      </c>
      <c r="E27">
        <v>335.69711021135333</v>
      </c>
      <c r="F27">
        <v>35.283715749888799</v>
      </c>
      <c r="G27">
        <v>33.025388801189699</v>
      </c>
      <c r="H27">
        <v>1897.8054523369894</v>
      </c>
      <c r="I27">
        <v>57.785571708344456</v>
      </c>
      <c r="J27">
        <f t="shared" si="0"/>
        <v>2805.2109857541977</v>
      </c>
    </row>
    <row r="28" spans="1:10" x14ac:dyDescent="0.3">
      <c r="A28">
        <v>1993</v>
      </c>
      <c r="B28">
        <v>30.366684496503055</v>
      </c>
      <c r="C28">
        <v>373.71030706446811</v>
      </c>
      <c r="D28">
        <v>57.708902552318293</v>
      </c>
      <c r="E28">
        <v>356.62339101660439</v>
      </c>
      <c r="F28">
        <v>39.918976116772427</v>
      </c>
      <c r="G28">
        <v>37.499059404303573</v>
      </c>
      <c r="H28">
        <v>1835.6895891964934</v>
      </c>
      <c r="I28">
        <v>66.503605604298784</v>
      </c>
      <c r="J28">
        <f t="shared" si="0"/>
        <v>2798.0205154517621</v>
      </c>
    </row>
    <row r="29" spans="1:10" x14ac:dyDescent="0.3">
      <c r="A29">
        <v>1994</v>
      </c>
      <c r="B29">
        <v>33.731202577983055</v>
      </c>
      <c r="C29">
        <v>379.94427917809588</v>
      </c>
      <c r="D29">
        <v>67.160404300449514</v>
      </c>
      <c r="E29">
        <v>375.31103909060249</v>
      </c>
      <c r="F29">
        <v>45.06827378013535</v>
      </c>
      <c r="G29">
        <v>42.434254558634336</v>
      </c>
      <c r="H29">
        <v>1902.5288070477329</v>
      </c>
      <c r="I29">
        <v>75.912868606001467</v>
      </c>
      <c r="J29">
        <f t="shared" si="0"/>
        <v>2922.0911291396355</v>
      </c>
    </row>
    <row r="30" spans="1:10" x14ac:dyDescent="0.3">
      <c r="A30">
        <v>1995</v>
      </c>
      <c r="B30">
        <v>37.037406500623952</v>
      </c>
      <c r="C30">
        <v>387.63131808659313</v>
      </c>
      <c r="D30">
        <v>77.589254798735539</v>
      </c>
      <c r="E30">
        <v>391.88110752918226</v>
      </c>
      <c r="F30">
        <v>50.607921527664153</v>
      </c>
      <c r="G30">
        <v>47.683646915794654</v>
      </c>
      <c r="H30">
        <v>1931.8061088659149</v>
      </c>
      <c r="I30">
        <v>85.951999518212915</v>
      </c>
      <c r="J30">
        <f t="shared" si="0"/>
        <v>3010.1887637427217</v>
      </c>
    </row>
    <row r="31" spans="1:10" x14ac:dyDescent="0.3">
      <c r="A31">
        <v>1996</v>
      </c>
      <c r="B31">
        <v>40.911657506841486</v>
      </c>
      <c r="C31">
        <v>397.2119723613668</v>
      </c>
      <c r="D31">
        <v>88.96032835001418</v>
      </c>
      <c r="E31">
        <v>406.69559691771968</v>
      </c>
      <c r="F31">
        <v>56.684200557160786</v>
      </c>
      <c r="G31">
        <v>53.407176500594815</v>
      </c>
      <c r="H31">
        <v>1823.1314635766587</v>
      </c>
      <c r="I31">
        <v>96.547499480345166</v>
      </c>
      <c r="J31">
        <f t="shared" si="0"/>
        <v>2963.5498952507019</v>
      </c>
    </row>
    <row r="32" spans="1:10" x14ac:dyDescent="0.3">
      <c r="A32">
        <v>1997</v>
      </c>
      <c r="B32">
        <v>44.992557924001432</v>
      </c>
      <c r="C32">
        <v>408.58876429408974</v>
      </c>
      <c r="D32">
        <v>101.34366993732844</v>
      </c>
      <c r="E32">
        <v>420.17195493314767</v>
      </c>
      <c r="F32">
        <v>63.29230825765314</v>
      </c>
      <c r="G32">
        <v>59.556852858390435</v>
      </c>
      <c r="H32">
        <v>1861.0307620890555</v>
      </c>
      <c r="I32">
        <v>107.60655208677947</v>
      </c>
      <c r="J32">
        <f t="shared" si="0"/>
        <v>3066.5834223804459</v>
      </c>
    </row>
    <row r="33" spans="1:10" x14ac:dyDescent="0.3">
      <c r="A33">
        <v>1998</v>
      </c>
      <c r="B33">
        <v>49.489234862950539</v>
      </c>
      <c r="C33">
        <v>422.67007796250806</v>
      </c>
      <c r="D33">
        <v>114.67926370343541</v>
      </c>
      <c r="E33">
        <v>432.76781115668103</v>
      </c>
      <c r="F33">
        <v>70.447913933934373</v>
      </c>
      <c r="G33">
        <v>66.090005679268089</v>
      </c>
      <c r="H33">
        <v>1906.7273445683943</v>
      </c>
      <c r="I33">
        <v>119.00667182689541</v>
      </c>
      <c r="J33">
        <f t="shared" si="0"/>
        <v>3181.8783236940671</v>
      </c>
    </row>
    <row r="34" spans="1:10" x14ac:dyDescent="0.3">
      <c r="A34">
        <v>1999</v>
      </c>
      <c r="B34">
        <v>54.36078959101674</v>
      </c>
      <c r="C34">
        <v>439.77021401814653</v>
      </c>
      <c r="D34">
        <v>128.94500376537195</v>
      </c>
      <c r="E34">
        <v>444.93498513564015</v>
      </c>
      <c r="F34">
        <v>78.211080686657809</v>
      </c>
      <c r="G34">
        <v>73.077853511255228</v>
      </c>
      <c r="H34">
        <v>1942.9772176262454</v>
      </c>
      <c r="I34">
        <v>130.63998834047391</v>
      </c>
      <c r="J34">
        <f t="shared" si="0"/>
        <v>3292.9171326748074</v>
      </c>
    </row>
    <row r="35" spans="1:10" x14ac:dyDescent="0.3">
      <c r="A35">
        <v>2000</v>
      </c>
      <c r="B35">
        <v>59.514146932646945</v>
      </c>
      <c r="C35">
        <v>460.56884464601387</v>
      </c>
      <c r="D35">
        <v>144.03582744124111</v>
      </c>
      <c r="E35">
        <v>457.07854062156275</v>
      </c>
      <c r="F35">
        <v>86.449025715531405</v>
      </c>
      <c r="G35">
        <v>80.433443196995796</v>
      </c>
      <c r="H35">
        <v>1899.9047210973197</v>
      </c>
      <c r="I35">
        <v>142.36128259773017</v>
      </c>
      <c r="J35">
        <f t="shared" si="0"/>
        <v>3330.3458322490419</v>
      </c>
    </row>
    <row r="36" spans="1:10" x14ac:dyDescent="0.3">
      <c r="A36">
        <v>2001</v>
      </c>
      <c r="B36">
        <v>65.160246910672569</v>
      </c>
      <c r="C36">
        <v>486.03679343975801</v>
      </c>
      <c r="D36">
        <v>159.87259599127984</v>
      </c>
      <c r="E36">
        <v>469.45896132466879</v>
      </c>
      <c r="F36">
        <v>95.153965898790148</v>
      </c>
      <c r="G36">
        <v>88.073086718889712</v>
      </c>
      <c r="H36">
        <v>1692.0778688290516</v>
      </c>
      <c r="I36">
        <v>154.04394230718117</v>
      </c>
      <c r="J36">
        <f t="shared" si="0"/>
        <v>3209.8774614202921</v>
      </c>
    </row>
    <row r="37" spans="1:10" x14ac:dyDescent="0.3">
      <c r="A37">
        <v>2002</v>
      </c>
      <c r="B37">
        <v>71.173914314601376</v>
      </c>
      <c r="C37">
        <v>517.41985416193711</v>
      </c>
      <c r="D37">
        <v>176.48429878737105</v>
      </c>
      <c r="E37">
        <v>482.42197595990132</v>
      </c>
      <c r="F37">
        <v>104.57026172676409</v>
      </c>
      <c r="G37">
        <v>96.079250070308518</v>
      </c>
      <c r="H37">
        <v>1697.8206263274535</v>
      </c>
      <c r="I37">
        <v>165.53174675736054</v>
      </c>
      <c r="J37">
        <f t="shared" si="0"/>
        <v>3311.5019281056975</v>
      </c>
    </row>
    <row r="38" spans="1:10" x14ac:dyDescent="0.3">
      <c r="A38">
        <v>2003</v>
      </c>
      <c r="B38">
        <v>77.561958725488466</v>
      </c>
      <c r="C38">
        <v>555.58960541624094</v>
      </c>
      <c r="D38">
        <v>193.7477568887866</v>
      </c>
      <c r="E38">
        <v>495.99681820939867</v>
      </c>
      <c r="F38">
        <v>114.50892410431588</v>
      </c>
      <c r="G38">
        <v>104.43759453298242</v>
      </c>
      <c r="H38">
        <v>1685.8313606728943</v>
      </c>
      <c r="I38">
        <v>176.69050670535069</v>
      </c>
      <c r="J38">
        <f t="shared" si="0"/>
        <v>3404.3645252554579</v>
      </c>
    </row>
    <row r="39" spans="1:10" x14ac:dyDescent="0.3">
      <c r="A39">
        <v>2004</v>
      </c>
      <c r="B39">
        <v>84.492971938423423</v>
      </c>
      <c r="C39">
        <v>601.15985459685317</v>
      </c>
      <c r="D39">
        <v>211.60374991491065</v>
      </c>
      <c r="E39">
        <v>510.32885406862181</v>
      </c>
      <c r="F39">
        <v>125.01904035920816</v>
      </c>
      <c r="G39">
        <v>113.10997688048293</v>
      </c>
      <c r="H39">
        <v>1740.6058488594126</v>
      </c>
      <c r="I39">
        <v>187.39187798731331</v>
      </c>
      <c r="J39">
        <f t="shared" si="0"/>
        <v>3573.7121746052262</v>
      </c>
    </row>
    <row r="40" spans="1:10" x14ac:dyDescent="0.3">
      <c r="A40">
        <v>2005</v>
      </c>
      <c r="B40">
        <v>91.780976574555808</v>
      </c>
      <c r="C40">
        <v>654.47360299550496</v>
      </c>
      <c r="D40">
        <v>229.92419153455907</v>
      </c>
      <c r="E40">
        <v>525.41407195916531</v>
      </c>
      <c r="F40">
        <v>136.12374762873591</v>
      </c>
      <c r="G40">
        <v>121.97170524030909</v>
      </c>
      <c r="H40">
        <v>1747.4232744276919</v>
      </c>
      <c r="I40">
        <v>197.51443423640595</v>
      </c>
      <c r="J40">
        <f t="shared" si="0"/>
        <v>3704.6260045969279</v>
      </c>
    </row>
    <row r="41" spans="1:10" x14ac:dyDescent="0.3">
      <c r="A41">
        <v>2006</v>
      </c>
      <c r="B41">
        <v>99.561077811373991</v>
      </c>
      <c r="C41">
        <v>715.13728500198135</v>
      </c>
      <c r="D41">
        <v>248.62382433678499</v>
      </c>
      <c r="E41">
        <v>541.30263886088733</v>
      </c>
      <c r="F41">
        <v>147.84807777592727</v>
      </c>
      <c r="G41">
        <v>131.06117115728247</v>
      </c>
      <c r="H41">
        <v>1750.6808620145055</v>
      </c>
      <c r="I41">
        <v>206.9678534248149</v>
      </c>
      <c r="J41">
        <f t="shared" si="0"/>
        <v>3841.1827903835579</v>
      </c>
    </row>
    <row r="42" spans="1:10" x14ac:dyDescent="0.3">
      <c r="A42">
        <v>2007</v>
      </c>
      <c r="B42">
        <v>107.61724730787307</v>
      </c>
      <c r="C42">
        <v>782.77620983378574</v>
      </c>
      <c r="D42">
        <v>267.59427936086342</v>
      </c>
      <c r="E42">
        <v>557.99271816364023</v>
      </c>
      <c r="F42">
        <v>159.9964512304914</v>
      </c>
      <c r="G42">
        <v>140.27978927656619</v>
      </c>
      <c r="H42">
        <v>1681.3983548846529</v>
      </c>
      <c r="I42">
        <v>215.67438951172909</v>
      </c>
      <c r="J42">
        <f t="shared" si="0"/>
        <v>3913.3294395696025</v>
      </c>
    </row>
    <row r="43" spans="1:10" x14ac:dyDescent="0.3">
      <c r="A43">
        <v>2008</v>
      </c>
      <c r="B43">
        <v>116.05430870349491</v>
      </c>
      <c r="C43">
        <v>855.9804531551282</v>
      </c>
      <c r="D43">
        <v>286.80855019556242</v>
      </c>
      <c r="E43">
        <v>575.51997000261792</v>
      </c>
      <c r="F43">
        <v>172.59135222969681</v>
      </c>
      <c r="G43">
        <v>149.61091454735376</v>
      </c>
      <c r="H43">
        <v>1690.1971997067676</v>
      </c>
      <c r="I43">
        <v>223.56081460179672</v>
      </c>
      <c r="J43">
        <f t="shared" si="0"/>
        <v>4070.3235631424186</v>
      </c>
    </row>
    <row r="44" spans="1:10" x14ac:dyDescent="0.3">
      <c r="A44">
        <v>2009</v>
      </c>
      <c r="B44">
        <v>125.00194332136157</v>
      </c>
      <c r="C44">
        <v>932.58296277590739</v>
      </c>
      <c r="D44">
        <v>306.20177637173487</v>
      </c>
      <c r="E44">
        <v>594.01726844608447</v>
      </c>
      <c r="F44">
        <v>185.52729937352623</v>
      </c>
      <c r="G44">
        <v>159.01414279147497</v>
      </c>
      <c r="H44">
        <v>1657.050406426514</v>
      </c>
      <c r="I44">
        <v>230.58914402433649</v>
      </c>
      <c r="J44">
        <f t="shared" si="0"/>
        <v>4189.9849435309407</v>
      </c>
    </row>
    <row r="45" spans="1:10" x14ac:dyDescent="0.3">
      <c r="A45">
        <v>2010</v>
      </c>
      <c r="B45">
        <v>134.73381906521729</v>
      </c>
      <c r="C45">
        <v>1010.3411204552896</v>
      </c>
      <c r="D45">
        <v>325.77925321419258</v>
      </c>
      <c r="E45">
        <v>613.81555258805815</v>
      </c>
      <c r="F45">
        <v>199.09642911630525</v>
      </c>
      <c r="G45">
        <v>168.72979250195559</v>
      </c>
      <c r="H45">
        <v>1658.8303254172463</v>
      </c>
      <c r="I45">
        <v>236.77817095923993</v>
      </c>
      <c r="J45">
        <f t="shared" si="0"/>
        <v>4348.1044633175052</v>
      </c>
    </row>
    <row r="46" spans="1:10" x14ac:dyDescent="0.3">
      <c r="A46">
        <v>2011</v>
      </c>
      <c r="B46">
        <v>144.92124711463157</v>
      </c>
      <c r="C46">
        <v>1087.7761526073123</v>
      </c>
      <c r="D46">
        <v>345.39668270457128</v>
      </c>
      <c r="E46">
        <v>634.87648573184833</v>
      </c>
      <c r="F46">
        <v>213.07097744612923</v>
      </c>
      <c r="G46">
        <v>178.23609856472112</v>
      </c>
      <c r="H46">
        <v>1629.948621039315</v>
      </c>
      <c r="I46">
        <v>242.11379159595188</v>
      </c>
      <c r="J46">
        <f t="shared" si="0"/>
        <v>4476.3400568044808</v>
      </c>
    </row>
    <row r="47" spans="1:10" x14ac:dyDescent="0.3">
      <c r="A47">
        <v>2012</v>
      </c>
      <c r="B47">
        <v>155.75563977526326</v>
      </c>
      <c r="C47">
        <v>1161.6133141169053</v>
      </c>
      <c r="D47">
        <v>365.10811696552207</v>
      </c>
      <c r="E47">
        <v>657.44231421706252</v>
      </c>
      <c r="F47">
        <v>227.36988510002803</v>
      </c>
      <c r="G47">
        <v>187.88661430147573</v>
      </c>
      <c r="H47">
        <v>1593.5106567950643</v>
      </c>
      <c r="I47">
        <v>246.6306826170572</v>
      </c>
      <c r="J47">
        <f t="shared" si="0"/>
        <v>4595.317223888379</v>
      </c>
    </row>
    <row r="48" spans="1:10" x14ac:dyDescent="0.3">
      <c r="A48">
        <v>2013</v>
      </c>
      <c r="B48">
        <v>167.08218444378508</v>
      </c>
      <c r="C48">
        <v>1229.6507141063373</v>
      </c>
      <c r="D48">
        <v>384.86328178965726</v>
      </c>
      <c r="E48">
        <v>681.6108877693182</v>
      </c>
      <c r="F48">
        <v>241.91102656835466</v>
      </c>
      <c r="G48">
        <v>197.59176993862775</v>
      </c>
      <c r="H48">
        <v>1573.3270471076962</v>
      </c>
      <c r="I48">
        <v>250.37848001668476</v>
      </c>
      <c r="J48">
        <f t="shared" si="0"/>
        <v>4726.4153917404619</v>
      </c>
    </row>
    <row r="49" spans="1:10" x14ac:dyDescent="0.3">
      <c r="A49">
        <v>2014</v>
      </c>
      <c r="B49">
        <v>179.02865159728211</v>
      </c>
      <c r="C49">
        <v>1289.9496991996737</v>
      </c>
      <c r="D49">
        <v>404.67389727576591</v>
      </c>
      <c r="E49">
        <v>707.37814345573497</v>
      </c>
      <c r="F49">
        <v>256.74235867296721</v>
      </c>
      <c r="G49">
        <v>207.20903399609008</v>
      </c>
      <c r="H49">
        <v>1580.1780560531588</v>
      </c>
      <c r="I49">
        <v>253.42731427331736</v>
      </c>
      <c r="J49">
        <f t="shared" si="0"/>
        <v>4878.5871545239906</v>
      </c>
    </row>
    <row r="50" spans="1:10" x14ac:dyDescent="0.3">
      <c r="A50">
        <v>2015</v>
      </c>
      <c r="B50">
        <v>191.51231056543415</v>
      </c>
      <c r="C50">
        <v>1339.1554067751035</v>
      </c>
      <c r="D50">
        <v>424.53214345268526</v>
      </c>
      <c r="E50">
        <v>734.695684268327</v>
      </c>
      <c r="F50">
        <v>271.78588809007698</v>
      </c>
      <c r="G50">
        <v>216.77882036861178</v>
      </c>
      <c r="H50">
        <v>1612.9218488072088</v>
      </c>
      <c r="I50">
        <v>255.84795317143042</v>
      </c>
      <c r="J50">
        <f t="shared" si="0"/>
        <v>5047.2300554988778</v>
      </c>
    </row>
    <row r="51" spans="1:10" x14ac:dyDescent="0.3">
      <c r="A51">
        <v>2016</v>
      </c>
      <c r="B51">
        <v>204.56430571509145</v>
      </c>
      <c r="C51">
        <v>1376.7732740454157</v>
      </c>
      <c r="D51">
        <v>444.42195492092941</v>
      </c>
      <c r="E51">
        <v>763.39976464594213</v>
      </c>
      <c r="F51">
        <v>287.01222319331021</v>
      </c>
      <c r="G51">
        <v>226.38632253860359</v>
      </c>
      <c r="H51">
        <v>1629.6127872674788</v>
      </c>
      <c r="I51">
        <v>257.73022616530909</v>
      </c>
      <c r="J51">
        <f t="shared" si="0"/>
        <v>5189.9008584920812</v>
      </c>
    </row>
    <row r="52" spans="1:10" x14ac:dyDescent="0.3">
      <c r="A52">
        <v>2017</v>
      </c>
      <c r="B52">
        <v>218.16749373243707</v>
      </c>
      <c r="C52">
        <v>1401.9708437244137</v>
      </c>
      <c r="D52">
        <v>464.39365178996877</v>
      </c>
      <c r="E52">
        <v>793.17879553289742</v>
      </c>
      <c r="F52">
        <v>302.42401526181095</v>
      </c>
      <c r="G52">
        <v>235.92823428651147</v>
      </c>
      <c r="H52">
        <v>1607.7500087209285</v>
      </c>
      <c r="I52">
        <v>259.17021867084605</v>
      </c>
      <c r="J52">
        <f t="shared" si="0"/>
        <v>5282.9832617198135</v>
      </c>
    </row>
    <row r="53" spans="1:10" x14ac:dyDescent="0.3">
      <c r="A53">
        <v>2018</v>
      </c>
      <c r="B53">
        <v>232.40316353654225</v>
      </c>
      <c r="C53">
        <v>1415.1299312210972</v>
      </c>
      <c r="D53">
        <v>484.46535224077059</v>
      </c>
      <c r="E53">
        <v>823.68547313409624</v>
      </c>
      <c r="F53">
        <v>317.78171304927503</v>
      </c>
      <c r="G53">
        <v>245.4332407567851</v>
      </c>
      <c r="H53">
        <v>1639.8557173084894</v>
      </c>
      <c r="I53">
        <v>260.25255467328458</v>
      </c>
      <c r="J53">
        <f t="shared" si="0"/>
        <v>5419.0071459203409</v>
      </c>
    </row>
    <row r="54" spans="1:10" ht="15" thickBot="1" x14ac:dyDescent="0.35">
      <c r="A54" s="5">
        <v>2019</v>
      </c>
      <c r="B54" s="5">
        <v>247.12283996990283</v>
      </c>
      <c r="C54" s="5">
        <v>1417.7172840361166</v>
      </c>
      <c r="D54" s="5">
        <v>504.61286313948227</v>
      </c>
      <c r="E54" s="5">
        <v>854.42733225808922</v>
      </c>
      <c r="F54" s="5">
        <v>333.1848180578798</v>
      </c>
      <c r="G54" s="5">
        <v>254.82937378832824</v>
      </c>
      <c r="H54" s="5">
        <v>1678.5437678240437</v>
      </c>
      <c r="I54" s="5">
        <v>261.06425717467266</v>
      </c>
      <c r="J54" s="5">
        <f t="shared" si="0"/>
        <v>5551.5025362485158</v>
      </c>
    </row>
    <row r="55" spans="1:10" x14ac:dyDescent="0.3">
      <c r="A55">
        <v>2020</v>
      </c>
      <c r="B55">
        <v>262.24072820496161</v>
      </c>
      <c r="C55">
        <v>1413.8677185192548</v>
      </c>
      <c r="D55">
        <v>524.78956542767355</v>
      </c>
      <c r="E55">
        <v>885.04113954509535</v>
      </c>
      <c r="F55">
        <v>348.47076409232585</v>
      </c>
      <c r="G55">
        <v>264.14836117574691</v>
      </c>
      <c r="H55">
        <v>1699.8356289584726</v>
      </c>
      <c r="I55">
        <v>261.68704052518302</v>
      </c>
      <c r="J55">
        <f t="shared" si="0"/>
        <v>5660.0809464487138</v>
      </c>
    </row>
    <row r="56" spans="1:10" x14ac:dyDescent="0.3">
      <c r="A56">
        <v>2021</v>
      </c>
      <c r="B56">
        <v>277.994841465744</v>
      </c>
      <c r="C56">
        <v>1406.7481166193727</v>
      </c>
      <c r="D56">
        <v>545.12424768684627</v>
      </c>
      <c r="E56">
        <v>915.03527399730672</v>
      </c>
      <c r="F56">
        <v>363.73250961046875</v>
      </c>
      <c r="G56">
        <v>273.5338702008666</v>
      </c>
      <c r="H56">
        <v>1699.8413654609749</v>
      </c>
      <c r="I56">
        <v>262.20683294143112</v>
      </c>
      <c r="J56">
        <f t="shared" si="0"/>
        <v>5744.2170579830117</v>
      </c>
    </row>
    <row r="57" spans="1:10" x14ac:dyDescent="0.3">
      <c r="A57">
        <v>2022</v>
      </c>
      <c r="B57">
        <v>294.27720102476275</v>
      </c>
      <c r="C57">
        <v>1401.1949646476578</v>
      </c>
      <c r="D57">
        <v>565.54889410607757</v>
      </c>
      <c r="E57">
        <v>944.04807676150074</v>
      </c>
      <c r="F57">
        <v>378.86347349259779</v>
      </c>
      <c r="G57">
        <v>282.92626317576662</v>
      </c>
      <c r="H57">
        <v>1699.8471019634785</v>
      </c>
      <c r="I57">
        <v>262.68618365251297</v>
      </c>
      <c r="J57">
        <f t="shared" si="0"/>
        <v>5829.3921588243547</v>
      </c>
    </row>
    <row r="58" spans="1:10" x14ac:dyDescent="0.3">
      <c r="A58">
        <v>2023</v>
      </c>
      <c r="B58">
        <v>311.07497980264179</v>
      </c>
      <c r="C58">
        <v>1400.2481126533787</v>
      </c>
      <c r="D58">
        <v>586.04458758452006</v>
      </c>
      <c r="E58">
        <v>971.80503917734177</v>
      </c>
      <c r="F58">
        <v>393.82306537129313</v>
      </c>
      <c r="G58">
        <v>292.34555413501255</v>
      </c>
      <c r="H58">
        <v>1699.8528384659808</v>
      </c>
      <c r="I58">
        <v>263.18144267051309</v>
      </c>
      <c r="J58">
        <f t="shared" si="0"/>
        <v>5918.3756198606825</v>
      </c>
    </row>
    <row r="59" spans="1:10" x14ac:dyDescent="0.3">
      <c r="A59">
        <v>2024</v>
      </c>
      <c r="B59">
        <v>328.37310475995992</v>
      </c>
      <c r="C59">
        <v>1406.3525156033425</v>
      </c>
      <c r="D59">
        <v>606.58180150095336</v>
      </c>
      <c r="E59">
        <v>998.16067993244212</v>
      </c>
      <c r="F59">
        <v>408.57454076216789</v>
      </c>
      <c r="G59">
        <v>301.81328179694367</v>
      </c>
      <c r="H59">
        <v>1699.8585749684833</v>
      </c>
      <c r="I59">
        <v>263.73749286690804</v>
      </c>
      <c r="J59">
        <f t="shared" si="0"/>
        <v>6013.4519921912006</v>
      </c>
    </row>
    <row r="60" spans="1:10" x14ac:dyDescent="0.3">
      <c r="A60">
        <v>2025</v>
      </c>
      <c r="B60">
        <v>346.15427926238692</v>
      </c>
      <c r="C60">
        <v>1420.7304507042195</v>
      </c>
      <c r="D60">
        <v>627.12045425033659</v>
      </c>
      <c r="E60">
        <v>1023.1144632335124</v>
      </c>
      <c r="F60">
        <v>423.08545048481056</v>
      </c>
      <c r="G60">
        <v>311.35170288767182</v>
      </c>
      <c r="H60">
        <v>1699.8643114709864</v>
      </c>
      <c r="I60">
        <v>264.3874853086557</v>
      </c>
      <c r="J60">
        <f t="shared" si="0"/>
        <v>6115.8085976025795</v>
      </c>
    </row>
    <row r="61" spans="1:10" x14ac:dyDescent="0.3">
      <c r="A61">
        <v>2026</v>
      </c>
      <c r="B61">
        <v>364.39902246985287</v>
      </c>
      <c r="C61">
        <v>1442.6338629237468</v>
      </c>
      <c r="D61">
        <v>647.61063114685487</v>
      </c>
      <c r="E61">
        <v>1046.8102560197701</v>
      </c>
      <c r="F61">
        <v>437.32801007669678</v>
      </c>
      <c r="G61">
        <v>320.98299652933827</v>
      </c>
      <c r="H61">
        <v>1699.8700479734891</v>
      </c>
      <c r="I61">
        <v>265.1530334656324</v>
      </c>
      <c r="J61">
        <f t="shared" si="0"/>
        <v>6224.7878606053819</v>
      </c>
    </row>
    <row r="62" spans="1:10" x14ac:dyDescent="0.3">
      <c r="A62">
        <v>2027</v>
      </c>
      <c r="B62">
        <v>383.0857257712218</v>
      </c>
      <c r="C62">
        <v>1470.5124867010445</v>
      </c>
      <c r="D62">
        <v>667.99392351582912</v>
      </c>
      <c r="E62">
        <v>1069.5182425697433</v>
      </c>
      <c r="F62">
        <v>451.27938299418798</v>
      </c>
      <c r="G62">
        <v>330.72850815696205</v>
      </c>
      <c r="H62">
        <v>1699.8757844759916</v>
      </c>
      <c r="I62">
        <v>266.04480591939313</v>
      </c>
      <c r="J62">
        <f t="shared" si="0"/>
        <v>6339.0388601043742</v>
      </c>
    </row>
    <row r="63" spans="1:10" x14ac:dyDescent="0.3">
      <c r="A63">
        <v>2028</v>
      </c>
      <c r="B63">
        <v>402.19072609107968</v>
      </c>
      <c r="C63">
        <v>1501.9306276943262</v>
      </c>
      <c r="D63">
        <v>688.20529425465747</v>
      </c>
      <c r="E63">
        <v>1091.6007634257517</v>
      </c>
      <c r="F63">
        <v>464.92187356507003</v>
      </c>
      <c r="G63">
        <v>340.60805873346777</v>
      </c>
      <c r="H63">
        <v>1699.8815209784948</v>
      </c>
      <c r="I63">
        <v>267.06344991720533</v>
      </c>
      <c r="J63">
        <f t="shared" si="0"/>
        <v>6456.402314660053</v>
      </c>
    </row>
    <row r="64" spans="1:10" x14ac:dyDescent="0.3">
      <c r="A64">
        <v>2029</v>
      </c>
      <c r="B64">
        <v>421.68839569755153</v>
      </c>
      <c r="C64">
        <v>1534.1536489309581</v>
      </c>
      <c r="D64">
        <v>708.17534401174714</v>
      </c>
      <c r="E64">
        <v>1113.4662202417453</v>
      </c>
      <c r="F64">
        <v>478.24302789148493</v>
      </c>
      <c r="G64">
        <v>350.6393413082331</v>
      </c>
      <c r="H64">
        <v>1699.8872574809973</v>
      </c>
      <c r="I64">
        <v>268.20077454243886</v>
      </c>
      <c r="J64">
        <f t="shared" si="0"/>
        <v>6574.4540101051571</v>
      </c>
    </row>
    <row r="65" spans="1:10" x14ac:dyDescent="0.3">
      <c r="A65">
        <v>2030</v>
      </c>
      <c r="B65">
        <v>441.5512479448879</v>
      </c>
      <c r="C65">
        <v>1565.4913765820847</v>
      </c>
      <c r="D65">
        <v>727.83282530070392</v>
      </c>
      <c r="E65">
        <v>1135.5174142673916</v>
      </c>
      <c r="F65">
        <v>491.23564312946331</v>
      </c>
      <c r="G65">
        <v>360.83742242228038</v>
      </c>
      <c r="H65">
        <v>1699.8929939834998</v>
      </c>
      <c r="I65">
        <v>269.44112164498654</v>
      </c>
      <c r="J65">
        <f t="shared" si="0"/>
        <v>6691.8000452752976</v>
      </c>
    </row>
    <row r="66" spans="1:10" x14ac:dyDescent="0.3">
      <c r="A66">
        <v>2031</v>
      </c>
      <c r="B66">
        <v>461.75005819151897</v>
      </c>
      <c r="C66">
        <v>1594.0840304297737</v>
      </c>
      <c r="D66">
        <v>747.10723584671871</v>
      </c>
      <c r="E66">
        <v>1158.1018985139569</v>
      </c>
      <c r="F66">
        <v>503.89768772254456</v>
      </c>
      <c r="G66">
        <v>371.21436075076758</v>
      </c>
      <c r="H66">
        <v>1699.8987304860032</v>
      </c>
      <c r="I66">
        <v>270.76285431959866</v>
      </c>
      <c r="J66">
        <f t="shared" si="0"/>
        <v>6806.8168562608817</v>
      </c>
    </row>
    <row r="67" spans="1:10" x14ac:dyDescent="0.3">
      <c r="A67">
        <v>2032</v>
      </c>
      <c r="B67">
        <v>482.25399894991182</v>
      </c>
      <c r="C67">
        <v>1619.5053664672062</v>
      </c>
      <c r="D67">
        <v>765.93131909694284</v>
      </c>
      <c r="E67">
        <v>1181.471745935115</v>
      </c>
      <c r="F67">
        <v>516.23213717876536</v>
      </c>
      <c r="G67">
        <v>381.77894995788358</v>
      </c>
      <c r="H67">
        <v>1699.9044669885056</v>
      </c>
      <c r="I67">
        <v>272.13989612291437</v>
      </c>
      <c r="J67">
        <f t="shared" ref="J67:J85" si="1">SUM(B67:I67)</f>
        <v>6919.2178806972452</v>
      </c>
    </row>
    <row r="68" spans="1:10" x14ac:dyDescent="0.3">
      <c r="A68">
        <v>2033</v>
      </c>
      <c r="B68">
        <v>503.03078814840796</v>
      </c>
      <c r="C68">
        <v>1640.8395948845953</v>
      </c>
      <c r="D68">
        <v>784.24331002376061</v>
      </c>
      <c r="E68">
        <v>1205.7585165931353</v>
      </c>
      <c r="F68">
        <v>528.24673179562251</v>
      </c>
      <c r="G68">
        <v>392.536587295488</v>
      </c>
      <c r="H68">
        <v>1699.9102034910088</v>
      </c>
      <c r="I68">
        <v>273.54325905289966</v>
      </c>
      <c r="J68">
        <f t="shared" si="1"/>
        <v>7028.1089912849184</v>
      </c>
    </row>
    <row r="69" spans="1:10" x14ac:dyDescent="0.3">
      <c r="A69">
        <v>2034</v>
      </c>
      <c r="B69">
        <v>524.04684922429408</v>
      </c>
      <c r="C69">
        <v>1659.2273705116404</v>
      </c>
      <c r="D69">
        <v>801.9887878654273</v>
      </c>
      <c r="E69">
        <v>1230.966458674181</v>
      </c>
      <c r="F69">
        <v>539.95366430709942</v>
      </c>
      <c r="G69">
        <v>403.48926426935606</v>
      </c>
      <c r="H69">
        <v>1699.9159399935115</v>
      </c>
      <c r="I69">
        <v>274.9425044049807</v>
      </c>
      <c r="J69">
        <f t="shared" si="1"/>
        <v>7134.5308392504903</v>
      </c>
    </row>
    <row r="70" spans="1:10" x14ac:dyDescent="0.3">
      <c r="A70">
        <v>2035</v>
      </c>
      <c r="B70">
        <v>545.26748161921273</v>
      </c>
      <c r="C70">
        <v>1675.0545153520541</v>
      </c>
      <c r="D70">
        <v>819.12203278249854</v>
      </c>
      <c r="E70">
        <v>1256.9837046753389</v>
      </c>
      <c r="F70">
        <v>551.36920671564485</v>
      </c>
      <c r="G70">
        <v>414.63567096887613</v>
      </c>
      <c r="H70">
        <v>1699.9216764960138</v>
      </c>
      <c r="I70">
        <v>276.30708789648884</v>
      </c>
      <c r="J70">
        <f t="shared" si="1"/>
        <v>7238.6613765061275</v>
      </c>
    </row>
    <row r="71" spans="1:10" x14ac:dyDescent="0.3">
      <c r="A71">
        <v>2036</v>
      </c>
      <c r="B71">
        <v>566.65704011930211</v>
      </c>
      <c r="C71">
        <v>1689.0682934433739</v>
      </c>
      <c r="D71">
        <v>835.60682782082426</v>
      </c>
      <c r="E71">
        <v>1283.6081539813229</v>
      </c>
      <c r="F71">
        <v>562.51328655042335</v>
      </c>
      <c r="G71">
        <v>425.97140161198598</v>
      </c>
      <c r="H71">
        <v>1699.9274129985172</v>
      </c>
      <c r="I71">
        <v>277.60754887018118</v>
      </c>
      <c r="J71">
        <f t="shared" si="1"/>
        <v>7340.9599653959312</v>
      </c>
    </row>
    <row r="72" spans="1:10" x14ac:dyDescent="0.3">
      <c r="A72">
        <v>2037</v>
      </c>
      <c r="B72">
        <v>588.17912137422354</v>
      </c>
      <c r="C72">
        <v>1702.6892679574362</v>
      </c>
      <c r="D72">
        <v>851.41669725381087</v>
      </c>
      <c r="E72">
        <v>1310.5825203360278</v>
      </c>
      <c r="F72">
        <v>573.40902345047482</v>
      </c>
      <c r="G72">
        <v>437.48924566019065</v>
      </c>
      <c r="H72">
        <v>1699.9331495010197</v>
      </c>
      <c r="I72">
        <v>278.8165128547717</v>
      </c>
      <c r="J72">
        <f t="shared" si="1"/>
        <v>7442.5155383879555</v>
      </c>
    </row>
    <row r="73" spans="1:10" x14ac:dyDescent="0.3">
      <c r="A73">
        <v>2038</v>
      </c>
      <c r="B73">
        <v>609.7967558410719</v>
      </c>
      <c r="C73">
        <v>1716.4794803928012</v>
      </c>
      <c r="D73">
        <v>866.53462276252253</v>
      </c>
      <c r="E73">
        <v>1337.6320758836098</v>
      </c>
      <c r="F73">
        <v>584.08223730182169</v>
      </c>
      <c r="G73">
        <v>449.17954661352076</v>
      </c>
      <c r="H73">
        <v>1699.9388860035222</v>
      </c>
      <c r="I73">
        <v>279.9094870775927</v>
      </c>
      <c r="J73">
        <f t="shared" si="1"/>
        <v>7543.5530918764634</v>
      </c>
    </row>
    <row r="74" spans="1:10" x14ac:dyDescent="0.3">
      <c r="A74">
        <v>2039</v>
      </c>
      <c r="B74">
        <v>631.47260333591191</v>
      </c>
      <c r="C74">
        <v>1731.0235856444519</v>
      </c>
      <c r="D74">
        <v>880.95232511073789</v>
      </c>
      <c r="E74">
        <v>1364.4990166080988</v>
      </c>
      <c r="F74">
        <v>594.56093917289149</v>
      </c>
      <c r="G74">
        <v>461.03060935433649</v>
      </c>
      <c r="H74">
        <v>1699.9446225060256</v>
      </c>
      <c r="I74">
        <v>280.86543935221141</v>
      </c>
      <c r="J74">
        <f t="shared" si="1"/>
        <v>7644.3491410846655</v>
      </c>
    </row>
    <row r="75" spans="1:10" x14ac:dyDescent="0.3">
      <c r="A75">
        <v>2040</v>
      </c>
      <c r="B75">
        <v>653.16915033527857</v>
      </c>
      <c r="C75">
        <v>1747.5757100849366</v>
      </c>
      <c r="D75">
        <v>894.66923628289203</v>
      </c>
      <c r="E75">
        <v>1390.9688602099104</v>
      </c>
      <c r="F75">
        <v>604.87481600846695</v>
      </c>
      <c r="G75">
        <v>473.02913666336428</v>
      </c>
      <c r="H75">
        <v>1699.950359008528</v>
      </c>
      <c r="I75">
        <v>281.66716162686868</v>
      </c>
      <c r="J75">
        <f t="shared" si="1"/>
        <v>7745.9044302202456</v>
      </c>
    </row>
    <row r="76" spans="1:10" x14ac:dyDescent="0.3">
      <c r="A76">
        <v>2041</v>
      </c>
      <c r="B76">
        <v>674.84890715684128</v>
      </c>
      <c r="C76">
        <v>1765.3413558273962</v>
      </c>
      <c r="D76">
        <v>907.6913114917744</v>
      </c>
      <c r="E76">
        <v>1416.8863997841167</v>
      </c>
      <c r="F76">
        <v>615.054719490406</v>
      </c>
      <c r="G76">
        <v>485.16067621945712</v>
      </c>
      <c r="H76">
        <v>1699.9560955110303</v>
      </c>
      <c r="I76">
        <v>282.30142979638021</v>
      </c>
      <c r="J76">
        <f t="shared" si="1"/>
        <v>7847.2408952774013</v>
      </c>
    </row>
    <row r="77" spans="1:10" x14ac:dyDescent="0.3">
      <c r="A77">
        <v>2042</v>
      </c>
      <c r="B77">
        <v>696.47460315662761</v>
      </c>
      <c r="C77">
        <v>1785.7280154314974</v>
      </c>
      <c r="D77">
        <v>920.02983925487831</v>
      </c>
      <c r="E77">
        <v>1442.1609360648586</v>
      </c>
      <c r="F77">
        <v>625.1321686842366</v>
      </c>
      <c r="G77">
        <v>497.41006090583761</v>
      </c>
      <c r="H77">
        <v>1699.9618320135339</v>
      </c>
      <c r="I77">
        <v>282.75898052174244</v>
      </c>
      <c r="J77">
        <f t="shared" si="1"/>
        <v>7949.6564360332122</v>
      </c>
    </row>
    <row r="78" spans="1:10" x14ac:dyDescent="0.3">
      <c r="A78">
        <v>2043</v>
      </c>
      <c r="B78">
        <v>718.00937811869971</v>
      </c>
      <c r="C78">
        <v>1807.8053381502225</v>
      </c>
      <c r="D78">
        <v>931.70039968934464</v>
      </c>
      <c r="E78">
        <v>1466.7623312716732</v>
      </c>
      <c r="F78">
        <v>635.13887510922143</v>
      </c>
      <c r="G78">
        <v>509.76182742867763</v>
      </c>
      <c r="H78">
        <v>1699.9675685160362</v>
      </c>
      <c r="I78">
        <v>283.03433317105589</v>
      </c>
      <c r="J78">
        <f t="shared" si="1"/>
        <v>8052.1800514549313</v>
      </c>
    </row>
    <row r="79" spans="1:10" x14ac:dyDescent="0.3">
      <c r="A79">
        <v>2044</v>
      </c>
      <c r="B79">
        <v>739.41696806846642</v>
      </c>
      <c r="C79">
        <v>1831.9665295184384</v>
      </c>
      <c r="D79">
        <v>942.7220968822154</v>
      </c>
      <c r="E79">
        <v>1490.7105762455508</v>
      </c>
      <c r="F79">
        <v>645.1062977360757</v>
      </c>
      <c r="G79">
        <v>522.2006009323577</v>
      </c>
      <c r="H79">
        <v>1699.9733050185387</v>
      </c>
      <c r="I79">
        <v>283.12549009957456</v>
      </c>
      <c r="J79">
        <f t="shared" si="1"/>
        <v>8155.2218645012172</v>
      </c>
    </row>
    <row r="80" spans="1:10" x14ac:dyDescent="0.3">
      <c r="A80">
        <v>2045</v>
      </c>
      <c r="B80">
        <v>760.66188382879272</v>
      </c>
      <c r="C80">
        <v>1858.4156140624382</v>
      </c>
      <c r="D80">
        <v>953.11715305313942</v>
      </c>
      <c r="E80">
        <v>1514.0619570316583</v>
      </c>
      <c r="F80">
        <v>655.0652341777303</v>
      </c>
      <c r="G80">
        <v>534.71143627354581</v>
      </c>
      <c r="H80">
        <v>1699.9790415210418</v>
      </c>
      <c r="I80">
        <v>283.03355101438751</v>
      </c>
      <c r="J80">
        <f t="shared" si="1"/>
        <v>8259.0458709627346</v>
      </c>
    </row>
    <row r="81" spans="1:10" x14ac:dyDescent="0.3">
      <c r="A81">
        <v>2046</v>
      </c>
      <c r="B81">
        <v>781.70958073840688</v>
      </c>
      <c r="C81">
        <v>1885.6875767602191</v>
      </c>
      <c r="D81">
        <v>962.91090422575473</v>
      </c>
      <c r="E81">
        <v>1536.894648970024</v>
      </c>
      <c r="F81">
        <v>665.04545304125077</v>
      </c>
      <c r="G81">
        <v>547.28010969827619</v>
      </c>
      <c r="H81">
        <v>1699.9847780235445</v>
      </c>
      <c r="I81">
        <v>282.76227703086198</v>
      </c>
      <c r="J81">
        <f t="shared" si="1"/>
        <v>8362.2753284883402</v>
      </c>
    </row>
    <row r="82" spans="1:10" x14ac:dyDescent="0.3">
      <c r="A82">
        <v>2047</v>
      </c>
      <c r="B82">
        <v>802.52661807879053</v>
      </c>
      <c r="C82">
        <v>1914.2097122638975</v>
      </c>
      <c r="D82">
        <v>972.13218443120456</v>
      </c>
      <c r="E82">
        <v>1559.295874232412</v>
      </c>
      <c r="F82">
        <v>675.07537109182647</v>
      </c>
      <c r="G82">
        <v>559.89335766644183</v>
      </c>
      <c r="H82">
        <v>1699.990514526047</v>
      </c>
      <c r="I82">
        <v>282.31763738202892</v>
      </c>
      <c r="J82">
        <f t="shared" si="1"/>
        <v>8465.4412696726504</v>
      </c>
    </row>
    <row r="83" spans="1:10" x14ac:dyDescent="0.3">
      <c r="A83">
        <v>2048</v>
      </c>
      <c r="B83">
        <v>823.08080689718133</v>
      </c>
      <c r="C83">
        <v>1943.7603669655682</v>
      </c>
      <c r="D83">
        <v>980.81403386839156</v>
      </c>
      <c r="E83">
        <v>1581.3518872649502</v>
      </c>
      <c r="F83">
        <v>685.18177758871821</v>
      </c>
      <c r="G83">
        <v>572.5390623206622</v>
      </c>
      <c r="H83">
        <v>1699.9962510285502</v>
      </c>
      <c r="I83">
        <v>281.7073669783706</v>
      </c>
      <c r="J83">
        <f t="shared" si="1"/>
        <v>8568.4315529123942</v>
      </c>
    </row>
    <row r="84" spans="1:10" x14ac:dyDescent="0.3">
      <c r="A84">
        <v>2049</v>
      </c>
      <c r="B84">
        <v>843.34134507191357</v>
      </c>
      <c r="C84">
        <v>1973.9909690430929</v>
      </c>
      <c r="D84">
        <v>988.99462168741434</v>
      </c>
      <c r="E84">
        <v>1603.1412234913573</v>
      </c>
      <c r="F84">
        <v>695.38960691634588</v>
      </c>
      <c r="G84">
        <v>585.20638547065607</v>
      </c>
      <c r="H84">
        <v>1700.0019875310527</v>
      </c>
      <c r="I84">
        <v>280.94055671197407</v>
      </c>
      <c r="J84">
        <f t="shared" si="1"/>
        <v>8671.0066959238047</v>
      </c>
    </row>
    <row r="85" spans="1:10" x14ac:dyDescent="0.3">
      <c r="A85">
        <v>2050</v>
      </c>
      <c r="B85">
        <v>863.27893863512554</v>
      </c>
      <c r="C85">
        <v>2005.0246310781267</v>
      </c>
      <c r="D85">
        <v>996.7182411876305</v>
      </c>
      <c r="E85">
        <v>1624.7310067721512</v>
      </c>
      <c r="F85">
        <v>705.72175948755194</v>
      </c>
      <c r="G85">
        <v>597.88585486208547</v>
      </c>
      <c r="H85">
        <v>1700.0077240335552</v>
      </c>
      <c r="I85">
        <v>280.02729125834361</v>
      </c>
      <c r="J85">
        <f t="shared" si="1"/>
        <v>8773.3954473145714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5B33-E0DC-446B-A95F-EE4CD665FB04}">
  <dimension ref="A1:AA46"/>
  <sheetViews>
    <sheetView topLeftCell="C3" zoomScale="145" zoomScaleNormal="145" workbookViewId="0">
      <selection activeCell="L11" sqref="L11"/>
    </sheetView>
  </sheetViews>
  <sheetFormatPr defaultColWidth="8.6640625" defaultRowHeight="13.2" x14ac:dyDescent="0.25"/>
  <cols>
    <col min="1" max="1" width="17.33203125" style="111" customWidth="1"/>
    <col min="2" max="2" width="17.6640625" style="111" customWidth="1"/>
    <col min="3" max="4" width="15.6640625" style="111" customWidth="1"/>
    <col min="5" max="6" width="18.33203125" style="111" customWidth="1"/>
    <col min="7" max="7" width="15.6640625" style="111" customWidth="1"/>
    <col min="8" max="8" width="12.6640625" style="111" customWidth="1"/>
    <col min="9" max="9" width="14.6640625" style="111" customWidth="1"/>
    <col min="10" max="10" width="13" style="111" customWidth="1"/>
    <col min="11" max="11" width="11.33203125" style="111" customWidth="1"/>
    <col min="12" max="13" width="17" style="111" customWidth="1"/>
    <col min="14" max="14" width="8.6640625" style="111"/>
    <col min="15" max="15" width="10.44140625" style="111" customWidth="1"/>
    <col min="16" max="19" width="8.6640625" style="111"/>
    <col min="20" max="20" width="16.44140625" style="111" customWidth="1"/>
    <col min="21" max="22" width="12.33203125" style="111" bestFit="1" customWidth="1"/>
    <col min="23" max="23" width="11.109375" style="111" bestFit="1" customWidth="1"/>
    <col min="24" max="24" width="12.6640625" style="111" customWidth="1"/>
    <col min="25" max="25" width="11.6640625" style="111" customWidth="1"/>
    <col min="26" max="26" width="17.6640625" style="111" customWidth="1"/>
    <col min="27" max="27" width="13.109375" style="111" customWidth="1"/>
    <col min="28" max="16384" width="8.6640625" style="111"/>
  </cols>
  <sheetData>
    <row r="1" spans="1:26" ht="13.8" thickBot="1" x14ac:dyDescent="0.3">
      <c r="D1" s="112">
        <v>212000</v>
      </c>
      <c r="E1" s="112">
        <v>115000</v>
      </c>
      <c r="F1" s="112">
        <v>82550</v>
      </c>
      <c r="G1" s="112">
        <f>SUM(D1:F1)</f>
        <v>409550</v>
      </c>
      <c r="L1" s="111" t="s">
        <v>360</v>
      </c>
      <c r="M1" s="111" t="s">
        <v>357</v>
      </c>
      <c r="O1" s="111" t="s">
        <v>353</v>
      </c>
      <c r="P1" s="111" t="s">
        <v>500</v>
      </c>
      <c r="Q1" s="111" t="s">
        <v>499</v>
      </c>
      <c r="R1" s="111" t="s">
        <v>346</v>
      </c>
      <c r="S1" s="111" t="s">
        <v>472</v>
      </c>
      <c r="T1" s="111" t="s">
        <v>480</v>
      </c>
      <c r="U1" s="111" t="s">
        <v>479</v>
      </c>
      <c r="V1" s="111" t="s">
        <v>476</v>
      </c>
      <c r="X1" s="144" t="s">
        <v>475</v>
      </c>
      <c r="Y1" s="111" t="s">
        <v>477</v>
      </c>
      <c r="Z1" s="111" t="s">
        <v>478</v>
      </c>
    </row>
    <row r="2" spans="1:26" ht="14.4" x14ac:dyDescent="0.3">
      <c r="C2" s="111" t="s">
        <v>363</v>
      </c>
      <c r="D2" s="113">
        <f>D1/G1</f>
        <v>0.51764131363691857</v>
      </c>
      <c r="E2" s="113">
        <f>E1/G1</f>
        <v>0.28079599560493224</v>
      </c>
      <c r="F2" s="113">
        <f>F1/G1</f>
        <v>0.2015626907581492</v>
      </c>
      <c r="G2" s="113">
        <f>SUM(D2:F2)</f>
        <v>1</v>
      </c>
      <c r="M2" s="111" t="s">
        <v>494</v>
      </c>
      <c r="N2" s="114">
        <f>Deformation!B27+Deformation!E27</f>
        <v>0.61288546255506604</v>
      </c>
      <c r="O2" s="115">
        <f>3978.32/1000</f>
        <v>3.9783200000000001</v>
      </c>
      <c r="P2" s="115">
        <v>3</v>
      </c>
      <c r="Q2" s="115">
        <v>7.3</v>
      </c>
      <c r="R2" s="115">
        <v>4.8</v>
      </c>
      <c r="S2" s="118">
        <f>SUMPRODUCT($D$2:$F$2,P2:R2)</f>
        <v>4.5702356244658775</v>
      </c>
      <c r="U2" s="111">
        <v>2005</v>
      </c>
      <c r="V2" s="141">
        <v>16.899999999999999</v>
      </c>
      <c r="X2" s="111">
        <v>2020</v>
      </c>
      <c r="Y2" s="135">
        <v>0.66</v>
      </c>
      <c r="Z2" s="136">
        <f>1-Y2</f>
        <v>0.33999999999999997</v>
      </c>
    </row>
    <row r="3" spans="1:26" ht="14.4" x14ac:dyDescent="0.3">
      <c r="A3" s="111" t="s">
        <v>355</v>
      </c>
      <c r="B3" s="111" t="s">
        <v>362</v>
      </c>
      <c r="C3" s="111" t="s">
        <v>400</v>
      </c>
      <c r="D3" s="111" t="s">
        <v>500</v>
      </c>
      <c r="E3" s="111" t="s">
        <v>499</v>
      </c>
      <c r="F3" s="111" t="s">
        <v>346</v>
      </c>
      <c r="G3" s="116" t="s">
        <v>361</v>
      </c>
      <c r="I3" s="111" t="s">
        <v>354</v>
      </c>
      <c r="J3" s="111" t="s">
        <v>347</v>
      </c>
      <c r="M3" s="111" t="s">
        <v>234</v>
      </c>
      <c r="N3" s="114">
        <f>Deformation!D27</f>
        <v>0.12298091042584434</v>
      </c>
      <c r="O3" s="115">
        <f>4653.41/1000</f>
        <v>4.65341</v>
      </c>
      <c r="P3" s="115">
        <v>3.6</v>
      </c>
      <c r="Q3" s="115">
        <v>8.1999999999999993</v>
      </c>
      <c r="R3" s="115">
        <v>5.7</v>
      </c>
      <c r="S3" s="118">
        <f t="shared" ref="S3:S4" si="0">SUMPRODUCT($D$2:$F$2,P3:R3)</f>
        <v>5.3149432303748014</v>
      </c>
      <c r="U3" s="111">
        <v>2006</v>
      </c>
      <c r="V3" s="142">
        <v>17.7</v>
      </c>
      <c r="X3" s="111">
        <v>2021</v>
      </c>
      <c r="Y3" s="137">
        <f>Y2+($Y$33-$Y$2)/30</f>
        <v>0.65500000000000003</v>
      </c>
      <c r="Z3" s="138">
        <f t="shared" ref="Z3:Z32" si="1">1-Y3</f>
        <v>0.34499999999999997</v>
      </c>
    </row>
    <row r="4" spans="1:26" ht="14.4" x14ac:dyDescent="0.3">
      <c r="A4" s="111">
        <v>10896</v>
      </c>
      <c r="B4" s="111" t="s">
        <v>237</v>
      </c>
      <c r="C4" s="115">
        <f>SUMPRODUCT($N2:$N4,O2:O4)</f>
        <v>5.0561945649779734</v>
      </c>
      <c r="D4" s="115">
        <f>SUMPRODUCT($N2:$N4,P2:P4)</f>
        <v>3.6020558002936856</v>
      </c>
      <c r="E4" s="115">
        <f>SUMPRODUCT($N2:$N4,Q2:Q4)</f>
        <v>9.8935389133627023</v>
      </c>
      <c r="F4" s="115">
        <f>SUMPRODUCT($N2:$N4,R2:R4)</f>
        <v>6.3370044052863435</v>
      </c>
      <c r="G4" s="117">
        <f>SUMPRODUCT(D$2:F$2,D4:F4)</f>
        <v>5.9199426647670848</v>
      </c>
      <c r="I4" s="118">
        <f>G4/C4</f>
        <v>1.170829680046712</v>
      </c>
      <c r="J4" s="113">
        <f>A4/SUM($A$4:$A$7)</f>
        <v>0.64275601698914586</v>
      </c>
      <c r="M4" s="111" t="s">
        <v>495</v>
      </c>
      <c r="N4" s="114">
        <f>Deformation!C27</f>
        <v>0.2641336270190896</v>
      </c>
      <c r="O4" s="115">
        <f>7744.79/1000</f>
        <v>7.7447900000000001</v>
      </c>
      <c r="P4" s="115">
        <v>5</v>
      </c>
      <c r="Q4" s="115">
        <v>16.7</v>
      </c>
      <c r="R4" s="115">
        <v>10.199999999999999</v>
      </c>
      <c r="S4" s="118">
        <f t="shared" si="0"/>
        <v>9.3334391405200829</v>
      </c>
      <c r="U4" s="111">
        <v>2007</v>
      </c>
      <c r="V4" s="142">
        <v>18</v>
      </c>
      <c r="X4" s="111">
        <v>2022</v>
      </c>
      <c r="Y4" s="137">
        <f t="shared" ref="Y4:Y32" si="2">Y3+($Y$33-$Y$2)/30</f>
        <v>0.65</v>
      </c>
      <c r="Z4" s="138">
        <f t="shared" si="1"/>
        <v>0.35</v>
      </c>
    </row>
    <row r="5" spans="1:26" ht="14.4" x14ac:dyDescent="0.3">
      <c r="A5" s="111">
        <v>4727</v>
      </c>
      <c r="B5" s="111" t="s">
        <v>294</v>
      </c>
      <c r="C5" s="115">
        <f>SUMPRODUCT($N8:$N9,O8:O9)</f>
        <v>5.7910681785487625</v>
      </c>
      <c r="D5" s="115">
        <f>SUMPRODUCT($N8:$N9,P8:P9)</f>
        <v>3.8994922784006767</v>
      </c>
      <c r="E5" s="115">
        <f>SUMPRODUCT($N8:$N9,Q8:Q9)</f>
        <v>11.38339327268881</v>
      </c>
      <c r="F5" s="115">
        <f>SUMPRODUCT($N8:$N9,R8:R9)</f>
        <v>7.4271207954305059</v>
      </c>
      <c r="G5" s="117">
        <f>SUMPRODUCT(D$2:F$2,D5:F5)</f>
        <v>6.7119800049882672</v>
      </c>
      <c r="I5" s="118">
        <f>G5/C5</f>
        <v>1.1590227913134816</v>
      </c>
      <c r="J5" s="113">
        <f>A5/SUM($A$4:$A$7)</f>
        <v>0.27884615384615385</v>
      </c>
      <c r="U5" s="111">
        <v>2008</v>
      </c>
      <c r="V5" s="142">
        <v>17.7</v>
      </c>
      <c r="X5" s="111">
        <v>2023</v>
      </c>
      <c r="Y5" s="137">
        <f t="shared" si="2"/>
        <v>0.64500000000000002</v>
      </c>
      <c r="Z5" s="138">
        <f t="shared" si="1"/>
        <v>0.35499999999999998</v>
      </c>
    </row>
    <row r="6" spans="1:26" ht="14.4" x14ac:dyDescent="0.3">
      <c r="A6" s="111">
        <v>978</v>
      </c>
      <c r="B6" s="111" t="s">
        <v>344</v>
      </c>
      <c r="C6" s="115">
        <f>C5</f>
        <v>5.7910681785487625</v>
      </c>
      <c r="D6" s="115">
        <f t="shared" ref="D6:F6" si="3">D5</f>
        <v>3.8994922784006767</v>
      </c>
      <c r="E6" s="115">
        <f t="shared" si="3"/>
        <v>11.38339327268881</v>
      </c>
      <c r="F6" s="115">
        <f t="shared" si="3"/>
        <v>7.4271207954305059</v>
      </c>
      <c r="G6" s="117">
        <f>SUMPRODUCT(D$2:F$2,D6:F6)</f>
        <v>6.7119800049882672</v>
      </c>
      <c r="I6" s="118">
        <f>G6/C6</f>
        <v>1.1590227913134816</v>
      </c>
      <c r="J6" s="113">
        <f>A6/SUM($A$4:$A$7)</f>
        <v>5.7692307692307696E-2</v>
      </c>
      <c r="U6" s="111">
        <v>2009</v>
      </c>
      <c r="V6" s="142">
        <v>17.3</v>
      </c>
      <c r="X6" s="111">
        <v>2024</v>
      </c>
      <c r="Y6" s="137">
        <f t="shared" si="2"/>
        <v>0.64</v>
      </c>
      <c r="Z6" s="138">
        <f t="shared" si="1"/>
        <v>0.36</v>
      </c>
    </row>
    <row r="7" spans="1:26" ht="14.4" x14ac:dyDescent="0.3">
      <c r="A7" s="111">
        <v>351</v>
      </c>
      <c r="B7" s="111" t="s">
        <v>345</v>
      </c>
      <c r="C7" s="115">
        <f>C4</f>
        <v>5.0561945649779734</v>
      </c>
      <c r="D7" s="115">
        <f t="shared" ref="D7:F7" si="4">D4</f>
        <v>3.6020558002936856</v>
      </c>
      <c r="E7" s="115">
        <f t="shared" si="4"/>
        <v>9.8935389133627023</v>
      </c>
      <c r="F7" s="115">
        <f t="shared" si="4"/>
        <v>6.3370044052863435</v>
      </c>
      <c r="G7" s="117">
        <f>SUMPRODUCT(D$2:F$2,D7:F7)</f>
        <v>5.9199426647670848</v>
      </c>
      <c r="I7" s="118">
        <f>G7/C7</f>
        <v>1.170829680046712</v>
      </c>
      <c r="J7" s="113">
        <f>A7/SUM($A$4:$A$7)</f>
        <v>2.0705521472392636E-2</v>
      </c>
      <c r="L7" s="111" t="s">
        <v>360</v>
      </c>
      <c r="M7" s="111" t="s">
        <v>358</v>
      </c>
      <c r="O7" s="111" t="s">
        <v>353</v>
      </c>
      <c r="P7" s="111" t="s">
        <v>500</v>
      </c>
      <c r="Q7" s="111" t="s">
        <v>499</v>
      </c>
      <c r="R7" s="111" t="s">
        <v>346</v>
      </c>
      <c r="S7" s="111" t="s">
        <v>472</v>
      </c>
      <c r="U7" s="111">
        <v>2010</v>
      </c>
      <c r="V7" s="142">
        <v>17.100000000000001</v>
      </c>
      <c r="X7" s="111">
        <v>2025</v>
      </c>
      <c r="Y7" s="137">
        <f t="shared" si="2"/>
        <v>0.63500000000000001</v>
      </c>
      <c r="Z7" s="138">
        <f t="shared" si="1"/>
        <v>0.36499999999999999</v>
      </c>
    </row>
    <row r="8" spans="1:26" ht="14.4" x14ac:dyDescent="0.3">
      <c r="A8" s="111">
        <v>4685</v>
      </c>
      <c r="B8" s="111" t="s">
        <v>359</v>
      </c>
      <c r="C8" s="115">
        <f>2898.98/1000</f>
        <v>2.8989799999999999</v>
      </c>
      <c r="D8" s="115">
        <f>2.3</f>
        <v>2.2999999999999998</v>
      </c>
      <c r="E8" s="115">
        <v>4.5</v>
      </c>
      <c r="F8" s="115">
        <v>3.2</v>
      </c>
      <c r="G8" s="117">
        <f>SUMPRODUCT(D$2:F$2,D8:F8)</f>
        <v>3.099157612013185</v>
      </c>
      <c r="I8" s="118">
        <f>G8/C8</f>
        <v>1.0690510496840906</v>
      </c>
      <c r="M8" s="111" t="s">
        <v>496</v>
      </c>
      <c r="N8" s="114">
        <f>Deformation!B53</f>
        <v>0.71356039771525281</v>
      </c>
      <c r="O8" s="115">
        <f>6213.22/1000</f>
        <v>6.2132200000000006</v>
      </c>
      <c r="P8" s="115">
        <v>4.0999999999999996</v>
      </c>
      <c r="Q8" s="115">
        <v>12.3</v>
      </c>
      <c r="R8" s="115">
        <f>8</f>
        <v>8</v>
      </c>
      <c r="S8" s="118">
        <f>SUMPRODUCT($D$2:$F$2,P8:R8)</f>
        <v>7.188621657917226</v>
      </c>
      <c r="U8" s="111">
        <v>2011</v>
      </c>
      <c r="V8" s="142">
        <v>16.899999999999999</v>
      </c>
      <c r="X8" s="111">
        <v>2026</v>
      </c>
      <c r="Y8" s="137">
        <f t="shared" si="2"/>
        <v>0.63</v>
      </c>
      <c r="Z8" s="138">
        <f t="shared" si="1"/>
        <v>0.37</v>
      </c>
    </row>
    <row r="9" spans="1:26" ht="14.4" x14ac:dyDescent="0.3">
      <c r="C9" s="121">
        <f>SUMPRODUCT(A4:A8,C4:C8)/SUM(A4:A8)</f>
        <v>4.782862020193555</v>
      </c>
      <c r="D9" s="121">
        <f>SUMPRODUCT(A4:A8,D4:D8)/SUM(A4:A8)</f>
        <v>3.3985499391865299</v>
      </c>
      <c r="M9" s="111" t="s">
        <v>331</v>
      </c>
      <c r="N9" s="114">
        <f>Deformation!C53</f>
        <v>0.28643960228474719</v>
      </c>
      <c r="O9" s="115">
        <f>4739.43/1000</f>
        <v>4.7394300000000005</v>
      </c>
      <c r="P9" s="115">
        <v>3.4</v>
      </c>
      <c r="Q9" s="115">
        <v>9.1</v>
      </c>
      <c r="R9" s="115">
        <f>6</f>
        <v>6</v>
      </c>
      <c r="S9" s="118">
        <f>SUMPRODUCT($D$2:$F$2,P9:R9)</f>
        <v>5.5246001709193013</v>
      </c>
      <c r="U9" s="111">
        <v>2012</v>
      </c>
      <c r="V9" s="142">
        <v>17.399999999999999</v>
      </c>
      <c r="X9" s="111">
        <v>2027</v>
      </c>
      <c r="Y9" s="137">
        <f t="shared" si="2"/>
        <v>0.625</v>
      </c>
      <c r="Z9" s="138">
        <f t="shared" si="1"/>
        <v>0.375</v>
      </c>
    </row>
    <row r="10" spans="1:26" ht="14.4" x14ac:dyDescent="0.3">
      <c r="C10" s="111" t="s">
        <v>474</v>
      </c>
      <c r="D10" s="121">
        <f>D9/C9</f>
        <v>0.71056825909625465</v>
      </c>
      <c r="U10" s="111">
        <v>2013</v>
      </c>
      <c r="V10" s="142">
        <v>17.2</v>
      </c>
      <c r="X10" s="111">
        <v>2028</v>
      </c>
      <c r="Y10" s="137">
        <f t="shared" si="2"/>
        <v>0.62</v>
      </c>
      <c r="Z10" s="138">
        <f t="shared" si="1"/>
        <v>0.38</v>
      </c>
    </row>
    <row r="11" spans="1:26" ht="14.4" x14ac:dyDescent="0.3">
      <c r="U11" s="111">
        <v>2014</v>
      </c>
      <c r="V11" s="142">
        <v>17.3</v>
      </c>
      <c r="X11" s="111">
        <v>2029</v>
      </c>
      <c r="Y11" s="137">
        <f t="shared" si="2"/>
        <v>0.61499999999999999</v>
      </c>
      <c r="Z11" s="138">
        <f t="shared" si="1"/>
        <v>0.38500000000000001</v>
      </c>
    </row>
    <row r="12" spans="1:26" ht="14.4" x14ac:dyDescent="0.3">
      <c r="J12" s="116" t="s">
        <v>511</v>
      </c>
      <c r="U12" s="111">
        <v>2015</v>
      </c>
      <c r="V12" s="142">
        <v>16.2</v>
      </c>
      <c r="X12" s="111">
        <v>2030</v>
      </c>
      <c r="Y12" s="137">
        <f t="shared" si="2"/>
        <v>0.61</v>
      </c>
      <c r="Z12" s="138">
        <f t="shared" si="1"/>
        <v>0.39</v>
      </c>
    </row>
    <row r="13" spans="1:26" ht="14.4" x14ac:dyDescent="0.3">
      <c r="J13" s="186">
        <v>0.37499074599084053</v>
      </c>
      <c r="K13" s="111" t="s">
        <v>490</v>
      </c>
      <c r="L13" s="185">
        <f>J14+J15</f>
        <v>0.62500925400915941</v>
      </c>
      <c r="M13" s="111" t="s">
        <v>508</v>
      </c>
      <c r="U13" s="111">
        <v>2016</v>
      </c>
      <c r="V13" s="142">
        <v>16.100000000000001</v>
      </c>
      <c r="X13" s="111">
        <v>2031</v>
      </c>
      <c r="Y13" s="137">
        <f t="shared" si="2"/>
        <v>0.60499999999999998</v>
      </c>
      <c r="Z13" s="138">
        <f t="shared" si="1"/>
        <v>0.39500000000000002</v>
      </c>
    </row>
    <row r="14" spans="1:26" ht="14.4" x14ac:dyDescent="0.3">
      <c r="C14" s="111" t="s">
        <v>458</v>
      </c>
      <c r="F14" s="111" t="s">
        <v>451</v>
      </c>
      <c r="J14" s="147">
        <f>0.812-J13</f>
        <v>0.43700925400915952</v>
      </c>
      <c r="K14" s="111" t="s">
        <v>492</v>
      </c>
      <c r="L14" s="187">
        <f>J14/L13</f>
        <v>0.69920445370358508</v>
      </c>
      <c r="M14" s="111" t="s">
        <v>509</v>
      </c>
      <c r="U14" s="111">
        <v>2017</v>
      </c>
      <c r="V14" s="142">
        <v>16.100000000000001</v>
      </c>
      <c r="X14" s="111">
        <v>2032</v>
      </c>
      <c r="Y14" s="137">
        <f t="shared" si="2"/>
        <v>0.6</v>
      </c>
      <c r="Z14" s="138">
        <f t="shared" si="1"/>
        <v>0.4</v>
      </c>
    </row>
    <row r="15" spans="1:26" ht="14.4" x14ac:dyDescent="0.3">
      <c r="A15" s="111" t="s">
        <v>411</v>
      </c>
      <c r="B15" s="111" t="s">
        <v>412</v>
      </c>
      <c r="C15" s="111" t="s">
        <v>455</v>
      </c>
      <c r="D15" s="111" t="s">
        <v>456</v>
      </c>
      <c r="E15" s="111" t="s">
        <v>457</v>
      </c>
      <c r="F15" s="116" t="s">
        <v>452</v>
      </c>
      <c r="H15" s="111" t="s">
        <v>410</v>
      </c>
      <c r="J15" s="148">
        <f>1-J13-J14</f>
        <v>0.18799999999999989</v>
      </c>
      <c r="K15" s="111" t="s">
        <v>491</v>
      </c>
      <c r="L15" s="188">
        <f>J15/L13</f>
        <v>0.30079554629641497</v>
      </c>
      <c r="M15" s="111" t="s">
        <v>510</v>
      </c>
      <c r="U15" s="111">
        <v>2018</v>
      </c>
      <c r="V15" s="142">
        <v>16.100000000000001</v>
      </c>
      <c r="X15" s="111">
        <v>2033</v>
      </c>
      <c r="Y15" s="137">
        <f t="shared" si="2"/>
        <v>0.59499999999999997</v>
      </c>
      <c r="Z15" s="138">
        <f t="shared" si="1"/>
        <v>0.40500000000000003</v>
      </c>
    </row>
    <row r="16" spans="1:26" ht="14.4" x14ac:dyDescent="0.3">
      <c r="A16" s="111" t="s">
        <v>339</v>
      </c>
      <c r="B16" s="111" t="s">
        <v>407</v>
      </c>
      <c r="C16" s="115">
        <f>48.49/1000</f>
        <v>4.8490000000000005E-2</v>
      </c>
      <c r="D16" s="118">
        <f>C16*H26</f>
        <v>4.7778936996464391E-2</v>
      </c>
      <c r="E16" s="118">
        <f>D16*G26</f>
        <v>4.5290476904331939E-2</v>
      </c>
      <c r="F16" s="117">
        <f>E16</f>
        <v>4.5290476904331939E-2</v>
      </c>
      <c r="G16" s="111" t="s">
        <v>453</v>
      </c>
      <c r="H16" s="111" t="s">
        <v>348</v>
      </c>
      <c r="J16" s="149">
        <f>8455.31/1000</f>
        <v>8.455309999999999</v>
      </c>
      <c r="K16" s="111" t="s">
        <v>512</v>
      </c>
      <c r="U16" s="111">
        <v>2019</v>
      </c>
      <c r="V16" s="142">
        <v>16.8</v>
      </c>
      <c r="X16" s="111">
        <v>2034</v>
      </c>
      <c r="Y16" s="137">
        <f t="shared" si="2"/>
        <v>0.59</v>
      </c>
      <c r="Z16" s="138">
        <f t="shared" si="1"/>
        <v>0.41000000000000003</v>
      </c>
    </row>
    <row r="17" spans="1:27" ht="14.4" x14ac:dyDescent="0.3">
      <c r="A17" s="111" t="s">
        <v>340</v>
      </c>
      <c r="B17" s="111" t="s">
        <v>348</v>
      </c>
      <c r="C17" s="115">
        <f>2801.58/1000</f>
        <v>2.80158</v>
      </c>
      <c r="D17" s="118">
        <f>C17*H26</f>
        <v>2.7604973048165538</v>
      </c>
      <c r="E17" s="118">
        <f>D17*G26</f>
        <v>2.6167229178312694</v>
      </c>
      <c r="F17" s="117">
        <f>D16+C30</f>
        <v>3.8272016374726561</v>
      </c>
      <c r="G17" s="111" t="s">
        <v>413</v>
      </c>
      <c r="H17" s="111" t="s">
        <v>349</v>
      </c>
      <c r="J17" s="150">
        <f>V17</f>
        <v>16.399999999999999</v>
      </c>
      <c r="K17" s="111" t="s">
        <v>493</v>
      </c>
      <c r="U17" s="111">
        <v>2020</v>
      </c>
      <c r="V17" s="142">
        <v>16.399999999999999</v>
      </c>
      <c r="X17" s="111">
        <v>2035</v>
      </c>
      <c r="Y17" s="137">
        <f t="shared" si="2"/>
        <v>0.58499999999999996</v>
      </c>
      <c r="Z17" s="138">
        <f t="shared" si="1"/>
        <v>0.41500000000000004</v>
      </c>
      <c r="AA17" s="134" t="s">
        <v>481</v>
      </c>
    </row>
    <row r="18" spans="1:27" ht="14.4" x14ac:dyDescent="0.3">
      <c r="A18" s="111" t="s">
        <v>350</v>
      </c>
      <c r="B18" s="111" t="s">
        <v>349</v>
      </c>
      <c r="C18" s="115">
        <f xml:space="preserve"> 5489.62/1000</f>
        <v>5.4896199999999995</v>
      </c>
      <c r="D18" s="118">
        <f>C18*H26</f>
        <v>5.4091195734075228</v>
      </c>
      <c r="E18" s="118">
        <f>D18*G26</f>
        <v>5.1273975628698416</v>
      </c>
      <c r="F18" s="117">
        <f>J16*K20</f>
        <v>10.845037368705665</v>
      </c>
      <c r="G18" s="111" t="s">
        <v>454</v>
      </c>
      <c r="H18" s="111" t="s">
        <v>459</v>
      </c>
      <c r="U18" s="111">
        <v>2021</v>
      </c>
      <c r="V18" s="142">
        <v>15.8</v>
      </c>
      <c r="X18" s="111">
        <v>2036</v>
      </c>
      <c r="Y18" s="137">
        <f t="shared" si="2"/>
        <v>0.57999999999999996</v>
      </c>
      <c r="Z18" s="138">
        <f t="shared" si="1"/>
        <v>0.42000000000000004</v>
      </c>
    </row>
    <row r="19" spans="1:27" ht="14.4" x14ac:dyDescent="0.3">
      <c r="C19" s="121">
        <f>SUM(C16:C18)</f>
        <v>8.3396899999999992</v>
      </c>
      <c r="K19" s="111" t="s">
        <v>354</v>
      </c>
      <c r="U19" s="111">
        <v>2022</v>
      </c>
      <c r="V19" s="142">
        <v>15.1</v>
      </c>
      <c r="X19" s="111">
        <v>2037</v>
      </c>
      <c r="Y19" s="137">
        <f t="shared" si="2"/>
        <v>0.57499999999999996</v>
      </c>
      <c r="Z19" s="138">
        <f t="shared" si="1"/>
        <v>0.42500000000000004</v>
      </c>
    </row>
    <row r="20" spans="1:27" ht="15" thickBot="1" x14ac:dyDescent="0.35">
      <c r="D20" s="111" t="s">
        <v>507</v>
      </c>
      <c r="E20" s="111" t="s">
        <v>464</v>
      </c>
      <c r="J20" s="111" t="s">
        <v>467</v>
      </c>
      <c r="K20" s="181">
        <f>1*L14+J17/J16*L15</f>
        <v>1.2826303670362962</v>
      </c>
      <c r="L20" s="184">
        <f>L14*J16+L15*J17</f>
        <v>10.845037368705665</v>
      </c>
      <c r="U20" s="111">
        <v>2023</v>
      </c>
      <c r="V20" s="143">
        <v>14.8</v>
      </c>
      <c r="X20" s="111">
        <v>2038</v>
      </c>
      <c r="Y20" s="137">
        <f t="shared" si="2"/>
        <v>0.56999999999999995</v>
      </c>
      <c r="Z20" s="138">
        <f t="shared" si="1"/>
        <v>0.43000000000000005</v>
      </c>
    </row>
    <row r="21" spans="1:27" x14ac:dyDescent="0.25">
      <c r="A21" s="111" t="s">
        <v>341</v>
      </c>
      <c r="B21" s="111" t="s">
        <v>408</v>
      </c>
      <c r="C21" s="115">
        <f>115.62/1000</f>
        <v>0.11562</v>
      </c>
      <c r="D21" s="115">
        <v>3.6709999999999998</v>
      </c>
      <c r="E21" s="117">
        <f>D21*K21</f>
        <v>4.2835291391160073</v>
      </c>
      <c r="F21" s="111" t="s">
        <v>414</v>
      </c>
      <c r="G21" s="111" t="s">
        <v>352</v>
      </c>
      <c r="J21" s="111" t="s">
        <v>465</v>
      </c>
      <c r="K21" s="182">
        <f>SUMPRODUCT(J4:J7,I4:I7)</f>
        <v>1.1668562078768747</v>
      </c>
      <c r="X21" s="111">
        <v>2039</v>
      </c>
      <c r="Y21" s="137">
        <f t="shared" si="2"/>
        <v>0.56499999999999995</v>
      </c>
      <c r="Z21" s="138">
        <f t="shared" si="1"/>
        <v>0.43500000000000005</v>
      </c>
    </row>
    <row r="22" spans="1:27" ht="14.4" x14ac:dyDescent="0.3">
      <c r="A22" s="111" t="s">
        <v>342</v>
      </c>
      <c r="B22" s="111" t="s">
        <v>409</v>
      </c>
      <c r="C22" s="115">
        <f>C21</f>
        <v>0.11562</v>
      </c>
      <c r="D22" s="115">
        <v>2.1549999999999998</v>
      </c>
      <c r="E22" s="117">
        <f>D22*K22</f>
        <v>2.3038050120692151</v>
      </c>
      <c r="F22" s="111" t="s">
        <v>415</v>
      </c>
      <c r="G22" s="111" t="s">
        <v>351</v>
      </c>
      <c r="J22" s="111" t="s">
        <v>466</v>
      </c>
      <c r="K22" s="183">
        <f>I8</f>
        <v>1.0690510496840906</v>
      </c>
      <c r="U22"/>
      <c r="X22" s="111">
        <v>2040</v>
      </c>
      <c r="Y22" s="137">
        <f t="shared" si="2"/>
        <v>0.55999999999999994</v>
      </c>
      <c r="Z22" s="138">
        <f t="shared" si="1"/>
        <v>0.44000000000000006</v>
      </c>
    </row>
    <row r="23" spans="1:27" x14ac:dyDescent="0.25">
      <c r="D23" s="121"/>
      <c r="X23" s="111">
        <v>2041</v>
      </c>
      <c r="Y23" s="137">
        <f t="shared" si="2"/>
        <v>0.55499999999999994</v>
      </c>
      <c r="Z23" s="138">
        <f t="shared" si="1"/>
        <v>0.44500000000000006</v>
      </c>
    </row>
    <row r="24" spans="1:27" ht="14.4" x14ac:dyDescent="0.3">
      <c r="U24"/>
      <c r="X24" s="111">
        <v>2042</v>
      </c>
      <c r="Y24" s="137">
        <f t="shared" si="2"/>
        <v>0.54999999999999993</v>
      </c>
      <c r="Z24" s="138">
        <f t="shared" si="1"/>
        <v>0.45000000000000007</v>
      </c>
    </row>
    <row r="25" spans="1:27" x14ac:dyDescent="0.25">
      <c r="C25" s="118">
        <f>C17*H26</f>
        <v>2.7604973048165538</v>
      </c>
      <c r="D25" s="111" t="s">
        <v>460</v>
      </c>
      <c r="G25" s="111" t="s">
        <v>403</v>
      </c>
      <c r="H25" s="111" t="s">
        <v>404</v>
      </c>
      <c r="X25" s="111">
        <v>2043</v>
      </c>
      <c r="Y25" s="137">
        <f t="shared" si="2"/>
        <v>0.54499999999999993</v>
      </c>
      <c r="Z25" s="138">
        <f t="shared" si="1"/>
        <v>0.45500000000000007</v>
      </c>
    </row>
    <row r="26" spans="1:27" x14ac:dyDescent="0.25">
      <c r="C26" s="122">
        <v>1.4470000000000001</v>
      </c>
      <c r="D26" s="111" t="s">
        <v>462</v>
      </c>
      <c r="G26" s="120">
        <f>'Mining and Bayer'!Q35</f>
        <v>0.94791721522987005</v>
      </c>
      <c r="H26" s="120">
        <f>Electrolysis!F46</f>
        <v>0.98533588361444391</v>
      </c>
      <c r="I26" s="111" t="s">
        <v>405</v>
      </c>
      <c r="X26" s="111">
        <v>2044</v>
      </c>
      <c r="Y26" s="137">
        <f t="shared" si="2"/>
        <v>0.53999999999999992</v>
      </c>
      <c r="Z26" s="138">
        <f t="shared" si="1"/>
        <v>0.46000000000000008</v>
      </c>
    </row>
    <row r="27" spans="1:27" x14ac:dyDescent="0.25">
      <c r="C27" s="118">
        <f>C26/G26</f>
        <v>1.5265046111111109</v>
      </c>
      <c r="D27" s="111" t="s">
        <v>461</v>
      </c>
      <c r="H27" s="118">
        <f>G26*H26</f>
        <v>0.93401684686186703</v>
      </c>
      <c r="I27" s="111" t="s">
        <v>450</v>
      </c>
      <c r="X27" s="111">
        <v>2045</v>
      </c>
      <c r="Y27" s="137">
        <f t="shared" si="2"/>
        <v>0.53499999999999992</v>
      </c>
      <c r="Z27" s="138">
        <f t="shared" si="1"/>
        <v>0.46500000000000008</v>
      </c>
    </row>
    <row r="28" spans="1:27" x14ac:dyDescent="0.25">
      <c r="C28" s="119">
        <f>867/1917</f>
        <v>0.45226917057902971</v>
      </c>
      <c r="D28" s="111" t="s">
        <v>402</v>
      </c>
      <c r="X28" s="111">
        <v>2046</v>
      </c>
      <c r="Y28" s="137">
        <f t="shared" si="2"/>
        <v>0.52999999999999992</v>
      </c>
      <c r="Z28" s="138">
        <f t="shared" si="1"/>
        <v>0.47000000000000008</v>
      </c>
    </row>
    <row r="29" spans="1:27" x14ac:dyDescent="0.25">
      <c r="C29" s="123">
        <f>(C25-C27*C28)/(C27*(1-C28))</f>
        <v>2.4758672020815111</v>
      </c>
      <c r="D29" s="111" t="s">
        <v>401</v>
      </c>
      <c r="X29" s="111">
        <v>2047</v>
      </c>
      <c r="Y29" s="137">
        <f t="shared" si="2"/>
        <v>0.52499999999999991</v>
      </c>
      <c r="Z29" s="138">
        <f t="shared" si="1"/>
        <v>0.47500000000000009</v>
      </c>
    </row>
    <row r="30" spans="1:27" x14ac:dyDescent="0.25">
      <c r="C30" s="117">
        <f>C27*C29</f>
        <v>3.7794227004761916</v>
      </c>
      <c r="D30" s="111" t="s">
        <v>406</v>
      </c>
      <c r="X30" s="111">
        <v>2048</v>
      </c>
      <c r="Y30" s="137">
        <f t="shared" si="2"/>
        <v>0.51999999999999991</v>
      </c>
      <c r="Z30" s="138">
        <f t="shared" si="1"/>
        <v>0.48000000000000009</v>
      </c>
    </row>
    <row r="31" spans="1:27" x14ac:dyDescent="0.25">
      <c r="X31" s="111">
        <v>2049</v>
      </c>
      <c r="Y31" s="137">
        <f t="shared" si="2"/>
        <v>0.5149999999999999</v>
      </c>
      <c r="Z31" s="138">
        <f t="shared" si="1"/>
        <v>0.4850000000000001</v>
      </c>
    </row>
    <row r="32" spans="1:27" ht="13.8" thickBot="1" x14ac:dyDescent="0.3">
      <c r="X32" s="111">
        <v>2050</v>
      </c>
      <c r="Y32" s="139">
        <f t="shared" si="2"/>
        <v>0.5099999999999999</v>
      </c>
      <c r="Z32" s="140">
        <f t="shared" si="1"/>
        <v>0.4900000000000001</v>
      </c>
    </row>
    <row r="33" spans="1:26" x14ac:dyDescent="0.25">
      <c r="Y33" s="115">
        <v>0.51</v>
      </c>
      <c r="Z33" s="118">
        <f>1-Y33</f>
        <v>0.49</v>
      </c>
    </row>
    <row r="34" spans="1:26" x14ac:dyDescent="0.25">
      <c r="K34" s="111" t="s">
        <v>522</v>
      </c>
      <c r="L34" s="111" t="s">
        <v>521</v>
      </c>
    </row>
    <row r="35" spans="1:26" ht="13.8" thickBot="1" x14ac:dyDescent="0.3">
      <c r="A35" s="245" t="s">
        <v>497</v>
      </c>
      <c r="B35" s="247" t="s">
        <v>498</v>
      </c>
      <c r="C35" s="162" t="s">
        <v>500</v>
      </c>
      <c r="D35" s="163" t="s">
        <v>499</v>
      </c>
      <c r="E35" s="164" t="s">
        <v>501</v>
      </c>
      <c r="F35" s="247" t="s">
        <v>502</v>
      </c>
      <c r="H35" s="193" t="s">
        <v>513</v>
      </c>
      <c r="I35" s="194" t="s">
        <v>530</v>
      </c>
      <c r="J35" s="194" t="s">
        <v>514</v>
      </c>
      <c r="K35" s="196" t="s">
        <v>523</v>
      </c>
      <c r="L35" s="196" t="s">
        <v>523</v>
      </c>
    </row>
    <row r="36" spans="1:26" x14ac:dyDescent="0.25">
      <c r="A36" s="246"/>
      <c r="B36" s="248"/>
      <c r="C36" s="165">
        <f>D2</f>
        <v>0.51764131363691857</v>
      </c>
      <c r="D36" s="166">
        <f>E2</f>
        <v>0.28079599560493224</v>
      </c>
      <c r="E36" s="167">
        <f>F2</f>
        <v>0.2015626907581492</v>
      </c>
      <c r="F36" s="249"/>
      <c r="H36" s="193" t="s">
        <v>339</v>
      </c>
      <c r="I36" s="198" t="s">
        <v>531</v>
      </c>
      <c r="J36" s="192" t="s">
        <v>515</v>
      </c>
      <c r="K36" s="195">
        <f>E16</f>
        <v>4.5290476904331939E-2</v>
      </c>
      <c r="L36" s="197">
        <f>F16</f>
        <v>4.5290476904331939E-2</v>
      </c>
    </row>
    <row r="37" spans="1:26" x14ac:dyDescent="0.25">
      <c r="A37" s="152" t="str">
        <f>M2 &amp; " (" &amp; TEXT(N2, "0.0%") &amp; ")"</f>
        <v>Non-Auto Sheet (61.3%)</v>
      </c>
      <c r="B37" s="160">
        <f>O2</f>
        <v>3.9783200000000001</v>
      </c>
      <c r="C37" s="155">
        <f t="shared" ref="C37:F37" si="5">P2</f>
        <v>3</v>
      </c>
      <c r="D37" s="156">
        <f t="shared" si="5"/>
        <v>7.3</v>
      </c>
      <c r="E37" s="157">
        <f t="shared" si="5"/>
        <v>4.8</v>
      </c>
      <c r="F37" s="157">
        <f t="shared" si="5"/>
        <v>4.5702356244658775</v>
      </c>
      <c r="H37" s="193" t="s">
        <v>340</v>
      </c>
      <c r="I37" s="199" t="s">
        <v>515</v>
      </c>
      <c r="J37" s="194" t="s">
        <v>516</v>
      </c>
      <c r="K37" s="201">
        <v>1.5741144191438099</v>
      </c>
      <c r="L37" s="190">
        <f>F17</f>
        <v>3.8272016374726561</v>
      </c>
    </row>
    <row r="38" spans="1:26" x14ac:dyDescent="0.25">
      <c r="A38" s="153" t="str">
        <f t="shared" ref="A38:A39" si="6">M3 &amp; " (" &amp; TEXT(N3, "0.0%") &amp; ")"</f>
        <v>Foil (12.3%)</v>
      </c>
      <c r="B38" s="161">
        <f t="shared" ref="B38:B39" si="7">O3</f>
        <v>4.65341</v>
      </c>
      <c r="C38" s="158">
        <f t="shared" ref="C38:C39" si="8">P3</f>
        <v>3.6</v>
      </c>
      <c r="D38" s="151">
        <f t="shared" ref="D38:D39" si="9">Q3</f>
        <v>8.1999999999999993</v>
      </c>
      <c r="E38" s="159">
        <f t="shared" ref="E38:E39" si="10">R3</f>
        <v>5.7</v>
      </c>
      <c r="F38" s="159">
        <f t="shared" ref="F38:F39" si="11">S3</f>
        <v>5.3149432303748014</v>
      </c>
      <c r="H38" s="193" t="s">
        <v>350</v>
      </c>
      <c r="I38" s="199" t="s">
        <v>516</v>
      </c>
      <c r="J38" s="194" t="s">
        <v>528</v>
      </c>
      <c r="K38" s="201">
        <v>8.5138830742125933</v>
      </c>
      <c r="L38" s="190">
        <f>F18</f>
        <v>10.845037368705665</v>
      </c>
    </row>
    <row r="39" spans="1:26" x14ac:dyDescent="0.25">
      <c r="A39" s="153" t="str">
        <f t="shared" si="6"/>
        <v>Auto Sheet (26.4%)</v>
      </c>
      <c r="B39" s="161">
        <f t="shared" si="7"/>
        <v>7.7447900000000001</v>
      </c>
      <c r="C39" s="158">
        <f t="shared" si="8"/>
        <v>5</v>
      </c>
      <c r="D39" s="151">
        <f t="shared" si="9"/>
        <v>16.7</v>
      </c>
      <c r="E39" s="159">
        <f t="shared" si="10"/>
        <v>10.199999999999999</v>
      </c>
      <c r="F39" s="159">
        <f t="shared" si="11"/>
        <v>9.3334391405200829</v>
      </c>
      <c r="H39" s="111" t="s">
        <v>524</v>
      </c>
      <c r="I39" s="199" t="s">
        <v>532</v>
      </c>
      <c r="J39" s="194" t="s">
        <v>526</v>
      </c>
      <c r="K39" s="115">
        <v>2.8477707637662237</v>
      </c>
      <c r="L39" s="190" t="s">
        <v>529</v>
      </c>
    </row>
    <row r="40" spans="1:26" x14ac:dyDescent="0.25">
      <c r="A40" s="177" t="s">
        <v>503</v>
      </c>
      <c r="B40" s="169">
        <f>C4</f>
        <v>5.0561945649779734</v>
      </c>
      <c r="C40" s="170">
        <f t="shared" ref="C40:F40" si="12">D4</f>
        <v>3.6020558002936856</v>
      </c>
      <c r="D40" s="171">
        <f t="shared" si="12"/>
        <v>9.8935389133627023</v>
      </c>
      <c r="E40" s="172">
        <f t="shared" si="12"/>
        <v>6.3370044052863435</v>
      </c>
      <c r="F40" s="179">
        <f t="shared" si="12"/>
        <v>5.9199426647670848</v>
      </c>
      <c r="H40" s="111" t="s">
        <v>525</v>
      </c>
      <c r="I40" s="199" t="s">
        <v>533</v>
      </c>
      <c r="J40" s="194" t="s">
        <v>527</v>
      </c>
      <c r="K40" s="115">
        <v>1.079331546737395</v>
      </c>
      <c r="L40" s="190" t="s">
        <v>529</v>
      </c>
    </row>
    <row r="41" spans="1:26" x14ac:dyDescent="0.25">
      <c r="A41" s="168" t="str">
        <f>M8 &amp; " (" &amp; TEXT(N8, "0.0%") &amp; ")"</f>
        <v>Non-Auto Extrusion (71.4%)</v>
      </c>
      <c r="B41" s="160">
        <f>O8</f>
        <v>6.2132200000000006</v>
      </c>
      <c r="C41" s="155">
        <f t="shared" ref="C41:E41" si="13">P8</f>
        <v>4.0999999999999996</v>
      </c>
      <c r="D41" s="156">
        <f t="shared" si="13"/>
        <v>12.3</v>
      </c>
      <c r="E41" s="157">
        <f t="shared" si="13"/>
        <v>8</v>
      </c>
      <c r="F41" s="157">
        <f>S8</f>
        <v>7.188621657917226</v>
      </c>
      <c r="H41" s="193" t="s">
        <v>517</v>
      </c>
      <c r="I41" s="199" t="s">
        <v>526</v>
      </c>
      <c r="J41" s="194" t="s">
        <v>518</v>
      </c>
      <c r="K41" s="201">
        <v>3.6710756669167703</v>
      </c>
      <c r="L41" s="190">
        <f>E21</f>
        <v>4.2835291391160073</v>
      </c>
    </row>
    <row r="42" spans="1:26" ht="13.8" thickBot="1" x14ac:dyDescent="0.3">
      <c r="A42" s="154" t="str">
        <f>M9 &amp; " (" &amp; TEXT(N9, "0.0%") &amp; ")"</f>
        <v>Auto Extrusion (28.6%)</v>
      </c>
      <c r="B42" s="161">
        <f>O9</f>
        <v>4.7394300000000005</v>
      </c>
      <c r="C42" s="158">
        <f t="shared" ref="C42" si="14">P9</f>
        <v>3.4</v>
      </c>
      <c r="D42" s="151">
        <f t="shared" ref="D42" si="15">Q9</f>
        <v>9.1</v>
      </c>
      <c r="E42" s="159">
        <f t="shared" ref="E42" si="16">R9</f>
        <v>6</v>
      </c>
      <c r="F42" s="159">
        <f>S9</f>
        <v>5.5246001709193013</v>
      </c>
      <c r="H42" s="193" t="s">
        <v>519</v>
      </c>
      <c r="I42" s="200" t="s">
        <v>527</v>
      </c>
      <c r="J42" s="189" t="s">
        <v>520</v>
      </c>
      <c r="K42" s="202">
        <v>2.1550045292574507</v>
      </c>
      <c r="L42" s="191">
        <f>E22</f>
        <v>2.3038050120692151</v>
      </c>
    </row>
    <row r="43" spans="1:26" x14ac:dyDescent="0.25">
      <c r="A43" s="177" t="s">
        <v>504</v>
      </c>
      <c r="B43" s="169">
        <f>C5</f>
        <v>5.7910681785487625</v>
      </c>
      <c r="C43" s="170">
        <f t="shared" ref="C43:F43" si="17">D5</f>
        <v>3.8994922784006767</v>
      </c>
      <c r="D43" s="171">
        <f t="shared" si="17"/>
        <v>11.38339327268881</v>
      </c>
      <c r="E43" s="172">
        <f t="shared" si="17"/>
        <v>7.4271207954305059</v>
      </c>
      <c r="F43" s="179">
        <f t="shared" si="17"/>
        <v>6.7119800049882672</v>
      </c>
    </row>
    <row r="44" spans="1:26" x14ac:dyDescent="0.25">
      <c r="A44" s="178" t="s">
        <v>505</v>
      </c>
      <c r="B44" s="173">
        <f t="shared" ref="B44:F44" si="18">C6</f>
        <v>5.7910681785487625</v>
      </c>
      <c r="C44" s="174">
        <f t="shared" si="18"/>
        <v>3.8994922784006767</v>
      </c>
      <c r="D44" s="175">
        <f t="shared" si="18"/>
        <v>11.38339327268881</v>
      </c>
      <c r="E44" s="176">
        <f t="shared" si="18"/>
        <v>7.4271207954305059</v>
      </c>
      <c r="F44" s="180">
        <f t="shared" si="18"/>
        <v>6.7119800049882672</v>
      </c>
    </row>
    <row r="45" spans="1:26" x14ac:dyDescent="0.25">
      <c r="A45" s="178" t="s">
        <v>506</v>
      </c>
      <c r="B45" s="173">
        <f t="shared" ref="B45:F45" si="19">C7</f>
        <v>5.0561945649779734</v>
      </c>
      <c r="C45" s="174">
        <f t="shared" si="19"/>
        <v>3.6020558002936856</v>
      </c>
      <c r="D45" s="175">
        <f t="shared" si="19"/>
        <v>9.8935389133627023</v>
      </c>
      <c r="E45" s="176">
        <f t="shared" si="19"/>
        <v>6.3370044052863435</v>
      </c>
      <c r="F45" s="180">
        <f t="shared" si="19"/>
        <v>5.9199426647670848</v>
      </c>
    </row>
    <row r="46" spans="1:26" x14ac:dyDescent="0.25">
      <c r="A46" s="177" t="s">
        <v>359</v>
      </c>
      <c r="B46" s="169">
        <f t="shared" ref="B46:F46" si="20">C8</f>
        <v>2.8989799999999999</v>
      </c>
      <c r="C46" s="170">
        <f t="shared" si="20"/>
        <v>2.2999999999999998</v>
      </c>
      <c r="D46" s="171">
        <f t="shared" si="20"/>
        <v>4.5</v>
      </c>
      <c r="E46" s="172">
        <f t="shared" si="20"/>
        <v>3.2</v>
      </c>
      <c r="F46" s="179">
        <f t="shared" si="20"/>
        <v>3.099157612013185</v>
      </c>
    </row>
  </sheetData>
  <mergeCells count="3">
    <mergeCell ref="A35:A36"/>
    <mergeCell ref="B35:B36"/>
    <mergeCell ref="F35:F36"/>
  </mergeCells>
  <hyperlinks>
    <hyperlink ref="AA17" r:id="rId1" display="https://link.springer.com/article/10.1007/s13563-023-00413-y" xr:uid="{0593DB1A-8F45-4A06-8C09-CD38DEC06C0A}"/>
  </hyperlinks>
  <pageMargins left="0.7" right="0.7" top="0.75" bottom="0.75" header="0.3" footer="0.3"/>
  <pageSetup orientation="portrait" r:id="rId2"/>
  <drawing r:id="rId3"/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97CD-9D63-4CE6-A42C-B808C371B844}">
  <dimension ref="A1:H4"/>
  <sheetViews>
    <sheetView zoomScale="145" zoomScaleNormal="145" workbookViewId="0">
      <selection activeCell="G17" sqref="G17"/>
    </sheetView>
  </sheetViews>
  <sheetFormatPr defaultColWidth="8.6640625" defaultRowHeight="14.4" x14ac:dyDescent="0.3"/>
  <cols>
    <col min="2" max="2" width="12.6640625" customWidth="1"/>
    <col min="3" max="3" width="11.6640625" customWidth="1"/>
    <col min="4" max="4" width="20.6640625" customWidth="1"/>
    <col min="5" max="5" width="17" customWidth="1"/>
    <col min="6" max="6" width="15.6640625" customWidth="1"/>
    <col min="7" max="7" width="13.44140625" customWidth="1"/>
    <col min="8" max="8" width="14.44140625" customWidth="1"/>
  </cols>
  <sheetData>
    <row r="1" spans="1:8" x14ac:dyDescent="0.3">
      <c r="A1" t="s">
        <v>433</v>
      </c>
      <c r="B1" t="s">
        <v>0</v>
      </c>
      <c r="C1" t="s">
        <v>254</v>
      </c>
      <c r="D1" t="s">
        <v>445</v>
      </c>
      <c r="E1" t="s">
        <v>434</v>
      </c>
      <c r="F1" t="s">
        <v>435</v>
      </c>
      <c r="G1" t="s">
        <v>440</v>
      </c>
      <c r="H1" t="s">
        <v>436</v>
      </c>
    </row>
    <row r="2" spans="1:8" x14ac:dyDescent="0.3">
      <c r="A2" t="s">
        <v>430</v>
      </c>
      <c r="B2" t="s">
        <v>432</v>
      </c>
      <c r="C2" s="108">
        <f>Deformation!K33</f>
        <v>0.70768286907496036</v>
      </c>
      <c r="D2" t="s">
        <v>446</v>
      </c>
      <c r="E2" s="107">
        <f>Deformation!F34</f>
        <v>0.20515142201138423</v>
      </c>
      <c r="F2" s="20">
        <f>Deformation!F46</f>
        <v>0.40989049264948552</v>
      </c>
      <c r="G2" s="20">
        <f>Deformation!F41</f>
        <v>4.2452663129935591</v>
      </c>
      <c r="H2" s="20">
        <f>Deformation!G38</f>
        <v>0.48209844620052844</v>
      </c>
    </row>
    <row r="3" spans="1:8" x14ac:dyDescent="0.3">
      <c r="A3" t="s">
        <v>431</v>
      </c>
      <c r="B3" t="s">
        <v>238</v>
      </c>
      <c r="C3" s="108">
        <f>Deformation!H59</f>
        <v>0.73855243722304287</v>
      </c>
      <c r="D3" s="107">
        <f>Deformation!D60</f>
        <v>0.36348935481421507</v>
      </c>
      <c r="E3" t="s">
        <v>446</v>
      </c>
      <c r="F3" s="20">
        <f>Deformation!D72</f>
        <v>0.55548744460856714</v>
      </c>
      <c r="G3" s="20">
        <f>Deformation!D67</f>
        <v>5.8988390964206143</v>
      </c>
      <c r="H3" s="20">
        <f>Deformation!E64</f>
        <v>0.52689956138667349</v>
      </c>
    </row>
    <row r="4" spans="1:8" x14ac:dyDescent="0.3">
      <c r="A4" t="s">
        <v>437</v>
      </c>
      <c r="B4" t="s">
        <v>438</v>
      </c>
      <c r="C4" s="108">
        <f>Casting!O28</f>
        <v>0.81632653061224525</v>
      </c>
      <c r="D4" s="107">
        <f>Casting!T16</f>
        <v>0.15023923444976078</v>
      </c>
      <c r="F4" t="s">
        <v>439</v>
      </c>
      <c r="G4" s="20">
        <f>Casting!Q24</f>
        <v>5.159808612440191</v>
      </c>
      <c r="H4" s="20">
        <f>Casting!S20</f>
        <v>0.64762611275964399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Mining and Bayer</vt:lpstr>
      <vt:lpstr>Electrolysis</vt:lpstr>
      <vt:lpstr>Recycling</vt:lpstr>
      <vt:lpstr>Casting</vt:lpstr>
      <vt:lpstr>Rolling (F1)</vt:lpstr>
      <vt:lpstr>Extrusion (F2)</vt:lpstr>
      <vt:lpstr>Deformation</vt:lpstr>
      <vt:lpstr>demand</vt:lpstr>
      <vt:lpstr>scrap</vt:lpstr>
      <vt:lpstr>import CF</vt:lpstr>
      <vt:lpstr>Data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Deng</dc:creator>
  <cp:lastModifiedBy>Deng, Sidi</cp:lastModifiedBy>
  <dcterms:created xsi:type="dcterms:W3CDTF">2015-06-05T18:17:20Z</dcterms:created>
  <dcterms:modified xsi:type="dcterms:W3CDTF">2025-08-09T01:57:02Z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2024-03-21T12:32:34Z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4f03e450-5085-4119-9aa4-8cec30eb6bba</vt:lpwstr>
  </property>
  <property fmtid="{D5CDD505-2E9C-101B-9397-08002B2CF9AE}" pid="8" name="MSIP_Label_4044bd30-2ed7-4c9d-9d12-46200872a97b_ContentBits">
    <vt:lpwstr>0</vt:lpwstr>
  </property>
</Properties>
</file>