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sigurdj\git_repos\RelDist.jl\examples\fasad_cineldi\"/>
    </mc:Choice>
  </mc:AlternateContent>
  <xr:revisionPtr revIDLastSave="0" documentId="8_{46CE2BA1-35A1-4A9F-B73A-2F7729217CEB}" xr6:coauthVersionLast="47" xr6:coauthVersionMax="47" xr10:uidLastSave="{00000000-0000-0000-0000-000000000000}"/>
  <bookViews>
    <workbookView xWindow="40956" yWindow="0" windowWidth="20472" windowHeight="16680" activeTab="2" xr2:uid="{00000000-000D-0000-FFFF-FFFF00000000}"/>
  </bookViews>
  <sheets>
    <sheet name="Definer analyse" sheetId="2" r:id="rId1"/>
    <sheet name="RELRAD" sheetId="1" r:id="rId2"/>
    <sheet name="RELRAD_with_capacity" sheetId="6" r:id="rId3"/>
    <sheet name="KILE" sheetId="4" r:id="rId4"/>
    <sheet name="Input og antakelser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6" i="6" l="1"/>
  <c r="G36" i="6" s="1"/>
  <c r="E37" i="6"/>
  <c r="E20" i="6"/>
  <c r="G20" i="6"/>
  <c r="D20" i="6"/>
  <c r="F20" i="6" s="1"/>
  <c r="D53" i="6"/>
  <c r="D36" i="6"/>
  <c r="D4" i="6"/>
  <c r="F4" i="6" s="1"/>
  <c r="C62" i="6"/>
  <c r="AC7" i="6" s="1"/>
  <c r="AC28" i="6" s="1"/>
  <c r="I57" i="6"/>
  <c r="H57" i="6"/>
  <c r="C57" i="6"/>
  <c r="B57" i="6"/>
  <c r="E56" i="6"/>
  <c r="G56" i="6" s="1"/>
  <c r="D56" i="6"/>
  <c r="F56" i="6" s="1"/>
  <c r="AE42" i="6" s="1"/>
  <c r="E55" i="6"/>
  <c r="G55" i="6" s="1"/>
  <c r="D55" i="6"/>
  <c r="F55" i="6" s="1"/>
  <c r="AE41" i="6" s="1"/>
  <c r="G54" i="6"/>
  <c r="E54" i="6"/>
  <c r="D54" i="6"/>
  <c r="F54" i="6" s="1"/>
  <c r="AE40" i="6" s="1"/>
  <c r="E53" i="6"/>
  <c r="G53" i="6" s="1"/>
  <c r="F53" i="6"/>
  <c r="AB41" i="6"/>
  <c r="C40" i="6"/>
  <c r="I40" i="6" s="1"/>
  <c r="B40" i="6"/>
  <c r="H40" i="6" s="1"/>
  <c r="E39" i="6"/>
  <c r="G39" i="6" s="1"/>
  <c r="D39" i="6"/>
  <c r="F39" i="6" s="1"/>
  <c r="AD42" i="6" s="1"/>
  <c r="E38" i="6"/>
  <c r="G38" i="6" s="1"/>
  <c r="D38" i="6"/>
  <c r="F38" i="6" s="1"/>
  <c r="AD41" i="6" s="1"/>
  <c r="F37" i="6"/>
  <c r="AD40" i="6" s="1"/>
  <c r="G37" i="6"/>
  <c r="D37" i="6"/>
  <c r="F36" i="6"/>
  <c r="C29" i="6"/>
  <c r="I29" i="6" s="1"/>
  <c r="AF5" i="6" s="1"/>
  <c r="AF26" i="6" s="1"/>
  <c r="I24" i="6"/>
  <c r="H24" i="6"/>
  <c r="C24" i="6"/>
  <c r="B24" i="6"/>
  <c r="E23" i="6"/>
  <c r="G23" i="6" s="1"/>
  <c r="D23" i="6"/>
  <c r="F23" i="6" s="1"/>
  <c r="AC42" i="6" s="1"/>
  <c r="G22" i="6"/>
  <c r="F22" i="6"/>
  <c r="AC41" i="6" s="1"/>
  <c r="E22" i="6"/>
  <c r="D22" i="6"/>
  <c r="E21" i="6"/>
  <c r="G21" i="6" s="1"/>
  <c r="D21" i="6"/>
  <c r="F21" i="6" s="1"/>
  <c r="AC40" i="6" s="1"/>
  <c r="I8" i="6"/>
  <c r="C8" i="6"/>
  <c r="B8" i="6"/>
  <c r="H8" i="6" s="1"/>
  <c r="AH7" i="6"/>
  <c r="E7" i="6"/>
  <c r="G7" i="6" s="1"/>
  <c r="D7" i="6"/>
  <c r="F7" i="6" s="1"/>
  <c r="AB42" i="6" s="1"/>
  <c r="AH6" i="6"/>
  <c r="AH8" i="6" s="1"/>
  <c r="G6" i="6"/>
  <c r="F6" i="6"/>
  <c r="E6" i="6"/>
  <c r="D6" i="6"/>
  <c r="AH5" i="6"/>
  <c r="F5" i="6"/>
  <c r="AB40" i="6" s="1"/>
  <c r="E5" i="6"/>
  <c r="G5" i="6" s="1"/>
  <c r="D5" i="6"/>
  <c r="AH4" i="6"/>
  <c r="E4" i="6"/>
  <c r="G4" i="6" s="1"/>
  <c r="G8" i="6" s="1"/>
  <c r="AH8" i="1"/>
  <c r="AG8" i="1"/>
  <c r="AF8" i="1"/>
  <c r="AE8" i="1"/>
  <c r="AF40" i="1"/>
  <c r="AF41" i="1"/>
  <c r="AF42" i="1"/>
  <c r="AF39" i="1"/>
  <c r="AB39" i="1"/>
  <c r="AB39" i="6" l="1"/>
  <c r="M4" i="6"/>
  <c r="F8" i="6"/>
  <c r="AF42" i="6"/>
  <c r="E8" i="6"/>
  <c r="K8" i="6"/>
  <c r="F24" i="6"/>
  <c r="AC39" i="6"/>
  <c r="G24" i="6"/>
  <c r="AF41" i="6"/>
  <c r="AF40" i="6"/>
  <c r="F40" i="6"/>
  <c r="AD39" i="6"/>
  <c r="F57" i="6"/>
  <c r="AE39" i="6"/>
  <c r="G40" i="6"/>
  <c r="G57" i="6"/>
  <c r="AC5" i="6"/>
  <c r="AC26" i="6" s="1"/>
  <c r="C45" i="6"/>
  <c r="I62" i="6"/>
  <c r="AF7" i="6" s="1"/>
  <c r="AF28" i="6" s="1"/>
  <c r="C13" i="6"/>
  <c r="AC39" i="1"/>
  <c r="AD39" i="1"/>
  <c r="AE39" i="1"/>
  <c r="AB40" i="1"/>
  <c r="AC40" i="1"/>
  <c r="AD40" i="1"/>
  <c r="AE40" i="1"/>
  <c r="AB41" i="1"/>
  <c r="AC41" i="1"/>
  <c r="AD41" i="1"/>
  <c r="AE41" i="1"/>
  <c r="AB42" i="1"/>
  <c r="AC42" i="1"/>
  <c r="AD42" i="1"/>
  <c r="AE42" i="1"/>
  <c r="AE43" i="1"/>
  <c r="AD43" i="1"/>
  <c r="AC43" i="1"/>
  <c r="AB43" i="1"/>
  <c r="K13" i="1"/>
  <c r="D8" i="1"/>
  <c r="E24" i="6" l="1"/>
  <c r="K24" i="6"/>
  <c r="AC43" i="6"/>
  <c r="J24" i="6"/>
  <c r="D24" i="6"/>
  <c r="G29" i="6"/>
  <c r="AC6" i="6"/>
  <c r="AC27" i="6" s="1"/>
  <c r="I45" i="6"/>
  <c r="AF6" i="6" s="1"/>
  <c r="AF27" i="6" s="1"/>
  <c r="E57" i="6"/>
  <c r="K57" i="6"/>
  <c r="D8" i="6"/>
  <c r="AB43" i="6"/>
  <c r="G13" i="6"/>
  <c r="J8" i="6"/>
  <c r="G45" i="6"/>
  <c r="D40" i="6"/>
  <c r="AD43" i="6"/>
  <c r="J40" i="6"/>
  <c r="I13" i="6"/>
  <c r="AF4" i="6" s="1"/>
  <c r="AC4" i="6"/>
  <c r="AC25" i="6" s="1"/>
  <c r="J57" i="6"/>
  <c r="D57" i="6"/>
  <c r="AE43" i="6"/>
  <c r="G62" i="6"/>
  <c r="E40" i="6"/>
  <c r="K40" i="6"/>
  <c r="AF39" i="6"/>
  <c r="D39" i="1"/>
  <c r="D23" i="1"/>
  <c r="D7" i="1"/>
  <c r="D56" i="1"/>
  <c r="D55" i="1"/>
  <c r="D38" i="1"/>
  <c r="D22" i="1"/>
  <c r="D6" i="1"/>
  <c r="D54" i="1"/>
  <c r="D37" i="1"/>
  <c r="D5" i="1"/>
  <c r="D21" i="1"/>
  <c r="D53" i="1"/>
  <c r="D36" i="1"/>
  <c r="D20" i="1"/>
  <c r="D4" i="1"/>
  <c r="G63" i="6" l="1"/>
  <c r="AE7" i="6" s="1"/>
  <c r="AE28" i="6" s="1"/>
  <c r="K62" i="6"/>
  <c r="AG7" i="6" s="1"/>
  <c r="AG28" i="6" s="1"/>
  <c r="E62" i="6"/>
  <c r="E63" i="6" s="1"/>
  <c r="AD7" i="6" s="1"/>
  <c r="AD28" i="6" s="1"/>
  <c r="AF25" i="6"/>
  <c r="AF8" i="6"/>
  <c r="G30" i="6"/>
  <c r="AE5" i="6" s="1"/>
  <c r="AE26" i="6" s="1"/>
  <c r="K29" i="6"/>
  <c r="AG5" i="6" s="1"/>
  <c r="AG26" i="6" s="1"/>
  <c r="E29" i="6"/>
  <c r="E30" i="6" s="1"/>
  <c r="AD5" i="6" s="1"/>
  <c r="AD26" i="6" s="1"/>
  <c r="E45" i="6"/>
  <c r="E46" i="6" s="1"/>
  <c r="AD6" i="6" s="1"/>
  <c r="AD27" i="6" s="1"/>
  <c r="G46" i="6"/>
  <c r="AE6" i="6" s="1"/>
  <c r="AE27" i="6" s="1"/>
  <c r="K45" i="6"/>
  <c r="AG6" i="6" s="1"/>
  <c r="AG27" i="6" s="1"/>
  <c r="K13" i="6"/>
  <c r="AG4" i="6" s="1"/>
  <c r="G14" i="6"/>
  <c r="AE4" i="6" s="1"/>
  <c r="E13" i="6"/>
  <c r="E14" i="6" s="1"/>
  <c r="AD4" i="6" s="1"/>
  <c r="AD25" i="6" s="1"/>
  <c r="F4" i="1"/>
  <c r="AG8" i="6" l="1"/>
  <c r="AG25" i="6"/>
  <c r="AE25" i="6"/>
  <c r="AE8" i="6"/>
  <c r="E47" i="4"/>
  <c r="E38" i="4"/>
  <c r="E29" i="4"/>
  <c r="E19" i="4"/>
  <c r="E46" i="4"/>
  <c r="E37" i="4"/>
  <c r="E28" i="4"/>
  <c r="E18" i="4"/>
  <c r="E45" i="4"/>
  <c r="E36" i="4"/>
  <c r="E27" i="4"/>
  <c r="E17" i="4"/>
  <c r="E44" i="4"/>
  <c r="E35" i="4"/>
  <c r="E26" i="4"/>
  <c r="E16" i="4"/>
  <c r="J28" i="4" l="1"/>
  <c r="H47" i="4"/>
  <c r="M47" i="4"/>
  <c r="L47" i="4"/>
  <c r="K47" i="4"/>
  <c r="J47" i="4"/>
  <c r="I47" i="4"/>
  <c r="U46" i="4"/>
  <c r="Q46" i="4"/>
  <c r="M46" i="4"/>
  <c r="L46" i="4"/>
  <c r="K46" i="4"/>
  <c r="J46" i="4"/>
  <c r="I46" i="4"/>
  <c r="H46" i="4"/>
  <c r="U45" i="4"/>
  <c r="Q45" i="4"/>
  <c r="M45" i="4"/>
  <c r="L45" i="4"/>
  <c r="K45" i="4"/>
  <c r="J45" i="4"/>
  <c r="I45" i="4"/>
  <c r="H45" i="4"/>
  <c r="U44" i="4"/>
  <c r="Q44" i="4"/>
  <c r="M44" i="4"/>
  <c r="L44" i="4"/>
  <c r="K44" i="4"/>
  <c r="J44" i="4"/>
  <c r="I44" i="4"/>
  <c r="H44" i="4"/>
  <c r="H36" i="4"/>
  <c r="H35" i="4"/>
  <c r="M38" i="4"/>
  <c r="L38" i="4"/>
  <c r="K38" i="4"/>
  <c r="J38" i="4"/>
  <c r="I38" i="4"/>
  <c r="H38" i="4"/>
  <c r="R37" i="4"/>
  <c r="M37" i="4"/>
  <c r="L37" i="4"/>
  <c r="K37" i="4"/>
  <c r="J37" i="4"/>
  <c r="I37" i="4"/>
  <c r="H37" i="4"/>
  <c r="R36" i="4"/>
  <c r="M36" i="4"/>
  <c r="L36" i="4"/>
  <c r="K36" i="4"/>
  <c r="J36" i="4"/>
  <c r="I36" i="4"/>
  <c r="U35" i="4"/>
  <c r="Q35" i="4"/>
  <c r="M35" i="4"/>
  <c r="L35" i="4"/>
  <c r="K35" i="4"/>
  <c r="J35" i="4"/>
  <c r="I35" i="4"/>
  <c r="H27" i="4"/>
  <c r="M27" i="4"/>
  <c r="K27" i="4"/>
  <c r="L27" i="4"/>
  <c r="J29" i="4"/>
  <c r="J27" i="4"/>
  <c r="I27" i="4"/>
  <c r="M29" i="4"/>
  <c r="I29" i="4"/>
  <c r="H29" i="4"/>
  <c r="S28" i="4"/>
  <c r="M28" i="4"/>
  <c r="L28" i="4"/>
  <c r="K28" i="4"/>
  <c r="I28" i="4"/>
  <c r="T26" i="4"/>
  <c r="I26" i="4"/>
  <c r="P18" i="4"/>
  <c r="R19" i="4"/>
  <c r="AK35" i="4"/>
  <c r="AJ35" i="4"/>
  <c r="AI35" i="4"/>
  <c r="AH35" i="4"/>
  <c r="AG35" i="4"/>
  <c r="AF35" i="4"/>
  <c r="AK24" i="4"/>
  <c r="AJ24" i="4"/>
  <c r="AI24" i="4"/>
  <c r="AH24" i="4"/>
  <c r="AG24" i="4"/>
  <c r="AF24" i="4"/>
  <c r="AK17" i="4"/>
  <c r="AJ17" i="4"/>
  <c r="AI17" i="4"/>
  <c r="AH17" i="4"/>
  <c r="AG17" i="4"/>
  <c r="AF17" i="4"/>
  <c r="K19" i="4"/>
  <c r="I19" i="4"/>
  <c r="M18" i="4"/>
  <c r="H18" i="4"/>
  <c r="L17" i="4"/>
  <c r="F47" i="4"/>
  <c r="R47" i="4" s="1"/>
  <c r="F46" i="4"/>
  <c r="T46" i="4" s="1"/>
  <c r="F45" i="4"/>
  <c r="T45" i="4" s="1"/>
  <c r="F44" i="4"/>
  <c r="T44" i="4" s="1"/>
  <c r="F38" i="4"/>
  <c r="U38" i="4" s="1"/>
  <c r="F37" i="4"/>
  <c r="U37" i="4" s="1"/>
  <c r="F36" i="4"/>
  <c r="U36" i="4" s="1"/>
  <c r="F35" i="4"/>
  <c r="T35" i="4" s="1"/>
  <c r="F29" i="4"/>
  <c r="R29" i="4" s="1"/>
  <c r="L29" i="4"/>
  <c r="F28" i="4"/>
  <c r="R28" i="4" s="1"/>
  <c r="H28" i="4"/>
  <c r="F27" i="4"/>
  <c r="U27" i="4" s="1"/>
  <c r="F26" i="4"/>
  <c r="R26" i="4" s="1"/>
  <c r="H26" i="4"/>
  <c r="F19" i="4"/>
  <c r="S19" i="4" s="1"/>
  <c r="M19" i="4"/>
  <c r="F18" i="4"/>
  <c r="Q18" i="4" s="1"/>
  <c r="L18" i="4"/>
  <c r="F17" i="4"/>
  <c r="P17" i="4" s="1"/>
  <c r="J17" i="4"/>
  <c r="F16" i="4"/>
  <c r="Q16" i="4" s="1"/>
  <c r="H16" i="4"/>
  <c r="S47" i="4" l="1"/>
  <c r="AI37" i="4"/>
  <c r="AK37" i="4"/>
  <c r="Q19" i="4"/>
  <c r="U17" i="4"/>
  <c r="P27" i="4"/>
  <c r="T28" i="4"/>
  <c r="R35" i="4"/>
  <c r="S36" i="4"/>
  <c r="S37" i="4"/>
  <c r="S38" i="4"/>
  <c r="X44" i="4"/>
  <c r="R44" i="4"/>
  <c r="R45" i="4"/>
  <c r="R46" i="4"/>
  <c r="P47" i="4"/>
  <c r="T47" i="4"/>
  <c r="AJ37" i="4"/>
  <c r="P19" i="4"/>
  <c r="Q27" i="4"/>
  <c r="U28" i="4"/>
  <c r="S35" i="4"/>
  <c r="P36" i="4"/>
  <c r="Y36" i="4" s="1"/>
  <c r="T36" i="4"/>
  <c r="P37" i="4"/>
  <c r="T37" i="4"/>
  <c r="P38" i="4"/>
  <c r="Y38" i="4" s="1"/>
  <c r="T38" i="4"/>
  <c r="S44" i="4"/>
  <c r="S45" i="4"/>
  <c r="X46" i="4"/>
  <c r="S46" i="4"/>
  <c r="Q47" i="4"/>
  <c r="U47" i="4"/>
  <c r="X37" i="4"/>
  <c r="R38" i="4"/>
  <c r="U18" i="4"/>
  <c r="S26" i="4"/>
  <c r="R27" i="4"/>
  <c r="P35" i="4"/>
  <c r="Y35" i="4" s="1"/>
  <c r="Q36" i="4"/>
  <c r="Q37" i="4"/>
  <c r="Q38" i="4"/>
  <c r="X35" i="4"/>
  <c r="P44" i="4"/>
  <c r="P45" i="4"/>
  <c r="Y45" i="4" s="1"/>
  <c r="P46" i="4"/>
  <c r="J26" i="4"/>
  <c r="P29" i="4"/>
  <c r="S16" i="4"/>
  <c r="T17" i="4"/>
  <c r="U26" i="4"/>
  <c r="S17" i="4"/>
  <c r="T18" i="4"/>
  <c r="R17" i="4"/>
  <c r="M26" i="4"/>
  <c r="S29" i="4"/>
  <c r="AF37" i="4"/>
  <c r="X36" i="4" s="1"/>
  <c r="U19" i="4"/>
  <c r="S18" i="4"/>
  <c r="Q17" i="4"/>
  <c r="P26" i="4"/>
  <c r="T27" i="4"/>
  <c r="P28" i="4"/>
  <c r="T29" i="4"/>
  <c r="R16" i="4"/>
  <c r="K26" i="4"/>
  <c r="X26" i="4" s="1"/>
  <c r="Q29" i="4"/>
  <c r="T16" i="4"/>
  <c r="L26" i="4"/>
  <c r="S27" i="4"/>
  <c r="AG37" i="4"/>
  <c r="T19" i="4"/>
  <c r="Y19" i="4" s="1"/>
  <c r="R18" i="4"/>
  <c r="P16" i="4"/>
  <c r="Q26" i="4"/>
  <c r="Q28" i="4"/>
  <c r="K29" i="4"/>
  <c r="U29" i="4"/>
  <c r="U16" i="4"/>
  <c r="K17" i="4"/>
  <c r="AH37" i="4"/>
  <c r="X45" i="4" s="1"/>
  <c r="H19" i="4"/>
  <c r="J19" i="4"/>
  <c r="I16" i="4"/>
  <c r="J16" i="4"/>
  <c r="M17" i="4"/>
  <c r="H17" i="4"/>
  <c r="J18" i="4"/>
  <c r="L19" i="4"/>
  <c r="K16" i="4"/>
  <c r="I17" i="4"/>
  <c r="K18" i="4"/>
  <c r="L16" i="4"/>
  <c r="M16" i="4"/>
  <c r="I18" i="4"/>
  <c r="Y17" i="4" l="1"/>
  <c r="Y29" i="4"/>
  <c r="Y37" i="4"/>
  <c r="AB35" i="4" s="1"/>
  <c r="AH6" i="1" s="1"/>
  <c r="Y46" i="4"/>
  <c r="X28" i="4"/>
  <c r="Y47" i="4"/>
  <c r="X29" i="4"/>
  <c r="Y18" i="4"/>
  <c r="Y26" i="4"/>
  <c r="X47" i="4"/>
  <c r="Y28" i="4"/>
  <c r="Y44" i="4"/>
  <c r="X38" i="4"/>
  <c r="Y27" i="4"/>
  <c r="X27" i="4"/>
  <c r="AB26" i="4" s="1"/>
  <c r="AH5" i="1" s="1"/>
  <c r="X17" i="4"/>
  <c r="X18" i="4"/>
  <c r="X19" i="4"/>
  <c r="X16" i="4"/>
  <c r="Y16" i="4"/>
  <c r="AB44" i="4" l="1"/>
  <c r="AH7" i="1" s="1"/>
  <c r="AB16" i="4"/>
  <c r="AB51" i="4"/>
  <c r="AH4" i="1"/>
  <c r="F56" i="1" l="1"/>
  <c r="F55" i="1"/>
  <c r="F21" i="1"/>
  <c r="C57" i="1"/>
  <c r="I57" i="1" s="1"/>
  <c r="B57" i="1"/>
  <c r="H57" i="1" s="1"/>
  <c r="E56" i="1"/>
  <c r="G56" i="1" s="1"/>
  <c r="E55" i="1"/>
  <c r="G55" i="1" s="1"/>
  <c r="E54" i="1"/>
  <c r="G54" i="1" s="1"/>
  <c r="F54" i="1"/>
  <c r="E53" i="1"/>
  <c r="G53" i="1" s="1"/>
  <c r="F53" i="1"/>
  <c r="C40" i="1"/>
  <c r="I40" i="1" s="1"/>
  <c r="B40" i="1"/>
  <c r="E39" i="1"/>
  <c r="G39" i="1" s="1"/>
  <c r="F39" i="1"/>
  <c r="E38" i="1"/>
  <c r="G38" i="1" s="1"/>
  <c r="F38" i="1"/>
  <c r="E37" i="1"/>
  <c r="G37" i="1" s="1"/>
  <c r="F37" i="1"/>
  <c r="E36" i="1"/>
  <c r="G36" i="1" s="1"/>
  <c r="F36" i="1"/>
  <c r="C24" i="1"/>
  <c r="I24" i="1" s="1"/>
  <c r="B24" i="1"/>
  <c r="H24" i="1" s="1"/>
  <c r="E23" i="1"/>
  <c r="G23" i="1" s="1"/>
  <c r="F23" i="1"/>
  <c r="E22" i="1"/>
  <c r="G22" i="1" s="1"/>
  <c r="F22" i="1"/>
  <c r="E21" i="1"/>
  <c r="G21" i="1" s="1"/>
  <c r="E20" i="1"/>
  <c r="G20" i="1" s="1"/>
  <c r="F20" i="1"/>
  <c r="C45" i="1" l="1"/>
  <c r="F40" i="1"/>
  <c r="J40" i="1" s="1"/>
  <c r="G40" i="1"/>
  <c r="K40" i="1" s="1"/>
  <c r="F57" i="1"/>
  <c r="G57" i="1"/>
  <c r="C62" i="1"/>
  <c r="E40" i="1"/>
  <c r="H40" i="1"/>
  <c r="F24" i="1"/>
  <c r="D24" i="1" s="1"/>
  <c r="G24" i="1"/>
  <c r="C29" i="1"/>
  <c r="E5" i="1"/>
  <c r="G5" i="1" s="1"/>
  <c r="E6" i="1"/>
  <c r="G6" i="1" s="1"/>
  <c r="E7" i="1"/>
  <c r="G7" i="1" s="1"/>
  <c r="F5" i="1"/>
  <c r="F6" i="1"/>
  <c r="F7" i="1"/>
  <c r="E4" i="1"/>
  <c r="G4" i="1" s="1"/>
  <c r="C8" i="1"/>
  <c r="I8" i="1" s="1"/>
  <c r="B8" i="1"/>
  <c r="H8" i="1" s="1"/>
  <c r="I29" i="1" l="1"/>
  <c r="AF5" i="1" s="1"/>
  <c r="AF26" i="1" s="1"/>
  <c r="AC5" i="1"/>
  <c r="AC26" i="1" s="1"/>
  <c r="I62" i="1"/>
  <c r="AF7" i="1" s="1"/>
  <c r="AF28" i="1" s="1"/>
  <c r="AC7" i="1"/>
  <c r="AC28" i="1" s="1"/>
  <c r="I45" i="1"/>
  <c r="AF6" i="1" s="1"/>
  <c r="AF27" i="1" s="1"/>
  <c r="AC6" i="1"/>
  <c r="AC27" i="1" s="1"/>
  <c r="G45" i="1"/>
  <c r="C13" i="1"/>
  <c r="D40" i="1"/>
  <c r="E57" i="1"/>
  <c r="K57" i="1"/>
  <c r="J57" i="1"/>
  <c r="G62" i="1"/>
  <c r="D57" i="1"/>
  <c r="E24" i="1"/>
  <c r="K24" i="1"/>
  <c r="J24" i="1"/>
  <c r="G29" i="1"/>
  <c r="G8" i="1"/>
  <c r="G46" i="1" l="1"/>
  <c r="AE6" i="1" s="1"/>
  <c r="AE27" i="1" s="1"/>
  <c r="K45" i="1"/>
  <c r="AG6" i="1" s="1"/>
  <c r="AG27" i="1" s="1"/>
  <c r="I13" i="1"/>
  <c r="AF4" i="1" s="1"/>
  <c r="AF25" i="1" s="1"/>
  <c r="AC4" i="1"/>
  <c r="AC25" i="1" s="1"/>
  <c r="F8" i="1"/>
  <c r="G13" i="1" s="1"/>
  <c r="M4" i="1"/>
  <c r="E45" i="1"/>
  <c r="E46" i="1" s="1"/>
  <c r="AD6" i="1" s="1"/>
  <c r="AD27" i="1" s="1"/>
  <c r="K8" i="1"/>
  <c r="E8" i="1"/>
  <c r="G63" i="1"/>
  <c r="AE7" i="1" s="1"/>
  <c r="AE28" i="1" s="1"/>
  <c r="K62" i="1"/>
  <c r="AG7" i="1" s="1"/>
  <c r="AG28" i="1" s="1"/>
  <c r="E62" i="1"/>
  <c r="E63" i="1" s="1"/>
  <c r="AD7" i="1" s="1"/>
  <c r="AD28" i="1" s="1"/>
  <c r="G30" i="1"/>
  <c r="AE5" i="1" s="1"/>
  <c r="AE26" i="1" s="1"/>
  <c r="K29" i="1"/>
  <c r="AG5" i="1" s="1"/>
  <c r="AG26" i="1" s="1"/>
  <c r="E29" i="1"/>
  <c r="E30" i="1" s="1"/>
  <c r="AD5" i="1" s="1"/>
  <c r="AD26" i="1" s="1"/>
  <c r="J8" i="1" l="1"/>
  <c r="F67" i="2"/>
  <c r="G67" i="2" s="1"/>
  <c r="C67" i="2"/>
  <c r="F66" i="2"/>
  <c r="G66" i="2" s="1"/>
  <c r="C66" i="2"/>
  <c r="D65" i="2"/>
  <c r="C65" i="2"/>
  <c r="E65" i="2" s="1"/>
  <c r="D64" i="2"/>
  <c r="C64" i="2"/>
  <c r="F64" i="2" s="1"/>
  <c r="B64" i="2"/>
  <c r="D63" i="2"/>
  <c r="C63" i="2"/>
  <c r="B63" i="2"/>
  <c r="D62" i="2"/>
  <c r="C62" i="2"/>
  <c r="F62" i="2" s="1"/>
  <c r="B62" i="2"/>
  <c r="F61" i="2"/>
  <c r="D61" i="2"/>
  <c r="C61" i="2"/>
  <c r="E61" i="2" s="1"/>
  <c r="G61" i="2" s="1"/>
  <c r="B61" i="2"/>
  <c r="D60" i="2"/>
  <c r="C60" i="2"/>
  <c r="F60" i="2" s="1"/>
  <c r="B60" i="2"/>
  <c r="D59" i="2"/>
  <c r="C59" i="2"/>
  <c r="E59" i="2" s="1"/>
  <c r="B59" i="2"/>
  <c r="D58" i="2"/>
  <c r="C58" i="2"/>
  <c r="F58" i="2" s="1"/>
  <c r="B58" i="2"/>
  <c r="F57" i="2"/>
  <c r="D57" i="2"/>
  <c r="C57" i="2"/>
  <c r="E57" i="2" s="1"/>
  <c r="G57" i="2" s="1"/>
  <c r="B57" i="2"/>
  <c r="C56" i="2"/>
  <c r="E56" i="2" s="1"/>
  <c r="B56" i="2"/>
  <c r="C55" i="2"/>
  <c r="F55" i="2" s="1"/>
  <c r="B55" i="2"/>
  <c r="E51" i="2"/>
  <c r="D51" i="2"/>
  <c r="E50" i="2"/>
  <c r="D50" i="2"/>
  <c r="E49" i="2"/>
  <c r="D49" i="2"/>
  <c r="E48" i="2"/>
  <c r="D48" i="2"/>
  <c r="E13" i="1" l="1"/>
  <c r="E14" i="1" s="1"/>
  <c r="AD4" i="1" s="1"/>
  <c r="AD25" i="1" s="1"/>
  <c r="G14" i="1"/>
  <c r="AE4" i="1" s="1"/>
  <c r="AE25" i="1" s="1"/>
  <c r="AG4" i="1"/>
  <c r="AG25" i="1" s="1"/>
  <c r="F65" i="2"/>
  <c r="G65" i="2" s="1"/>
  <c r="E63" i="2"/>
  <c r="E60" i="2"/>
  <c r="G60" i="2" s="1"/>
  <c r="E64" i="2"/>
  <c r="G64" i="2" s="1"/>
  <c r="F56" i="2"/>
  <c r="G48" i="2" s="1"/>
  <c r="E55" i="2"/>
  <c r="G55" i="2" s="1"/>
  <c r="F63" i="2"/>
  <c r="G63" i="2" s="1"/>
  <c r="F59" i="2"/>
  <c r="G59" i="2" s="1"/>
  <c r="E58" i="2"/>
  <c r="G58" i="2" s="1"/>
  <c r="E62" i="2"/>
  <c r="G50" i="2" l="1"/>
  <c r="G62" i="2"/>
  <c r="G51" i="2"/>
  <c r="G5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Tonje Skoglund Hermansen</author>
  </authors>
  <commentList>
    <comment ref="C7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Tonje Skoglund Hermansen:</t>
        </r>
        <r>
          <rPr>
            <sz val="9"/>
            <color indexed="81"/>
            <rFont val="Tahoma"/>
            <family val="2"/>
          </rPr>
          <t xml:space="preserve">
Antakelse til kostnadsberegninger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Tonje Skoglund Hermansen</author>
  </authors>
  <commentList>
    <comment ref="O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Tonje Skoglund Hermansen:</t>
        </r>
        <r>
          <rPr>
            <sz val="9"/>
            <color indexed="81"/>
            <rFont val="Tahoma"/>
            <family val="2"/>
          </rPr>
          <t xml:space="preserve">
Antakelse til kostnadsberegninger</t>
        </r>
      </text>
    </comment>
  </commentList>
</comments>
</file>

<file path=xl/sharedStrings.xml><?xml version="1.0" encoding="utf-8"?>
<sst xmlns="http://schemas.openxmlformats.org/spreadsheetml/2006/main" count="807" uniqueCount="201">
  <si>
    <t>I dette eksempelet vurderes for enkelhets skyld kun én driftstilstand (årsmiddelet)</t>
  </si>
  <si>
    <t>I dette eksempelet vurderes for enkelhets skyld ikke feil på effektbryter og skillebrytere, kun feil på kraftledninger/kabler</t>
  </si>
  <si>
    <t>1. Definer kraftnett</t>
  </si>
  <si>
    <t>Kapasiteter til kraftledninger og kabler:</t>
  </si>
  <si>
    <t>Informasjon om skillebrytere og effektbrytere</t>
  </si>
  <si>
    <t>Kraftledning/kabel</t>
  </si>
  <si>
    <t>Kapasitet (MW)</t>
  </si>
  <si>
    <t>Bryter</t>
  </si>
  <si>
    <t>Operasjonsmodus</t>
  </si>
  <si>
    <t>(Nettopologi er basert på Tutvedt masteroppgave; sone 1 i nett 1 i vedlegg G)</t>
  </si>
  <si>
    <t>K1</t>
  </si>
  <si>
    <t>K1a</t>
  </si>
  <si>
    <t>Manuell</t>
  </si>
  <si>
    <t>(Alle øvrige data er oppdiktet)</t>
  </si>
  <si>
    <t>K2</t>
  </si>
  <si>
    <t>K1b</t>
  </si>
  <si>
    <t>K3</t>
  </si>
  <si>
    <t>K1c</t>
  </si>
  <si>
    <t>K4</t>
  </si>
  <si>
    <t>K2a</t>
  </si>
  <si>
    <t>K5</t>
  </si>
  <si>
    <t>K3a</t>
  </si>
  <si>
    <t>K6</t>
  </si>
  <si>
    <t>K3b</t>
  </si>
  <si>
    <t>K4a</t>
  </si>
  <si>
    <t>K4b</t>
  </si>
  <si>
    <t>K5a</t>
  </si>
  <si>
    <t>K6a</t>
  </si>
  <si>
    <t>K7a</t>
  </si>
  <si>
    <t>E1</t>
  </si>
  <si>
    <t>Fjernstyrt</t>
  </si>
  <si>
    <t>2. Definer driftstilstander</t>
  </si>
  <si>
    <t>Lastdata for leveringspunkt</t>
  </si>
  <si>
    <t>Leveringspunkt</t>
  </si>
  <si>
    <t>Snittlast (MW)</t>
  </si>
  <si>
    <t>(Basert på assignment 8, fag ET8207)</t>
  </si>
  <si>
    <t>L1 (nettstasjon 1)</t>
  </si>
  <si>
    <t>L2 (nettstasjon 2)</t>
  </si>
  <si>
    <t>L3 (nettstasjon 3)</t>
  </si>
  <si>
    <t>L4 (nettstasjon 4)</t>
  </si>
  <si>
    <t>Tilgjengelig ledig effekt for alle reserveforbindelser</t>
  </si>
  <si>
    <t>Reserveforbindelse</t>
  </si>
  <si>
    <t>Ledig effekt (MW)</t>
  </si>
  <si>
    <t>T2</t>
  </si>
  <si>
    <t>(Gitt av minimum av følgende: 1) tilgjengelig ledig effekt fra transformatorstasjon, 2) tilgjengelig ledig kapasitet til kraftledninger/kabler på framføringsveien. Antatt input og ikke beregnet her.)</t>
  </si>
  <si>
    <t>3. Definer analyseomfang</t>
  </si>
  <si>
    <t>Standard (kun feil på kraftledninger og kabler)</t>
  </si>
  <si>
    <t>4. Definer pålitelighetsdata og avbruddskostnadsdata</t>
  </si>
  <si>
    <t>Data for kraftledinger og kabler</t>
  </si>
  <si>
    <t>Kraftledning/ kabel</t>
  </si>
  <si>
    <t>Lengde (km)</t>
  </si>
  <si>
    <t>Feilfrek., varige feil (pr år)</t>
  </si>
  <si>
    <t>Feilfrek., forbi-gående feil (pr år)</t>
  </si>
  <si>
    <t>Reparasjonstid (min)</t>
  </si>
  <si>
    <t>Seksjoneringstid manuell  (min)</t>
  </si>
  <si>
    <t>Seksjoneringstid FK (min)</t>
  </si>
  <si>
    <t>Feilfrekvenser, kraftledning/kabel</t>
  </si>
  <si>
    <t>Per km per år</t>
  </si>
  <si>
    <t>Varig</t>
  </si>
  <si>
    <t>Forbigående</t>
  </si>
  <si>
    <t>(ingen prøvekoling pga effektbryter vil slå ut, og feilstedet er dermed kjent. Kun koblingstid for K4b)</t>
  </si>
  <si>
    <t>Data for brytere</t>
  </si>
  <si>
    <t>Operasjons-modus</t>
  </si>
  <si>
    <t>Avstand fra stasjon (km)</t>
  </si>
  <si>
    <t>Utrykningstid</t>
  </si>
  <si>
    <t>Koblingstid</t>
  </si>
  <si>
    <t>Totalt</t>
  </si>
  <si>
    <t>Enkel modell for koblingstid</t>
  </si>
  <si>
    <t>Minutter</t>
  </si>
  <si>
    <t>Fjernstyrte brytere</t>
  </si>
  <si>
    <t>(Alle data er oppdiktet)</t>
  </si>
  <si>
    <t>Manuell bryter</t>
  </si>
  <si>
    <t>Manuell bryter, utrykningstid per km</t>
  </si>
  <si>
    <t>(fra trafostasjon)</t>
  </si>
  <si>
    <t>Gjeninnkoblingstid, effektbrytere</t>
  </si>
  <si>
    <t>(ved forbigående feil)</t>
  </si>
  <si>
    <t>Dersom flere brytere skal kobles ved samme nettstasjon telles utrykningstida til nettstasjonen kun én gang</t>
  </si>
  <si>
    <t>-</t>
  </si>
  <si>
    <t>E2 (effektbryter)</t>
  </si>
  <si>
    <t>Data til beregning av avbruddskostnader</t>
  </si>
  <si>
    <t>Fordeling på kundegruppe</t>
  </si>
  <si>
    <t>Pref</t>
  </si>
  <si>
    <t>Jordbruk</t>
  </si>
  <si>
    <t>Husholdning</t>
  </si>
  <si>
    <t>Industri</t>
  </si>
  <si>
    <t>Handel/tjenester</t>
  </si>
  <si>
    <t>Off. virksomhet</t>
  </si>
  <si>
    <t>Industri med el.</t>
  </si>
  <si>
    <t>MW</t>
  </si>
  <si>
    <t>L1</t>
  </si>
  <si>
    <t>λ (varige feil)</t>
  </si>
  <si>
    <t>λ (forbigående feil)</t>
  </si>
  <si>
    <t>r (varige feil)</t>
  </si>
  <si>
    <t>r (forbigående feil)</t>
  </si>
  <si>
    <t>U (varige feil)</t>
  </si>
  <si>
    <t>U (forbigående feil)</t>
  </si>
  <si>
    <t>(antall feil per år)</t>
  </si>
  <si>
    <t>(timer per feil)</t>
  </si>
  <si>
    <t>(timer/år)</t>
  </si>
  <si>
    <t>Pinterr (varige feil)</t>
  </si>
  <si>
    <t>Pinterr(forbigående feil)</t>
  </si>
  <si>
    <t>ENS(vf)</t>
  </si>
  <si>
    <t>ENS(ff)</t>
  </si>
  <si>
    <t>[MW]</t>
  </si>
  <si>
    <t>[MWh]</t>
  </si>
  <si>
    <t>MWh</t>
  </si>
  <si>
    <t>timer/år</t>
  </si>
  <si>
    <t>timer/feil</t>
  </si>
  <si>
    <t>feil/år</t>
  </si>
  <si>
    <t>Årlig avbruddsfrekvens</t>
  </si>
  <si>
    <t>Gjennomsnittlig avbruddsvarighet</t>
  </si>
  <si>
    <t>Utilgjengelighet</t>
  </si>
  <si>
    <t>Ikke levert effekt</t>
  </si>
  <si>
    <t>Ikke levert energi</t>
  </si>
  <si>
    <t>min/feil</t>
  </si>
  <si>
    <t>min/år</t>
  </si>
  <si>
    <t>L2</t>
  </si>
  <si>
    <t>L3</t>
  </si>
  <si>
    <t>L4</t>
  </si>
  <si>
    <t>Resultater</t>
  </si>
  <si>
    <t>Årlig avbruddsfrekvens (feil/år)</t>
  </si>
  <si>
    <t>Gjennomsnittlig avbruddsvarighet (min/feil)</t>
  </si>
  <si>
    <t>Utilgjengelighet (min/år)</t>
  </si>
  <si>
    <t>Ikke levert energi (MWh)</t>
  </si>
  <si>
    <t>Seksjoneringstid  (min)</t>
  </si>
  <si>
    <t>Antakelser</t>
  </si>
  <si>
    <t>Gjeninnkoblingstid, effektbrytere (min)</t>
  </si>
  <si>
    <t>benytter gjeninnkoblingstid for effektbryter ved forbigående feil</t>
  </si>
  <si>
    <t>Årlig avbrutt effekt (MW)</t>
  </si>
  <si>
    <t>Eksempelberegning kun manuelle brytere</t>
  </si>
  <si>
    <t>alle skillebrytere er manuelle</t>
  </si>
  <si>
    <t>Antall avbrudd per år</t>
  </si>
  <si>
    <t>Årlig avbruddsvarighet (min/år)</t>
  </si>
  <si>
    <t>Gjennomsnittlig avbruddsvarighet (min/avbrudd)</t>
  </si>
  <si>
    <t>Årlig avbrutt effekt (kW/år)</t>
  </si>
  <si>
    <t>Årlig ikke levert energi (kWh/år)</t>
  </si>
  <si>
    <t>Lev.pkt L1</t>
  </si>
  <si>
    <t>Lev.pkt L2</t>
  </si>
  <si>
    <t>Lev.pkt L3</t>
  </si>
  <si>
    <t>Lev.pkt L4</t>
  </si>
  <si>
    <t>Totalt for avgang</t>
  </si>
  <si>
    <t>Avvik</t>
  </si>
  <si>
    <t>TSH</t>
  </si>
  <si>
    <t>HMV</t>
  </si>
  <si>
    <t>ved feil på K3 er antall minutter L1 og L2 er innkoblet underveis i koblingsforløpet, ikke med i seksjoneringstiden</t>
  </si>
  <si>
    <t>ser bort fra kapasitetbegrensninger på T2</t>
  </si>
  <si>
    <t>benytter seksjoneringstid ved varige feil lik varighet simulert med ny metodikk. Dette betyr unik seksjoneringstid for feil på ulike kabler og for ulike lastpunkter</t>
  </si>
  <si>
    <t>Endret 3.juli med seksjoneringstid for varige feil i hht. Excel-arket. "Eksempelberegning ny metodikk fire fjernstyrte juni 2017"</t>
  </si>
  <si>
    <t>Resultattabell fra "Eksempelberegning ny metodikk_fire fjernstyrte_juni2017"</t>
  </si>
  <si>
    <t>Måned</t>
  </si>
  <si>
    <t>Handel og tjenester</t>
  </si>
  <si>
    <t>Offentlig virksomhet</t>
  </si>
  <si>
    <t>Industri med eldrevne prosesser</t>
  </si>
  <si>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</si>
  <si>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</si>
  <si>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</si>
  <si>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</si>
  <si>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</si>
  <si>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</si>
  <si>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</si>
  <si>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</si>
  <si>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</si>
  <si>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</si>
  <si>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</si>
  <si>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</si>
  <si>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>Ukedag</t>
  </si>
  <si>
    <t>Hverdag</t>
  </si>
  <si>
    <t>Lørdag</t>
  </si>
  <si>
    <t>Søn-/helligdager</t>
  </si>
  <si>
    <t>Kile(varige feil)</t>
  </si>
  <si>
    <t>KILE(forbigående feil)</t>
  </si>
  <si>
    <t>Korreksjonsfaktor pr mnd, f K,m</t>
  </si>
  <si>
    <t>(fra forskift om økonomisk og teknisk rapportering)</t>
  </si>
  <si>
    <t>Vektet snitt f k,m</t>
  </si>
  <si>
    <t>Korreksjonsfaktor pr dag, f K,d</t>
  </si>
  <si>
    <t>Vektet snitt f k,d</t>
  </si>
  <si>
    <t>Korreksjonsfaktor pr time, f K,h</t>
  </si>
  <si>
    <t>Klokkeslett</t>
  </si>
  <si>
    <t>0000–0600</t>
  </si>
  <si>
    <t>0600–0800</t>
  </si>
  <si>
    <t>0800–1200</t>
  </si>
  <si>
    <t>1200–1600</t>
  </si>
  <si>
    <t>1600–1800</t>
  </si>
  <si>
    <t>1800–2000</t>
  </si>
  <si>
    <t>2000–2400</t>
  </si>
  <si>
    <t>Vektet snitt f k,h</t>
  </si>
  <si>
    <t>Totalt f K,P = f K,m*f K,d*f K,h</t>
  </si>
  <si>
    <t>Varige feil</t>
  </si>
  <si>
    <t>Forbigående feil</t>
  </si>
  <si>
    <t>Avbruddskostnad L1</t>
  </si>
  <si>
    <t>Avbruddskostnad L2</t>
  </si>
  <si>
    <t>Avbruddskostnad L3</t>
  </si>
  <si>
    <t>Avbruddskostnad L4</t>
  </si>
  <si>
    <t>KILE (kr)</t>
  </si>
  <si>
    <t>Avbruddsvarighet TSH</t>
  </si>
  <si>
    <t>Avbruddsvarighet HM</t>
  </si>
  <si>
    <t>Ved feil på følgende linjesegment</t>
  </si>
  <si>
    <t>Avbrudd for følgende lastpunkt</t>
  </si>
  <si>
    <t>Alle avbruddsvarigheter i min</t>
  </si>
  <si>
    <t>Total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</si>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</sst>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 * #,##0.00_ ;_ * \-#,##0.00_ ;_ * &quot;-&quot;??_ ;_ @_ "/>
    <numFmt numFmtId="165" formatCode="0.0"/>
    <numFmt numFmtId="166" formatCode="0.0000"/>
    <numFmt numFmtId="167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164" fontId="1" fillId="0" borderId="0" applyFont="0" applyFill="0" applyBorder="0" applyAlignment="0" applyProtection="0"/>
    <xf numFmtId="0" fontId="14" fillId="7" borderId="0" applyNumberFormat="0" applyBorder="0" applyAlignment="0" applyProtection="0"/>
  </cellStyleXfs>
  <cellXfs count="52">
    <xf numFmtId="0" fontId="0" fillId="0" borderId="0" xfId="0"/>
    <xf numFmtId="0" fontId="5" fillId="0" borderId="0" xfId="0" applyFont="1"/>
    <xf numFmtId="0" fontId="3" fillId="0" borderId="0" xfId="0" applyFont="1"/>
    <xf numFmtId="0" fontId="6" fillId="0" borderId="0" xfId="0" applyFont="1"/>
    <xf numFmtId="0" fontId="4" fillId="0" borderId="0" xfId="0" applyFont="1"/>
    <xf numFmtId="0" fontId="7" fillId="0" borderId="0" xfId="0" applyFont="1"/>
    <xf numFmtId="0" fontId="2" fillId="2" borderId="1" xfId="2"/>
    <xf numFmtId="0" fontId="2" fillId="2" borderId="2" xfId="2" applyBorder="1"/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49" fontId="0" fillId="0" borderId="0" xfId="0" applyNumberFormat="1"/>
    <xf numFmtId="0" fontId="2" fillId="2" borderId="1" xfId="2" quotePrefix="1"/>
    <xf numFmtId="0" fontId="0" fillId="0" borderId="0" xfId="0" quotePrefix="1" applyAlignment="1">
      <alignment horizontal="right"/>
    </xf>
    <xf numFmtId="0" fontId="8" fillId="0" borderId="0" xfId="0" applyFont="1"/>
    <xf numFmtId="165" fontId="0" fillId="0" borderId="0" xfId="0" applyNumberFormat="1"/>
    <xf numFmtId="9" fontId="2" fillId="2" borderId="1" xfId="1" applyFont="1" applyFill="1" applyBorder="1"/>
    <xf numFmtId="0" fontId="11" fillId="0" borderId="0" xfId="0" applyFont="1"/>
    <xf numFmtId="0" fontId="1" fillId="3" borderId="0" xfId="3"/>
    <xf numFmtId="0" fontId="4" fillId="4" borderId="0" xfId="4" applyFont="1"/>
    <xf numFmtId="2" fontId="1" fillId="3" borderId="0" xfId="3" applyNumberFormat="1"/>
    <xf numFmtId="2" fontId="4" fillId="4" borderId="0" xfId="4" applyNumberFormat="1" applyFont="1"/>
    <xf numFmtId="0" fontId="1" fillId="5" borderId="0" xfId="5"/>
    <xf numFmtId="2" fontId="4" fillId="5" borderId="0" xfId="5" applyNumberFormat="1" applyFont="1"/>
    <xf numFmtId="0" fontId="4" fillId="5" borderId="0" xfId="5" applyFont="1"/>
    <xf numFmtId="0" fontId="4" fillId="6" borderId="0" xfId="6" applyFont="1" applyAlignment="1">
      <alignment wrapText="1"/>
    </xf>
    <xf numFmtId="0" fontId="4" fillId="6" borderId="0" xfId="6" applyFont="1"/>
    <xf numFmtId="2" fontId="0" fillId="0" borderId="0" xfId="0" applyNumberFormat="1"/>
    <xf numFmtId="0" fontId="12" fillId="0" borderId="0" xfId="0" applyFont="1"/>
    <xf numFmtId="0" fontId="4" fillId="0" borderId="0" xfId="0" applyFont="1" applyAlignment="1">
      <alignment wrapText="1"/>
    </xf>
    <xf numFmtId="164" fontId="4" fillId="0" borderId="0" xfId="7" applyFont="1"/>
    <xf numFmtId="0" fontId="4" fillId="0" borderId="3" xfId="0" applyFont="1" applyBorder="1"/>
    <xf numFmtId="43" fontId="4" fillId="0" borderId="4" xfId="0" applyNumberFormat="1" applyFont="1" applyBorder="1"/>
    <xf numFmtId="43" fontId="4" fillId="0" borderId="5" xfId="0" applyNumberFormat="1" applyFont="1" applyBorder="1"/>
    <xf numFmtId="164" fontId="1" fillId="3" borderId="0" xfId="3" applyNumberFormat="1"/>
    <xf numFmtId="165" fontId="1" fillId="3" borderId="0" xfId="3" applyNumberFormat="1"/>
    <xf numFmtId="164" fontId="1" fillId="5" borderId="0" xfId="5" applyNumberFormat="1"/>
    <xf numFmtId="2" fontId="4" fillId="6" borderId="0" xfId="6" applyNumberFormat="1" applyFont="1"/>
    <xf numFmtId="165" fontId="4" fillId="6" borderId="0" xfId="6" applyNumberFormat="1" applyFont="1"/>
    <xf numFmtId="164" fontId="4" fillId="6" borderId="0" xfId="6" applyNumberFormat="1" applyFont="1"/>
    <xf numFmtId="164" fontId="1" fillId="4" borderId="0" xfId="4" applyNumberFormat="1"/>
    <xf numFmtId="166" fontId="0" fillId="0" borderId="0" xfId="0" applyNumberFormat="1"/>
    <xf numFmtId="166" fontId="14" fillId="7" borderId="0" xfId="8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7" fontId="1" fillId="3" borderId="0" xfId="3" applyNumberFormat="1"/>
    <xf numFmtId="167" fontId="4" fillId="4" borderId="0" xfId="4" applyNumberFormat="1" applyFont="1"/>
    <xf numFmtId="166" fontId="1" fillId="3" borderId="0" xfId="3" applyNumberFormat="1"/>
    <xf numFmtId="166" fontId="4" fillId="4" borderId="0" xfId="4" applyNumberFormat="1" applyFont="1"/>
    <xf numFmtId="167" fontId="4" fillId="5" borderId="0" xfId="5" applyNumberFormat="1" applyFont="1"/>
    <xf numFmtId="167" fontId="11" fillId="0" borderId="0" xfId="0" applyNumberFormat="1" applyFont="1"/>
    <xf numFmtId="167" fontId="0" fillId="0" borderId="0" xfId="0" applyNumberFormat="1"/>
    <xf numFmtId="167" fontId="1" fillId="5" borderId="0" xfId="5" applyNumberFormat="1"/>
  </cellXfs>
  <cellStyles count="9">
    <cellStyle name="20% - Accent1" xfId="3" builtinId="30"/>
    <cellStyle name="40% - Accent1" xfId="4" builtinId="31"/>
    <cellStyle name="40% - Accent4" xfId="6" builtinId="43"/>
    <cellStyle name="60% - Accent1" xfId="5" builtinId="32"/>
    <cellStyle name="Comma" xfId="7" builtinId="3"/>
    <cellStyle name="Good" xfId="8" builtinId="26"/>
    <cellStyle name="Input" xfId="2" builtinId="20"/>
    <cellStyle name="Normal" xfId="0" builtinId="0"/>
    <cellStyle name="Percent" xfId="1" builtinId="5"/>
  </cellStyles>
  <dxfs count="21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285749</xdr:colOff>
      <xdr:row>5</xdr:row>
      <xdr:rowOff>12865</xdr:rowOff>
    </xdr:from>
    <xdr:to>
      <xdr:col>4</xdr:col>
      <xdr:colOff>451890</xdr:colOff>
      <xdr:row>23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4AF6DC-8993-4A5C-A0DF-8C4BC17BE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9" y="1012990"/>
          <a:ext cx="4395241" cy="3568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819150</xdr:colOff>
      <xdr:row>17</xdr:row>
      <xdr:rowOff>180974</xdr:rowOff>
    </xdr:from>
    <xdr:to>
      <xdr:col>4</xdr:col>
      <xdr:colOff>800100</xdr:colOff>
      <xdr:row>20</xdr:row>
      <xdr:rowOff>104774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D157D6A-9A9C-45A9-A49E-6AB9B6AF74F0}"/>
            </a:ext>
          </a:extLst>
        </xdr:cNvPr>
        <xdr:cNvSpPr txBox="1"/>
      </xdr:nvSpPr>
      <xdr:spPr>
        <a:xfrm>
          <a:off x="3048000" y="3467099"/>
          <a:ext cx="1981200" cy="4953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/>
            <a:t>Fjerne effektbryter</a:t>
          </a:r>
          <a:r>
            <a:rPr lang="nb-NO" sz="1100" baseline="0"/>
            <a:t> E2 og skillebryter K42</a:t>
          </a:r>
          <a:endParaRPr lang="nb-NO" sz="1100"/>
        </a:p>
      </xdr:txBody>
    </xdr:sp>
    <xdr:clientData/>
  </xdr:twoCellAnchor>
  <xdr:twoCellAnchor>
    <xdr:from>
      <xdr:col>1</xdr:col>
      <xdr:colOff>809625</xdr:colOff>
      <xdr:row>17</xdr:row>
      <xdr:rowOff>85723</xdr:rowOff>
    </xdr:from>
    <xdr:to>
      <xdr:col>2</xdr:col>
      <xdr:colOff>409575</xdr:colOff>
      <xdr:row>22</xdr:row>
      <xdr:rowOff>38099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46AAE4C-E127-4588-AA64-368FCE956467}"/>
            </a:ext>
          </a:extLst>
        </xdr:cNvPr>
        <xdr:cNvSpPr txBox="1"/>
      </xdr:nvSpPr>
      <xdr:spPr>
        <a:xfrm>
          <a:off x="1809750" y="3371848"/>
          <a:ext cx="828675" cy="90487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/>
            <a:t>Fjerne reserve-forbindelse R1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31</xdr:col>
      <xdr:colOff>47625</xdr:colOff>
      <xdr:row>19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97E2217-29D4-47F1-AD72-361BD96606BF}"/>
            </a:ext>
          </a:extLst>
        </xdr:cNvPr>
        <xdr:cNvSpPr txBox="1"/>
      </xdr:nvSpPr>
      <xdr:spPr>
        <a:xfrm>
          <a:off x="8582025" y="3095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nb-NO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31</xdr:col>
      <xdr:colOff>47625</xdr:colOff>
      <xdr:row>19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EDF2FDA-A160-4BE1-9699-97BA9D58C16D}"/>
            </a:ext>
          </a:extLst>
        </xdr:cNvPr>
        <xdr:cNvSpPr txBox="1"/>
      </xdr:nvSpPr>
      <xdr:spPr>
        <a:xfrm>
          <a:off x="25041225" y="38404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nb-NO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284717</xdr:colOff>
      <xdr:row>10</xdr:row>
      <xdr:rowOff>165677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14A15E-66E8-4337-9154-891CF8899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8266667" cy="2638095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</xdr:colOff>
      <xdr:row>1</xdr:row>
      <xdr:rowOff>76200</xdr:rowOff>
    </xdr:from>
    <xdr:to>
      <xdr:col>21</xdr:col>
      <xdr:colOff>304156</xdr:colOff>
      <xdr:row>3</xdr:row>
      <xdr:rowOff>238057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F27A09A-CC8F-4856-A24E-C04B7BDE7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9325" y="266700"/>
          <a:ext cx="5152381" cy="5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5"/>
  <sheetViews>
    <sheetView zoomScale="80" zoomScaleNormal="80" workbookViewId="0">
      <selection activeCell="F21" sqref="F21"/>
    </sheetView>
  </sheetViews>
  <sheetFormatPr defaultRowHeight="14.4" x14ac:dyDescent="0.3"/>
  <cols>
    <col min="1" max="1" width="15" customWidth="1"/>
    <col min="2" max="2" width="18.44140625" customWidth="1"/>
    <col min="3" max="4" width="15" customWidth="1"/>
    <col min="5" max="5" width="17" customWidth="1"/>
    <col min="6" max="6" width="17.77734375" customWidth="1"/>
    <col min="7" max="7" width="16.21875" customWidth="1"/>
    <col min="8" max="8" width="16" customWidth="1"/>
    <col min="9" max="9" width="16.77734375" customWidth="1"/>
    <col min="10" max="13" width="15" customWidth="1"/>
    <col min="14" max="14" width="14.21875" bestFit="1" customWidth="1"/>
  </cols>
  <sheetData>
    <row r="1" spans="1:12" x14ac:dyDescent="0.3">
      <c r="A1" s="1" t="s">
        <v>0</v>
      </c>
    </row>
    <row r="2" spans="1:12" x14ac:dyDescent="0.3">
      <c r="A2" s="1" t="s">
        <v>1</v>
      </c>
    </row>
    <row r="3" spans="1:12" x14ac:dyDescent="0.3">
      <c r="A3" s="2"/>
    </row>
    <row r="4" spans="1:12" ht="18" x14ac:dyDescent="0.35">
      <c r="A4" s="3" t="s">
        <v>2</v>
      </c>
    </row>
    <row r="6" spans="1:12" x14ac:dyDescent="0.3">
      <c r="F6" s="4" t="s">
        <v>3</v>
      </c>
      <c r="I6" s="4" t="s">
        <v>4</v>
      </c>
    </row>
    <row r="7" spans="1:12" x14ac:dyDescent="0.3">
      <c r="F7" s="5" t="s">
        <v>5</v>
      </c>
      <c r="G7" s="5" t="s">
        <v>6</v>
      </c>
      <c r="H7" s="5"/>
      <c r="I7" s="5" t="s">
        <v>7</v>
      </c>
      <c r="J7" s="5" t="s">
        <v>8</v>
      </c>
      <c r="L7" s="1" t="s">
        <v>9</v>
      </c>
    </row>
    <row r="8" spans="1:12" x14ac:dyDescent="0.3">
      <c r="F8" t="s">
        <v>10</v>
      </c>
      <c r="G8" s="6">
        <v>15</v>
      </c>
      <c r="I8" t="s">
        <v>11</v>
      </c>
      <c r="J8" s="6" t="s">
        <v>12</v>
      </c>
      <c r="L8" s="1" t="s">
        <v>13</v>
      </c>
    </row>
    <row r="9" spans="1:12" x14ac:dyDescent="0.3">
      <c r="F9" t="s">
        <v>14</v>
      </c>
      <c r="G9" s="6">
        <v>15</v>
      </c>
      <c r="I9" t="s">
        <v>15</v>
      </c>
      <c r="J9" s="6" t="s">
        <v>12</v>
      </c>
    </row>
    <row r="10" spans="1:12" x14ac:dyDescent="0.3">
      <c r="F10" t="s">
        <v>16</v>
      </c>
      <c r="G10" s="6">
        <v>7</v>
      </c>
      <c r="I10" t="s">
        <v>17</v>
      </c>
      <c r="J10" s="6" t="s">
        <v>12</v>
      </c>
    </row>
    <row r="11" spans="1:12" x14ac:dyDescent="0.3">
      <c r="F11" t="s">
        <v>18</v>
      </c>
      <c r="G11" s="6">
        <v>7</v>
      </c>
      <c r="I11" t="s">
        <v>19</v>
      </c>
      <c r="J11" s="6" t="s">
        <v>12</v>
      </c>
    </row>
    <row r="12" spans="1:12" x14ac:dyDescent="0.3">
      <c r="F12" t="s">
        <v>20</v>
      </c>
      <c r="G12" s="6">
        <v>10</v>
      </c>
      <c r="I12" t="s">
        <v>21</v>
      </c>
      <c r="J12" s="6" t="s">
        <v>12</v>
      </c>
    </row>
    <row r="13" spans="1:12" x14ac:dyDescent="0.3">
      <c r="F13" t="s">
        <v>22</v>
      </c>
      <c r="G13" s="6">
        <v>10</v>
      </c>
      <c r="I13" t="s">
        <v>23</v>
      </c>
      <c r="J13" s="6" t="s">
        <v>12</v>
      </c>
    </row>
    <row r="14" spans="1:12" x14ac:dyDescent="0.3">
      <c r="I14" t="s">
        <v>24</v>
      </c>
      <c r="J14" s="6" t="s">
        <v>12</v>
      </c>
    </row>
    <row r="15" spans="1:12" x14ac:dyDescent="0.3">
      <c r="I15" t="s">
        <v>25</v>
      </c>
      <c r="J15" s="6" t="s">
        <v>12</v>
      </c>
    </row>
    <row r="16" spans="1:12" x14ac:dyDescent="0.3">
      <c r="I16" t="s">
        <v>26</v>
      </c>
      <c r="J16" s="6" t="s">
        <v>12</v>
      </c>
    </row>
    <row r="17" spans="1:10" x14ac:dyDescent="0.3">
      <c r="I17" t="s">
        <v>27</v>
      </c>
      <c r="J17" s="6" t="s">
        <v>12</v>
      </c>
    </row>
    <row r="18" spans="1:10" x14ac:dyDescent="0.3">
      <c r="I18" t="s">
        <v>28</v>
      </c>
      <c r="J18" s="7" t="s">
        <v>12</v>
      </c>
    </row>
    <row r="19" spans="1:10" x14ac:dyDescent="0.3">
      <c r="I19" t="s">
        <v>29</v>
      </c>
      <c r="J19" s="6" t="s">
        <v>30</v>
      </c>
    </row>
    <row r="25" spans="1:10" ht="18" x14ac:dyDescent="0.35">
      <c r="A25" s="3" t="s">
        <v>31</v>
      </c>
    </row>
    <row r="26" spans="1:10" x14ac:dyDescent="0.3">
      <c r="A26" s="4"/>
    </row>
    <row r="27" spans="1:10" x14ac:dyDescent="0.3">
      <c r="B27" s="4" t="s">
        <v>32</v>
      </c>
    </row>
    <row r="28" spans="1:10" x14ac:dyDescent="0.3">
      <c r="B28" s="5" t="s">
        <v>33</v>
      </c>
      <c r="C28" s="5" t="s">
        <v>34</v>
      </c>
      <c r="E28" s="1" t="s">
        <v>35</v>
      </c>
    </row>
    <row r="29" spans="1:10" x14ac:dyDescent="0.3">
      <c r="B29" t="s">
        <v>36</v>
      </c>
      <c r="C29" s="6">
        <v>5</v>
      </c>
    </row>
    <row r="30" spans="1:10" x14ac:dyDescent="0.3">
      <c r="B30" t="s">
        <v>37</v>
      </c>
      <c r="C30" s="6">
        <v>4</v>
      </c>
    </row>
    <row r="31" spans="1:10" x14ac:dyDescent="0.3">
      <c r="B31" t="s">
        <v>38</v>
      </c>
      <c r="C31" s="6">
        <v>3</v>
      </c>
    </row>
    <row r="32" spans="1:10" x14ac:dyDescent="0.3">
      <c r="B32" t="s">
        <v>39</v>
      </c>
      <c r="C32" s="6">
        <v>2</v>
      </c>
    </row>
    <row r="34" spans="1:12" x14ac:dyDescent="0.3">
      <c r="B34" s="4" t="s">
        <v>40</v>
      </c>
      <c r="C34" s="4"/>
    </row>
    <row r="35" spans="1:12" x14ac:dyDescent="0.3">
      <c r="B35" s="5" t="s">
        <v>41</v>
      </c>
      <c r="C35" s="5" t="s">
        <v>42</v>
      </c>
    </row>
    <row r="36" spans="1:12" x14ac:dyDescent="0.3">
      <c r="B36" t="s">
        <v>43</v>
      </c>
      <c r="C36" s="6">
        <v>10</v>
      </c>
      <c r="E36" s="1" t="s">
        <v>44</v>
      </c>
    </row>
    <row r="39" spans="1:12" ht="18" x14ac:dyDescent="0.35">
      <c r="A39" s="3" t="s">
        <v>45</v>
      </c>
    </row>
    <row r="41" spans="1:12" x14ac:dyDescent="0.3">
      <c r="B41" t="s">
        <v>46</v>
      </c>
    </row>
    <row r="44" spans="1:12" ht="18" x14ac:dyDescent="0.35">
      <c r="A44" s="3" t="s">
        <v>47</v>
      </c>
    </row>
    <row r="45" spans="1:12" x14ac:dyDescent="0.3">
      <c r="A45" s="2"/>
    </row>
    <row r="46" spans="1:12" x14ac:dyDescent="0.3">
      <c r="B46" s="4" t="s">
        <v>48</v>
      </c>
    </row>
    <row r="47" spans="1:12" s="8" customFormat="1" ht="28.2" customHeight="1" x14ac:dyDescent="0.3">
      <c r="B47" s="9" t="s">
        <v>49</v>
      </c>
      <c r="C47" s="9" t="s">
        <v>50</v>
      </c>
      <c r="D47" s="9" t="s">
        <v>51</v>
      </c>
      <c r="E47" s="9" t="s">
        <v>52</v>
      </c>
      <c r="F47" s="9" t="s">
        <v>53</v>
      </c>
      <c r="G47" s="9" t="s">
        <v>54</v>
      </c>
      <c r="H47" s="9" t="s">
        <v>55</v>
      </c>
      <c r="I47"/>
      <c r="J47" s="9" t="s">
        <v>56</v>
      </c>
      <c r="K47" s="9" t="s">
        <v>57</v>
      </c>
    </row>
    <row r="48" spans="1:12" x14ac:dyDescent="0.3">
      <c r="B48" s="10" t="s">
        <v>10</v>
      </c>
      <c r="C48" s="6">
        <v>2</v>
      </c>
      <c r="D48">
        <f>C48*$K$48</f>
        <v>0.1</v>
      </c>
      <c r="E48">
        <f>C48*$K$49</f>
        <v>0.1</v>
      </c>
      <c r="F48" s="6">
        <v>240</v>
      </c>
      <c r="G48" s="6">
        <f>F56</f>
        <v>5</v>
      </c>
      <c r="H48" s="6">
        <v>3</v>
      </c>
      <c r="J48" s="6" t="s">
        <v>58</v>
      </c>
      <c r="K48" s="6">
        <v>0.05</v>
      </c>
      <c r="L48" s="1" t="s">
        <v>35</v>
      </c>
    </row>
    <row r="49" spans="2:13" x14ac:dyDescent="0.3">
      <c r="B49" s="10" t="s">
        <v>14</v>
      </c>
      <c r="C49" s="6">
        <v>1</v>
      </c>
      <c r="D49">
        <f>C49*$K$48</f>
        <v>0.05</v>
      </c>
      <c r="E49">
        <f>C49*$K$49</f>
        <v>0.05</v>
      </c>
      <c r="F49" s="6">
        <v>240</v>
      </c>
      <c r="G49" s="6">
        <v>0</v>
      </c>
      <c r="H49" s="6">
        <v>3</v>
      </c>
      <c r="J49" s="6" t="s">
        <v>59</v>
      </c>
      <c r="K49" s="6">
        <v>0.05</v>
      </c>
    </row>
    <row r="50" spans="2:13" x14ac:dyDescent="0.3">
      <c r="B50" s="10" t="s">
        <v>16</v>
      </c>
      <c r="C50" s="6">
        <v>3</v>
      </c>
      <c r="D50">
        <f>C50*$K$48</f>
        <v>0.15000000000000002</v>
      </c>
      <c r="E50">
        <f>C50*$K$49</f>
        <v>0.15000000000000002</v>
      </c>
      <c r="F50" s="6">
        <v>240</v>
      </c>
      <c r="G50" s="6">
        <f>E59+F59</f>
        <v>9</v>
      </c>
      <c r="H50" s="6">
        <v>3</v>
      </c>
    </row>
    <row r="51" spans="2:13" x14ac:dyDescent="0.3">
      <c r="B51" s="10" t="s">
        <v>18</v>
      </c>
      <c r="C51" s="6">
        <v>2</v>
      </c>
      <c r="D51">
        <f>C51*$K$48</f>
        <v>0.1</v>
      </c>
      <c r="E51">
        <f>C51*$K$49</f>
        <v>0.1</v>
      </c>
      <c r="F51" s="6">
        <v>240</v>
      </c>
      <c r="G51" s="6">
        <f>E62+F62</f>
        <v>15</v>
      </c>
      <c r="H51" s="6">
        <v>0</v>
      </c>
      <c r="I51" s="1" t="s">
        <v>60</v>
      </c>
    </row>
    <row r="53" spans="2:13" x14ac:dyDescent="0.3">
      <c r="B53" s="4" t="s">
        <v>61</v>
      </c>
    </row>
    <row r="54" spans="2:13" ht="28.8" x14ac:dyDescent="0.3">
      <c r="B54" s="9" t="s">
        <v>7</v>
      </c>
      <c r="C54" s="9" t="s">
        <v>62</v>
      </c>
      <c r="D54" s="9" t="s">
        <v>63</v>
      </c>
      <c r="E54" s="9" t="s">
        <v>64</v>
      </c>
      <c r="F54" s="9" t="s">
        <v>65</v>
      </c>
      <c r="G54" s="9" t="s">
        <v>66</v>
      </c>
      <c r="I54" s="9" t="s">
        <v>67</v>
      </c>
      <c r="K54" s="9" t="s">
        <v>68</v>
      </c>
    </row>
    <row r="55" spans="2:13" x14ac:dyDescent="0.3">
      <c r="B55" t="str">
        <f t="shared" ref="B55:C64" si="0">I8</f>
        <v>K1a</v>
      </c>
      <c r="C55" t="str">
        <f t="shared" si="0"/>
        <v>Manuell</v>
      </c>
      <c r="D55">
        <v>0</v>
      </c>
      <c r="E55">
        <f t="shared" ref="E55:E65" si="1">IF(C55="Fjernstyrt",0,D55*$K$57)</f>
        <v>0</v>
      </c>
      <c r="F55">
        <f t="shared" ref="F55:F65" si="2">IF(C55="Fjernstyrt",$K$55,$K$56)</f>
        <v>5</v>
      </c>
      <c r="G55">
        <f>E55+F55</f>
        <v>5</v>
      </c>
      <c r="I55" t="s">
        <v>69</v>
      </c>
      <c r="K55" s="6">
        <v>1</v>
      </c>
      <c r="M55" s="1" t="s">
        <v>70</v>
      </c>
    </row>
    <row r="56" spans="2:13" x14ac:dyDescent="0.3">
      <c r="B56" t="str">
        <f t="shared" si="0"/>
        <v>K1b</v>
      </c>
      <c r="C56" t="str">
        <f t="shared" si="0"/>
        <v>Manuell</v>
      </c>
      <c r="D56">
        <v>0</v>
      </c>
      <c r="E56">
        <f t="shared" si="1"/>
        <v>0</v>
      </c>
      <c r="F56">
        <f t="shared" si="2"/>
        <v>5</v>
      </c>
      <c r="G56">
        <f t="shared" ref="G56:G67" si="3">E56+F56</f>
        <v>5</v>
      </c>
      <c r="I56" t="s">
        <v>71</v>
      </c>
      <c r="K56" s="11">
        <v>5</v>
      </c>
    </row>
    <row r="57" spans="2:13" x14ac:dyDescent="0.3">
      <c r="B57" t="str">
        <f t="shared" si="0"/>
        <v>K1c</v>
      </c>
      <c r="C57" t="str">
        <f t="shared" si="0"/>
        <v>Manuell</v>
      </c>
      <c r="D57">
        <f>C48</f>
        <v>2</v>
      </c>
      <c r="E57">
        <f t="shared" si="1"/>
        <v>4</v>
      </c>
      <c r="F57">
        <f t="shared" si="2"/>
        <v>5</v>
      </c>
      <c r="G57">
        <f t="shared" si="3"/>
        <v>9</v>
      </c>
      <c r="I57" t="s">
        <v>72</v>
      </c>
      <c r="K57" s="11">
        <v>2</v>
      </c>
      <c r="L57" t="s">
        <v>73</v>
      </c>
    </row>
    <row r="58" spans="2:13" x14ac:dyDescent="0.3">
      <c r="B58" t="str">
        <f t="shared" si="0"/>
        <v>K2a</v>
      </c>
      <c r="C58" t="str">
        <f t="shared" si="0"/>
        <v>Manuell</v>
      </c>
      <c r="D58">
        <f>C48</f>
        <v>2</v>
      </c>
      <c r="E58">
        <f t="shared" si="1"/>
        <v>4</v>
      </c>
      <c r="F58">
        <f t="shared" si="2"/>
        <v>5</v>
      </c>
      <c r="G58">
        <f t="shared" si="3"/>
        <v>9</v>
      </c>
      <c r="I58" t="s">
        <v>74</v>
      </c>
      <c r="K58" s="11">
        <v>1</v>
      </c>
      <c r="L58" t="s">
        <v>75</v>
      </c>
    </row>
    <row r="59" spans="2:13" x14ac:dyDescent="0.3">
      <c r="B59" t="str">
        <f t="shared" si="0"/>
        <v>K3a</v>
      </c>
      <c r="C59" t="str">
        <f t="shared" si="0"/>
        <v>Manuell</v>
      </c>
      <c r="D59">
        <f>C48</f>
        <v>2</v>
      </c>
      <c r="E59">
        <f t="shared" si="1"/>
        <v>4</v>
      </c>
      <c r="F59">
        <f t="shared" si="2"/>
        <v>5</v>
      </c>
      <c r="G59">
        <f t="shared" si="3"/>
        <v>9</v>
      </c>
    </row>
    <row r="60" spans="2:13" x14ac:dyDescent="0.3">
      <c r="B60" t="str">
        <f t="shared" si="0"/>
        <v>K3b</v>
      </c>
      <c r="C60" t="str">
        <f t="shared" si="0"/>
        <v>Manuell</v>
      </c>
      <c r="D60">
        <f>C48+C50</f>
        <v>5</v>
      </c>
      <c r="E60">
        <f t="shared" si="1"/>
        <v>10</v>
      </c>
      <c r="F60">
        <f t="shared" si="2"/>
        <v>5</v>
      </c>
      <c r="G60">
        <f t="shared" si="3"/>
        <v>15</v>
      </c>
      <c r="I60" t="s">
        <v>76</v>
      </c>
    </row>
    <row r="61" spans="2:13" x14ac:dyDescent="0.3">
      <c r="B61" t="str">
        <f t="shared" si="0"/>
        <v>K4a</v>
      </c>
      <c r="C61" t="str">
        <f t="shared" si="0"/>
        <v>Manuell</v>
      </c>
      <c r="D61">
        <f>C48+C50</f>
        <v>5</v>
      </c>
      <c r="E61">
        <f t="shared" si="1"/>
        <v>10</v>
      </c>
      <c r="F61">
        <f t="shared" si="2"/>
        <v>5</v>
      </c>
      <c r="G61">
        <f t="shared" si="3"/>
        <v>15</v>
      </c>
    </row>
    <row r="62" spans="2:13" x14ac:dyDescent="0.3">
      <c r="B62" t="str">
        <f t="shared" si="0"/>
        <v>K4b</v>
      </c>
      <c r="C62" t="str">
        <f t="shared" si="0"/>
        <v>Manuell</v>
      </c>
      <c r="D62">
        <f>C48+C50</f>
        <v>5</v>
      </c>
      <c r="E62">
        <f t="shared" si="1"/>
        <v>10</v>
      </c>
      <c r="F62">
        <f t="shared" si="2"/>
        <v>5</v>
      </c>
      <c r="G62">
        <f t="shared" si="3"/>
        <v>15</v>
      </c>
    </row>
    <row r="63" spans="2:13" x14ac:dyDescent="0.3">
      <c r="B63" t="str">
        <f t="shared" si="0"/>
        <v>K5a</v>
      </c>
      <c r="C63" t="str">
        <f t="shared" si="0"/>
        <v>Manuell</v>
      </c>
      <c r="D63">
        <f>C48+C49</f>
        <v>3</v>
      </c>
      <c r="E63">
        <f t="shared" si="1"/>
        <v>6</v>
      </c>
      <c r="F63">
        <f t="shared" si="2"/>
        <v>5</v>
      </c>
      <c r="G63">
        <f t="shared" si="3"/>
        <v>11</v>
      </c>
    </row>
    <row r="64" spans="2:13" x14ac:dyDescent="0.3">
      <c r="B64" t="str">
        <f t="shared" si="0"/>
        <v>K6a</v>
      </c>
      <c r="C64" t="str">
        <f t="shared" si="0"/>
        <v>Manuell</v>
      </c>
      <c r="D64">
        <f>C48+C50</f>
        <v>5</v>
      </c>
      <c r="E64">
        <f t="shared" si="1"/>
        <v>10</v>
      </c>
      <c r="F64">
        <f t="shared" si="2"/>
        <v>5</v>
      </c>
      <c r="G64">
        <f t="shared" si="3"/>
        <v>15</v>
      </c>
    </row>
    <row r="65" spans="2:11" x14ac:dyDescent="0.3">
      <c r="B65" t="s">
        <v>28</v>
      </c>
      <c r="C65" t="str">
        <f>J18</f>
        <v>Manuell</v>
      </c>
      <c r="D65">
        <f>C48</f>
        <v>2</v>
      </c>
      <c r="E65">
        <f t="shared" si="1"/>
        <v>4</v>
      </c>
      <c r="F65">
        <f t="shared" si="2"/>
        <v>5</v>
      </c>
      <c r="G65">
        <f t="shared" si="3"/>
        <v>9</v>
      </c>
    </row>
    <row r="66" spans="2:11" x14ac:dyDescent="0.3">
      <c r="B66" t="s">
        <v>29</v>
      </c>
      <c r="C66" t="str">
        <f>J19</f>
        <v>Fjernstyrt</v>
      </c>
      <c r="D66" s="12" t="s">
        <v>77</v>
      </c>
      <c r="F66">
        <f>K58</f>
        <v>1</v>
      </c>
      <c r="G66">
        <f t="shared" si="3"/>
        <v>1</v>
      </c>
    </row>
    <row r="67" spans="2:11" x14ac:dyDescent="0.3">
      <c r="B67" t="s">
        <v>78</v>
      </c>
      <c r="C67">
        <f>J20</f>
        <v>0</v>
      </c>
      <c r="D67" s="12" t="s">
        <v>77</v>
      </c>
      <c r="F67">
        <f>K58</f>
        <v>1</v>
      </c>
      <c r="G67">
        <f t="shared" si="3"/>
        <v>1</v>
      </c>
    </row>
    <row r="69" spans="2:11" x14ac:dyDescent="0.3">
      <c r="B69" s="4" t="s">
        <v>79</v>
      </c>
    </row>
    <row r="70" spans="2:11" x14ac:dyDescent="0.3">
      <c r="D70" s="13" t="s">
        <v>80</v>
      </c>
    </row>
    <row r="71" spans="2:11" x14ac:dyDescent="0.3">
      <c r="B71" s="5" t="s">
        <v>33</v>
      </c>
      <c r="C71" t="s">
        <v>81</v>
      </c>
      <c r="D71" t="s">
        <v>82</v>
      </c>
      <c r="E71" t="s">
        <v>83</v>
      </c>
      <c r="F71" t="s">
        <v>84</v>
      </c>
      <c r="G71" t="s">
        <v>85</v>
      </c>
      <c r="H71" t="s">
        <v>86</v>
      </c>
      <c r="I71" t="s">
        <v>87</v>
      </c>
      <c r="K71" s="1" t="s">
        <v>70</v>
      </c>
    </row>
    <row r="72" spans="2:11" x14ac:dyDescent="0.3">
      <c r="B72" t="s">
        <v>36</v>
      </c>
      <c r="C72" s="14">
        <v>7</v>
      </c>
      <c r="D72" s="15">
        <v>0</v>
      </c>
      <c r="E72" s="15">
        <v>0</v>
      </c>
      <c r="F72" s="15">
        <v>0.8</v>
      </c>
      <c r="G72" s="15">
        <v>0.2</v>
      </c>
      <c r="H72" s="15">
        <v>0</v>
      </c>
      <c r="I72" s="15">
        <v>0</v>
      </c>
    </row>
    <row r="73" spans="2:11" x14ac:dyDescent="0.3">
      <c r="B73" t="s">
        <v>37</v>
      </c>
      <c r="C73">
        <v>4.9000000000000004</v>
      </c>
      <c r="D73" s="15">
        <v>0</v>
      </c>
      <c r="E73" s="15">
        <v>0.2</v>
      </c>
      <c r="F73" s="15">
        <v>0.2</v>
      </c>
      <c r="G73" s="15">
        <v>0.6</v>
      </c>
      <c r="H73" s="15">
        <v>0</v>
      </c>
      <c r="I73" s="15">
        <v>0</v>
      </c>
    </row>
    <row r="74" spans="2:11" x14ac:dyDescent="0.3">
      <c r="B74" t="s">
        <v>38</v>
      </c>
      <c r="C74" s="14">
        <v>4</v>
      </c>
      <c r="D74" s="15">
        <v>0.4</v>
      </c>
      <c r="E74" s="15">
        <v>0.5</v>
      </c>
      <c r="F74" s="15">
        <v>0</v>
      </c>
      <c r="G74" s="15">
        <v>0</v>
      </c>
      <c r="H74" s="15">
        <v>0.1</v>
      </c>
      <c r="I74" s="15">
        <v>0</v>
      </c>
    </row>
    <row r="75" spans="2:11" x14ac:dyDescent="0.3">
      <c r="B75" t="s">
        <v>39</v>
      </c>
      <c r="C75">
        <v>3.1</v>
      </c>
      <c r="D75" s="15">
        <v>0</v>
      </c>
      <c r="E75" s="15">
        <v>0.3</v>
      </c>
      <c r="F75" s="15">
        <v>0</v>
      </c>
      <c r="G75" s="15">
        <v>0</v>
      </c>
      <c r="H75" s="15">
        <v>0.4</v>
      </c>
      <c r="I75" s="15">
        <v>0.3</v>
      </c>
    </row>
  </sheetData>
  <conditionalFormatting sqref="A48:H51">
    <cfRule type="containsBlanks" dxfId="20" priority="2">
      <formula>LEN(TRIM(A48))=0</formula>
    </cfRule>
  </conditionalFormatting>
  <conditionalFormatting sqref="A1:XFD45 A46:K47 L46:XFD49 K48 I48:I50 J49:K49 J50:XFD50 I51:XFD51 A52:XFD53 E54 I54:L54 G54:H55 M54:M58 N54:XFD61 A54:D67 F54:F67 J55:L58 H56:H61 G56:G67 I59:M61 H62:XFD67 A68:XFD68 A69:B69 D69:J69 K69:XFD75 B70:D70 F70:J70 A70:A75 C71:I71 J71:J75 C72 E72:I72 C73:I75 A76:XFD1048576">
    <cfRule type="containsBlanks" dxfId="19" priority="3">
      <formula>LEN(TRIM(A1))=0</formula>
    </cfRule>
  </conditionalFormatting>
  <conditionalFormatting sqref="B71:B75">
    <cfRule type="containsBlanks" dxfId="18" priority="1">
      <formula>LEN(TRIM(B71))=0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V63"/>
  <sheetViews>
    <sheetView zoomScale="70" zoomScaleNormal="70" workbookViewId="0">
      <selection activeCell="D36" sqref="D36"/>
    </sheetView>
  </sheetViews>
  <sheetFormatPr defaultRowHeight="14.4" x14ac:dyDescent="0.3"/>
  <cols>
    <col min="2" max="2" width="16.77734375" bestFit="1" customWidth="1"/>
    <col min="3" max="3" width="18.6640625" bestFit="1" customWidth="1"/>
    <col min="4" max="4" width="14.44140625" bestFit="1" customWidth="1"/>
    <col min="5" max="5" width="18.44140625" bestFit="1" customWidth="1"/>
    <col min="6" max="6" width="13.44140625" bestFit="1" customWidth="1"/>
    <col min="7" max="7" width="19" bestFit="1" customWidth="1"/>
    <col min="8" max="8" width="18.44140625" bestFit="1" customWidth="1"/>
    <col min="9" max="9" width="10.77734375" customWidth="1"/>
    <col min="10" max="11" width="9.33203125" bestFit="1" customWidth="1"/>
    <col min="28" max="28" width="14.21875" customWidth="1"/>
    <col min="29" max="29" width="15.77734375" customWidth="1"/>
    <col min="30" max="30" width="19.44140625" customWidth="1"/>
    <col min="31" max="31" width="15.21875" customWidth="1"/>
    <col min="32" max="32" width="15.44140625" customWidth="1"/>
    <col min="33" max="33" width="13.77734375" customWidth="1"/>
    <col min="34" max="34" width="14.5546875" bestFit="1" customWidth="1"/>
  </cols>
  <sheetData>
    <row r="2" spans="1:48" x14ac:dyDescent="0.3">
      <c r="B2" t="s">
        <v>89</v>
      </c>
      <c r="C2">
        <v>5</v>
      </c>
      <c r="D2" t="s">
        <v>88</v>
      </c>
      <c r="AB2" t="s">
        <v>143</v>
      </c>
    </row>
    <row r="3" spans="1:48" ht="43.2" x14ac:dyDescent="0.3">
      <c r="B3" s="16" t="s">
        <v>90</v>
      </c>
      <c r="C3" t="s">
        <v>91</v>
      </c>
      <c r="D3" t="s">
        <v>92</v>
      </c>
      <c r="E3" t="s">
        <v>93</v>
      </c>
      <c r="F3" t="s">
        <v>94</v>
      </c>
      <c r="G3" t="s">
        <v>95</v>
      </c>
      <c r="H3" t="s">
        <v>99</v>
      </c>
      <c r="I3" t="s">
        <v>100</v>
      </c>
      <c r="J3" t="s">
        <v>101</v>
      </c>
      <c r="K3" t="s">
        <v>102</v>
      </c>
      <c r="M3" t="s">
        <v>169</v>
      </c>
      <c r="N3" t="s">
        <v>170</v>
      </c>
      <c r="AB3" s="24" t="s">
        <v>119</v>
      </c>
      <c r="AC3" s="24" t="s">
        <v>120</v>
      </c>
      <c r="AD3" s="24" t="s">
        <v>121</v>
      </c>
      <c r="AE3" s="24" t="s">
        <v>122</v>
      </c>
      <c r="AF3" s="24" t="s">
        <v>128</v>
      </c>
      <c r="AG3" s="24" t="s">
        <v>123</v>
      </c>
      <c r="AH3" s="24" t="s">
        <v>193</v>
      </c>
    </row>
    <row r="4" spans="1:48" s="17" customFormat="1" x14ac:dyDescent="0.3">
      <c r="A4" s="17" t="s">
        <v>10</v>
      </c>
      <c r="B4" s="46">
        <v>0.1</v>
      </c>
      <c r="C4" s="46">
        <v>0.1</v>
      </c>
      <c r="D4" s="46">
        <f>(5)/60</f>
        <v>8.3333333333333329E-2</v>
      </c>
      <c r="E4" s="46">
        <f>1/60</f>
        <v>1.6666666666666666E-2</v>
      </c>
      <c r="F4" s="46">
        <f>B4*D4</f>
        <v>8.3333333333333332E-3</v>
      </c>
      <c r="G4" s="46">
        <f>C4*E4</f>
        <v>1.6666666666666668E-3</v>
      </c>
      <c r="H4" s="46"/>
      <c r="I4" s="46"/>
      <c r="J4" s="46"/>
      <c r="K4" s="46"/>
      <c r="M4" s="17">
        <f>B4*C2*((34+84.7*F4)*0.8+(28+168.3*F4)*0.2)</f>
        <v>16.822583333333334</v>
      </c>
      <c r="Z4"/>
      <c r="AA4"/>
      <c r="AB4" s="25" t="s">
        <v>89</v>
      </c>
      <c r="AC4" s="36">
        <f>C13</f>
        <v>0.8</v>
      </c>
      <c r="AD4" s="37">
        <f>E14</f>
        <v>2.75</v>
      </c>
      <c r="AE4" s="37">
        <f>G14</f>
        <v>2.2000000000000002</v>
      </c>
      <c r="AF4" s="36">
        <f>I13</f>
        <v>4</v>
      </c>
      <c r="AG4" s="36">
        <f>K13</f>
        <v>0.18333333333333335</v>
      </c>
      <c r="AH4" s="38">
        <f>KILE!AB16</f>
        <v>128891.65291015837</v>
      </c>
      <c r="AI4"/>
      <c r="AJ4"/>
      <c r="AK4"/>
      <c r="AL4"/>
      <c r="AM4"/>
      <c r="AN4"/>
      <c r="AO4"/>
      <c r="AP4"/>
      <c r="AQ4"/>
      <c r="AR4"/>
      <c r="AS4"/>
      <c r="AT4"/>
      <c r="AU4"/>
      <c r="AV4"/>
    </row>
    <row r="5" spans="1:48" s="17" customFormat="1" x14ac:dyDescent="0.3">
      <c r="A5" s="17" t="s">
        <v>14</v>
      </c>
      <c r="B5" s="46">
        <v>0.05</v>
      </c>
      <c r="C5" s="46">
        <v>0.05</v>
      </c>
      <c r="D5" s="46">
        <f>(1)/60</f>
        <v>1.6666666666666666E-2</v>
      </c>
      <c r="E5" s="46">
        <f t="shared" ref="E5:E7" si="0">1/60</f>
        <v>1.6666666666666666E-2</v>
      </c>
      <c r="F5" s="46">
        <f t="shared" ref="F5:F7" si="1">B5*D5</f>
        <v>8.3333333333333339E-4</v>
      </c>
      <c r="G5" s="46">
        <f t="shared" ref="G5:G7" si="2">C5*E5</f>
        <v>8.3333333333333339E-4</v>
      </c>
      <c r="H5" s="46"/>
      <c r="I5" s="46"/>
      <c r="J5" s="46"/>
      <c r="K5" s="46"/>
      <c r="Z5"/>
      <c r="AA5"/>
      <c r="AB5" s="25" t="s">
        <v>116</v>
      </c>
      <c r="AC5" s="36">
        <f>C29</f>
        <v>0.8</v>
      </c>
      <c r="AD5" s="37">
        <f>E30</f>
        <v>17.6875</v>
      </c>
      <c r="AE5" s="37">
        <f>G30</f>
        <v>14.15</v>
      </c>
      <c r="AF5" s="36">
        <f>I29</f>
        <v>3.2</v>
      </c>
      <c r="AG5" s="36">
        <f>K29</f>
        <v>0.94333333333333336</v>
      </c>
      <c r="AH5" s="38">
        <f>KILE!AB26</f>
        <v>99328.702310075052</v>
      </c>
      <c r="AI5"/>
      <c r="AJ5"/>
      <c r="AK5"/>
      <c r="AL5"/>
      <c r="AM5"/>
      <c r="AN5"/>
      <c r="AO5"/>
      <c r="AP5"/>
      <c r="AQ5"/>
      <c r="AR5"/>
      <c r="AS5"/>
      <c r="AT5"/>
      <c r="AU5"/>
      <c r="AV5"/>
    </row>
    <row r="6" spans="1:48" s="17" customFormat="1" x14ac:dyDescent="0.3">
      <c r="A6" s="17" t="s">
        <v>16</v>
      </c>
      <c r="B6" s="46">
        <v>0.15000000000000002</v>
      </c>
      <c r="C6" s="46">
        <v>0.15000000000000002</v>
      </c>
      <c r="D6" s="46">
        <f>(5)/60</f>
        <v>8.3333333333333329E-2</v>
      </c>
      <c r="E6" s="46">
        <f t="shared" si="0"/>
        <v>1.6666666666666666E-2</v>
      </c>
      <c r="F6" s="46">
        <f t="shared" si="1"/>
        <v>1.2500000000000001E-2</v>
      </c>
      <c r="G6" s="46">
        <f t="shared" si="2"/>
        <v>2.5000000000000005E-3</v>
      </c>
      <c r="H6" s="46"/>
      <c r="I6" s="46"/>
      <c r="J6" s="46"/>
      <c r="K6" s="46"/>
      <c r="Z6"/>
      <c r="AA6"/>
      <c r="AB6" s="25" t="s">
        <v>117</v>
      </c>
      <c r="AC6" s="36">
        <f>C45</f>
        <v>0.8</v>
      </c>
      <c r="AD6" s="37">
        <f>E46</f>
        <v>2.75</v>
      </c>
      <c r="AE6" s="37">
        <f>G46</f>
        <v>2.2000000000000002</v>
      </c>
      <c r="AF6" s="36">
        <f>I45</f>
        <v>2.4000000000000004</v>
      </c>
      <c r="AG6" s="36">
        <f>K45</f>
        <v>0.11</v>
      </c>
      <c r="AH6" s="38">
        <f>KILE!AB35</f>
        <v>27098.527034171435</v>
      </c>
      <c r="AI6"/>
      <c r="AJ6"/>
      <c r="AK6"/>
      <c r="AL6"/>
      <c r="AM6"/>
      <c r="AN6"/>
      <c r="AO6"/>
      <c r="AP6"/>
      <c r="AQ6"/>
      <c r="AR6"/>
      <c r="AS6"/>
      <c r="AT6"/>
      <c r="AU6"/>
      <c r="AV6"/>
    </row>
    <row r="7" spans="1:48" s="17" customFormat="1" x14ac:dyDescent="0.3">
      <c r="A7" s="17" t="s">
        <v>18</v>
      </c>
      <c r="B7" s="46">
        <v>0.1</v>
      </c>
      <c r="C7" s="46">
        <v>0.1</v>
      </c>
      <c r="D7" s="46">
        <f>(5)/60</f>
        <v>8.3333333333333329E-2</v>
      </c>
      <c r="E7" s="46">
        <f t="shared" si="0"/>
        <v>1.6666666666666666E-2</v>
      </c>
      <c r="F7" s="46">
        <f t="shared" si="1"/>
        <v>8.3333333333333332E-3</v>
      </c>
      <c r="G7" s="46">
        <f t="shared" si="2"/>
        <v>1.6666666666666668E-3</v>
      </c>
      <c r="H7" s="46"/>
      <c r="I7" s="46"/>
      <c r="J7" s="46"/>
      <c r="K7" s="46"/>
      <c r="Z7"/>
      <c r="AA7"/>
      <c r="AB7" s="25" t="s">
        <v>118</v>
      </c>
      <c r="AC7" s="36">
        <f>C62</f>
        <v>0.8</v>
      </c>
      <c r="AD7" s="37">
        <f>E63</f>
        <v>32.125</v>
      </c>
      <c r="AE7" s="37">
        <f>G63</f>
        <v>25.7</v>
      </c>
      <c r="AF7" s="36">
        <f>I62</f>
        <v>1.6</v>
      </c>
      <c r="AG7" s="36">
        <f>K62</f>
        <v>0.85666666666666669</v>
      </c>
      <c r="AH7" s="38">
        <f>KILE!AB44</f>
        <v>90311.028090637148</v>
      </c>
      <c r="AI7"/>
      <c r="AJ7"/>
      <c r="AK7"/>
      <c r="AL7"/>
      <c r="AM7"/>
      <c r="AN7"/>
      <c r="AO7"/>
      <c r="AP7"/>
      <c r="AQ7"/>
      <c r="AR7"/>
      <c r="AS7"/>
      <c r="AT7"/>
      <c r="AU7"/>
      <c r="AV7"/>
    </row>
    <row r="8" spans="1:48" s="18" customFormat="1" x14ac:dyDescent="0.3">
      <c r="B8" s="47">
        <f>SUM(B4:B7)</f>
        <v>0.4</v>
      </c>
      <c r="C8" s="47">
        <f>SUM(C4:C7)</f>
        <v>0.4</v>
      </c>
      <c r="D8" s="47">
        <f>F8/B8</f>
        <v>7.4999999999999997E-2</v>
      </c>
      <c r="E8" s="47">
        <f>G8/C8</f>
        <v>1.666666666666667E-2</v>
      </c>
      <c r="F8" s="47">
        <f>SUM(F4:F7)</f>
        <v>0.03</v>
      </c>
      <c r="G8" s="47">
        <f>SUM(G4:G7)</f>
        <v>6.666666666666668E-3</v>
      </c>
      <c r="H8" s="47">
        <f>C2*B8</f>
        <v>2</v>
      </c>
      <c r="I8" s="47">
        <f>C2*C8</f>
        <v>2</v>
      </c>
      <c r="J8" s="47">
        <f>C2*F8</f>
        <v>0.15</v>
      </c>
      <c r="K8" s="47">
        <f>C2*G8</f>
        <v>3.333333333333334E-2</v>
      </c>
      <c r="Z8"/>
      <c r="AA8"/>
      <c r="AB8" s="25" t="s">
        <v>200</v>
      </c>
      <c r="AC8" s="25"/>
      <c r="AD8" s="25"/>
      <c r="AE8" s="37">
        <f>SUM(AE4:AE7)</f>
        <v>44.25</v>
      </c>
      <c r="AF8" s="36">
        <f>SUM(AF4:AF7)</f>
        <v>11.200000000000001</v>
      </c>
      <c r="AG8" s="36">
        <f>SUM(AG4:AG7)</f>
        <v>2.0933333333333337</v>
      </c>
      <c r="AH8" s="38">
        <f>SUM(AH4:AH7)</f>
        <v>345629.91034504201</v>
      </c>
      <c r="AI8"/>
      <c r="AJ8"/>
      <c r="AK8"/>
      <c r="AL8"/>
      <c r="AM8"/>
      <c r="AN8"/>
      <c r="AO8"/>
      <c r="AP8"/>
      <c r="AQ8"/>
      <c r="AR8"/>
      <c r="AS8"/>
      <c r="AT8"/>
      <c r="AU8"/>
      <c r="AV8"/>
    </row>
    <row r="9" spans="1:48" x14ac:dyDescent="0.3">
      <c r="B9" s="16" t="s">
        <v>90</v>
      </c>
      <c r="C9" t="s">
        <v>91</v>
      </c>
      <c r="D9" t="s">
        <v>92</v>
      </c>
      <c r="E9" t="s">
        <v>93</v>
      </c>
      <c r="F9" t="s">
        <v>94</v>
      </c>
      <c r="G9" t="s">
        <v>95</v>
      </c>
      <c r="H9" t="s">
        <v>99</v>
      </c>
      <c r="I9" t="s">
        <v>100</v>
      </c>
      <c r="J9" t="s">
        <v>101</v>
      </c>
      <c r="K9" t="s">
        <v>102</v>
      </c>
    </row>
    <row r="10" spans="1:48" x14ac:dyDescent="0.3">
      <c r="B10" t="s">
        <v>96</v>
      </c>
      <c r="C10" t="s">
        <v>96</v>
      </c>
      <c r="D10" t="s">
        <v>97</v>
      </c>
      <c r="E10" t="s">
        <v>97</v>
      </c>
      <c r="F10" t="s">
        <v>98</v>
      </c>
      <c r="G10" t="s">
        <v>98</v>
      </c>
      <c r="H10" t="s">
        <v>103</v>
      </c>
      <c r="I10" t="s">
        <v>103</v>
      </c>
      <c r="J10" t="s">
        <v>104</v>
      </c>
      <c r="K10" t="s">
        <v>104</v>
      </c>
    </row>
    <row r="12" spans="1:48" x14ac:dyDescent="0.3">
      <c r="C12" t="s">
        <v>109</v>
      </c>
      <c r="E12" t="s">
        <v>110</v>
      </c>
      <c r="G12" t="s">
        <v>111</v>
      </c>
      <c r="I12" t="s">
        <v>112</v>
      </c>
      <c r="J12" t="s">
        <v>113</v>
      </c>
    </row>
    <row r="13" spans="1:48" s="21" customFormat="1" x14ac:dyDescent="0.3">
      <c r="C13" s="48">
        <f>B8+C8</f>
        <v>0.8</v>
      </c>
      <c r="D13" s="48" t="s">
        <v>108</v>
      </c>
      <c r="E13" s="48">
        <f>G13/C13</f>
        <v>4.583333333333333E-2</v>
      </c>
      <c r="F13" s="48" t="s">
        <v>107</v>
      </c>
      <c r="G13" s="48">
        <f>F8+G8</f>
        <v>3.6666666666666667E-2</v>
      </c>
      <c r="H13" s="48" t="s">
        <v>106</v>
      </c>
      <c r="I13" s="48">
        <f>C2*C13</f>
        <v>4</v>
      </c>
      <c r="J13" s="48" t="s">
        <v>88</v>
      </c>
      <c r="K13" s="48">
        <f>C2*G13</f>
        <v>0.18333333333333335</v>
      </c>
      <c r="L13" s="23" t="s">
        <v>105</v>
      </c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/>
      <c r="AA13"/>
      <c r="AB13"/>
      <c r="AC13" t="s">
        <v>148</v>
      </c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</row>
    <row r="14" spans="1:48" x14ac:dyDescent="0.3">
      <c r="E14">
        <f>E13*60</f>
        <v>2.75</v>
      </c>
      <c r="F14" t="s">
        <v>114</v>
      </c>
      <c r="G14">
        <f>G13*60</f>
        <v>2.2000000000000002</v>
      </c>
      <c r="H14" t="s">
        <v>115</v>
      </c>
      <c r="AB14" t="s">
        <v>142</v>
      </c>
    </row>
    <row r="15" spans="1:48" x14ac:dyDescent="0.3">
      <c r="AC15" t="s">
        <v>131</v>
      </c>
      <c r="AD15" t="s">
        <v>133</v>
      </c>
      <c r="AE15" t="s">
        <v>132</v>
      </c>
      <c r="AF15" t="s">
        <v>134</v>
      </c>
      <c r="AG15" t="s">
        <v>135</v>
      </c>
    </row>
    <row r="16" spans="1:48" x14ac:dyDescent="0.3">
      <c r="AB16" t="s">
        <v>136</v>
      </c>
      <c r="AC16">
        <v>0.8</v>
      </c>
      <c r="AD16" s="14">
        <v>10.5</v>
      </c>
      <c r="AE16" s="14">
        <v>8.4</v>
      </c>
      <c r="AF16">
        <v>4</v>
      </c>
      <c r="AG16" s="14">
        <v>0.7</v>
      </c>
    </row>
    <row r="17" spans="1:34" x14ac:dyDescent="0.3">
      <c r="AB17" t="s">
        <v>137</v>
      </c>
      <c r="AC17">
        <v>0.8</v>
      </c>
      <c r="AD17" s="14">
        <v>20</v>
      </c>
      <c r="AE17" s="14">
        <v>16</v>
      </c>
      <c r="AF17">
        <v>3.2</v>
      </c>
      <c r="AG17" s="14">
        <v>1.0666666666666667</v>
      </c>
    </row>
    <row r="18" spans="1:34" x14ac:dyDescent="0.3">
      <c r="B18" t="s">
        <v>116</v>
      </c>
      <c r="C18">
        <v>4</v>
      </c>
      <c r="D18" t="s">
        <v>88</v>
      </c>
      <c r="AB18" t="s">
        <v>138</v>
      </c>
      <c r="AC18">
        <v>0.8</v>
      </c>
      <c r="AD18" s="14">
        <v>12.5625</v>
      </c>
      <c r="AE18" s="14">
        <v>10.050000000000001</v>
      </c>
      <c r="AF18">
        <v>2.4000000000000004</v>
      </c>
      <c r="AG18" s="14">
        <v>0.50250000000000006</v>
      </c>
    </row>
    <row r="19" spans="1:34" x14ac:dyDescent="0.3">
      <c r="B19" s="16" t="s">
        <v>90</v>
      </c>
      <c r="C19" t="s">
        <v>91</v>
      </c>
      <c r="D19" t="s">
        <v>92</v>
      </c>
      <c r="E19" t="s">
        <v>93</v>
      </c>
      <c r="F19" t="s">
        <v>94</v>
      </c>
      <c r="G19" t="s">
        <v>95</v>
      </c>
      <c r="H19" t="s">
        <v>99</v>
      </c>
      <c r="I19" t="s">
        <v>100</v>
      </c>
      <c r="J19" t="s">
        <v>101</v>
      </c>
      <c r="K19" t="s">
        <v>102</v>
      </c>
      <c r="AB19" t="s">
        <v>139</v>
      </c>
      <c r="AC19">
        <v>0.8</v>
      </c>
      <c r="AD19" s="14">
        <v>42.5625</v>
      </c>
      <c r="AE19" s="14">
        <v>34.050000000000004</v>
      </c>
      <c r="AF19">
        <v>1.6</v>
      </c>
      <c r="AG19" s="14">
        <v>1.1350000000000002</v>
      </c>
    </row>
    <row r="20" spans="1:34" x14ac:dyDescent="0.3">
      <c r="A20" s="17" t="s">
        <v>10</v>
      </c>
      <c r="B20" s="44">
        <v>0.1</v>
      </c>
      <c r="C20" s="44">
        <v>0.1</v>
      </c>
      <c r="D20" s="44">
        <f>(5)/60</f>
        <v>8.3333333333333329E-2</v>
      </c>
      <c r="E20" s="44">
        <f>1/60</f>
        <v>1.6666666666666666E-2</v>
      </c>
      <c r="F20" s="44">
        <f>B20*D20</f>
        <v>8.3333333333333332E-3</v>
      </c>
      <c r="G20" s="44">
        <f>C20*E20</f>
        <v>1.6666666666666668E-3</v>
      </c>
      <c r="H20" s="44"/>
      <c r="I20" s="44"/>
      <c r="J20" s="44"/>
      <c r="K20" s="44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AB20" t="s">
        <v>140</v>
      </c>
      <c r="AF20">
        <v>11.200000000000001</v>
      </c>
      <c r="AG20" s="14">
        <v>3.4041666666666668</v>
      </c>
    </row>
    <row r="21" spans="1:34" x14ac:dyDescent="0.3">
      <c r="A21" s="17" t="s">
        <v>14</v>
      </c>
      <c r="B21" s="44">
        <v>0.05</v>
      </c>
      <c r="C21" s="44">
        <v>0.05</v>
      </c>
      <c r="D21" s="44">
        <f>(240)/60</f>
        <v>4</v>
      </c>
      <c r="E21" s="44">
        <f t="shared" ref="E21:E23" si="3">1/60</f>
        <v>1.6666666666666666E-2</v>
      </c>
      <c r="F21" s="44">
        <f t="shared" ref="F21:F23" si="4">B21*D21</f>
        <v>0.2</v>
      </c>
      <c r="G21" s="44">
        <f t="shared" ref="G21:G23" si="5">C21*E21</f>
        <v>8.3333333333333339E-4</v>
      </c>
      <c r="H21" s="44"/>
      <c r="I21" s="44"/>
      <c r="J21" s="44"/>
      <c r="K21" s="44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spans="1:34" x14ac:dyDescent="0.3">
      <c r="A22" s="17" t="s">
        <v>16</v>
      </c>
      <c r="B22" s="44">
        <v>0.15000000000000002</v>
      </c>
      <c r="C22" s="44">
        <v>0.15000000000000002</v>
      </c>
      <c r="D22" s="44">
        <f>(5)/60</f>
        <v>8.3333333333333329E-2</v>
      </c>
      <c r="E22" s="44">
        <f t="shared" si="3"/>
        <v>1.6666666666666666E-2</v>
      </c>
      <c r="F22" s="44">
        <f t="shared" si="4"/>
        <v>1.2500000000000001E-2</v>
      </c>
      <c r="G22" s="44">
        <f t="shared" si="5"/>
        <v>2.5000000000000005E-3</v>
      </c>
      <c r="H22" s="44"/>
      <c r="I22" s="44"/>
      <c r="J22" s="44"/>
      <c r="K22" s="44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spans="1:34" x14ac:dyDescent="0.3">
      <c r="A23" s="17" t="s">
        <v>18</v>
      </c>
      <c r="B23" s="44">
        <v>0.1</v>
      </c>
      <c r="C23" s="44">
        <v>0.1</v>
      </c>
      <c r="D23" s="44">
        <f>(5)/60</f>
        <v>8.3333333333333329E-2</v>
      </c>
      <c r="E23" s="44">
        <f t="shared" si="3"/>
        <v>1.6666666666666666E-2</v>
      </c>
      <c r="F23" s="44">
        <f t="shared" si="4"/>
        <v>8.3333333333333332E-3</v>
      </c>
      <c r="G23" s="44">
        <f t="shared" si="5"/>
        <v>1.6666666666666668E-3</v>
      </c>
      <c r="H23" s="44"/>
      <c r="I23" s="44"/>
      <c r="J23" s="44"/>
      <c r="K23" s="44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spans="1:34" x14ac:dyDescent="0.3">
      <c r="A24" s="18"/>
      <c r="B24" s="45">
        <f>SUM(B20:B23)</f>
        <v>0.4</v>
      </c>
      <c r="C24" s="45">
        <f>SUM(C20:C23)</f>
        <v>0.4</v>
      </c>
      <c r="D24" s="45">
        <f>F24/B24</f>
        <v>0.57291666666666663</v>
      </c>
      <c r="E24" s="45">
        <f>G24/C24</f>
        <v>1.666666666666667E-2</v>
      </c>
      <c r="F24" s="45">
        <f>SUM(F20:F23)</f>
        <v>0.22916666666666669</v>
      </c>
      <c r="G24" s="45">
        <f>SUM(G20:G23)</f>
        <v>6.666666666666668E-3</v>
      </c>
      <c r="H24" s="45">
        <f>C18*B24</f>
        <v>1.6</v>
      </c>
      <c r="I24" s="45">
        <f>C18*C24</f>
        <v>1.6</v>
      </c>
      <c r="J24" s="45">
        <f>C18*F24</f>
        <v>0.91666666666666674</v>
      </c>
      <c r="K24" s="45">
        <f>C18*G24</f>
        <v>2.6666666666666672E-2</v>
      </c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AB24" t="s">
        <v>141</v>
      </c>
    </row>
    <row r="25" spans="1:34" x14ac:dyDescent="0.3">
      <c r="B25" s="49" t="s">
        <v>90</v>
      </c>
      <c r="C25" s="50" t="s">
        <v>91</v>
      </c>
      <c r="D25" s="50" t="s">
        <v>92</v>
      </c>
      <c r="E25" s="50" t="s">
        <v>93</v>
      </c>
      <c r="F25" s="50" t="s">
        <v>94</v>
      </c>
      <c r="G25" s="50" t="s">
        <v>95</v>
      </c>
      <c r="H25" s="50" t="s">
        <v>99</v>
      </c>
      <c r="I25" s="50" t="s">
        <v>100</v>
      </c>
      <c r="J25" s="50" t="s">
        <v>101</v>
      </c>
      <c r="K25" s="50" t="s">
        <v>102</v>
      </c>
      <c r="AB25" t="s">
        <v>89</v>
      </c>
      <c r="AC25" s="26">
        <f>AC16-AC4</f>
        <v>0</v>
      </c>
      <c r="AD25" s="26">
        <f>AD16-AD4</f>
        <v>7.75</v>
      </c>
      <c r="AE25" s="26">
        <f>AE16-AE4</f>
        <v>6.2</v>
      </c>
      <c r="AF25" s="26">
        <f t="shared" ref="AF25:AG25" si="6">AF16-AF4</f>
        <v>0</v>
      </c>
      <c r="AG25" s="26">
        <f t="shared" si="6"/>
        <v>0.51666666666666661</v>
      </c>
      <c r="AH25" s="26"/>
    </row>
    <row r="26" spans="1:34" x14ac:dyDescent="0.3">
      <c r="B26" s="50" t="s">
        <v>96</v>
      </c>
      <c r="C26" s="50" t="s">
        <v>96</v>
      </c>
      <c r="D26" s="50" t="s">
        <v>97</v>
      </c>
      <c r="E26" s="50" t="s">
        <v>97</v>
      </c>
      <c r="F26" s="50" t="s">
        <v>98</v>
      </c>
      <c r="G26" s="50" t="s">
        <v>98</v>
      </c>
      <c r="H26" s="50" t="s">
        <v>103</v>
      </c>
      <c r="I26" s="50" t="s">
        <v>103</v>
      </c>
      <c r="J26" s="50" t="s">
        <v>104</v>
      </c>
      <c r="K26" s="50" t="s">
        <v>104</v>
      </c>
      <c r="AB26" t="s">
        <v>116</v>
      </c>
      <c r="AC26" s="26">
        <f t="shared" ref="AC26:AG28" si="7">AC17-AC5</f>
        <v>0</v>
      </c>
      <c r="AD26" s="26">
        <f t="shared" si="7"/>
        <v>2.3125</v>
      </c>
      <c r="AE26" s="26">
        <f t="shared" si="7"/>
        <v>1.8499999999999996</v>
      </c>
      <c r="AF26" s="26">
        <f t="shared" si="7"/>
        <v>0</v>
      </c>
      <c r="AG26" s="26">
        <f t="shared" si="7"/>
        <v>0.12333333333333329</v>
      </c>
      <c r="AH26" s="26"/>
    </row>
    <row r="27" spans="1:34" x14ac:dyDescent="0.3">
      <c r="B27" s="50"/>
      <c r="C27" s="50"/>
      <c r="D27" s="50"/>
      <c r="E27" s="50"/>
      <c r="F27" s="50"/>
      <c r="G27" s="50"/>
      <c r="H27" s="50"/>
      <c r="I27" s="50"/>
      <c r="J27" s="50"/>
      <c r="K27" s="50"/>
      <c r="AB27" t="s">
        <v>117</v>
      </c>
      <c r="AC27" s="26">
        <f t="shared" si="7"/>
        <v>0</v>
      </c>
      <c r="AD27" s="26">
        <f t="shared" si="7"/>
        <v>9.8125</v>
      </c>
      <c r="AE27" s="26">
        <f t="shared" si="7"/>
        <v>7.8500000000000005</v>
      </c>
      <c r="AF27" s="26">
        <f t="shared" si="7"/>
        <v>0</v>
      </c>
      <c r="AG27" s="26">
        <f t="shared" si="7"/>
        <v>0.39250000000000007</v>
      </c>
      <c r="AH27" s="26"/>
    </row>
    <row r="28" spans="1:34" x14ac:dyDescent="0.3">
      <c r="B28" s="50"/>
      <c r="C28" s="50" t="s">
        <v>109</v>
      </c>
      <c r="D28" s="50"/>
      <c r="E28" s="50" t="s">
        <v>110</v>
      </c>
      <c r="F28" s="50"/>
      <c r="G28" s="50" t="s">
        <v>111</v>
      </c>
      <c r="H28" s="50"/>
      <c r="I28" s="50" t="s">
        <v>112</v>
      </c>
      <c r="J28" s="50" t="s">
        <v>113</v>
      </c>
      <c r="K28" s="50"/>
      <c r="AB28" t="s">
        <v>118</v>
      </c>
      <c r="AC28" s="26">
        <f t="shared" si="7"/>
        <v>0</v>
      </c>
      <c r="AD28" s="26">
        <f t="shared" si="7"/>
        <v>10.4375</v>
      </c>
      <c r="AE28" s="26">
        <f t="shared" si="7"/>
        <v>8.350000000000005</v>
      </c>
      <c r="AF28" s="26">
        <f t="shared" si="7"/>
        <v>0</v>
      </c>
      <c r="AG28" s="26">
        <f t="shared" si="7"/>
        <v>0.27833333333333354</v>
      </c>
      <c r="AH28" s="26"/>
    </row>
    <row r="29" spans="1:34" x14ac:dyDescent="0.3">
      <c r="A29" s="21"/>
      <c r="B29" s="51"/>
      <c r="C29" s="48">
        <f>B24+C24</f>
        <v>0.8</v>
      </c>
      <c r="D29" s="48" t="s">
        <v>108</v>
      </c>
      <c r="E29" s="48">
        <f>G29/C29</f>
        <v>0.29479166666666667</v>
      </c>
      <c r="F29" s="48" t="s">
        <v>107</v>
      </c>
      <c r="G29" s="48">
        <f>F24+G24</f>
        <v>0.23583333333333334</v>
      </c>
      <c r="H29" s="48" t="s">
        <v>106</v>
      </c>
      <c r="I29" s="48">
        <f>C18*C29</f>
        <v>3.2</v>
      </c>
      <c r="J29" s="48" t="s">
        <v>88</v>
      </c>
      <c r="K29" s="48">
        <f>C18*G29</f>
        <v>0.94333333333333336</v>
      </c>
      <c r="L29" s="23" t="s">
        <v>105</v>
      </c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  <row r="30" spans="1:34" x14ac:dyDescent="0.3">
      <c r="E30">
        <f>E29*60</f>
        <v>17.6875</v>
      </c>
      <c r="F30" t="s">
        <v>114</v>
      </c>
      <c r="G30">
        <f>G29*60</f>
        <v>14.15</v>
      </c>
      <c r="H30" t="s">
        <v>115</v>
      </c>
    </row>
    <row r="32" spans="1:34" x14ac:dyDescent="0.3">
      <c r="AC32" s="14"/>
      <c r="AD32" s="14"/>
      <c r="AE32" s="14"/>
      <c r="AF32" s="14"/>
    </row>
    <row r="33" spans="1:33" x14ac:dyDescent="0.3">
      <c r="AC33" s="14"/>
      <c r="AD33" s="14"/>
      <c r="AE33" s="14"/>
      <c r="AF33" s="14"/>
    </row>
    <row r="34" spans="1:33" x14ac:dyDescent="0.3">
      <c r="B34" t="s">
        <v>117</v>
      </c>
      <c r="C34">
        <v>3</v>
      </c>
      <c r="D34" t="s">
        <v>88</v>
      </c>
    </row>
    <row r="35" spans="1:33" x14ac:dyDescent="0.3">
      <c r="B35" s="16" t="s">
        <v>90</v>
      </c>
      <c r="C35" t="s">
        <v>91</v>
      </c>
      <c r="D35" t="s">
        <v>92</v>
      </c>
      <c r="E35" t="s">
        <v>93</v>
      </c>
      <c r="F35" t="s">
        <v>94</v>
      </c>
      <c r="G35" t="s">
        <v>95</v>
      </c>
      <c r="H35" t="s">
        <v>99</v>
      </c>
      <c r="I35" t="s">
        <v>100</v>
      </c>
      <c r="J35" t="s">
        <v>101</v>
      </c>
      <c r="K35" t="s">
        <v>102</v>
      </c>
      <c r="AC35" s="14"/>
      <c r="AD35" s="14"/>
      <c r="AE35" s="14"/>
      <c r="AF35" s="14"/>
      <c r="AG35" s="14"/>
    </row>
    <row r="36" spans="1:33" x14ac:dyDescent="0.3">
      <c r="A36" s="17" t="s">
        <v>10</v>
      </c>
      <c r="B36" s="19">
        <v>0.1</v>
      </c>
      <c r="C36" s="19">
        <v>0.1</v>
      </c>
      <c r="D36" s="19">
        <f>(5)/60</f>
        <v>8.3333333333333329E-2</v>
      </c>
      <c r="E36" s="19">
        <f>1/60</f>
        <v>1.6666666666666666E-2</v>
      </c>
      <c r="F36" s="19">
        <f>B36*D36</f>
        <v>8.3333333333333332E-3</v>
      </c>
      <c r="G36" s="19">
        <f>C36*E36</f>
        <v>1.6666666666666668E-3</v>
      </c>
      <c r="H36" s="19"/>
      <c r="I36" s="19"/>
      <c r="J36" s="19"/>
      <c r="K36" s="19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spans="1:33" x14ac:dyDescent="0.3">
      <c r="A37" s="17" t="s">
        <v>14</v>
      </c>
      <c r="B37" s="19">
        <v>0.05</v>
      </c>
      <c r="C37" s="19">
        <v>0.05</v>
      </c>
      <c r="D37" s="19">
        <f>(1)/60</f>
        <v>1.6666666666666666E-2</v>
      </c>
      <c r="E37" s="19">
        <f t="shared" ref="E37:E39" si="8">1/60</f>
        <v>1.6666666666666666E-2</v>
      </c>
      <c r="F37" s="19">
        <f t="shared" ref="F37:F39" si="9">B37*D37</f>
        <v>8.3333333333333339E-4</v>
      </c>
      <c r="G37" s="19">
        <f t="shared" ref="G37:G39" si="10">C37*E37</f>
        <v>8.3333333333333339E-4</v>
      </c>
      <c r="H37" s="19"/>
      <c r="I37" s="19"/>
      <c r="J37" s="19"/>
      <c r="K37" s="19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spans="1:33" x14ac:dyDescent="0.3">
      <c r="A38" s="17" t="s">
        <v>16</v>
      </c>
      <c r="B38" s="19">
        <v>0.15000000000000002</v>
      </c>
      <c r="C38" s="19">
        <v>0.15000000000000002</v>
      </c>
      <c r="D38" s="19">
        <f>(5)/60</f>
        <v>8.3333333333333329E-2</v>
      </c>
      <c r="E38" s="19">
        <f t="shared" si="8"/>
        <v>1.6666666666666666E-2</v>
      </c>
      <c r="F38" s="19">
        <f t="shared" si="9"/>
        <v>1.2500000000000001E-2</v>
      </c>
      <c r="G38" s="19">
        <f t="shared" si="10"/>
        <v>2.5000000000000005E-3</v>
      </c>
      <c r="H38" s="19"/>
      <c r="I38" s="19"/>
      <c r="J38" s="19"/>
      <c r="K38" s="19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AF38" t="s">
        <v>199</v>
      </c>
    </row>
    <row r="39" spans="1:33" x14ac:dyDescent="0.3">
      <c r="A39" s="17" t="s">
        <v>18</v>
      </c>
      <c r="B39" s="19">
        <v>0.1</v>
      </c>
      <c r="C39" s="19">
        <v>0.1</v>
      </c>
      <c r="D39" s="19">
        <f>(5)/60</f>
        <v>8.3333333333333329E-2</v>
      </c>
      <c r="E39" s="19">
        <f t="shared" si="8"/>
        <v>1.6666666666666666E-2</v>
      </c>
      <c r="F39" s="19">
        <f t="shared" si="9"/>
        <v>8.3333333333333332E-3</v>
      </c>
      <c r="G39" s="19">
        <f t="shared" si="10"/>
        <v>1.6666666666666668E-3</v>
      </c>
      <c r="H39" s="19"/>
      <c r="I39" s="19"/>
      <c r="J39" s="19"/>
      <c r="K39" s="19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AB39" s="40">
        <f>F4*$C$2</f>
        <v>4.1666666666666664E-2</v>
      </c>
      <c r="AC39" s="40">
        <f t="shared" ref="AC39:AC42" si="11">$C$18*F20</f>
        <v>3.3333333333333333E-2</v>
      </c>
      <c r="AD39" s="40">
        <f t="shared" ref="AD39:AD42" si="12">$C$34*F36</f>
        <v>2.5000000000000001E-2</v>
      </c>
      <c r="AE39" s="40">
        <f t="shared" ref="AE39:AE42" si="13">$C$51*F53</f>
        <v>1.6666666666666666E-2</v>
      </c>
      <c r="AF39" s="40">
        <f>SUM(AB39:AE39)</f>
        <v>0.11666666666666667</v>
      </c>
    </row>
    <row r="40" spans="1:33" x14ac:dyDescent="0.3">
      <c r="A40" s="18"/>
      <c r="B40" s="20">
        <f>SUM(B36:B39)</f>
        <v>0.4</v>
      </c>
      <c r="C40" s="20">
        <f>SUM(C36:C39)</f>
        <v>0.4</v>
      </c>
      <c r="D40" s="20">
        <f>F40/B40</f>
        <v>7.4999999999999997E-2</v>
      </c>
      <c r="E40" s="20">
        <f>G40/C40</f>
        <v>1.666666666666667E-2</v>
      </c>
      <c r="F40" s="20">
        <f>SUM(F36:F39)</f>
        <v>0.03</v>
      </c>
      <c r="G40" s="20">
        <f>SUM(G36:G39)</f>
        <v>6.666666666666668E-3</v>
      </c>
      <c r="H40" s="20">
        <f>C34*B40</f>
        <v>1.2000000000000002</v>
      </c>
      <c r="I40" s="20">
        <f>C34*C40</f>
        <v>1.2000000000000002</v>
      </c>
      <c r="J40" s="20">
        <f>C34*F40</f>
        <v>0.09</v>
      </c>
      <c r="K40" s="20">
        <f>C34*G40</f>
        <v>2.0000000000000004E-2</v>
      </c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AB40" s="40">
        <f t="shared" ref="AB40:AB42" si="14">F5*$C$2</f>
        <v>4.1666666666666666E-3</v>
      </c>
      <c r="AC40" s="40">
        <f t="shared" si="11"/>
        <v>0.8</v>
      </c>
      <c r="AD40" s="40">
        <f t="shared" si="12"/>
        <v>2.5000000000000001E-3</v>
      </c>
      <c r="AE40" s="40">
        <f t="shared" si="13"/>
        <v>1.6666666666666668E-3</v>
      </c>
      <c r="AF40" s="40">
        <f t="shared" ref="AF40:AF42" si="15">SUM(AB40:AE40)</f>
        <v>0.80833333333333335</v>
      </c>
    </row>
    <row r="41" spans="1:33" x14ac:dyDescent="0.3">
      <c r="B41" s="16" t="s">
        <v>90</v>
      </c>
      <c r="C41" t="s">
        <v>91</v>
      </c>
      <c r="D41" t="s">
        <v>92</v>
      </c>
      <c r="E41" t="s">
        <v>93</v>
      </c>
      <c r="F41" t="s">
        <v>94</v>
      </c>
      <c r="G41" t="s">
        <v>95</v>
      </c>
      <c r="H41" t="s">
        <v>99</v>
      </c>
      <c r="I41" t="s">
        <v>100</v>
      </c>
      <c r="J41" t="s">
        <v>101</v>
      </c>
      <c r="K41" t="s">
        <v>102</v>
      </c>
      <c r="AB41" s="40">
        <f t="shared" si="14"/>
        <v>6.25E-2</v>
      </c>
      <c r="AC41" s="40">
        <f t="shared" si="11"/>
        <v>0.05</v>
      </c>
      <c r="AD41" s="40">
        <f t="shared" si="12"/>
        <v>3.7500000000000006E-2</v>
      </c>
      <c r="AE41" s="40">
        <f t="shared" si="13"/>
        <v>2.5000000000000001E-2</v>
      </c>
      <c r="AF41" s="40">
        <f t="shared" si="15"/>
        <v>0.17500000000000002</v>
      </c>
    </row>
    <row r="42" spans="1:33" x14ac:dyDescent="0.3">
      <c r="B42" t="s">
        <v>96</v>
      </c>
      <c r="C42" t="s">
        <v>96</v>
      </c>
      <c r="D42" t="s">
        <v>97</v>
      </c>
      <c r="E42" t="s">
        <v>97</v>
      </c>
      <c r="F42" t="s">
        <v>98</v>
      </c>
      <c r="G42" t="s">
        <v>98</v>
      </c>
      <c r="H42" t="s">
        <v>103</v>
      </c>
      <c r="I42" t="s">
        <v>103</v>
      </c>
      <c r="J42" t="s">
        <v>104</v>
      </c>
      <c r="K42" t="s">
        <v>104</v>
      </c>
      <c r="AB42" s="40">
        <f t="shared" si="14"/>
        <v>4.1666666666666664E-2</v>
      </c>
      <c r="AC42" s="40">
        <f t="shared" si="11"/>
        <v>3.3333333333333333E-2</v>
      </c>
      <c r="AD42" s="40">
        <f t="shared" si="12"/>
        <v>2.5000000000000001E-2</v>
      </c>
      <c r="AE42" s="40">
        <f t="shared" si="13"/>
        <v>0.8</v>
      </c>
      <c r="AF42" s="40">
        <f t="shared" si="15"/>
        <v>0.9</v>
      </c>
    </row>
    <row r="43" spans="1:33" x14ac:dyDescent="0.3">
      <c r="AB43" s="41">
        <f>F8*$C$2</f>
        <v>0.15</v>
      </c>
      <c r="AC43" s="41">
        <f>$C$18*F24</f>
        <v>0.91666666666666674</v>
      </c>
      <c r="AD43" s="41">
        <f>$C$34*F40</f>
        <v>0.09</v>
      </c>
      <c r="AE43" s="41">
        <f>$C$51*F57</f>
        <v>0.84333333333333338</v>
      </c>
    </row>
    <row r="44" spans="1:33" x14ac:dyDescent="0.3">
      <c r="C44" t="s">
        <v>109</v>
      </c>
      <c r="E44" t="s">
        <v>110</v>
      </c>
      <c r="G44" t="s">
        <v>111</v>
      </c>
      <c r="I44" t="s">
        <v>112</v>
      </c>
      <c r="J44" t="s">
        <v>113</v>
      </c>
    </row>
    <row r="45" spans="1:33" x14ac:dyDescent="0.3">
      <c r="A45" s="21"/>
      <c r="B45" s="21"/>
      <c r="C45" s="22">
        <f>B40+C40</f>
        <v>0.8</v>
      </c>
      <c r="D45" s="23" t="s">
        <v>108</v>
      </c>
      <c r="E45" s="22">
        <f>G45/C45</f>
        <v>4.583333333333333E-2</v>
      </c>
      <c r="F45" s="23" t="s">
        <v>107</v>
      </c>
      <c r="G45" s="22">
        <f>F40+G40</f>
        <v>3.6666666666666667E-2</v>
      </c>
      <c r="H45" s="23" t="s">
        <v>106</v>
      </c>
      <c r="I45" s="23">
        <f>C34*C45</f>
        <v>2.4000000000000004</v>
      </c>
      <c r="J45" s="23" t="s">
        <v>88</v>
      </c>
      <c r="K45" s="22">
        <f>C34*G45</f>
        <v>0.11</v>
      </c>
      <c r="L45" s="23" t="s">
        <v>105</v>
      </c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 spans="1:33" x14ac:dyDescent="0.3">
      <c r="E46">
        <f>E45*60</f>
        <v>2.75</v>
      </c>
      <c r="F46" t="s">
        <v>114</v>
      </c>
      <c r="G46">
        <f>G45*60</f>
        <v>2.2000000000000002</v>
      </c>
      <c r="H46" t="s">
        <v>115</v>
      </c>
    </row>
    <row r="51" spans="1:25" x14ac:dyDescent="0.3">
      <c r="B51" t="s">
        <v>118</v>
      </c>
      <c r="C51">
        <v>2</v>
      </c>
      <c r="D51" t="s">
        <v>88</v>
      </c>
    </row>
    <row r="52" spans="1:25" x14ac:dyDescent="0.3">
      <c r="B52" s="16" t="s">
        <v>90</v>
      </c>
      <c r="C52" t="s">
        <v>91</v>
      </c>
      <c r="D52" t="s">
        <v>92</v>
      </c>
      <c r="E52" t="s">
        <v>93</v>
      </c>
      <c r="F52" t="s">
        <v>94</v>
      </c>
      <c r="G52" t="s">
        <v>95</v>
      </c>
      <c r="H52" t="s">
        <v>99</v>
      </c>
      <c r="I52" t="s">
        <v>100</v>
      </c>
      <c r="J52" t="s">
        <v>101</v>
      </c>
      <c r="K52" t="s">
        <v>102</v>
      </c>
    </row>
    <row r="53" spans="1:25" x14ac:dyDescent="0.3">
      <c r="A53" s="17" t="s">
        <v>10</v>
      </c>
      <c r="B53" s="19">
        <v>0.1</v>
      </c>
      <c r="C53" s="19">
        <v>0.1</v>
      </c>
      <c r="D53" s="19">
        <f>(5)/60</f>
        <v>8.3333333333333329E-2</v>
      </c>
      <c r="E53" s="19">
        <f>1/60</f>
        <v>1.6666666666666666E-2</v>
      </c>
      <c r="F53" s="19">
        <f>B53*D53</f>
        <v>8.3333333333333332E-3</v>
      </c>
      <c r="G53" s="19">
        <f>C53*E53</f>
        <v>1.6666666666666668E-3</v>
      </c>
      <c r="H53" s="19"/>
      <c r="I53" s="19"/>
      <c r="J53" s="19"/>
      <c r="K53" s="19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spans="1:25" x14ac:dyDescent="0.3">
      <c r="A54" s="17" t="s">
        <v>14</v>
      </c>
      <c r="B54" s="19">
        <v>0.05</v>
      </c>
      <c r="C54" s="19">
        <v>0.05</v>
      </c>
      <c r="D54" s="19">
        <f>(1)/60</f>
        <v>1.6666666666666666E-2</v>
      </c>
      <c r="E54" s="19">
        <f t="shared" ref="E54:E56" si="16">1/60</f>
        <v>1.6666666666666666E-2</v>
      </c>
      <c r="F54" s="19">
        <f t="shared" ref="F54:F56" si="17">B54*D54</f>
        <v>8.3333333333333339E-4</v>
      </c>
      <c r="G54" s="19">
        <f t="shared" ref="G54:G56" si="18">C54*E54</f>
        <v>8.3333333333333339E-4</v>
      </c>
      <c r="H54" s="19"/>
      <c r="I54" s="19"/>
      <c r="J54" s="19"/>
      <c r="K54" s="19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spans="1:25" x14ac:dyDescent="0.3">
      <c r="A55" s="17" t="s">
        <v>16</v>
      </c>
      <c r="B55" s="19">
        <v>0.15000000000000002</v>
      </c>
      <c r="C55" s="19">
        <v>0.15000000000000002</v>
      </c>
      <c r="D55" s="19">
        <f>(5)/60</f>
        <v>8.3333333333333329E-2</v>
      </c>
      <c r="E55" s="19">
        <f t="shared" si="16"/>
        <v>1.6666666666666666E-2</v>
      </c>
      <c r="F55" s="19">
        <f t="shared" si="17"/>
        <v>1.2500000000000001E-2</v>
      </c>
      <c r="G55" s="19">
        <f t="shared" si="18"/>
        <v>2.5000000000000005E-3</v>
      </c>
      <c r="H55" s="19"/>
      <c r="I55" s="19"/>
      <c r="J55" s="19"/>
      <c r="K55" s="19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spans="1:25" x14ac:dyDescent="0.3">
      <c r="A56" s="17" t="s">
        <v>18</v>
      </c>
      <c r="B56" s="19">
        <v>0.1</v>
      </c>
      <c r="C56" s="19">
        <v>0.1</v>
      </c>
      <c r="D56" s="19">
        <f>(240)/60</f>
        <v>4</v>
      </c>
      <c r="E56" s="19">
        <f t="shared" si="16"/>
        <v>1.6666666666666666E-2</v>
      </c>
      <c r="F56" s="19">
        <f t="shared" si="17"/>
        <v>0.4</v>
      </c>
      <c r="G56" s="19">
        <f t="shared" si="18"/>
        <v>1.6666666666666668E-3</v>
      </c>
      <c r="H56" s="19"/>
      <c r="I56" s="19"/>
      <c r="J56" s="19"/>
      <c r="K56" s="19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spans="1:25" x14ac:dyDescent="0.3">
      <c r="A57" s="18"/>
      <c r="B57" s="20">
        <f>SUM(B53:B56)</f>
        <v>0.4</v>
      </c>
      <c r="C57" s="20">
        <f>SUM(C53:C56)</f>
        <v>0.4</v>
      </c>
      <c r="D57" s="20">
        <f>F57/B57</f>
        <v>1.0541666666666667</v>
      </c>
      <c r="E57" s="20">
        <f>G57/C57</f>
        <v>1.666666666666667E-2</v>
      </c>
      <c r="F57" s="20">
        <f>SUM(F53:F56)</f>
        <v>0.42166666666666669</v>
      </c>
      <c r="G57" s="20">
        <f>SUM(G53:G56)</f>
        <v>6.666666666666668E-3</v>
      </c>
      <c r="H57" s="20">
        <f>C51*B57</f>
        <v>0.8</v>
      </c>
      <c r="I57" s="20">
        <f>C51*C57</f>
        <v>0.8</v>
      </c>
      <c r="J57" s="20">
        <f>C51*F57</f>
        <v>0.84333333333333338</v>
      </c>
      <c r="K57" s="20">
        <f>C51*G57</f>
        <v>1.3333333333333336E-2</v>
      </c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</row>
    <row r="58" spans="1:25" x14ac:dyDescent="0.3">
      <c r="B58" s="16" t="s">
        <v>90</v>
      </c>
      <c r="C58" t="s">
        <v>91</v>
      </c>
      <c r="D58" t="s">
        <v>92</v>
      </c>
      <c r="E58" t="s">
        <v>93</v>
      </c>
      <c r="F58" t="s">
        <v>94</v>
      </c>
      <c r="G58" t="s">
        <v>95</v>
      </c>
      <c r="H58" t="s">
        <v>99</v>
      </c>
      <c r="I58" t="s">
        <v>100</v>
      </c>
      <c r="J58" t="s">
        <v>101</v>
      </c>
      <c r="K58" t="s">
        <v>102</v>
      </c>
    </row>
    <row r="59" spans="1:25" x14ac:dyDescent="0.3">
      <c r="B59" t="s">
        <v>96</v>
      </c>
      <c r="C59" t="s">
        <v>96</v>
      </c>
      <c r="D59" t="s">
        <v>97</v>
      </c>
      <c r="E59" t="s">
        <v>97</v>
      </c>
      <c r="F59" t="s">
        <v>98</v>
      </c>
      <c r="G59" t="s">
        <v>98</v>
      </c>
      <c r="H59" t="s">
        <v>103</v>
      </c>
      <c r="I59" t="s">
        <v>103</v>
      </c>
      <c r="J59" t="s">
        <v>104</v>
      </c>
      <c r="K59" t="s">
        <v>104</v>
      </c>
    </row>
    <row r="61" spans="1:25" x14ac:dyDescent="0.3">
      <c r="C61" t="s">
        <v>109</v>
      </c>
      <c r="E61" t="s">
        <v>110</v>
      </c>
      <c r="G61" t="s">
        <v>111</v>
      </c>
      <c r="I61" t="s">
        <v>112</v>
      </c>
      <c r="J61" t="s">
        <v>113</v>
      </c>
    </row>
    <row r="62" spans="1:25" x14ac:dyDescent="0.3">
      <c r="A62" s="21"/>
      <c r="B62" s="21"/>
      <c r="C62" s="22">
        <f>B57+C57</f>
        <v>0.8</v>
      </c>
      <c r="D62" s="23" t="s">
        <v>108</v>
      </c>
      <c r="E62" s="22">
        <f>G62/C62</f>
        <v>0.53541666666666665</v>
      </c>
      <c r="F62" s="23" t="s">
        <v>107</v>
      </c>
      <c r="G62" s="22">
        <f>F57+G57</f>
        <v>0.42833333333333334</v>
      </c>
      <c r="H62" s="23" t="s">
        <v>106</v>
      </c>
      <c r="I62" s="23">
        <f>C51*C62</f>
        <v>1.6</v>
      </c>
      <c r="J62" s="23" t="s">
        <v>88</v>
      </c>
      <c r="K62" s="22">
        <f>C51*G62</f>
        <v>0.85666666666666669</v>
      </c>
      <c r="L62" s="23" t="s">
        <v>105</v>
      </c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</row>
    <row r="63" spans="1:25" x14ac:dyDescent="0.3">
      <c r="E63">
        <f>E62*60</f>
        <v>32.125</v>
      </c>
      <c r="F63" t="s">
        <v>114</v>
      </c>
      <c r="G63">
        <f>G62*60</f>
        <v>25.7</v>
      </c>
      <c r="H63" t="s">
        <v>115</v>
      </c>
    </row>
  </sheetData>
  <phoneticPr fontId="13" type="noConversion"/>
  <conditionalFormatting sqref="AB15:AG20">
    <cfRule type="containsBlanks" dxfId="17" priority="3">
      <formula>LEN(TRIM(AB15))=0</formula>
    </cfRule>
  </conditionalFormatting>
  <conditionalFormatting sqref="AB31:AG35">
    <cfRule type="containsBlanks" dxfId="16" priority="2">
      <formula>LEN(TRIM(AB31))=0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7E645-1666-420B-BD83-A0592FC5A7DC}">
  <dimension ref="A2:AV63"/>
  <sheetViews>
    <sheetView tabSelected="1" topLeftCell="X1" workbookViewId="0">
      <selection activeCell="E37" sqref="E37"/>
    </sheetView>
  </sheetViews>
  <sheetFormatPr defaultRowHeight="14.4" x14ac:dyDescent="0.3"/>
  <cols>
    <col min="2" max="2" width="16.77734375" bestFit="1" customWidth="1"/>
    <col min="3" max="3" width="18.6640625" bestFit="1" customWidth="1"/>
    <col min="4" max="4" width="14.44140625" bestFit="1" customWidth="1"/>
    <col min="5" max="5" width="18.44140625" bestFit="1" customWidth="1"/>
    <col min="6" max="6" width="13.44140625" bestFit="1" customWidth="1"/>
    <col min="7" max="7" width="19" bestFit="1" customWidth="1"/>
    <col min="8" max="8" width="18.44140625" bestFit="1" customWidth="1"/>
    <col min="9" max="9" width="10.77734375" customWidth="1"/>
    <col min="10" max="11" width="9.33203125" bestFit="1" customWidth="1"/>
    <col min="28" max="28" width="14.21875" customWidth="1"/>
    <col min="29" max="29" width="15.77734375" customWidth="1"/>
    <col min="30" max="30" width="19.44140625" customWidth="1"/>
    <col min="31" max="31" width="15.21875" customWidth="1"/>
    <col min="32" max="32" width="15.44140625" customWidth="1"/>
    <col min="33" max="33" width="13.77734375" customWidth="1"/>
    <col min="34" max="34" width="14.5546875" bestFit="1" customWidth="1"/>
  </cols>
  <sheetData>
    <row r="2" spans="1:48" x14ac:dyDescent="0.3">
      <c r="B2" t="s">
        <v>89</v>
      </c>
      <c r="C2">
        <v>5</v>
      </c>
      <c r="D2" t="s">
        <v>88</v>
      </c>
      <c r="AB2" t="s">
        <v>143</v>
      </c>
    </row>
    <row r="3" spans="1:48" ht="43.2" x14ac:dyDescent="0.3">
      <c r="B3" s="16" t="s">
        <v>90</v>
      </c>
      <c r="C3" t="s">
        <v>91</v>
      </c>
      <c r="D3" t="s">
        <v>92</v>
      </c>
      <c r="E3" t="s">
        <v>93</v>
      </c>
      <c r="F3" t="s">
        <v>94</v>
      </c>
      <c r="G3" t="s">
        <v>95</v>
      </c>
      <c r="H3" t="s">
        <v>99</v>
      </c>
      <c r="I3" t="s">
        <v>100</v>
      </c>
      <c r="J3" t="s">
        <v>101</v>
      </c>
      <c r="K3" t="s">
        <v>102</v>
      </c>
      <c r="M3" t="s">
        <v>169</v>
      </c>
      <c r="N3" t="s">
        <v>170</v>
      </c>
      <c r="AB3" s="24" t="s">
        <v>119</v>
      </c>
      <c r="AC3" s="24" t="s">
        <v>120</v>
      </c>
      <c r="AD3" s="24" t="s">
        <v>121</v>
      </c>
      <c r="AE3" s="24" t="s">
        <v>122</v>
      </c>
      <c r="AF3" s="24" t="s">
        <v>128</v>
      </c>
      <c r="AG3" s="24" t="s">
        <v>123</v>
      </c>
      <c r="AH3" s="24" t="s">
        <v>193</v>
      </c>
    </row>
    <row r="4" spans="1:48" s="17" customFormat="1" x14ac:dyDescent="0.3">
      <c r="A4" s="17" t="s">
        <v>10</v>
      </c>
      <c r="B4" s="46">
        <v>0.1</v>
      </c>
      <c r="C4" s="46">
        <v>0.1</v>
      </c>
      <c r="D4" s="46">
        <f>(5)/60</f>
        <v>8.3333333333333329E-2</v>
      </c>
      <c r="E4" s="46">
        <f>1/60</f>
        <v>1.6666666666666666E-2</v>
      </c>
      <c r="F4" s="46">
        <f>B4*D4</f>
        <v>8.3333333333333332E-3</v>
      </c>
      <c r="G4" s="46">
        <f>C4*E4</f>
        <v>1.6666666666666668E-3</v>
      </c>
      <c r="H4" s="46"/>
      <c r="I4" s="46"/>
      <c r="J4" s="46"/>
      <c r="K4" s="46"/>
      <c r="M4" s="17">
        <f>B4*C2*((34+84.7*F4)*0.8+(28+168.3*F4)*0.2)</f>
        <v>16.822583333333334</v>
      </c>
      <c r="Z4"/>
      <c r="AA4"/>
      <c r="AB4" s="25" t="s">
        <v>89</v>
      </c>
      <c r="AC4" s="36">
        <f>C13</f>
        <v>0.8</v>
      </c>
      <c r="AD4" s="37">
        <f>E14</f>
        <v>2.75</v>
      </c>
      <c r="AE4" s="37">
        <f>G14</f>
        <v>2.2000000000000002</v>
      </c>
      <c r="AF4" s="36">
        <f>I13</f>
        <v>4</v>
      </c>
      <c r="AG4" s="36">
        <f>K13</f>
        <v>0.18333333333333335</v>
      </c>
      <c r="AH4" s="38">
        <f>KILE!AB16</f>
        <v>128891.65291015837</v>
      </c>
      <c r="AI4"/>
      <c r="AJ4"/>
      <c r="AK4"/>
      <c r="AL4"/>
      <c r="AM4"/>
      <c r="AN4"/>
      <c r="AO4"/>
      <c r="AP4"/>
      <c r="AQ4"/>
      <c r="AR4"/>
      <c r="AS4"/>
      <c r="AT4"/>
      <c r="AU4"/>
      <c r="AV4"/>
    </row>
    <row r="5" spans="1:48" s="17" customFormat="1" x14ac:dyDescent="0.3">
      <c r="A5" s="17" t="s">
        <v>14</v>
      </c>
      <c r="B5" s="46">
        <v>0.05</v>
      </c>
      <c r="C5" s="46">
        <v>0.05</v>
      </c>
      <c r="D5" s="46">
        <f>(1)/60</f>
        <v>1.6666666666666666E-2</v>
      </c>
      <c r="E5" s="46">
        <f t="shared" ref="E5:E7" si="0">1/60</f>
        <v>1.6666666666666666E-2</v>
      </c>
      <c r="F5" s="46">
        <f t="shared" ref="F5:G7" si="1">B5*D5</f>
        <v>8.3333333333333339E-4</v>
      </c>
      <c r="G5" s="46">
        <f t="shared" si="1"/>
        <v>8.3333333333333339E-4</v>
      </c>
      <c r="H5" s="46"/>
      <c r="I5" s="46"/>
      <c r="J5" s="46"/>
      <c r="K5" s="46"/>
      <c r="Z5"/>
      <c r="AA5"/>
      <c r="AB5" s="25" t="s">
        <v>116</v>
      </c>
      <c r="AC5" s="36">
        <f>C29</f>
        <v>0.8</v>
      </c>
      <c r="AD5" s="37">
        <f>E30</f>
        <v>47.562499999999993</v>
      </c>
      <c r="AE5" s="37">
        <f>G30</f>
        <v>38.049999999999997</v>
      </c>
      <c r="AF5" s="36">
        <f>I29</f>
        <v>3.2</v>
      </c>
      <c r="AG5" s="36">
        <f>K29</f>
        <v>2.5366666666666666</v>
      </c>
      <c r="AH5" s="38">
        <f>KILE!AB26</f>
        <v>99328.702310075052</v>
      </c>
      <c r="AI5"/>
      <c r="AJ5"/>
      <c r="AK5"/>
      <c r="AL5"/>
      <c r="AM5"/>
      <c r="AN5"/>
      <c r="AO5"/>
      <c r="AP5"/>
      <c r="AQ5"/>
      <c r="AR5"/>
      <c r="AS5"/>
      <c r="AT5"/>
      <c r="AU5"/>
      <c r="AV5"/>
    </row>
    <row r="6" spans="1:48" s="17" customFormat="1" x14ac:dyDescent="0.3">
      <c r="A6" s="17" t="s">
        <v>16</v>
      </c>
      <c r="B6" s="46">
        <v>0.15000000000000002</v>
      </c>
      <c r="C6" s="46">
        <v>0.15000000000000002</v>
      </c>
      <c r="D6" s="46">
        <f>(5)/60</f>
        <v>8.3333333333333329E-2</v>
      </c>
      <c r="E6" s="46">
        <f t="shared" si="0"/>
        <v>1.6666666666666666E-2</v>
      </c>
      <c r="F6" s="46">
        <f t="shared" si="1"/>
        <v>1.2500000000000001E-2</v>
      </c>
      <c r="G6" s="46">
        <f t="shared" si="1"/>
        <v>2.5000000000000005E-3</v>
      </c>
      <c r="H6" s="46"/>
      <c r="I6" s="46"/>
      <c r="J6" s="46"/>
      <c r="K6" s="46"/>
      <c r="Z6"/>
      <c r="AA6"/>
      <c r="AB6" s="25" t="s">
        <v>117</v>
      </c>
      <c r="AC6" s="36">
        <f>C45</f>
        <v>0.8</v>
      </c>
      <c r="AD6" s="37">
        <f>E46</f>
        <v>2.75</v>
      </c>
      <c r="AE6" s="37">
        <f>G46</f>
        <v>2.2000000000000002</v>
      </c>
      <c r="AF6" s="36">
        <f>I45</f>
        <v>2.4000000000000004</v>
      </c>
      <c r="AG6" s="36">
        <f>K45</f>
        <v>0.11</v>
      </c>
      <c r="AH6" s="38">
        <f>KILE!AB35</f>
        <v>27098.527034171435</v>
      </c>
      <c r="AI6"/>
      <c r="AJ6"/>
      <c r="AK6"/>
      <c r="AL6"/>
      <c r="AM6"/>
      <c r="AN6"/>
      <c r="AO6"/>
      <c r="AP6"/>
      <c r="AQ6"/>
      <c r="AR6"/>
      <c r="AS6"/>
      <c r="AT6"/>
      <c r="AU6"/>
      <c r="AV6"/>
    </row>
    <row r="7" spans="1:48" s="17" customFormat="1" x14ac:dyDescent="0.3">
      <c r="A7" s="17" t="s">
        <v>18</v>
      </c>
      <c r="B7" s="46">
        <v>0.1</v>
      </c>
      <c r="C7" s="46">
        <v>0.1</v>
      </c>
      <c r="D7" s="46">
        <f>(5)/60</f>
        <v>8.3333333333333329E-2</v>
      </c>
      <c r="E7" s="46">
        <f t="shared" si="0"/>
        <v>1.6666666666666666E-2</v>
      </c>
      <c r="F7" s="46">
        <f t="shared" si="1"/>
        <v>8.3333333333333332E-3</v>
      </c>
      <c r="G7" s="46">
        <f t="shared" si="1"/>
        <v>1.6666666666666668E-3</v>
      </c>
      <c r="H7" s="46"/>
      <c r="I7" s="46"/>
      <c r="J7" s="46"/>
      <c r="K7" s="46"/>
      <c r="Z7"/>
      <c r="AA7"/>
      <c r="AB7" s="25" t="s">
        <v>118</v>
      </c>
      <c r="AC7" s="36">
        <f>C62</f>
        <v>0.8</v>
      </c>
      <c r="AD7" s="37">
        <f>E63</f>
        <v>31.625</v>
      </c>
      <c r="AE7" s="37">
        <f>G63</f>
        <v>25.3</v>
      </c>
      <c r="AF7" s="36">
        <f>I62</f>
        <v>1.6</v>
      </c>
      <c r="AG7" s="36">
        <f>K62</f>
        <v>0.84333333333333338</v>
      </c>
      <c r="AH7" s="38">
        <f>KILE!AB44</f>
        <v>90311.028090637148</v>
      </c>
      <c r="AI7"/>
      <c r="AJ7"/>
      <c r="AK7"/>
      <c r="AL7"/>
      <c r="AM7"/>
      <c r="AN7"/>
      <c r="AO7"/>
      <c r="AP7"/>
      <c r="AQ7"/>
      <c r="AR7"/>
      <c r="AS7"/>
      <c r="AT7"/>
      <c r="AU7"/>
      <c r="AV7"/>
    </row>
    <row r="8" spans="1:48" s="18" customFormat="1" x14ac:dyDescent="0.3">
      <c r="B8" s="47">
        <f>SUM(B4:B7)</f>
        <v>0.4</v>
      </c>
      <c r="C8" s="47">
        <f>SUM(C4:C7)</f>
        <v>0.4</v>
      </c>
      <c r="D8" s="47">
        <f>F8/B8</f>
        <v>7.4999999999999997E-2</v>
      </c>
      <c r="E8" s="47">
        <f>G8/C8</f>
        <v>1.666666666666667E-2</v>
      </c>
      <c r="F8" s="47">
        <f>SUM(F4:F7)</f>
        <v>0.03</v>
      </c>
      <c r="G8" s="47">
        <f>SUM(G4:G7)</f>
        <v>6.666666666666668E-3</v>
      </c>
      <c r="H8" s="47">
        <f>C2*B8</f>
        <v>2</v>
      </c>
      <c r="I8" s="47">
        <f>C2*C8</f>
        <v>2</v>
      </c>
      <c r="J8" s="47">
        <f>C2*F8</f>
        <v>0.15</v>
      </c>
      <c r="K8" s="47">
        <f>C2*G8</f>
        <v>3.333333333333334E-2</v>
      </c>
      <c r="Z8"/>
      <c r="AA8"/>
      <c r="AB8" s="25" t="s">
        <v>200</v>
      </c>
      <c r="AC8" s="25"/>
      <c r="AD8" s="25"/>
      <c r="AE8" s="37">
        <f>SUM(AE4:AE7)</f>
        <v>67.75</v>
      </c>
      <c r="AF8" s="36">
        <f>SUM(AF4:AF7)</f>
        <v>11.200000000000001</v>
      </c>
      <c r="AG8" s="36">
        <f>SUM(AG4:AG7)</f>
        <v>3.6733333333333329</v>
      </c>
      <c r="AH8" s="38">
        <f>SUM(AH4:AH7)</f>
        <v>345629.91034504201</v>
      </c>
      <c r="AI8"/>
      <c r="AJ8"/>
      <c r="AK8"/>
      <c r="AL8"/>
      <c r="AM8"/>
      <c r="AN8"/>
      <c r="AO8"/>
      <c r="AP8"/>
      <c r="AQ8"/>
      <c r="AR8"/>
      <c r="AS8"/>
      <c r="AT8"/>
      <c r="AU8"/>
      <c r="AV8"/>
    </row>
    <row r="9" spans="1:48" x14ac:dyDescent="0.3">
      <c r="B9" s="16" t="s">
        <v>90</v>
      </c>
      <c r="C9" t="s">
        <v>91</v>
      </c>
      <c r="D9" t="s">
        <v>92</v>
      </c>
      <c r="E9" t="s">
        <v>93</v>
      </c>
      <c r="F9" t="s">
        <v>94</v>
      </c>
      <c r="G9" t="s">
        <v>95</v>
      </c>
      <c r="H9" t="s">
        <v>99</v>
      </c>
      <c r="I9" t="s">
        <v>100</v>
      </c>
      <c r="J9" t="s">
        <v>101</v>
      </c>
      <c r="K9" t="s">
        <v>102</v>
      </c>
    </row>
    <row r="10" spans="1:48" x14ac:dyDescent="0.3">
      <c r="B10" t="s">
        <v>96</v>
      </c>
      <c r="C10" t="s">
        <v>96</v>
      </c>
      <c r="D10" t="s">
        <v>97</v>
      </c>
      <c r="E10" t="s">
        <v>97</v>
      </c>
      <c r="F10" t="s">
        <v>98</v>
      </c>
      <c r="G10" t="s">
        <v>98</v>
      </c>
      <c r="H10" t="s">
        <v>103</v>
      </c>
      <c r="I10" t="s">
        <v>103</v>
      </c>
      <c r="J10" t="s">
        <v>104</v>
      </c>
      <c r="K10" t="s">
        <v>104</v>
      </c>
    </row>
    <row r="12" spans="1:48" x14ac:dyDescent="0.3">
      <c r="C12" t="s">
        <v>109</v>
      </c>
      <c r="E12" t="s">
        <v>110</v>
      </c>
      <c r="G12" t="s">
        <v>111</v>
      </c>
      <c r="I12" t="s">
        <v>112</v>
      </c>
      <c r="J12" t="s">
        <v>113</v>
      </c>
    </row>
    <row r="13" spans="1:48" s="21" customFormat="1" x14ac:dyDescent="0.3">
      <c r="C13" s="48">
        <f>B8+C8</f>
        <v>0.8</v>
      </c>
      <c r="D13" s="48" t="s">
        <v>108</v>
      </c>
      <c r="E13" s="48">
        <f>G13/C13</f>
        <v>4.583333333333333E-2</v>
      </c>
      <c r="F13" s="48" t="s">
        <v>107</v>
      </c>
      <c r="G13" s="48">
        <f>F8+G8</f>
        <v>3.6666666666666667E-2</v>
      </c>
      <c r="H13" s="48" t="s">
        <v>106</v>
      </c>
      <c r="I13" s="48">
        <f>C2*C13</f>
        <v>4</v>
      </c>
      <c r="J13" s="48" t="s">
        <v>88</v>
      </c>
      <c r="K13" s="48">
        <f>C2*G13</f>
        <v>0.18333333333333335</v>
      </c>
      <c r="L13" s="23" t="s">
        <v>105</v>
      </c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/>
      <c r="AA13"/>
      <c r="AB13"/>
      <c r="AC13" t="s">
        <v>148</v>
      </c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</row>
    <row r="14" spans="1:48" x14ac:dyDescent="0.3">
      <c r="E14">
        <f>E13*60</f>
        <v>2.75</v>
      </c>
      <c r="F14" t="s">
        <v>114</v>
      </c>
      <c r="G14">
        <f>G13*60</f>
        <v>2.2000000000000002</v>
      </c>
      <c r="H14" t="s">
        <v>115</v>
      </c>
      <c r="AB14" t="s">
        <v>142</v>
      </c>
    </row>
    <row r="15" spans="1:48" x14ac:dyDescent="0.3">
      <c r="AC15" t="s">
        <v>131</v>
      </c>
      <c r="AD15" t="s">
        <v>133</v>
      </c>
      <c r="AE15" t="s">
        <v>132</v>
      </c>
      <c r="AF15" t="s">
        <v>134</v>
      </c>
      <c r="AG15" t="s">
        <v>135</v>
      </c>
    </row>
    <row r="16" spans="1:48" x14ac:dyDescent="0.3">
      <c r="AB16" t="s">
        <v>136</v>
      </c>
      <c r="AC16">
        <v>0.8</v>
      </c>
      <c r="AD16" s="14">
        <v>10.5</v>
      </c>
      <c r="AE16" s="14">
        <v>8.4</v>
      </c>
      <c r="AF16">
        <v>4</v>
      </c>
      <c r="AG16" s="14">
        <v>0.7</v>
      </c>
    </row>
    <row r="17" spans="1:34" x14ac:dyDescent="0.3">
      <c r="AB17" t="s">
        <v>137</v>
      </c>
      <c r="AC17">
        <v>0.8</v>
      </c>
      <c r="AD17" s="14">
        <v>20</v>
      </c>
      <c r="AE17" s="14">
        <v>16</v>
      </c>
      <c r="AF17">
        <v>3.2</v>
      </c>
      <c r="AG17" s="14">
        <v>1.0666666666666667</v>
      </c>
    </row>
    <row r="18" spans="1:34" x14ac:dyDescent="0.3">
      <c r="B18" t="s">
        <v>116</v>
      </c>
      <c r="C18">
        <v>4</v>
      </c>
      <c r="D18" t="s">
        <v>88</v>
      </c>
      <c r="AB18" t="s">
        <v>138</v>
      </c>
      <c r="AC18">
        <v>0.8</v>
      </c>
      <c r="AD18" s="14">
        <v>12.5625</v>
      </c>
      <c r="AE18" s="14">
        <v>10.050000000000001</v>
      </c>
      <c r="AF18">
        <v>2.4000000000000004</v>
      </c>
      <c r="AG18" s="14">
        <v>0.50250000000000006</v>
      </c>
    </row>
    <row r="19" spans="1:34" x14ac:dyDescent="0.3">
      <c r="B19" s="16" t="s">
        <v>90</v>
      </c>
      <c r="C19" t="s">
        <v>91</v>
      </c>
      <c r="D19" t="s">
        <v>92</v>
      </c>
      <c r="E19" t="s">
        <v>93</v>
      </c>
      <c r="F19" t="s">
        <v>94</v>
      </c>
      <c r="G19" t="s">
        <v>95</v>
      </c>
      <c r="H19" t="s">
        <v>99</v>
      </c>
      <c r="I19" t="s">
        <v>100</v>
      </c>
      <c r="J19" t="s">
        <v>101</v>
      </c>
      <c r="K19" t="s">
        <v>102</v>
      </c>
      <c r="AB19" t="s">
        <v>139</v>
      </c>
      <c r="AC19">
        <v>0.8</v>
      </c>
      <c r="AD19" s="14">
        <v>42.5625</v>
      </c>
      <c r="AE19" s="14">
        <v>34.050000000000004</v>
      </c>
      <c r="AF19">
        <v>1.6</v>
      </c>
      <c r="AG19" s="14">
        <v>1.1350000000000002</v>
      </c>
    </row>
    <row r="20" spans="1:34" x14ac:dyDescent="0.3">
      <c r="A20" s="17" t="s">
        <v>10</v>
      </c>
      <c r="B20" s="44">
        <v>0.1</v>
      </c>
      <c r="C20" s="44">
        <v>0.1</v>
      </c>
      <c r="D20" s="44">
        <f>D21</f>
        <v>4</v>
      </c>
      <c r="E20" s="44">
        <f>5/60</f>
        <v>8.3333333333333329E-2</v>
      </c>
      <c r="F20" s="44">
        <f>B20*D20</f>
        <v>0.4</v>
      </c>
      <c r="G20" s="44">
        <f>C20*E20</f>
        <v>8.3333333333333332E-3</v>
      </c>
      <c r="H20" s="44"/>
      <c r="I20" s="44"/>
      <c r="J20" s="44"/>
      <c r="K20" s="44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AB20" t="s">
        <v>140</v>
      </c>
      <c r="AF20">
        <v>11.200000000000001</v>
      </c>
      <c r="AG20" s="14">
        <v>3.4041666666666668</v>
      </c>
    </row>
    <row r="21" spans="1:34" x14ac:dyDescent="0.3">
      <c r="A21" s="17" t="s">
        <v>14</v>
      </c>
      <c r="B21" s="44">
        <v>0.05</v>
      </c>
      <c r="C21" s="44">
        <v>0.05</v>
      </c>
      <c r="D21" s="44">
        <f>(240)/60</f>
        <v>4</v>
      </c>
      <c r="E21" s="44">
        <f t="shared" ref="E21:E23" si="2">1/60</f>
        <v>1.6666666666666666E-2</v>
      </c>
      <c r="F21" s="44">
        <f t="shared" ref="F21:G23" si="3">B21*D21</f>
        <v>0.2</v>
      </c>
      <c r="G21" s="44">
        <f t="shared" si="3"/>
        <v>8.3333333333333339E-4</v>
      </c>
      <c r="H21" s="44"/>
      <c r="I21" s="44"/>
      <c r="J21" s="44"/>
      <c r="K21" s="44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spans="1:34" x14ac:dyDescent="0.3">
      <c r="A22" s="17" t="s">
        <v>16</v>
      </c>
      <c r="B22" s="44">
        <v>0.15000000000000002</v>
      </c>
      <c r="C22" s="44">
        <v>0.15000000000000002</v>
      </c>
      <c r="D22" s="44">
        <f>(5)/60</f>
        <v>8.3333333333333329E-2</v>
      </c>
      <c r="E22" s="44">
        <f t="shared" si="2"/>
        <v>1.6666666666666666E-2</v>
      </c>
      <c r="F22" s="44">
        <f t="shared" si="3"/>
        <v>1.2500000000000001E-2</v>
      </c>
      <c r="G22" s="44">
        <f t="shared" si="3"/>
        <v>2.5000000000000005E-3</v>
      </c>
      <c r="H22" s="44"/>
      <c r="I22" s="44"/>
      <c r="J22" s="44"/>
      <c r="K22" s="44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spans="1:34" x14ac:dyDescent="0.3">
      <c r="A23" s="17" t="s">
        <v>18</v>
      </c>
      <c r="B23" s="44">
        <v>0.1</v>
      </c>
      <c r="C23" s="44">
        <v>0.1</v>
      </c>
      <c r="D23" s="44">
        <f>(5)/60</f>
        <v>8.3333333333333329E-2</v>
      </c>
      <c r="E23" s="44">
        <f t="shared" si="2"/>
        <v>1.6666666666666666E-2</v>
      </c>
      <c r="F23" s="44">
        <f t="shared" si="3"/>
        <v>8.3333333333333332E-3</v>
      </c>
      <c r="G23" s="44">
        <f t="shared" si="3"/>
        <v>1.6666666666666668E-3</v>
      </c>
      <c r="H23" s="44"/>
      <c r="I23" s="44"/>
      <c r="J23" s="44"/>
      <c r="K23" s="44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spans="1:34" x14ac:dyDescent="0.3">
      <c r="A24" s="18"/>
      <c r="B24" s="45">
        <f>SUM(B20:B23)</f>
        <v>0.4</v>
      </c>
      <c r="C24" s="45">
        <f>SUM(C20:C23)</f>
        <v>0.4</v>
      </c>
      <c r="D24" s="45">
        <f>F24/B24</f>
        <v>1.5520833333333333</v>
      </c>
      <c r="E24" s="45">
        <f>G24/C24</f>
        <v>3.3333333333333333E-2</v>
      </c>
      <c r="F24" s="45">
        <f>SUM(F20:F23)</f>
        <v>0.62083333333333335</v>
      </c>
      <c r="G24" s="45">
        <f>SUM(G20:G23)</f>
        <v>1.3333333333333334E-2</v>
      </c>
      <c r="H24" s="45">
        <f>C18*B24</f>
        <v>1.6</v>
      </c>
      <c r="I24" s="45">
        <f>C18*C24</f>
        <v>1.6</v>
      </c>
      <c r="J24" s="45">
        <f>C18*F24</f>
        <v>2.4833333333333334</v>
      </c>
      <c r="K24" s="45">
        <f>C18*G24</f>
        <v>5.3333333333333337E-2</v>
      </c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AB24" t="s">
        <v>141</v>
      </c>
    </row>
    <row r="25" spans="1:34" x14ac:dyDescent="0.3">
      <c r="B25" s="49" t="s">
        <v>90</v>
      </c>
      <c r="C25" s="50" t="s">
        <v>91</v>
      </c>
      <c r="D25" s="50" t="s">
        <v>92</v>
      </c>
      <c r="E25" s="50" t="s">
        <v>93</v>
      </c>
      <c r="F25" s="50" t="s">
        <v>94</v>
      </c>
      <c r="G25" s="50" t="s">
        <v>95</v>
      </c>
      <c r="H25" s="50" t="s">
        <v>99</v>
      </c>
      <c r="I25" s="50" t="s">
        <v>100</v>
      </c>
      <c r="J25" s="50" t="s">
        <v>101</v>
      </c>
      <c r="K25" s="50" t="s">
        <v>102</v>
      </c>
      <c r="AB25" t="s">
        <v>89</v>
      </c>
      <c r="AC25" s="26">
        <f>AC16-AC4</f>
        <v>0</v>
      </c>
      <c r="AD25" s="26">
        <f>AD16-AD4</f>
        <v>7.75</v>
      </c>
      <c r="AE25" s="26">
        <f>AE16-AE4</f>
        <v>6.2</v>
      </c>
      <c r="AF25" s="26">
        <f t="shared" ref="AF25:AG25" si="4">AF16-AF4</f>
        <v>0</v>
      </c>
      <c r="AG25" s="26">
        <f t="shared" si="4"/>
        <v>0.51666666666666661</v>
      </c>
      <c r="AH25" s="26"/>
    </row>
    <row r="26" spans="1:34" x14ac:dyDescent="0.3">
      <c r="B26" s="50" t="s">
        <v>96</v>
      </c>
      <c r="C26" s="50" t="s">
        <v>96</v>
      </c>
      <c r="D26" s="50" t="s">
        <v>97</v>
      </c>
      <c r="E26" s="50" t="s">
        <v>97</v>
      </c>
      <c r="F26" s="50" t="s">
        <v>98</v>
      </c>
      <c r="G26" s="50" t="s">
        <v>98</v>
      </c>
      <c r="H26" s="50" t="s">
        <v>103</v>
      </c>
      <c r="I26" s="50" t="s">
        <v>103</v>
      </c>
      <c r="J26" s="50" t="s">
        <v>104</v>
      </c>
      <c r="K26" s="50" t="s">
        <v>104</v>
      </c>
      <c r="AB26" t="s">
        <v>116</v>
      </c>
      <c r="AC26" s="26">
        <f t="shared" ref="AC26:AG28" si="5">AC17-AC5</f>
        <v>0</v>
      </c>
      <c r="AD26" s="26">
        <f t="shared" si="5"/>
        <v>-27.562499999999993</v>
      </c>
      <c r="AE26" s="26">
        <f t="shared" si="5"/>
        <v>-22.049999999999997</v>
      </c>
      <c r="AF26" s="26">
        <f t="shared" si="5"/>
        <v>0</v>
      </c>
      <c r="AG26" s="26">
        <f t="shared" si="5"/>
        <v>-1.47</v>
      </c>
      <c r="AH26" s="26"/>
    </row>
    <row r="27" spans="1:34" x14ac:dyDescent="0.3">
      <c r="B27" s="50"/>
      <c r="C27" s="50"/>
      <c r="D27" s="50"/>
      <c r="E27" s="50"/>
      <c r="F27" s="50"/>
      <c r="G27" s="50"/>
      <c r="H27" s="50"/>
      <c r="I27" s="50"/>
      <c r="J27" s="50"/>
      <c r="K27" s="50"/>
      <c r="AB27" t="s">
        <v>117</v>
      </c>
      <c r="AC27" s="26">
        <f t="shared" si="5"/>
        <v>0</v>
      </c>
      <c r="AD27" s="26">
        <f t="shared" si="5"/>
        <v>9.8125</v>
      </c>
      <c r="AE27" s="26">
        <f t="shared" si="5"/>
        <v>7.8500000000000005</v>
      </c>
      <c r="AF27" s="26">
        <f t="shared" si="5"/>
        <v>0</v>
      </c>
      <c r="AG27" s="26">
        <f t="shared" si="5"/>
        <v>0.39250000000000007</v>
      </c>
      <c r="AH27" s="26"/>
    </row>
    <row r="28" spans="1:34" x14ac:dyDescent="0.3">
      <c r="B28" s="50"/>
      <c r="C28" s="50" t="s">
        <v>109</v>
      </c>
      <c r="D28" s="50"/>
      <c r="E28" s="50" t="s">
        <v>110</v>
      </c>
      <c r="F28" s="50"/>
      <c r="G28" s="50" t="s">
        <v>111</v>
      </c>
      <c r="H28" s="50"/>
      <c r="I28" s="50" t="s">
        <v>112</v>
      </c>
      <c r="J28" s="50" t="s">
        <v>113</v>
      </c>
      <c r="K28" s="50"/>
      <c r="AB28" t="s">
        <v>118</v>
      </c>
      <c r="AC28" s="26">
        <f t="shared" si="5"/>
        <v>0</v>
      </c>
      <c r="AD28" s="26">
        <f t="shared" si="5"/>
        <v>10.9375</v>
      </c>
      <c r="AE28" s="26">
        <f t="shared" si="5"/>
        <v>8.7500000000000036</v>
      </c>
      <c r="AF28" s="26">
        <f t="shared" si="5"/>
        <v>0</v>
      </c>
      <c r="AG28" s="26">
        <f t="shared" si="5"/>
        <v>0.29166666666666685</v>
      </c>
      <c r="AH28" s="26"/>
    </row>
    <row r="29" spans="1:34" x14ac:dyDescent="0.3">
      <c r="A29" s="21"/>
      <c r="B29" s="51"/>
      <c r="C29" s="48">
        <f>B24+C24</f>
        <v>0.8</v>
      </c>
      <c r="D29" s="48" t="s">
        <v>108</v>
      </c>
      <c r="E29" s="48">
        <f>G29/C29</f>
        <v>0.79270833333333324</v>
      </c>
      <c r="F29" s="48" t="s">
        <v>107</v>
      </c>
      <c r="G29" s="48">
        <f>F24+G24</f>
        <v>0.63416666666666666</v>
      </c>
      <c r="H29" s="48" t="s">
        <v>106</v>
      </c>
      <c r="I29" s="48">
        <f>C18*C29</f>
        <v>3.2</v>
      </c>
      <c r="J29" s="48" t="s">
        <v>88</v>
      </c>
      <c r="K29" s="48">
        <f>C18*G29</f>
        <v>2.5366666666666666</v>
      </c>
      <c r="L29" s="23" t="s">
        <v>105</v>
      </c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  <row r="30" spans="1:34" x14ac:dyDescent="0.3">
      <c r="E30">
        <f>E29*60</f>
        <v>47.562499999999993</v>
      </c>
      <c r="F30" t="s">
        <v>114</v>
      </c>
      <c r="G30">
        <f>G29*60</f>
        <v>38.049999999999997</v>
      </c>
      <c r="H30" t="s">
        <v>115</v>
      </c>
    </row>
    <row r="32" spans="1:34" x14ac:dyDescent="0.3">
      <c r="AC32" s="14"/>
      <c r="AD32" s="14"/>
      <c r="AE32" s="14"/>
      <c r="AF32" s="14"/>
    </row>
    <row r="33" spans="1:33" x14ac:dyDescent="0.3">
      <c r="AC33" s="14"/>
      <c r="AD33" s="14"/>
      <c r="AE33" s="14"/>
      <c r="AF33" s="14"/>
    </row>
    <row r="34" spans="1:33" x14ac:dyDescent="0.3">
      <c r="B34" t="s">
        <v>117</v>
      </c>
      <c r="C34">
        <v>3</v>
      </c>
      <c r="D34" t="s">
        <v>88</v>
      </c>
    </row>
    <row r="35" spans="1:33" x14ac:dyDescent="0.3">
      <c r="B35" s="16" t="s">
        <v>90</v>
      </c>
      <c r="C35" t="s">
        <v>91</v>
      </c>
      <c r="D35" t="s">
        <v>92</v>
      </c>
      <c r="E35" t="s">
        <v>93</v>
      </c>
      <c r="F35" t="s">
        <v>94</v>
      </c>
      <c r="G35" t="s">
        <v>95</v>
      </c>
      <c r="H35" t="s">
        <v>99</v>
      </c>
      <c r="I35" t="s">
        <v>100</v>
      </c>
      <c r="J35" t="s">
        <v>101</v>
      </c>
      <c r="K35" t="s">
        <v>102</v>
      </c>
      <c r="AC35" s="14"/>
      <c r="AD35" s="14"/>
      <c r="AE35" s="14"/>
      <c r="AF35" s="14"/>
      <c r="AG35" s="14"/>
    </row>
    <row r="36" spans="1:33" x14ac:dyDescent="0.3">
      <c r="A36" s="17" t="s">
        <v>10</v>
      </c>
      <c r="B36" s="19">
        <v>0.1</v>
      </c>
      <c r="C36" s="19">
        <v>0.1</v>
      </c>
      <c r="D36" s="19">
        <f>1/60</f>
        <v>1.6666666666666666E-2</v>
      </c>
      <c r="E36" s="19">
        <f>5/60</f>
        <v>8.3333333333333329E-2</v>
      </c>
      <c r="F36" s="19">
        <f>B36*D36</f>
        <v>1.6666666666666668E-3</v>
      </c>
      <c r="G36" s="19">
        <f>C36*E36</f>
        <v>8.3333333333333332E-3</v>
      </c>
      <c r="H36" s="19"/>
      <c r="I36" s="19"/>
      <c r="J36" s="19"/>
      <c r="K36" s="19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spans="1:33" x14ac:dyDescent="0.3">
      <c r="A37" s="17" t="s">
        <v>14</v>
      </c>
      <c r="B37" s="19">
        <v>0.05</v>
      </c>
      <c r="C37" s="19">
        <v>0.05</v>
      </c>
      <c r="D37" s="19">
        <f>(1)/60</f>
        <v>1.6666666666666666E-2</v>
      </c>
      <c r="E37" s="19">
        <f t="shared" ref="E37:E39" si="6">1/60</f>
        <v>1.6666666666666666E-2</v>
      </c>
      <c r="F37" s="19">
        <f t="shared" ref="F37:G39" si="7">B37*D37</f>
        <v>8.3333333333333339E-4</v>
      </c>
      <c r="G37" s="19">
        <f t="shared" si="7"/>
        <v>8.3333333333333339E-4</v>
      </c>
      <c r="H37" s="19"/>
      <c r="I37" s="19"/>
      <c r="J37" s="19"/>
      <c r="K37" s="19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spans="1:33" x14ac:dyDescent="0.3">
      <c r="A38" s="17" t="s">
        <v>16</v>
      </c>
      <c r="B38" s="19">
        <v>0.15000000000000002</v>
      </c>
      <c r="C38" s="19">
        <v>0.15000000000000002</v>
      </c>
      <c r="D38" s="19">
        <f>(5)/60</f>
        <v>8.3333333333333329E-2</v>
      </c>
      <c r="E38" s="19">
        <f t="shared" si="6"/>
        <v>1.6666666666666666E-2</v>
      </c>
      <c r="F38" s="19">
        <f t="shared" si="7"/>
        <v>1.2500000000000001E-2</v>
      </c>
      <c r="G38" s="19">
        <f t="shared" si="7"/>
        <v>2.5000000000000005E-3</v>
      </c>
      <c r="H38" s="19"/>
      <c r="I38" s="19"/>
      <c r="J38" s="19"/>
      <c r="K38" s="19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AF38" t="s">
        <v>199</v>
      </c>
    </row>
    <row r="39" spans="1:33" x14ac:dyDescent="0.3">
      <c r="A39" s="17" t="s">
        <v>18</v>
      </c>
      <c r="B39" s="19">
        <v>0.1</v>
      </c>
      <c r="C39" s="19">
        <v>0.1</v>
      </c>
      <c r="D39" s="19">
        <f>(5)/60</f>
        <v>8.3333333333333329E-2</v>
      </c>
      <c r="E39" s="19">
        <f t="shared" si="6"/>
        <v>1.6666666666666666E-2</v>
      </c>
      <c r="F39" s="19">
        <f t="shared" si="7"/>
        <v>8.3333333333333332E-3</v>
      </c>
      <c r="G39" s="19">
        <f t="shared" si="7"/>
        <v>1.6666666666666668E-3</v>
      </c>
      <c r="H39" s="19"/>
      <c r="I39" s="19"/>
      <c r="J39" s="19"/>
      <c r="K39" s="19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AB39" s="40">
        <f>F4*$C$2</f>
        <v>4.1666666666666664E-2</v>
      </c>
      <c r="AC39" s="40">
        <f t="shared" ref="AC39:AC42" si="8">$C$18*F20</f>
        <v>1.6</v>
      </c>
      <c r="AD39" s="40">
        <f t="shared" ref="AD39:AD42" si="9">$C$34*F36</f>
        <v>5.0000000000000001E-3</v>
      </c>
      <c r="AE39" s="40">
        <f t="shared" ref="AE39:AE42" si="10">$C$51*F53</f>
        <v>3.3333333333333335E-3</v>
      </c>
      <c r="AF39" s="40">
        <f>SUM(AB39:AE39)</f>
        <v>1.6500000000000001</v>
      </c>
    </row>
    <row r="40" spans="1:33" x14ac:dyDescent="0.3">
      <c r="A40" s="18"/>
      <c r="B40" s="20">
        <f>SUM(B36:B39)</f>
        <v>0.4</v>
      </c>
      <c r="C40" s="20">
        <f>SUM(C36:C39)</f>
        <v>0.4</v>
      </c>
      <c r="D40" s="20">
        <f>F40/B40</f>
        <v>5.8333333333333334E-2</v>
      </c>
      <c r="E40" s="20">
        <f>G40/C40</f>
        <v>3.3333333333333333E-2</v>
      </c>
      <c r="F40" s="20">
        <f>SUM(F36:F39)</f>
        <v>2.3333333333333334E-2</v>
      </c>
      <c r="G40" s="20">
        <f>SUM(G36:G39)</f>
        <v>1.3333333333333334E-2</v>
      </c>
      <c r="H40" s="20">
        <f>C34*B40</f>
        <v>1.2000000000000002</v>
      </c>
      <c r="I40" s="20">
        <f>C34*C40</f>
        <v>1.2000000000000002</v>
      </c>
      <c r="J40" s="20">
        <f>C34*F40</f>
        <v>7.0000000000000007E-2</v>
      </c>
      <c r="K40" s="20">
        <f>C34*G40</f>
        <v>0.04</v>
      </c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AB40" s="40">
        <f t="shared" ref="AB40:AB42" si="11">F5*$C$2</f>
        <v>4.1666666666666666E-3</v>
      </c>
      <c r="AC40" s="40">
        <f t="shared" si="8"/>
        <v>0.8</v>
      </c>
      <c r="AD40" s="40">
        <f t="shared" si="9"/>
        <v>2.5000000000000001E-3</v>
      </c>
      <c r="AE40" s="40">
        <f t="shared" si="10"/>
        <v>1.6666666666666668E-3</v>
      </c>
      <c r="AF40" s="40">
        <f t="shared" ref="AF40:AF42" si="12">SUM(AB40:AE40)</f>
        <v>0.80833333333333335</v>
      </c>
    </row>
    <row r="41" spans="1:33" x14ac:dyDescent="0.3">
      <c r="B41" s="16" t="s">
        <v>90</v>
      </c>
      <c r="C41" t="s">
        <v>91</v>
      </c>
      <c r="D41" t="s">
        <v>92</v>
      </c>
      <c r="E41" t="s">
        <v>93</v>
      </c>
      <c r="F41" t="s">
        <v>94</v>
      </c>
      <c r="G41" t="s">
        <v>95</v>
      </c>
      <c r="H41" t="s">
        <v>99</v>
      </c>
      <c r="I41" t="s">
        <v>100</v>
      </c>
      <c r="J41" t="s">
        <v>101</v>
      </c>
      <c r="K41" t="s">
        <v>102</v>
      </c>
      <c r="AB41" s="40">
        <f t="shared" si="11"/>
        <v>6.25E-2</v>
      </c>
      <c r="AC41" s="40">
        <f t="shared" si="8"/>
        <v>0.05</v>
      </c>
      <c r="AD41" s="40">
        <f t="shared" si="9"/>
        <v>3.7500000000000006E-2</v>
      </c>
      <c r="AE41" s="40">
        <f t="shared" si="10"/>
        <v>2.5000000000000001E-2</v>
      </c>
      <c r="AF41" s="40">
        <f t="shared" si="12"/>
        <v>0.17500000000000002</v>
      </c>
    </row>
    <row r="42" spans="1:33" x14ac:dyDescent="0.3">
      <c r="B42" t="s">
        <v>96</v>
      </c>
      <c r="C42" t="s">
        <v>96</v>
      </c>
      <c r="D42" t="s">
        <v>97</v>
      </c>
      <c r="E42" t="s">
        <v>97</v>
      </c>
      <c r="F42" t="s">
        <v>98</v>
      </c>
      <c r="G42" t="s">
        <v>98</v>
      </c>
      <c r="H42" t="s">
        <v>103</v>
      </c>
      <c r="I42" t="s">
        <v>103</v>
      </c>
      <c r="J42" t="s">
        <v>104</v>
      </c>
      <c r="K42" t="s">
        <v>104</v>
      </c>
      <c r="AB42" s="40">
        <f t="shared" si="11"/>
        <v>4.1666666666666664E-2</v>
      </c>
      <c r="AC42" s="40">
        <f t="shared" si="8"/>
        <v>3.3333333333333333E-2</v>
      </c>
      <c r="AD42" s="40">
        <f t="shared" si="9"/>
        <v>2.5000000000000001E-2</v>
      </c>
      <c r="AE42" s="40">
        <f t="shared" si="10"/>
        <v>0.8</v>
      </c>
      <c r="AF42" s="40">
        <f t="shared" si="12"/>
        <v>0.9</v>
      </c>
    </row>
    <row r="43" spans="1:33" x14ac:dyDescent="0.3">
      <c r="AB43" s="41">
        <f>F8*$C$2</f>
        <v>0.15</v>
      </c>
      <c r="AC43" s="41">
        <f>$C$18*F24</f>
        <v>2.4833333333333334</v>
      </c>
      <c r="AD43" s="41">
        <f>$C$34*F40</f>
        <v>7.0000000000000007E-2</v>
      </c>
      <c r="AE43" s="41">
        <f>$C$51*F57</f>
        <v>0.83000000000000007</v>
      </c>
    </row>
    <row r="44" spans="1:33" x14ac:dyDescent="0.3">
      <c r="C44" t="s">
        <v>109</v>
      </c>
      <c r="E44" t="s">
        <v>110</v>
      </c>
      <c r="G44" t="s">
        <v>111</v>
      </c>
      <c r="I44" t="s">
        <v>112</v>
      </c>
      <c r="J44" t="s">
        <v>113</v>
      </c>
    </row>
    <row r="45" spans="1:33" x14ac:dyDescent="0.3">
      <c r="A45" s="21"/>
      <c r="B45" s="21"/>
      <c r="C45" s="22">
        <f>B40+C40</f>
        <v>0.8</v>
      </c>
      <c r="D45" s="23" t="s">
        <v>108</v>
      </c>
      <c r="E45" s="22">
        <f>G45/C45</f>
        <v>4.583333333333333E-2</v>
      </c>
      <c r="F45" s="23" t="s">
        <v>107</v>
      </c>
      <c r="G45" s="22">
        <f>F40+G40</f>
        <v>3.6666666666666667E-2</v>
      </c>
      <c r="H45" s="23" t="s">
        <v>106</v>
      </c>
      <c r="I45" s="23">
        <f>C34*C45</f>
        <v>2.4000000000000004</v>
      </c>
      <c r="J45" s="23" t="s">
        <v>88</v>
      </c>
      <c r="K45" s="22">
        <f>C34*G45</f>
        <v>0.11</v>
      </c>
      <c r="L45" s="23" t="s">
        <v>105</v>
      </c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 spans="1:33" x14ac:dyDescent="0.3">
      <c r="E46">
        <f>E45*60</f>
        <v>2.75</v>
      </c>
      <c r="F46" t="s">
        <v>114</v>
      </c>
      <c r="G46">
        <f>G45*60</f>
        <v>2.2000000000000002</v>
      </c>
      <c r="H46" t="s">
        <v>115</v>
      </c>
    </row>
    <row r="51" spans="1:25" x14ac:dyDescent="0.3">
      <c r="B51" t="s">
        <v>118</v>
      </c>
      <c r="C51">
        <v>2</v>
      </c>
      <c r="D51" t="s">
        <v>88</v>
      </c>
    </row>
    <row r="52" spans="1:25" x14ac:dyDescent="0.3">
      <c r="B52" s="16" t="s">
        <v>90</v>
      </c>
      <c r="C52" t="s">
        <v>91</v>
      </c>
      <c r="D52" t="s">
        <v>92</v>
      </c>
      <c r="E52" t="s">
        <v>93</v>
      </c>
      <c r="F52" t="s">
        <v>94</v>
      </c>
      <c r="G52" t="s">
        <v>95</v>
      </c>
      <c r="H52" t="s">
        <v>99</v>
      </c>
      <c r="I52" t="s">
        <v>100</v>
      </c>
      <c r="J52" t="s">
        <v>101</v>
      </c>
      <c r="K52" t="s">
        <v>102</v>
      </c>
    </row>
    <row r="53" spans="1:25" x14ac:dyDescent="0.3">
      <c r="A53" s="17" t="s">
        <v>10</v>
      </c>
      <c r="B53" s="19">
        <v>0.1</v>
      </c>
      <c r="C53" s="19">
        <v>0.1</v>
      </c>
      <c r="D53" s="19">
        <f>1/60</f>
        <v>1.6666666666666666E-2</v>
      </c>
      <c r="E53" s="19">
        <f>1/60</f>
        <v>1.6666666666666666E-2</v>
      </c>
      <c r="F53" s="19">
        <f>B53*D53</f>
        <v>1.6666666666666668E-3</v>
      </c>
      <c r="G53" s="19">
        <f>C53*E53</f>
        <v>1.6666666666666668E-3</v>
      </c>
      <c r="H53" s="19"/>
      <c r="I53" s="19"/>
      <c r="J53" s="19"/>
      <c r="K53" s="19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spans="1:25" x14ac:dyDescent="0.3">
      <c r="A54" s="17" t="s">
        <v>14</v>
      </c>
      <c r="B54" s="19">
        <v>0.05</v>
      </c>
      <c r="C54" s="19">
        <v>0.05</v>
      </c>
      <c r="D54" s="19">
        <f>(1)/60</f>
        <v>1.6666666666666666E-2</v>
      </c>
      <c r="E54" s="19">
        <f t="shared" ref="E54:E56" si="13">1/60</f>
        <v>1.6666666666666666E-2</v>
      </c>
      <c r="F54" s="19">
        <f t="shared" ref="F54:G56" si="14">B54*D54</f>
        <v>8.3333333333333339E-4</v>
      </c>
      <c r="G54" s="19">
        <f t="shared" si="14"/>
        <v>8.3333333333333339E-4</v>
      </c>
      <c r="H54" s="19"/>
      <c r="I54" s="19"/>
      <c r="J54" s="19"/>
      <c r="K54" s="19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spans="1:25" x14ac:dyDescent="0.3">
      <c r="A55" s="17" t="s">
        <v>16</v>
      </c>
      <c r="B55" s="19">
        <v>0.15000000000000002</v>
      </c>
      <c r="C55" s="19">
        <v>0.15000000000000002</v>
      </c>
      <c r="D55" s="19">
        <f>(5)/60</f>
        <v>8.3333333333333329E-2</v>
      </c>
      <c r="E55" s="19">
        <f t="shared" si="13"/>
        <v>1.6666666666666666E-2</v>
      </c>
      <c r="F55" s="19">
        <f t="shared" si="14"/>
        <v>1.2500000000000001E-2</v>
      </c>
      <c r="G55" s="19">
        <f t="shared" si="14"/>
        <v>2.5000000000000005E-3</v>
      </c>
      <c r="H55" s="19"/>
      <c r="I55" s="19"/>
      <c r="J55" s="19"/>
      <c r="K55" s="19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spans="1:25" x14ac:dyDescent="0.3">
      <c r="A56" s="17" t="s">
        <v>18</v>
      </c>
      <c r="B56" s="19">
        <v>0.1</v>
      </c>
      <c r="C56" s="19">
        <v>0.1</v>
      </c>
      <c r="D56" s="19">
        <f>(240)/60</f>
        <v>4</v>
      </c>
      <c r="E56" s="19">
        <f t="shared" si="13"/>
        <v>1.6666666666666666E-2</v>
      </c>
      <c r="F56" s="19">
        <f t="shared" si="14"/>
        <v>0.4</v>
      </c>
      <c r="G56" s="19">
        <f t="shared" si="14"/>
        <v>1.6666666666666668E-3</v>
      </c>
      <c r="H56" s="19"/>
      <c r="I56" s="19"/>
      <c r="J56" s="19"/>
      <c r="K56" s="19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spans="1:25" x14ac:dyDescent="0.3">
      <c r="A57" s="18"/>
      <c r="B57" s="20">
        <f>SUM(B53:B56)</f>
        <v>0.4</v>
      </c>
      <c r="C57" s="20">
        <f>SUM(C53:C56)</f>
        <v>0.4</v>
      </c>
      <c r="D57" s="20">
        <f>F57/B57</f>
        <v>1.0375000000000001</v>
      </c>
      <c r="E57" s="20">
        <f>G57/C57</f>
        <v>1.666666666666667E-2</v>
      </c>
      <c r="F57" s="20">
        <f>SUM(F53:F56)</f>
        <v>0.41500000000000004</v>
      </c>
      <c r="G57" s="20">
        <f>SUM(G53:G56)</f>
        <v>6.666666666666668E-3</v>
      </c>
      <c r="H57" s="20">
        <f>C51*B57</f>
        <v>0.8</v>
      </c>
      <c r="I57" s="20">
        <f>C51*C57</f>
        <v>0.8</v>
      </c>
      <c r="J57" s="20">
        <f>C51*F57</f>
        <v>0.83000000000000007</v>
      </c>
      <c r="K57" s="20">
        <f>C51*G57</f>
        <v>1.3333333333333336E-2</v>
      </c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</row>
    <row r="58" spans="1:25" x14ac:dyDescent="0.3">
      <c r="B58" s="16" t="s">
        <v>90</v>
      </c>
      <c r="C58" t="s">
        <v>91</v>
      </c>
      <c r="D58" t="s">
        <v>92</v>
      </c>
      <c r="E58" t="s">
        <v>93</v>
      </c>
      <c r="F58" t="s">
        <v>94</v>
      </c>
      <c r="G58" t="s">
        <v>95</v>
      </c>
      <c r="H58" t="s">
        <v>99</v>
      </c>
      <c r="I58" t="s">
        <v>100</v>
      </c>
      <c r="J58" t="s">
        <v>101</v>
      </c>
      <c r="K58" t="s">
        <v>102</v>
      </c>
    </row>
    <row r="59" spans="1:25" x14ac:dyDescent="0.3">
      <c r="B59" t="s">
        <v>96</v>
      </c>
      <c r="C59" t="s">
        <v>96</v>
      </c>
      <c r="D59" t="s">
        <v>97</v>
      </c>
      <c r="E59" t="s">
        <v>97</v>
      </c>
      <c r="F59" t="s">
        <v>98</v>
      </c>
      <c r="G59" t="s">
        <v>98</v>
      </c>
      <c r="H59" t="s">
        <v>103</v>
      </c>
      <c r="I59" t="s">
        <v>103</v>
      </c>
      <c r="J59" t="s">
        <v>104</v>
      </c>
      <c r="K59" t="s">
        <v>104</v>
      </c>
    </row>
    <row r="61" spans="1:25" x14ac:dyDescent="0.3">
      <c r="C61" t="s">
        <v>109</v>
      </c>
      <c r="E61" t="s">
        <v>110</v>
      </c>
      <c r="G61" t="s">
        <v>111</v>
      </c>
      <c r="I61" t="s">
        <v>112</v>
      </c>
      <c r="J61" t="s">
        <v>113</v>
      </c>
    </row>
    <row r="62" spans="1:25" x14ac:dyDescent="0.3">
      <c r="A62" s="21"/>
      <c r="B62" s="21"/>
      <c r="C62" s="22">
        <f>B57+C57</f>
        <v>0.8</v>
      </c>
      <c r="D62" s="23" t="s">
        <v>108</v>
      </c>
      <c r="E62" s="22">
        <f>G62/C62</f>
        <v>0.52708333333333335</v>
      </c>
      <c r="F62" s="23" t="s">
        <v>107</v>
      </c>
      <c r="G62" s="22">
        <f>F57+G57</f>
        <v>0.42166666666666669</v>
      </c>
      <c r="H62" s="23" t="s">
        <v>106</v>
      </c>
      <c r="I62" s="23">
        <f>C51*C62</f>
        <v>1.6</v>
      </c>
      <c r="J62" s="23" t="s">
        <v>88</v>
      </c>
      <c r="K62" s="22">
        <f>C51*G62</f>
        <v>0.84333333333333338</v>
      </c>
      <c r="L62" s="23" t="s">
        <v>105</v>
      </c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</row>
    <row r="63" spans="1:25" x14ac:dyDescent="0.3">
      <c r="E63">
        <f>E62*60</f>
        <v>31.625</v>
      </c>
      <c r="F63" t="s">
        <v>114</v>
      </c>
      <c r="G63">
        <f>G62*60</f>
        <v>25.3</v>
      </c>
      <c r="H63" t="s">
        <v>115</v>
      </c>
    </row>
  </sheetData>
  <conditionalFormatting sqref="AB15:AG20">
    <cfRule type="containsBlanks" dxfId="1" priority="2">
      <formula>LEN(TRIM(AB15))=0</formula>
    </cfRule>
  </conditionalFormatting>
  <conditionalFormatting sqref="AB31:AG35">
    <cfRule type="containsBlanks" dxfId="0" priority="1">
      <formula>LEN(TRIM(AB31))=0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AW51"/>
  <sheetViews>
    <sheetView zoomScale="60" zoomScaleNormal="60" workbookViewId="0">
      <selection activeCell="O57" sqref="O57"/>
    </sheetView>
  </sheetViews>
  <sheetFormatPr defaultRowHeight="14.4" x14ac:dyDescent="0.3"/>
  <cols>
    <col min="2" max="2" width="37.44140625" bestFit="1" customWidth="1"/>
    <col min="24" max="24" width="14.77734375" bestFit="1" customWidth="1"/>
    <col min="28" max="28" width="22" bestFit="1" customWidth="1"/>
    <col min="37" max="37" width="9.21875" customWidth="1"/>
  </cols>
  <sheetData>
    <row r="3" spans="2:49" x14ac:dyDescent="0.3">
      <c r="AE3" s="27" t="s">
        <v>171</v>
      </c>
      <c r="AF3" s="1" t="s">
        <v>172</v>
      </c>
    </row>
    <row r="4" spans="2:49" ht="57.6" x14ac:dyDescent="0.3">
      <c r="N4" s="4" t="s">
        <v>79</v>
      </c>
      <c r="AE4" s="28" t="s">
        <v>149</v>
      </c>
      <c r="AF4" s="28" t="s">
        <v>82</v>
      </c>
      <c r="AG4" s="28" t="s">
        <v>83</v>
      </c>
      <c r="AH4" s="28" t="s">
        <v>84</v>
      </c>
      <c r="AI4" s="28" t="s">
        <v>150</v>
      </c>
      <c r="AJ4" s="28" t="s">
        <v>151</v>
      </c>
      <c r="AK4" s="28" t="s">
        <v>152</v>
      </c>
    </row>
    <row r="5" spans="2:49" x14ac:dyDescent="0.3">
      <c r="P5" s="13" t="s">
        <v>80</v>
      </c>
      <c r="AE5" t="s">
        <v>153</v>
      </c>
      <c r="AF5" s="6">
        <v>1</v>
      </c>
      <c r="AG5" s="6">
        <v>1</v>
      </c>
      <c r="AH5" s="6">
        <v>1</v>
      </c>
      <c r="AI5" s="6">
        <v>1</v>
      </c>
      <c r="AJ5" s="6">
        <v>1</v>
      </c>
      <c r="AK5" s="6">
        <v>1</v>
      </c>
    </row>
    <row r="6" spans="2:49" x14ac:dyDescent="0.3">
      <c r="N6" s="5" t="s">
        <v>33</v>
      </c>
      <c r="O6" t="s">
        <v>81</v>
      </c>
      <c r="P6" t="s">
        <v>82</v>
      </c>
      <c r="Q6" t="s">
        <v>83</v>
      </c>
      <c r="R6" t="s">
        <v>84</v>
      </c>
      <c r="S6" t="s">
        <v>85</v>
      </c>
      <c r="T6" t="s">
        <v>86</v>
      </c>
      <c r="U6" t="s">
        <v>87</v>
      </c>
      <c r="AE6" t="s">
        <v>154</v>
      </c>
      <c r="AF6" s="6">
        <v>1.1000000000000001</v>
      </c>
      <c r="AG6" s="6">
        <v>1</v>
      </c>
      <c r="AH6" s="6">
        <v>1</v>
      </c>
      <c r="AI6" s="6">
        <v>1</v>
      </c>
      <c r="AJ6" s="6">
        <v>1</v>
      </c>
      <c r="AK6" s="6">
        <v>1</v>
      </c>
    </row>
    <row r="7" spans="2:49" x14ac:dyDescent="0.3">
      <c r="N7" t="s">
        <v>36</v>
      </c>
      <c r="O7" s="14">
        <v>7</v>
      </c>
      <c r="P7" s="15">
        <v>0</v>
      </c>
      <c r="Q7" s="15">
        <v>0</v>
      </c>
      <c r="R7" s="15">
        <v>0.8</v>
      </c>
      <c r="S7" s="15">
        <v>0.2</v>
      </c>
      <c r="T7" s="15">
        <v>0</v>
      </c>
      <c r="U7" s="15">
        <v>0</v>
      </c>
      <c r="AE7" t="s">
        <v>155</v>
      </c>
      <c r="AF7" s="6">
        <v>1.1000000000000001</v>
      </c>
      <c r="AG7" s="6">
        <v>0.9</v>
      </c>
      <c r="AH7" s="6">
        <v>0.87</v>
      </c>
      <c r="AI7" s="6">
        <v>1</v>
      </c>
      <c r="AJ7" s="6">
        <v>0.67</v>
      </c>
      <c r="AK7" s="6">
        <v>1</v>
      </c>
    </row>
    <row r="8" spans="2:49" x14ac:dyDescent="0.3">
      <c r="N8" t="s">
        <v>37</v>
      </c>
      <c r="O8">
        <v>4.9000000000000004</v>
      </c>
      <c r="P8" s="15">
        <v>0</v>
      </c>
      <c r="Q8" s="15">
        <v>0.2</v>
      </c>
      <c r="R8" s="15">
        <v>0.2</v>
      </c>
      <c r="S8" s="15">
        <v>0.6</v>
      </c>
      <c r="T8" s="15">
        <v>0</v>
      </c>
      <c r="U8" s="15">
        <v>0</v>
      </c>
      <c r="AE8" t="s">
        <v>156</v>
      </c>
      <c r="AF8" s="6">
        <v>1.1000000000000001</v>
      </c>
      <c r="AG8" s="6">
        <v>0.9</v>
      </c>
      <c r="AH8" s="6">
        <v>0.87</v>
      </c>
      <c r="AI8" s="6">
        <v>1</v>
      </c>
      <c r="AJ8" s="6">
        <v>0.67</v>
      </c>
      <c r="AK8" s="6">
        <v>1</v>
      </c>
    </row>
    <row r="9" spans="2:49" x14ac:dyDescent="0.3">
      <c r="N9" t="s">
        <v>38</v>
      </c>
      <c r="O9" s="14">
        <v>4</v>
      </c>
      <c r="P9" s="15">
        <v>0.4</v>
      </c>
      <c r="Q9" s="15">
        <v>0.5</v>
      </c>
      <c r="R9" s="15">
        <v>0</v>
      </c>
      <c r="S9" s="15">
        <v>0</v>
      </c>
      <c r="T9" s="15">
        <v>0.1</v>
      </c>
      <c r="U9" s="15">
        <v>0</v>
      </c>
      <c r="AE9" t="s">
        <v>157</v>
      </c>
      <c r="AF9" s="6">
        <v>0.9</v>
      </c>
      <c r="AG9" s="6">
        <v>0.9</v>
      </c>
      <c r="AH9" s="6">
        <v>0.87</v>
      </c>
      <c r="AI9" s="6">
        <v>1</v>
      </c>
      <c r="AJ9" s="6">
        <v>0.67</v>
      </c>
      <c r="AK9" s="6">
        <v>1</v>
      </c>
    </row>
    <row r="10" spans="2:49" x14ac:dyDescent="0.3">
      <c r="N10" t="s">
        <v>39</v>
      </c>
      <c r="O10">
        <v>3.1</v>
      </c>
      <c r="P10" s="15">
        <v>0</v>
      </c>
      <c r="Q10" s="15">
        <v>0.3</v>
      </c>
      <c r="R10" s="15">
        <v>0</v>
      </c>
      <c r="S10" s="15">
        <v>0</v>
      </c>
      <c r="T10" s="15">
        <v>0.4</v>
      </c>
      <c r="U10" s="15">
        <v>0.3</v>
      </c>
      <c r="AE10" t="s">
        <v>158</v>
      </c>
      <c r="AF10" s="6">
        <v>0.9</v>
      </c>
      <c r="AG10" s="6">
        <v>0.8</v>
      </c>
      <c r="AH10" s="6">
        <v>0.86</v>
      </c>
      <c r="AI10" s="6">
        <v>1.02</v>
      </c>
      <c r="AJ10" s="6">
        <v>0.51</v>
      </c>
      <c r="AK10" s="6">
        <v>1</v>
      </c>
    </row>
    <row r="11" spans="2:49" x14ac:dyDescent="0.3">
      <c r="AE11" t="s">
        <v>159</v>
      </c>
      <c r="AF11" s="6">
        <v>0.9</v>
      </c>
      <c r="AG11" s="6">
        <v>0.8</v>
      </c>
      <c r="AH11" s="6">
        <v>0.86</v>
      </c>
      <c r="AI11" s="6">
        <v>1.02</v>
      </c>
      <c r="AJ11" s="6">
        <v>0.51</v>
      </c>
      <c r="AK11" s="6">
        <v>1</v>
      </c>
    </row>
    <row r="12" spans="2:49" x14ac:dyDescent="0.3">
      <c r="AE12" t="s">
        <v>160</v>
      </c>
      <c r="AF12" s="6">
        <v>0.9</v>
      </c>
      <c r="AG12" s="6">
        <v>0.8</v>
      </c>
      <c r="AH12" s="6">
        <v>0.86</v>
      </c>
      <c r="AI12" s="6">
        <v>1.02</v>
      </c>
      <c r="AJ12" s="6">
        <v>0.51</v>
      </c>
      <c r="AK12" s="6">
        <v>1</v>
      </c>
    </row>
    <row r="13" spans="2:49" x14ac:dyDescent="0.3">
      <c r="AE13" t="s">
        <v>161</v>
      </c>
      <c r="AF13" s="6">
        <v>1</v>
      </c>
      <c r="AG13" s="6">
        <v>1</v>
      </c>
      <c r="AH13" s="6">
        <v>0.88</v>
      </c>
      <c r="AI13" s="6">
        <v>1.06</v>
      </c>
      <c r="AJ13" s="6">
        <v>0.57999999999999996</v>
      </c>
      <c r="AK13" s="6">
        <v>1</v>
      </c>
    </row>
    <row r="14" spans="2:49" x14ac:dyDescent="0.3">
      <c r="C14" t="s">
        <v>89</v>
      </c>
      <c r="D14">
        <v>5</v>
      </c>
      <c r="E14" t="s">
        <v>88</v>
      </c>
      <c r="H14" t="s">
        <v>187</v>
      </c>
      <c r="P14" t="s">
        <v>188</v>
      </c>
      <c r="X14" t="s">
        <v>187</v>
      </c>
      <c r="Y14" t="s">
        <v>188</v>
      </c>
      <c r="AB14" t="s">
        <v>189</v>
      </c>
      <c r="AE14" t="s">
        <v>162</v>
      </c>
      <c r="AF14" s="6">
        <v>1</v>
      </c>
      <c r="AG14" s="6">
        <v>1</v>
      </c>
      <c r="AH14" s="6">
        <v>0.88</v>
      </c>
      <c r="AI14" s="6">
        <v>1.06</v>
      </c>
      <c r="AJ14" s="6">
        <v>0.57999999999999996</v>
      </c>
      <c r="AK14" s="6">
        <v>1</v>
      </c>
      <c r="AT14" t="s">
        <v>198</v>
      </c>
    </row>
    <row r="15" spans="2:49" x14ac:dyDescent="0.3">
      <c r="C15" s="16" t="s">
        <v>90</v>
      </c>
      <c r="D15" t="s">
        <v>91</v>
      </c>
      <c r="E15" t="s">
        <v>92</v>
      </c>
      <c r="F15" t="s">
        <v>93</v>
      </c>
      <c r="H15" t="s">
        <v>82</v>
      </c>
      <c r="I15" t="s">
        <v>83</v>
      </c>
      <c r="J15" t="s">
        <v>84</v>
      </c>
      <c r="K15" t="s">
        <v>85</v>
      </c>
      <c r="L15" t="s">
        <v>86</v>
      </c>
      <c r="M15" t="s">
        <v>87</v>
      </c>
      <c r="P15" t="s">
        <v>82</v>
      </c>
      <c r="Q15" t="s">
        <v>83</v>
      </c>
      <c r="R15" t="s">
        <v>84</v>
      </c>
      <c r="S15" t="s">
        <v>85</v>
      </c>
      <c r="T15" t="s">
        <v>86</v>
      </c>
      <c r="U15" t="s">
        <v>87</v>
      </c>
      <c r="AE15" t="s">
        <v>163</v>
      </c>
      <c r="AF15" s="6">
        <v>1.1000000000000001</v>
      </c>
      <c r="AG15" s="6">
        <v>1</v>
      </c>
      <c r="AH15" s="6">
        <v>0.88</v>
      </c>
      <c r="AI15" s="6">
        <v>1.06</v>
      </c>
      <c r="AJ15" s="6">
        <v>0.57999999999999996</v>
      </c>
      <c r="AK15" s="6">
        <v>1</v>
      </c>
      <c r="AV15" s="43" t="s">
        <v>187</v>
      </c>
      <c r="AW15" s="43"/>
    </row>
    <row r="16" spans="2:49" x14ac:dyDescent="0.3">
      <c r="B16" s="17" t="s">
        <v>10</v>
      </c>
      <c r="C16" s="19">
        <v>0.1</v>
      </c>
      <c r="D16" s="19">
        <v>0.1</v>
      </c>
      <c r="E16" s="19">
        <f>(14)/60</f>
        <v>0.23333333333333334</v>
      </c>
      <c r="F16" s="19">
        <f>1/60</f>
        <v>1.6666666666666666E-2</v>
      </c>
      <c r="G16" s="17"/>
      <c r="H16" s="34">
        <f>5+14.3*E16</f>
        <v>8.336666666666666</v>
      </c>
      <c r="I16" s="34">
        <f>1.1+9.8*E16</f>
        <v>3.3866666666666672</v>
      </c>
      <c r="J16" s="34">
        <f>34+84.7*E16</f>
        <v>53.763333333333335</v>
      </c>
      <c r="K16" s="34">
        <f>28+168.3*E16</f>
        <v>67.27000000000001</v>
      </c>
      <c r="L16" s="34">
        <f>60+113.2*E16</f>
        <v>86.413333333333327</v>
      </c>
      <c r="M16" s="34">
        <f>49+2.8*E16</f>
        <v>49.653333333333336</v>
      </c>
      <c r="N16" s="17"/>
      <c r="O16" s="17"/>
      <c r="P16" s="34">
        <f>5+14.3*F16</f>
        <v>5.2383333333333333</v>
      </c>
      <c r="Q16" s="34">
        <f>1.1+9.8*F16</f>
        <v>1.2633333333333334</v>
      </c>
      <c r="R16" s="34">
        <f>34+84.7*F16</f>
        <v>35.411666666666669</v>
      </c>
      <c r="S16" s="34">
        <f>28+168.3*F16</f>
        <v>30.805</v>
      </c>
      <c r="T16" s="34">
        <f>60+113.2*F16</f>
        <v>61.88666666666667</v>
      </c>
      <c r="U16" s="34">
        <f>49+2.8*F16</f>
        <v>49.046666666666667</v>
      </c>
      <c r="V16" s="17"/>
      <c r="W16" s="17"/>
      <c r="X16" s="33">
        <f>C16*SUMPRODUCT(H16:M16,P$7:U$7,AF$37:AK$37)*O$7*1000</f>
        <v>16142.371399033336</v>
      </c>
      <c r="Y16" s="17">
        <f>O$7*D16*SUMPRODUCT(P$7:U$7,P16:U16,AF$37:AK$37)*1000</f>
        <v>9712.0960642166701</v>
      </c>
      <c r="Z16" s="17"/>
      <c r="AA16" s="17"/>
      <c r="AB16" s="35">
        <f>SUM(X16:Y19)</f>
        <v>128891.65291015837</v>
      </c>
      <c r="AE16" t="s">
        <v>164</v>
      </c>
      <c r="AF16" s="6">
        <v>1.1000000000000001</v>
      </c>
      <c r="AG16" s="6">
        <v>1</v>
      </c>
      <c r="AH16" s="6">
        <v>1</v>
      </c>
      <c r="AI16" s="6">
        <v>1</v>
      </c>
      <c r="AJ16" s="6">
        <v>1</v>
      </c>
      <c r="AK16" s="6">
        <v>1</v>
      </c>
      <c r="AQ16" s="16"/>
      <c r="AT16" t="s">
        <v>197</v>
      </c>
      <c r="AU16" t="s">
        <v>196</v>
      </c>
      <c r="AV16" t="s">
        <v>194</v>
      </c>
      <c r="AW16" t="s">
        <v>195</v>
      </c>
    </row>
    <row r="17" spans="2:49" x14ac:dyDescent="0.3">
      <c r="B17" s="17" t="s">
        <v>14</v>
      </c>
      <c r="C17" s="19">
        <v>0.05</v>
      </c>
      <c r="D17" s="19">
        <v>0.05</v>
      </c>
      <c r="E17" s="19">
        <f>(7)/60</f>
        <v>0.11666666666666667</v>
      </c>
      <c r="F17" s="19">
        <f t="shared" ref="F17:F19" si="0">1/60</f>
        <v>1.6666666666666666E-2</v>
      </c>
      <c r="G17" s="17"/>
      <c r="H17" s="34">
        <f t="shared" ref="H17:H19" si="1">5+14.3*E17</f>
        <v>6.668333333333333</v>
      </c>
      <c r="I17" s="34">
        <f t="shared" ref="I17:I19" si="2">1.1+9.8*E17</f>
        <v>2.2433333333333336</v>
      </c>
      <c r="J17" s="34">
        <f t="shared" ref="J17:J19" si="3">34+84.7*E17</f>
        <v>43.881666666666668</v>
      </c>
      <c r="K17" s="34">
        <f t="shared" ref="K17:K19" si="4">28+168.3*E17</f>
        <v>47.635000000000005</v>
      </c>
      <c r="L17" s="34">
        <f t="shared" ref="L17:L19" si="5">60+113.2*E17</f>
        <v>73.206666666666663</v>
      </c>
      <c r="M17" s="34">
        <f t="shared" ref="M17:M19" si="6">49+2.8*E17</f>
        <v>49.326666666666668</v>
      </c>
      <c r="N17" s="17"/>
      <c r="O17" s="17"/>
      <c r="P17" s="34">
        <f>5+14.3*F17</f>
        <v>5.2383333333333333</v>
      </c>
      <c r="Q17" s="34">
        <f t="shared" ref="Q17:Q19" si="7">1.1+9.8*F17</f>
        <v>1.2633333333333334</v>
      </c>
      <c r="R17" s="34">
        <f t="shared" ref="R17:R19" si="8">34+84.7*F17</f>
        <v>35.411666666666669</v>
      </c>
      <c r="S17" s="34">
        <f t="shared" ref="S17:S19" si="9">28+168.3*F17</f>
        <v>30.805</v>
      </c>
      <c r="T17" s="34">
        <f t="shared" ref="T17:T19" si="10">60+113.2*F17</f>
        <v>61.88666666666667</v>
      </c>
      <c r="U17" s="34">
        <f t="shared" ref="U17:U19" si="11">49+2.8*F17</f>
        <v>49.046666666666667</v>
      </c>
      <c r="V17" s="17"/>
      <c r="W17" s="17"/>
      <c r="X17" s="33">
        <f>C17*SUMPRODUCT(H17:M17,P$7:U$7,AF$37:AK$37)*O$7*1000</f>
        <v>6339.9577247583347</v>
      </c>
      <c r="Y17" s="17">
        <f>O$7*D17*SUMPRODUCT(P$7:U$7,P17:U17,AF$37:AK$37)*1000</f>
        <v>4856.0480321083351</v>
      </c>
      <c r="Z17" s="17"/>
      <c r="AA17" s="17"/>
      <c r="AB17" s="17"/>
      <c r="AE17" s="4" t="s">
        <v>173</v>
      </c>
      <c r="AF17" s="29">
        <f>AVERAGE(AF5:AF16)</f>
        <v>1.0083333333333335</v>
      </c>
      <c r="AG17" s="29">
        <f t="shared" ref="AG17:AK17" si="12">AVERAGE(AG5:AG16)</f>
        <v>0.92499999999999993</v>
      </c>
      <c r="AH17" s="29">
        <f t="shared" si="12"/>
        <v>0.9025000000000003</v>
      </c>
      <c r="AI17" s="29">
        <f t="shared" si="12"/>
        <v>1.02</v>
      </c>
      <c r="AJ17" s="29">
        <f t="shared" si="12"/>
        <v>0.69</v>
      </c>
      <c r="AK17" s="29">
        <f t="shared" si="12"/>
        <v>1</v>
      </c>
      <c r="AP17" s="17"/>
      <c r="AQ17" s="19"/>
      <c r="AR17" s="19"/>
      <c r="AS17" s="19"/>
      <c r="AT17" s="42" t="s">
        <v>89</v>
      </c>
      <c r="AU17" t="s">
        <v>10</v>
      </c>
      <c r="AV17">
        <v>15</v>
      </c>
      <c r="AW17">
        <v>14</v>
      </c>
    </row>
    <row r="18" spans="2:49" x14ac:dyDescent="0.3">
      <c r="B18" s="17" t="s">
        <v>16</v>
      </c>
      <c r="C18" s="19">
        <v>0.15000000000000002</v>
      </c>
      <c r="D18" s="19">
        <v>0.15000000000000002</v>
      </c>
      <c r="E18" s="19">
        <f>(36)/60</f>
        <v>0.6</v>
      </c>
      <c r="F18" s="19">
        <f t="shared" si="0"/>
        <v>1.6666666666666666E-2</v>
      </c>
      <c r="G18" s="17"/>
      <c r="H18" s="34">
        <f t="shared" si="1"/>
        <v>13.58</v>
      </c>
      <c r="I18" s="34">
        <f t="shared" si="2"/>
        <v>6.98</v>
      </c>
      <c r="J18" s="34">
        <f t="shared" si="3"/>
        <v>84.82</v>
      </c>
      <c r="K18" s="34">
        <f t="shared" si="4"/>
        <v>128.98000000000002</v>
      </c>
      <c r="L18" s="34">
        <f t="shared" si="5"/>
        <v>127.92</v>
      </c>
      <c r="M18" s="34">
        <f t="shared" si="6"/>
        <v>50.68</v>
      </c>
      <c r="N18" s="17"/>
      <c r="O18" s="17"/>
      <c r="P18" s="34">
        <f t="shared" ref="P18:P19" si="13">5+14.3*F18</f>
        <v>5.2383333333333333</v>
      </c>
      <c r="Q18" s="34">
        <f t="shared" si="7"/>
        <v>1.2633333333333334</v>
      </c>
      <c r="R18" s="34">
        <f t="shared" si="8"/>
        <v>35.411666666666669</v>
      </c>
      <c r="S18" s="34">
        <f t="shared" si="9"/>
        <v>30.805</v>
      </c>
      <c r="T18" s="34">
        <f t="shared" si="10"/>
        <v>61.88666666666667</v>
      </c>
      <c r="U18" s="34">
        <f t="shared" si="11"/>
        <v>49.046666666666667</v>
      </c>
      <c r="V18" s="17"/>
      <c r="W18" s="17"/>
      <c r="X18" s="33">
        <f>C18*SUMPRODUCT(H18:M18,P$7:U$7,AF$37:AK$37)*O$7*1000</f>
        <v>40536.56371770001</v>
      </c>
      <c r="Y18" s="17">
        <f>O$7*D18*SUMPRODUCT(P$7:U$7,P18:U18,AF$37:AK$37)*1000</f>
        <v>14568.144096325006</v>
      </c>
      <c r="Z18" s="17"/>
      <c r="AA18" s="17"/>
      <c r="AB18" s="17"/>
      <c r="AP18" s="17"/>
      <c r="AQ18" s="19"/>
      <c r="AR18" s="19"/>
      <c r="AS18" s="19"/>
      <c r="AT18" s="42"/>
      <c r="AU18" t="s">
        <v>14</v>
      </c>
      <c r="AV18">
        <v>8</v>
      </c>
      <c r="AW18">
        <v>7</v>
      </c>
    </row>
    <row r="19" spans="2:49" x14ac:dyDescent="0.3">
      <c r="B19" s="17" t="s">
        <v>18</v>
      </c>
      <c r="C19" s="19">
        <v>0.1</v>
      </c>
      <c r="D19" s="19">
        <v>0.1</v>
      </c>
      <c r="E19" s="19">
        <f>(36)/60</f>
        <v>0.6</v>
      </c>
      <c r="F19" s="19">
        <f t="shared" si="0"/>
        <v>1.6666666666666666E-2</v>
      </c>
      <c r="G19" s="17"/>
      <c r="H19" s="34">
        <f t="shared" si="1"/>
        <v>13.58</v>
      </c>
      <c r="I19" s="34">
        <f t="shared" si="2"/>
        <v>6.98</v>
      </c>
      <c r="J19" s="34">
        <f t="shared" si="3"/>
        <v>84.82</v>
      </c>
      <c r="K19" s="34">
        <f t="shared" si="4"/>
        <v>128.98000000000002</v>
      </c>
      <c r="L19" s="34">
        <f t="shared" si="5"/>
        <v>127.92</v>
      </c>
      <c r="M19" s="34">
        <f t="shared" si="6"/>
        <v>50.68</v>
      </c>
      <c r="N19" s="17"/>
      <c r="O19" s="17"/>
      <c r="P19" s="34">
        <f t="shared" si="13"/>
        <v>5.2383333333333333</v>
      </c>
      <c r="Q19" s="34">
        <f t="shared" si="7"/>
        <v>1.2633333333333334</v>
      </c>
      <c r="R19" s="34">
        <f t="shared" si="8"/>
        <v>35.411666666666669</v>
      </c>
      <c r="S19" s="34">
        <f t="shared" si="9"/>
        <v>30.805</v>
      </c>
      <c r="T19" s="34">
        <f t="shared" si="10"/>
        <v>61.88666666666667</v>
      </c>
      <c r="U19" s="34">
        <f t="shared" si="11"/>
        <v>49.046666666666667</v>
      </c>
      <c r="V19" s="17"/>
      <c r="W19" s="17"/>
      <c r="X19" s="33">
        <f>C19*SUMPRODUCT(H19:M19,P$7:U$7,AF$37:AK$37)*O$7*1000</f>
        <v>27024.375811800004</v>
      </c>
      <c r="Y19" s="17">
        <f>O$7*D19*SUMPRODUCT(P$7:U$7,P19:U19,AF$37:AK$37)*1000</f>
        <v>9712.0960642166701</v>
      </c>
      <c r="Z19" s="17"/>
      <c r="AA19" s="17"/>
      <c r="AB19" s="17"/>
      <c r="AE19" s="27" t="s">
        <v>174</v>
      </c>
      <c r="AF19" s="1" t="s">
        <v>172</v>
      </c>
      <c r="AP19" s="17"/>
      <c r="AQ19" s="19"/>
      <c r="AR19" s="19"/>
      <c r="AS19" s="19"/>
      <c r="AT19" s="42"/>
      <c r="AU19" t="s">
        <v>16</v>
      </c>
      <c r="AV19">
        <v>22</v>
      </c>
      <c r="AW19">
        <v>36</v>
      </c>
    </row>
    <row r="20" spans="2:49" ht="57.6" x14ac:dyDescent="0.3">
      <c r="C20" t="s">
        <v>96</v>
      </c>
      <c r="D20" t="s">
        <v>96</v>
      </c>
      <c r="E20" t="s">
        <v>97</v>
      </c>
      <c r="F20" t="s">
        <v>97</v>
      </c>
      <c r="AE20" s="28" t="s">
        <v>165</v>
      </c>
      <c r="AF20" s="28" t="s">
        <v>82</v>
      </c>
      <c r="AG20" s="28" t="s">
        <v>83</v>
      </c>
      <c r="AH20" s="28" t="s">
        <v>84</v>
      </c>
      <c r="AI20" s="28" t="s">
        <v>150</v>
      </c>
      <c r="AJ20" s="28" t="s">
        <v>151</v>
      </c>
      <c r="AK20" s="28" t="s">
        <v>152</v>
      </c>
      <c r="AP20" s="17"/>
      <c r="AQ20" s="19"/>
      <c r="AR20" s="19"/>
      <c r="AS20" s="19"/>
      <c r="AT20" s="42"/>
      <c r="AU20" t="s">
        <v>18</v>
      </c>
      <c r="AV20">
        <v>28</v>
      </c>
      <c r="AW20">
        <v>36</v>
      </c>
    </row>
    <row r="21" spans="2:49" x14ac:dyDescent="0.3">
      <c r="AE21" t="s">
        <v>166</v>
      </c>
      <c r="AF21" s="6">
        <v>1</v>
      </c>
      <c r="AG21" s="6">
        <v>1</v>
      </c>
      <c r="AH21" s="6">
        <v>1</v>
      </c>
      <c r="AI21" s="6">
        <v>1</v>
      </c>
      <c r="AJ21" s="6">
        <v>1</v>
      </c>
      <c r="AK21" s="6">
        <v>1</v>
      </c>
      <c r="AT21" s="42" t="s">
        <v>116</v>
      </c>
      <c r="AU21" t="s">
        <v>10</v>
      </c>
      <c r="AV21">
        <v>9</v>
      </c>
      <c r="AW21">
        <v>8</v>
      </c>
    </row>
    <row r="22" spans="2:49" x14ac:dyDescent="0.3">
      <c r="AE22" t="s">
        <v>167</v>
      </c>
      <c r="AF22" s="6">
        <v>1.1000000000000001</v>
      </c>
      <c r="AG22" s="6">
        <v>1.1000000000000001</v>
      </c>
      <c r="AH22" s="6">
        <v>0.13</v>
      </c>
      <c r="AI22" s="6">
        <v>0.45</v>
      </c>
      <c r="AJ22" s="6">
        <v>0.3</v>
      </c>
      <c r="AK22" s="6">
        <v>1</v>
      </c>
      <c r="AT22" s="42"/>
      <c r="AU22" t="s">
        <v>14</v>
      </c>
      <c r="AV22">
        <v>249</v>
      </c>
      <c r="AW22">
        <v>248</v>
      </c>
    </row>
    <row r="23" spans="2:49" x14ac:dyDescent="0.3">
      <c r="AE23" t="s">
        <v>168</v>
      </c>
      <c r="AF23" s="6">
        <v>1.1000000000000001</v>
      </c>
      <c r="AG23" s="6">
        <v>1.1000000000000001</v>
      </c>
      <c r="AH23" s="6">
        <v>0.14000000000000001</v>
      </c>
      <c r="AI23" s="6">
        <v>0.11</v>
      </c>
      <c r="AJ23" s="6">
        <v>0.28999999999999998</v>
      </c>
      <c r="AK23" s="6">
        <v>1</v>
      </c>
      <c r="AT23" s="42"/>
      <c r="AU23" t="s">
        <v>16</v>
      </c>
      <c r="AV23">
        <v>9</v>
      </c>
      <c r="AW23">
        <v>8</v>
      </c>
    </row>
    <row r="24" spans="2:49" x14ac:dyDescent="0.3">
      <c r="C24" t="s">
        <v>116</v>
      </c>
      <c r="D24">
        <v>4</v>
      </c>
      <c r="E24" t="s">
        <v>88</v>
      </c>
      <c r="H24" t="s">
        <v>187</v>
      </c>
      <c r="P24" t="s">
        <v>188</v>
      </c>
      <c r="X24" t="s">
        <v>187</v>
      </c>
      <c r="Y24" t="s">
        <v>188</v>
      </c>
      <c r="AB24" t="s">
        <v>190</v>
      </c>
      <c r="AE24" s="4" t="s">
        <v>175</v>
      </c>
      <c r="AF24" s="29">
        <f>(AF21*5+AF22+AF23)/7</f>
        <v>1.0285714285714285</v>
      </c>
      <c r="AG24" s="29">
        <f t="shared" ref="AG24:AK24" si="14">(AG21*5+AG22+AG23)/7</f>
        <v>1.0285714285714285</v>
      </c>
      <c r="AH24" s="29">
        <f t="shared" si="14"/>
        <v>0.75285714285714278</v>
      </c>
      <c r="AI24" s="29">
        <f t="shared" si="14"/>
        <v>0.79428571428571437</v>
      </c>
      <c r="AJ24" s="29">
        <f t="shared" si="14"/>
        <v>0.7985714285714286</v>
      </c>
      <c r="AK24" s="29">
        <f t="shared" si="14"/>
        <v>1</v>
      </c>
      <c r="AT24" s="42"/>
      <c r="AU24" t="s">
        <v>18</v>
      </c>
      <c r="AV24">
        <v>9</v>
      </c>
      <c r="AW24">
        <v>8</v>
      </c>
    </row>
    <row r="25" spans="2:49" x14ac:dyDescent="0.3">
      <c r="C25" s="16" t="s">
        <v>90</v>
      </c>
      <c r="D25" t="s">
        <v>91</v>
      </c>
      <c r="E25" t="s">
        <v>92</v>
      </c>
      <c r="F25" t="s">
        <v>93</v>
      </c>
      <c r="H25" t="s">
        <v>82</v>
      </c>
      <c r="I25" t="s">
        <v>83</v>
      </c>
      <c r="J25" t="s">
        <v>84</v>
      </c>
      <c r="K25" t="s">
        <v>85</v>
      </c>
      <c r="L25" t="s">
        <v>86</v>
      </c>
      <c r="M25" t="s">
        <v>87</v>
      </c>
      <c r="P25" t="s">
        <v>82</v>
      </c>
      <c r="Q25" t="s">
        <v>83</v>
      </c>
      <c r="R25" t="s">
        <v>84</v>
      </c>
      <c r="S25" t="s">
        <v>85</v>
      </c>
      <c r="T25" t="s">
        <v>86</v>
      </c>
      <c r="U25" t="s">
        <v>87</v>
      </c>
      <c r="AT25" s="42" t="s">
        <v>117</v>
      </c>
      <c r="AU25" t="s">
        <v>10</v>
      </c>
      <c r="AV25">
        <v>15</v>
      </c>
      <c r="AW25">
        <v>14</v>
      </c>
    </row>
    <row r="26" spans="2:49" x14ac:dyDescent="0.3">
      <c r="B26" s="17" t="s">
        <v>10</v>
      </c>
      <c r="C26" s="19">
        <v>0.1</v>
      </c>
      <c r="D26" s="19">
        <v>0.1</v>
      </c>
      <c r="E26" s="19">
        <f>(8)/60</f>
        <v>0.13333333333333333</v>
      </c>
      <c r="F26" s="19">
        <f>1/60</f>
        <v>1.6666666666666666E-2</v>
      </c>
      <c r="G26" s="17"/>
      <c r="H26" s="34">
        <f>5+14.3*E26</f>
        <v>6.9066666666666663</v>
      </c>
      <c r="I26" s="34">
        <f>1.1+9.8*E26</f>
        <v>2.4066666666666667</v>
      </c>
      <c r="J26" s="34">
        <f>34+84.7*E26</f>
        <v>45.293333333333337</v>
      </c>
      <c r="K26" s="34">
        <f>28+168.3*E26</f>
        <v>50.44</v>
      </c>
      <c r="L26" s="34">
        <f>60+113.2*E26</f>
        <v>75.093333333333334</v>
      </c>
      <c r="M26" s="34">
        <f>49+2.8*E26</f>
        <v>49.373333333333335</v>
      </c>
      <c r="N26" s="17"/>
      <c r="O26" s="17"/>
      <c r="P26" s="34">
        <f>5+14.3*F26</f>
        <v>5.2383333333333333</v>
      </c>
      <c r="Q26" s="34">
        <f>1.1+9.8*F26</f>
        <v>1.2633333333333334</v>
      </c>
      <c r="R26" s="34">
        <f>34+84.7*F26</f>
        <v>35.411666666666669</v>
      </c>
      <c r="S26" s="34">
        <f>28+168.3*F26</f>
        <v>30.805</v>
      </c>
      <c r="T26" s="34">
        <f>60+113.2*F26</f>
        <v>61.88666666666667</v>
      </c>
      <c r="U26" s="34">
        <f>49+2.8*F26</f>
        <v>49.046666666666667</v>
      </c>
      <c r="V26" s="17"/>
      <c r="W26" s="17"/>
      <c r="X26" s="33">
        <f>C26*SUMPRODUCT(H26:M26,P$8:U$8,AF$37:AK$37)*O$8*1000</f>
        <v>9148.8698676433341</v>
      </c>
      <c r="Y26" s="17">
        <f>O$8*D26*SUMPRODUCT(P$8:U$8,P26:U26,AF$37:AK$37)*1000</f>
        <v>5859.5970213929186</v>
      </c>
      <c r="Z26" s="17"/>
      <c r="AA26" s="17"/>
      <c r="AB26" s="35">
        <f>SUM(X26:Y29)</f>
        <v>99328.702310075052</v>
      </c>
      <c r="AE26" s="27" t="s">
        <v>176</v>
      </c>
      <c r="AF26" s="1" t="s">
        <v>172</v>
      </c>
      <c r="AQ26" s="16"/>
      <c r="AT26" s="42"/>
      <c r="AU26" t="s">
        <v>14</v>
      </c>
      <c r="AV26">
        <v>8</v>
      </c>
      <c r="AW26">
        <v>7</v>
      </c>
    </row>
    <row r="27" spans="2:49" ht="57.6" x14ac:dyDescent="0.3">
      <c r="B27" s="17" t="s">
        <v>14</v>
      </c>
      <c r="C27" s="19">
        <v>0.05</v>
      </c>
      <c r="D27" s="19">
        <v>0.05</v>
      </c>
      <c r="E27" s="19">
        <f>(248)/60</f>
        <v>4.1333333333333337</v>
      </c>
      <c r="F27" s="19">
        <f t="shared" ref="F27:F29" si="15">1/60</f>
        <v>1.6666666666666666E-2</v>
      </c>
      <c r="G27" s="17"/>
      <c r="H27" s="34">
        <f>66+14.3*(E27-4)</f>
        <v>67.906666666666666</v>
      </c>
      <c r="I27" s="34">
        <f>1.1+9.8*E27</f>
        <v>41.606666666666676</v>
      </c>
      <c r="J27" s="34">
        <f>365+55.6*(E27-4)</f>
        <v>372.41333333333336</v>
      </c>
      <c r="K27" s="17">
        <f>469+141.3*(E27-4)</f>
        <v>487.84000000000003</v>
      </c>
      <c r="L27" s="34">
        <f>257+51.8*(E27-4)</f>
        <v>263.90666666666669</v>
      </c>
      <c r="M27" s="34">
        <f>91+2.8*E27</f>
        <v>102.57333333333334</v>
      </c>
      <c r="N27" s="17"/>
      <c r="O27" s="17"/>
      <c r="P27" s="34">
        <f>5+14.3*F27</f>
        <v>5.2383333333333333</v>
      </c>
      <c r="Q27" s="34">
        <f t="shared" ref="Q27:Q29" si="16">1.1+9.8*F27</f>
        <v>1.2633333333333334</v>
      </c>
      <c r="R27" s="34">
        <f t="shared" ref="R27:R29" si="17">34+84.7*F27</f>
        <v>35.411666666666669</v>
      </c>
      <c r="S27" s="34">
        <f t="shared" ref="S27:S29" si="18">28+168.3*F27</f>
        <v>30.805</v>
      </c>
      <c r="T27" s="34">
        <f t="shared" ref="T27:T29" si="19">60+113.2*F27</f>
        <v>61.88666666666667</v>
      </c>
      <c r="U27" s="34">
        <f t="shared" ref="U27:U29" si="20">49+2.8*F27</f>
        <v>49.046666666666667</v>
      </c>
      <c r="V27" s="17"/>
      <c r="W27" s="17"/>
      <c r="X27" s="33">
        <f t="shared" ref="X27:X29" si="21">C27*SUMPRODUCT(H27:M27,P$8:U$8,AF$37:AK$37)*O$8*1000</f>
        <v>43869.269687751679</v>
      </c>
      <c r="Y27" s="17">
        <f>O$8*D27*SUMPRODUCT(P$8:U$8,P27:U27,AF$37:AK$37)*1000</f>
        <v>2929.7985106964593</v>
      </c>
      <c r="Z27" s="17"/>
      <c r="AA27" s="17"/>
      <c r="AB27" s="17"/>
      <c r="AE27" s="28" t="s">
        <v>177</v>
      </c>
      <c r="AF27" s="28" t="s">
        <v>82</v>
      </c>
      <c r="AG27" s="28" t="s">
        <v>83</v>
      </c>
      <c r="AH27" s="28" t="s">
        <v>84</v>
      </c>
      <c r="AI27" s="28" t="s">
        <v>150</v>
      </c>
      <c r="AJ27" s="28" t="s">
        <v>151</v>
      </c>
      <c r="AK27" s="28" t="s">
        <v>152</v>
      </c>
      <c r="AP27" s="17"/>
      <c r="AQ27" s="19"/>
      <c r="AR27" s="19"/>
      <c r="AS27" s="19"/>
      <c r="AT27" s="42"/>
      <c r="AU27" t="s">
        <v>16</v>
      </c>
      <c r="AV27">
        <v>33</v>
      </c>
      <c r="AW27">
        <v>51</v>
      </c>
    </row>
    <row r="28" spans="2:49" x14ac:dyDescent="0.3">
      <c r="B28" s="17" t="s">
        <v>16</v>
      </c>
      <c r="C28" s="19">
        <v>0.15000000000000002</v>
      </c>
      <c r="D28" s="19">
        <v>0.15000000000000002</v>
      </c>
      <c r="E28" s="19">
        <f>(8)/60</f>
        <v>0.13333333333333333</v>
      </c>
      <c r="F28" s="19">
        <f t="shared" si="15"/>
        <v>1.6666666666666666E-2</v>
      </c>
      <c r="G28" s="17"/>
      <c r="H28" s="34">
        <f t="shared" ref="H28:H29" si="22">5+14.3*E28</f>
        <v>6.9066666666666663</v>
      </c>
      <c r="I28" s="34">
        <f t="shared" ref="I28:I29" si="23">1.1+9.8*E28</f>
        <v>2.4066666666666667</v>
      </c>
      <c r="J28" s="34">
        <f>34+84.7*E28</f>
        <v>45.293333333333337</v>
      </c>
      <c r="K28" s="34">
        <f t="shared" ref="K28:K29" si="24">28+168.3*E28</f>
        <v>50.44</v>
      </c>
      <c r="L28" s="34">
        <f t="shared" ref="L28:L29" si="25">60+113.2*E28</f>
        <v>75.093333333333334</v>
      </c>
      <c r="M28" s="34">
        <f t="shared" ref="M28:M29" si="26">49+2.8*E28</f>
        <v>49.373333333333335</v>
      </c>
      <c r="N28" s="17"/>
      <c r="O28" s="17"/>
      <c r="P28" s="34">
        <f t="shared" ref="P28:P29" si="27">5+14.3*F28</f>
        <v>5.2383333333333333</v>
      </c>
      <c r="Q28" s="34">
        <f t="shared" si="16"/>
        <v>1.2633333333333334</v>
      </c>
      <c r="R28" s="34">
        <f t="shared" si="17"/>
        <v>35.411666666666669</v>
      </c>
      <c r="S28" s="34">
        <f t="shared" si="18"/>
        <v>30.805</v>
      </c>
      <c r="T28" s="34">
        <f t="shared" si="19"/>
        <v>61.88666666666667</v>
      </c>
      <c r="U28" s="34">
        <f t="shared" si="20"/>
        <v>49.046666666666667</v>
      </c>
      <c r="V28" s="17"/>
      <c r="W28" s="17"/>
      <c r="X28" s="33">
        <f>C28*SUMPRODUCT(H28:M28,P$8:U$8,AF$37:AK$37)*O$8*1000</f>
        <v>13723.304801465001</v>
      </c>
      <c r="Y28" s="17">
        <f>O$8*D28*SUMPRODUCT(P$8:U$8,P28:U28,AF$37:AK$37)*1000</f>
        <v>8789.3955320893801</v>
      </c>
      <c r="Z28" s="17"/>
      <c r="AA28" s="17"/>
      <c r="AB28" s="17"/>
      <c r="AE28" t="s">
        <v>178</v>
      </c>
      <c r="AF28" s="6">
        <v>0.8</v>
      </c>
      <c r="AG28" s="6">
        <v>0.9</v>
      </c>
      <c r="AH28" s="6">
        <v>0.12</v>
      </c>
      <c r="AI28" s="6">
        <v>0.11</v>
      </c>
      <c r="AJ28" s="6">
        <v>0.43</v>
      </c>
      <c r="AK28" s="6">
        <v>1</v>
      </c>
      <c r="AP28" s="17"/>
      <c r="AQ28" s="19"/>
      <c r="AR28" s="19"/>
      <c r="AS28" s="19"/>
      <c r="AT28" s="42"/>
      <c r="AU28" t="s">
        <v>18</v>
      </c>
      <c r="AV28">
        <v>28</v>
      </c>
      <c r="AW28">
        <v>36</v>
      </c>
    </row>
    <row r="29" spans="2:49" x14ac:dyDescent="0.3">
      <c r="B29" s="17" t="s">
        <v>18</v>
      </c>
      <c r="C29" s="19">
        <v>0.1</v>
      </c>
      <c r="D29" s="19">
        <v>0.1</v>
      </c>
      <c r="E29" s="19">
        <f>(8)/60</f>
        <v>0.13333333333333333</v>
      </c>
      <c r="F29" s="19">
        <f t="shared" si="15"/>
        <v>1.6666666666666666E-2</v>
      </c>
      <c r="G29" s="17"/>
      <c r="H29" s="34">
        <f t="shared" si="22"/>
        <v>6.9066666666666663</v>
      </c>
      <c r="I29" s="34">
        <f t="shared" si="23"/>
        <v>2.4066666666666667</v>
      </c>
      <c r="J29" s="34">
        <f>34+84.7*E29</f>
        <v>45.293333333333337</v>
      </c>
      <c r="K29" s="34">
        <f t="shared" si="24"/>
        <v>50.44</v>
      </c>
      <c r="L29" s="34">
        <f t="shared" si="25"/>
        <v>75.093333333333334</v>
      </c>
      <c r="M29" s="34">
        <f t="shared" si="26"/>
        <v>49.373333333333335</v>
      </c>
      <c r="N29" s="17"/>
      <c r="O29" s="17"/>
      <c r="P29" s="34">
        <f t="shared" si="27"/>
        <v>5.2383333333333333</v>
      </c>
      <c r="Q29" s="34">
        <f t="shared" si="16"/>
        <v>1.2633333333333334</v>
      </c>
      <c r="R29" s="34">
        <f t="shared" si="17"/>
        <v>35.411666666666669</v>
      </c>
      <c r="S29" s="34">
        <f t="shared" si="18"/>
        <v>30.805</v>
      </c>
      <c r="T29" s="34">
        <f t="shared" si="19"/>
        <v>61.88666666666667</v>
      </c>
      <c r="U29" s="34">
        <f t="shared" si="20"/>
        <v>49.046666666666667</v>
      </c>
      <c r="V29" s="17"/>
      <c r="W29" s="17"/>
      <c r="X29" s="33">
        <f t="shared" si="21"/>
        <v>9148.8698676433341</v>
      </c>
      <c r="Y29" s="17">
        <f t="shared" ref="Y29" si="28">O$8*D29*SUMPRODUCT(P$8:U$8,P29:U29,AF$37:AK$37)*1000</f>
        <v>5859.5970213929186</v>
      </c>
      <c r="Z29" s="17"/>
      <c r="AA29" s="17"/>
      <c r="AB29" s="17"/>
      <c r="AE29" t="s">
        <v>179</v>
      </c>
      <c r="AF29" s="6">
        <v>1</v>
      </c>
      <c r="AG29" s="6">
        <v>1</v>
      </c>
      <c r="AH29" s="6">
        <v>1</v>
      </c>
      <c r="AI29" s="6">
        <v>1</v>
      </c>
      <c r="AJ29" s="6">
        <v>1</v>
      </c>
      <c r="AK29" s="6">
        <v>1</v>
      </c>
      <c r="AP29" s="17"/>
      <c r="AQ29" s="19"/>
      <c r="AR29" s="19"/>
      <c r="AS29" s="19"/>
      <c r="AT29" s="42" t="s">
        <v>118</v>
      </c>
      <c r="AU29" t="s">
        <v>10</v>
      </c>
      <c r="AV29">
        <v>15</v>
      </c>
      <c r="AW29">
        <v>14</v>
      </c>
    </row>
    <row r="30" spans="2:49" x14ac:dyDescent="0.3">
      <c r="C30" t="s">
        <v>96</v>
      </c>
      <c r="D30" t="s">
        <v>96</v>
      </c>
      <c r="E30" t="s">
        <v>97</v>
      </c>
      <c r="F30" t="s">
        <v>97</v>
      </c>
      <c r="AE30" t="s">
        <v>180</v>
      </c>
      <c r="AF30" s="6">
        <v>0.9</v>
      </c>
      <c r="AG30" s="6">
        <v>1</v>
      </c>
      <c r="AH30" s="6">
        <v>1</v>
      </c>
      <c r="AI30" s="6">
        <v>1</v>
      </c>
      <c r="AJ30" s="6">
        <v>1</v>
      </c>
      <c r="AK30" s="6">
        <v>1</v>
      </c>
      <c r="AP30" s="17"/>
      <c r="AQ30" s="19"/>
      <c r="AR30" s="19"/>
      <c r="AS30" s="19"/>
      <c r="AT30" s="42"/>
      <c r="AU30" t="s">
        <v>14</v>
      </c>
      <c r="AV30">
        <v>8</v>
      </c>
      <c r="AW30">
        <v>7</v>
      </c>
    </row>
    <row r="31" spans="2:49" x14ac:dyDescent="0.3">
      <c r="C31" s="16"/>
      <c r="AE31" t="s">
        <v>181</v>
      </c>
      <c r="AF31" s="6">
        <v>0.7</v>
      </c>
      <c r="AG31" s="6">
        <v>1</v>
      </c>
      <c r="AH31" s="6">
        <v>1</v>
      </c>
      <c r="AI31" s="6">
        <v>1</v>
      </c>
      <c r="AJ31" s="6">
        <v>1</v>
      </c>
      <c r="AK31" s="6">
        <v>1</v>
      </c>
      <c r="AT31" s="42"/>
      <c r="AU31" t="s">
        <v>16</v>
      </c>
      <c r="AV31">
        <v>33</v>
      </c>
      <c r="AW31">
        <v>51</v>
      </c>
    </row>
    <row r="32" spans="2:49" x14ac:dyDescent="0.3">
      <c r="AE32" t="s">
        <v>182</v>
      </c>
      <c r="AF32" s="6">
        <v>1</v>
      </c>
      <c r="AG32" s="6">
        <v>1.1000000000000001</v>
      </c>
      <c r="AH32" s="6">
        <v>1</v>
      </c>
      <c r="AI32" s="6">
        <v>1</v>
      </c>
      <c r="AJ32" s="6">
        <v>1</v>
      </c>
      <c r="AK32" s="6">
        <v>1</v>
      </c>
      <c r="AQ32" s="16"/>
      <c r="AT32" s="42"/>
      <c r="AU32" t="s">
        <v>18</v>
      </c>
      <c r="AV32">
        <v>268</v>
      </c>
      <c r="AW32">
        <v>281</v>
      </c>
    </row>
    <row r="33" spans="2:45" x14ac:dyDescent="0.3">
      <c r="C33" t="s">
        <v>117</v>
      </c>
      <c r="D33">
        <v>3</v>
      </c>
      <c r="E33" t="s">
        <v>88</v>
      </c>
      <c r="H33" t="s">
        <v>187</v>
      </c>
      <c r="P33" t="s">
        <v>188</v>
      </c>
      <c r="X33" t="s">
        <v>187</v>
      </c>
      <c r="Y33" t="s">
        <v>188</v>
      </c>
      <c r="AB33" t="s">
        <v>191</v>
      </c>
      <c r="AE33" t="s">
        <v>183</v>
      </c>
      <c r="AF33" s="6">
        <v>1</v>
      </c>
      <c r="AG33" s="6">
        <v>1.1000000000000001</v>
      </c>
      <c r="AH33" s="6">
        <v>0.14000000000000001</v>
      </c>
      <c r="AI33" s="6">
        <v>0.3</v>
      </c>
      <c r="AJ33" s="6">
        <v>0.31</v>
      </c>
      <c r="AK33" s="6">
        <v>1</v>
      </c>
    </row>
    <row r="34" spans="2:45" x14ac:dyDescent="0.3">
      <c r="C34" s="16" t="s">
        <v>90</v>
      </c>
      <c r="D34" t="s">
        <v>91</v>
      </c>
      <c r="E34" t="s">
        <v>92</v>
      </c>
      <c r="F34" t="s">
        <v>93</v>
      </c>
      <c r="H34" t="s">
        <v>82</v>
      </c>
      <c r="I34" t="s">
        <v>83</v>
      </c>
      <c r="J34" t="s">
        <v>84</v>
      </c>
      <c r="K34" t="s">
        <v>85</v>
      </c>
      <c r="L34" t="s">
        <v>86</v>
      </c>
      <c r="M34" t="s">
        <v>87</v>
      </c>
      <c r="P34" t="s">
        <v>82</v>
      </c>
      <c r="Q34" t="s">
        <v>83</v>
      </c>
      <c r="R34" t="s">
        <v>84</v>
      </c>
      <c r="S34" t="s">
        <v>85</v>
      </c>
      <c r="T34" t="s">
        <v>86</v>
      </c>
      <c r="U34" t="s">
        <v>87</v>
      </c>
      <c r="AE34" t="s">
        <v>184</v>
      </c>
      <c r="AF34" s="6">
        <v>0.8</v>
      </c>
      <c r="AG34" s="6">
        <v>1.1000000000000001</v>
      </c>
      <c r="AH34" s="6">
        <v>0.14000000000000001</v>
      </c>
      <c r="AI34" s="6">
        <v>0.28999999999999998</v>
      </c>
      <c r="AJ34" s="6">
        <v>0.31</v>
      </c>
      <c r="AK34" s="6">
        <v>1</v>
      </c>
    </row>
    <row r="35" spans="2:45" x14ac:dyDescent="0.3">
      <c r="B35" s="17" t="s">
        <v>10</v>
      </c>
      <c r="C35" s="19">
        <v>0.1</v>
      </c>
      <c r="D35" s="19">
        <v>0.1</v>
      </c>
      <c r="E35" s="19">
        <f>(14)/60</f>
        <v>0.23333333333333334</v>
      </c>
      <c r="F35" s="19">
        <f>1/60</f>
        <v>1.6666666666666666E-2</v>
      </c>
      <c r="G35" s="17"/>
      <c r="H35" s="34">
        <f>5+14.3*E35</f>
        <v>8.336666666666666</v>
      </c>
      <c r="I35" s="34">
        <f>1.1+9.8*E35</f>
        <v>3.3866666666666672</v>
      </c>
      <c r="J35" s="34">
        <f>34+84.7*E35</f>
        <v>53.763333333333335</v>
      </c>
      <c r="K35" s="34">
        <f>28+168.3*E35</f>
        <v>67.27000000000001</v>
      </c>
      <c r="L35" s="34">
        <f>60+113.2*E35</f>
        <v>86.413333333333327</v>
      </c>
      <c r="M35" s="34">
        <f>49+2.8*E35</f>
        <v>49.653333333333336</v>
      </c>
      <c r="N35" s="17"/>
      <c r="O35" s="17"/>
      <c r="P35" s="34">
        <f>5+14.3*F35</f>
        <v>5.2383333333333333</v>
      </c>
      <c r="Q35" s="34">
        <f>1.1+9.8*F35</f>
        <v>1.2633333333333334</v>
      </c>
      <c r="R35" s="34">
        <f>34+84.7*F35</f>
        <v>35.411666666666669</v>
      </c>
      <c r="S35" s="34">
        <f>28+168.3*F35</f>
        <v>30.805</v>
      </c>
      <c r="T35" s="34">
        <f>60+113.2*F35</f>
        <v>61.88666666666667</v>
      </c>
      <c r="U35" s="34">
        <f>49+2.8*F35</f>
        <v>49.046666666666667</v>
      </c>
      <c r="V35" s="17"/>
      <c r="W35" s="17"/>
      <c r="X35" s="33">
        <f>C35*SUMPRODUCT(H35:M35,P$9:U$9,AF$37:AK$37)*O$9*1000</f>
        <v>3130.3537975999998</v>
      </c>
      <c r="Y35" s="17">
        <f>O$9*D35*SUMPRODUCT(P$9:U$9,P35:U35,AF$37:AK$37)*1000</f>
        <v>1915.6239569714289</v>
      </c>
      <c r="Z35" s="17"/>
      <c r="AA35" s="17"/>
      <c r="AB35" s="35">
        <f>SUM(X35:Y38)</f>
        <v>27098.527034171435</v>
      </c>
      <c r="AE35" s="4" t="s">
        <v>185</v>
      </c>
      <c r="AF35" s="29">
        <f>(AF28*6+AF29*2+AF30*4+AF31*4+AF32*2+AF33*2+AF34*4)/24</f>
        <v>0.85</v>
      </c>
      <c r="AG35" s="29">
        <f t="shared" ref="AG35:AK35" si="29">(AG28*6+AG29*2+AG30*4+AG31*4+AG32*2+AG33*2+AG34*4)/24</f>
        <v>1.0083333333333335</v>
      </c>
      <c r="AH35" s="29">
        <f t="shared" si="29"/>
        <v>0.56499999999999995</v>
      </c>
      <c r="AI35" s="29">
        <f t="shared" si="29"/>
        <v>0.60083333333333333</v>
      </c>
      <c r="AJ35" s="29">
        <f t="shared" si="29"/>
        <v>0.68499999999999994</v>
      </c>
      <c r="AK35" s="29">
        <f t="shared" si="29"/>
        <v>1</v>
      </c>
      <c r="AQ35" s="16"/>
    </row>
    <row r="36" spans="2:45" x14ac:dyDescent="0.3">
      <c r="B36" s="17" t="s">
        <v>14</v>
      </c>
      <c r="C36" s="19">
        <v>0.05</v>
      </c>
      <c r="D36" s="19">
        <v>0.05</v>
      </c>
      <c r="E36" s="19">
        <f>(7)/60</f>
        <v>0.11666666666666667</v>
      </c>
      <c r="F36" s="19">
        <f t="shared" ref="F36:F38" si="30">1/60</f>
        <v>1.6666666666666666E-2</v>
      </c>
      <c r="G36" s="17"/>
      <c r="H36" s="34">
        <f>5+14.3*E36</f>
        <v>6.668333333333333</v>
      </c>
      <c r="I36" s="34">
        <f t="shared" ref="I36:I38" si="31">1.1+9.8*E36</f>
        <v>2.2433333333333336</v>
      </c>
      <c r="J36" s="34">
        <f t="shared" ref="J36:J38" si="32">34+84.7*E36</f>
        <v>43.881666666666668</v>
      </c>
      <c r="K36" s="34">
        <f t="shared" ref="K36:K38" si="33">28+168.3*E36</f>
        <v>47.635000000000005</v>
      </c>
      <c r="L36" s="34">
        <f t="shared" ref="L36:L38" si="34">60+113.2*E36</f>
        <v>73.206666666666663</v>
      </c>
      <c r="M36" s="34">
        <f t="shared" ref="M36:M38" si="35">49+2.8*E36</f>
        <v>49.326666666666668</v>
      </c>
      <c r="N36" s="17"/>
      <c r="O36" s="17"/>
      <c r="P36" s="34">
        <f>5+14.3*F36</f>
        <v>5.2383333333333333</v>
      </c>
      <c r="Q36" s="34">
        <f t="shared" ref="Q36:Q38" si="36">1.1+9.8*F36</f>
        <v>1.2633333333333334</v>
      </c>
      <c r="R36" s="34">
        <f t="shared" ref="R36:R38" si="37">34+84.7*F36</f>
        <v>35.411666666666669</v>
      </c>
      <c r="S36" s="34">
        <f t="shared" ref="S36:S38" si="38">28+168.3*F36</f>
        <v>30.805</v>
      </c>
      <c r="T36" s="34">
        <f t="shared" ref="T36:T38" si="39">60+113.2*F36</f>
        <v>61.88666666666667</v>
      </c>
      <c r="U36" s="34">
        <f t="shared" ref="U36:U38" si="40">49+2.8*F36</f>
        <v>49.046666666666667</v>
      </c>
      <c r="V36" s="17"/>
      <c r="W36" s="17"/>
      <c r="X36" s="33">
        <f>C36*SUMPRODUCT(H36:M36,P$9:U$9,AF$37:AK$37)*O$9*1000</f>
        <v>1238.1342494</v>
      </c>
      <c r="Y36" s="17">
        <f t="shared" ref="Y36:Y38" si="41">O$9*D36*SUMPRODUCT(P$9:U$9,P36:U36,AF$37:AK$37)*1000</f>
        <v>957.81197848571446</v>
      </c>
      <c r="Z36" s="17"/>
      <c r="AA36" s="17"/>
      <c r="AB36" s="17"/>
      <c r="AP36" s="17"/>
      <c r="AQ36" s="19"/>
      <c r="AR36" s="19"/>
      <c r="AS36" s="19"/>
    </row>
    <row r="37" spans="2:45" x14ac:dyDescent="0.3">
      <c r="B37" s="17" t="s">
        <v>16</v>
      </c>
      <c r="C37" s="19">
        <v>0.15000000000000002</v>
      </c>
      <c r="D37" s="19">
        <v>0.15000000000000002</v>
      </c>
      <c r="E37" s="19">
        <f>(51)/60</f>
        <v>0.85</v>
      </c>
      <c r="F37" s="19">
        <f t="shared" si="30"/>
        <v>1.6666666666666666E-2</v>
      </c>
      <c r="G37" s="17"/>
      <c r="H37" s="34">
        <f t="shared" ref="H37:H38" si="42">5+14.3*E37</f>
        <v>17.155000000000001</v>
      </c>
      <c r="I37" s="34">
        <f t="shared" si="31"/>
        <v>9.43</v>
      </c>
      <c r="J37" s="34">
        <f t="shared" si="32"/>
        <v>105.995</v>
      </c>
      <c r="K37" s="34">
        <f t="shared" si="33"/>
        <v>171.05500000000001</v>
      </c>
      <c r="L37" s="34">
        <f t="shared" si="34"/>
        <v>156.22</v>
      </c>
      <c r="M37" s="34">
        <f t="shared" si="35"/>
        <v>51.38</v>
      </c>
      <c r="N37" s="17"/>
      <c r="O37" s="17"/>
      <c r="P37" s="34">
        <f t="shared" ref="P37:P38" si="43">5+14.3*F37</f>
        <v>5.2383333333333333</v>
      </c>
      <c r="Q37" s="34">
        <f t="shared" si="36"/>
        <v>1.2633333333333334</v>
      </c>
      <c r="R37" s="34">
        <f t="shared" si="37"/>
        <v>35.411666666666669</v>
      </c>
      <c r="S37" s="34">
        <f t="shared" si="38"/>
        <v>30.805</v>
      </c>
      <c r="T37" s="34">
        <f t="shared" si="39"/>
        <v>61.88666666666667</v>
      </c>
      <c r="U37" s="34">
        <f t="shared" si="40"/>
        <v>49.046666666666667</v>
      </c>
      <c r="V37" s="17"/>
      <c r="W37" s="17"/>
      <c r="X37" s="33">
        <f>C37*SUMPRODUCT(H37:M37,P$9:U$9,AF$37:AK$37)*O$9*1000</f>
        <v>9881.4927083142866</v>
      </c>
      <c r="Y37" s="17">
        <f t="shared" si="41"/>
        <v>2873.4359354571434</v>
      </c>
      <c r="Z37" s="17"/>
      <c r="AA37" s="17"/>
      <c r="AB37" s="17"/>
      <c r="AE37" s="30" t="s">
        <v>186</v>
      </c>
      <c r="AF37" s="31">
        <f t="shared" ref="AF37:AK37" si="44">AF17*AF24*AF35</f>
        <v>0.88157142857142856</v>
      </c>
      <c r="AG37" s="31">
        <f t="shared" si="44"/>
        <v>0.95935714285714291</v>
      </c>
      <c r="AH37" s="31">
        <f t="shared" si="44"/>
        <v>0.38389126785714289</v>
      </c>
      <c r="AI37" s="31">
        <f t="shared" si="44"/>
        <v>0.48677800000000004</v>
      </c>
      <c r="AJ37" s="31">
        <f t="shared" si="44"/>
        <v>0.37744478571428564</v>
      </c>
      <c r="AK37" s="32">
        <f t="shared" si="44"/>
        <v>1</v>
      </c>
      <c r="AP37" s="17"/>
      <c r="AQ37" s="19"/>
      <c r="AR37" s="19"/>
      <c r="AS37" s="19"/>
    </row>
    <row r="38" spans="2:45" x14ac:dyDescent="0.3">
      <c r="B38" s="17" t="s">
        <v>18</v>
      </c>
      <c r="C38" s="19">
        <v>0.1</v>
      </c>
      <c r="D38" s="19">
        <v>0.1</v>
      </c>
      <c r="E38" s="19">
        <f>(36)/60</f>
        <v>0.6</v>
      </c>
      <c r="F38" s="19">
        <f t="shared" si="30"/>
        <v>1.6666666666666666E-2</v>
      </c>
      <c r="G38" s="17"/>
      <c r="H38" s="34">
        <f t="shared" si="42"/>
        <v>13.58</v>
      </c>
      <c r="I38" s="34">
        <f t="shared" si="31"/>
        <v>6.98</v>
      </c>
      <c r="J38" s="34">
        <f t="shared" si="32"/>
        <v>84.82</v>
      </c>
      <c r="K38" s="34">
        <f t="shared" si="33"/>
        <v>128.98000000000002</v>
      </c>
      <c r="L38" s="34">
        <f t="shared" si="34"/>
        <v>127.92</v>
      </c>
      <c r="M38" s="34">
        <f t="shared" si="35"/>
        <v>50.68</v>
      </c>
      <c r="N38" s="17"/>
      <c r="O38" s="17"/>
      <c r="P38" s="34">
        <f t="shared" si="43"/>
        <v>5.2383333333333333</v>
      </c>
      <c r="Q38" s="34">
        <f t="shared" si="36"/>
        <v>1.2633333333333334</v>
      </c>
      <c r="R38" s="34">
        <f t="shared" si="37"/>
        <v>35.411666666666669</v>
      </c>
      <c r="S38" s="34">
        <f t="shared" si="38"/>
        <v>30.805</v>
      </c>
      <c r="T38" s="34">
        <f t="shared" si="39"/>
        <v>61.88666666666667</v>
      </c>
      <c r="U38" s="34">
        <f t="shared" si="40"/>
        <v>49.046666666666667</v>
      </c>
      <c r="V38" s="17"/>
      <c r="W38" s="17"/>
      <c r="X38" s="33">
        <f>C38*SUMPRODUCT(H38:M38,P$9:U$9,AF$37:AK$37)*O$9*1000</f>
        <v>5186.0504509714292</v>
      </c>
      <c r="Y38" s="17">
        <f t="shared" si="41"/>
        <v>1915.6239569714289</v>
      </c>
      <c r="Z38" s="17"/>
      <c r="AA38" s="17"/>
      <c r="AB38" s="17"/>
      <c r="AP38" s="17"/>
      <c r="AQ38" s="19"/>
      <c r="AR38" s="19"/>
      <c r="AS38" s="19"/>
    </row>
    <row r="39" spans="2:45" x14ac:dyDescent="0.3">
      <c r="B39" s="17"/>
      <c r="C39" s="17" t="s">
        <v>96</v>
      </c>
      <c r="D39" s="17" t="s">
        <v>96</v>
      </c>
      <c r="E39" s="17" t="s">
        <v>97</v>
      </c>
      <c r="F39" s="17" t="s">
        <v>97</v>
      </c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P39" s="17"/>
      <c r="AQ39" s="19"/>
      <c r="AR39" s="19"/>
      <c r="AS39" s="19"/>
    </row>
    <row r="40" spans="2:45" x14ac:dyDescent="0.3">
      <c r="C40" s="16"/>
      <c r="AP40" s="17"/>
      <c r="AQ40" s="17"/>
      <c r="AR40" s="17"/>
      <c r="AS40" s="17"/>
    </row>
    <row r="41" spans="2:45" x14ac:dyDescent="0.3">
      <c r="AQ41" s="16"/>
    </row>
    <row r="42" spans="2:45" x14ac:dyDescent="0.3">
      <c r="C42" t="s">
        <v>118</v>
      </c>
      <c r="D42">
        <v>2</v>
      </c>
      <c r="E42" t="s">
        <v>88</v>
      </c>
      <c r="H42" t="s">
        <v>187</v>
      </c>
      <c r="P42" t="s">
        <v>188</v>
      </c>
      <c r="X42" t="s">
        <v>187</v>
      </c>
      <c r="Y42" t="s">
        <v>188</v>
      </c>
      <c r="AB42" t="s">
        <v>192</v>
      </c>
    </row>
    <row r="43" spans="2:45" x14ac:dyDescent="0.3">
      <c r="C43" s="16" t="s">
        <v>90</v>
      </c>
      <c r="D43" t="s">
        <v>91</v>
      </c>
      <c r="E43" t="s">
        <v>92</v>
      </c>
      <c r="F43" t="s">
        <v>93</v>
      </c>
      <c r="H43" t="s">
        <v>82</v>
      </c>
      <c r="I43" t="s">
        <v>83</v>
      </c>
      <c r="J43" t="s">
        <v>84</v>
      </c>
      <c r="K43" t="s">
        <v>85</v>
      </c>
      <c r="L43" t="s">
        <v>86</v>
      </c>
      <c r="M43" t="s">
        <v>87</v>
      </c>
      <c r="P43" t="s">
        <v>82</v>
      </c>
      <c r="Q43" t="s">
        <v>83</v>
      </c>
      <c r="R43" t="s">
        <v>84</v>
      </c>
      <c r="S43" t="s">
        <v>85</v>
      </c>
      <c r="T43" t="s">
        <v>86</v>
      </c>
      <c r="U43" t="s">
        <v>87</v>
      </c>
    </row>
    <row r="44" spans="2:45" x14ac:dyDescent="0.3">
      <c r="B44" s="17" t="s">
        <v>10</v>
      </c>
      <c r="C44" s="19">
        <v>0.1</v>
      </c>
      <c r="D44" s="19">
        <v>0.1</v>
      </c>
      <c r="E44" s="19">
        <f>(14)/60</f>
        <v>0.23333333333333334</v>
      </c>
      <c r="F44" s="19">
        <f>1/60</f>
        <v>1.6666666666666666E-2</v>
      </c>
      <c r="G44" s="17"/>
      <c r="H44" s="34">
        <f>5+14.3*E44</f>
        <v>8.336666666666666</v>
      </c>
      <c r="I44" s="34">
        <f>1.1+9.8*E44</f>
        <v>3.3866666666666672</v>
      </c>
      <c r="J44" s="34">
        <f>34+84.7*E44</f>
        <v>53.763333333333335</v>
      </c>
      <c r="K44" s="34">
        <f>28+168.3*E44</f>
        <v>67.27000000000001</v>
      </c>
      <c r="L44" s="34">
        <f>60+113.2*E44</f>
        <v>86.413333333333327</v>
      </c>
      <c r="M44" s="34">
        <f>49+2.8*E44</f>
        <v>49.653333333333336</v>
      </c>
      <c r="N44" s="17"/>
      <c r="O44" s="17"/>
      <c r="P44" s="34">
        <f>5+14.3*F44</f>
        <v>5.2383333333333333</v>
      </c>
      <c r="Q44" s="34">
        <f>1.1+9.8*F44</f>
        <v>1.2633333333333334</v>
      </c>
      <c r="R44" s="34">
        <f>34+84.7*F44</f>
        <v>35.411666666666669</v>
      </c>
      <c r="S44" s="34">
        <f>28+168.3*F44</f>
        <v>30.805</v>
      </c>
      <c r="T44" s="34">
        <f>60+113.2*F44</f>
        <v>61.88666666666667</v>
      </c>
      <c r="U44" s="34">
        <f>49+2.8*F44</f>
        <v>49.046666666666667</v>
      </c>
      <c r="V44" s="17"/>
      <c r="W44" s="17"/>
      <c r="X44" s="33">
        <f>C44*SUMPRODUCT(H44:M44,P$10:U$10,AF$37:AK$37)*O$10*1000</f>
        <v>8964.3356239885707</v>
      </c>
      <c r="Y44" s="17">
        <f>O$10*D44*SUMPRODUCT(P$10:U$10,P44:U44,AF$37:AK$37)*1000</f>
        <v>7570.5460258971434</v>
      </c>
      <c r="Z44" s="17"/>
      <c r="AA44" s="17"/>
      <c r="AB44" s="35">
        <f>SUM(X44:Y47)</f>
        <v>90311.028090637148</v>
      </c>
      <c r="AQ44" s="16"/>
    </row>
    <row r="45" spans="2:45" x14ac:dyDescent="0.3">
      <c r="B45" s="17" t="s">
        <v>14</v>
      </c>
      <c r="C45" s="19">
        <v>0.05</v>
      </c>
      <c r="D45" s="19">
        <v>0.05</v>
      </c>
      <c r="E45" s="19">
        <f>(7)/60</f>
        <v>0.11666666666666667</v>
      </c>
      <c r="F45" s="19">
        <f t="shared" ref="F45:F47" si="45">1/60</f>
        <v>1.6666666666666666E-2</v>
      </c>
      <c r="G45" s="17"/>
      <c r="H45" s="34">
        <f>5+14.3*E45</f>
        <v>6.668333333333333</v>
      </c>
      <c r="I45" s="34">
        <f t="shared" ref="I45:I46" si="46">1.1+9.8*E45</f>
        <v>2.2433333333333336</v>
      </c>
      <c r="J45" s="34">
        <f t="shared" ref="J45:J46" si="47">34+84.7*E45</f>
        <v>43.881666666666668</v>
      </c>
      <c r="K45" s="34">
        <f t="shared" ref="K45:K46" si="48">28+168.3*E45</f>
        <v>47.635000000000005</v>
      </c>
      <c r="L45" s="34">
        <f t="shared" ref="L45:L46" si="49">60+113.2*E45</f>
        <v>73.206666666666663</v>
      </c>
      <c r="M45" s="34">
        <f t="shared" ref="M45:M46" si="50">49+2.8*E45</f>
        <v>49.326666666666668</v>
      </c>
      <c r="N45" s="17"/>
      <c r="O45" s="17"/>
      <c r="P45" s="34">
        <f>5+14.3*F45</f>
        <v>5.2383333333333333</v>
      </c>
      <c r="Q45" s="34">
        <f t="shared" ref="Q45:Q47" si="51">1.1+9.8*F45</f>
        <v>1.2633333333333334</v>
      </c>
      <c r="R45" s="34">
        <f t="shared" ref="R45:R47" si="52">34+84.7*F45</f>
        <v>35.411666666666669</v>
      </c>
      <c r="S45" s="34">
        <f t="shared" ref="S45:S47" si="53">28+168.3*F45</f>
        <v>30.805</v>
      </c>
      <c r="T45" s="34">
        <f t="shared" ref="T45:T47" si="54">60+113.2*F45</f>
        <v>61.88666666666667</v>
      </c>
      <c r="U45" s="34">
        <f t="shared" ref="U45:U47" si="55">49+2.8*F45</f>
        <v>49.046666666666667</v>
      </c>
      <c r="V45" s="17"/>
      <c r="W45" s="17"/>
      <c r="X45" s="33">
        <f t="shared" ref="X45:X47" si="56">C45*SUMPRODUCT(H45:M45,P$10:U$10,AF$37:AK$37)*O$10*1000</f>
        <v>4106.9167663542858</v>
      </c>
      <c r="Y45" s="17">
        <f t="shared" ref="Y45:Y47" si="57">O$10*D45*SUMPRODUCT(P$10:U$10,P45:U45,AF$37:AK$37)*1000</f>
        <v>3785.2730129485717</v>
      </c>
      <c r="Z45" s="17"/>
      <c r="AA45" s="17"/>
      <c r="AB45" s="17"/>
      <c r="AP45" s="17"/>
      <c r="AQ45" s="19"/>
      <c r="AR45" s="19"/>
      <c r="AS45" s="19"/>
    </row>
    <row r="46" spans="2:45" x14ac:dyDescent="0.3">
      <c r="B46" s="17" t="s">
        <v>16</v>
      </c>
      <c r="C46" s="19">
        <v>0.15000000000000002</v>
      </c>
      <c r="D46" s="19">
        <v>0.15000000000000002</v>
      </c>
      <c r="E46" s="19">
        <f>(51)/60</f>
        <v>0.85</v>
      </c>
      <c r="F46" s="19">
        <f t="shared" si="45"/>
        <v>1.6666666666666666E-2</v>
      </c>
      <c r="G46" s="17"/>
      <c r="H46" s="34">
        <f t="shared" ref="H46" si="58">5+14.3*E46</f>
        <v>17.155000000000001</v>
      </c>
      <c r="I46" s="34">
        <f t="shared" si="46"/>
        <v>9.43</v>
      </c>
      <c r="J46" s="34">
        <f t="shared" si="47"/>
        <v>105.995</v>
      </c>
      <c r="K46" s="34">
        <f t="shared" si="48"/>
        <v>171.05500000000001</v>
      </c>
      <c r="L46" s="34">
        <f t="shared" si="49"/>
        <v>156.22</v>
      </c>
      <c r="M46" s="34">
        <f t="shared" si="50"/>
        <v>51.38</v>
      </c>
      <c r="N46" s="17"/>
      <c r="O46" s="17"/>
      <c r="P46" s="34">
        <f t="shared" ref="P46:P47" si="59">5+14.3*F46</f>
        <v>5.2383333333333333</v>
      </c>
      <c r="Q46" s="34">
        <f t="shared" si="51"/>
        <v>1.2633333333333334</v>
      </c>
      <c r="R46" s="34">
        <f t="shared" si="52"/>
        <v>35.411666666666669</v>
      </c>
      <c r="S46" s="34">
        <f t="shared" si="53"/>
        <v>30.805</v>
      </c>
      <c r="T46" s="34">
        <f t="shared" si="54"/>
        <v>61.88666666666667</v>
      </c>
      <c r="U46" s="34">
        <f t="shared" si="55"/>
        <v>49.046666666666667</v>
      </c>
      <c r="V46" s="17"/>
      <c r="W46" s="17"/>
      <c r="X46" s="33">
        <f t="shared" si="56"/>
        <v>19396.912873988571</v>
      </c>
      <c r="Y46" s="17">
        <f t="shared" si="57"/>
        <v>11355.819038845715</v>
      </c>
      <c r="Z46" s="17"/>
      <c r="AA46" s="17"/>
      <c r="AB46" s="17"/>
      <c r="AP46" s="17"/>
      <c r="AQ46" s="19"/>
      <c r="AR46" s="19"/>
      <c r="AS46" s="19"/>
    </row>
    <row r="47" spans="2:45" x14ac:dyDescent="0.3">
      <c r="B47" s="17" t="s">
        <v>18</v>
      </c>
      <c r="C47" s="19">
        <v>0.1</v>
      </c>
      <c r="D47" s="19">
        <v>0.1</v>
      </c>
      <c r="E47" s="19">
        <f>(281)/60</f>
        <v>4.6833333333333336</v>
      </c>
      <c r="F47" s="19">
        <f t="shared" si="45"/>
        <v>1.6666666666666666E-2</v>
      </c>
      <c r="G47" s="17"/>
      <c r="H47" s="34">
        <f>66+14.3*(E47-4)</f>
        <v>75.771666666666675</v>
      </c>
      <c r="I47" s="34">
        <f>1.1+9.8*E47</f>
        <v>46.996666666666677</v>
      </c>
      <c r="J47" s="34">
        <f>365+55.6*(E47-4)</f>
        <v>402.99333333333334</v>
      </c>
      <c r="K47" s="17">
        <f>469+141.3*(E47-4)</f>
        <v>565.55500000000006</v>
      </c>
      <c r="L47" s="34">
        <f>257+51.8*(E47-4)</f>
        <v>292.39666666666665</v>
      </c>
      <c r="M47" s="34">
        <f>91+2.8*E47</f>
        <v>104.11333333333333</v>
      </c>
      <c r="N47" s="17"/>
      <c r="O47" s="17"/>
      <c r="P47" s="34">
        <f t="shared" si="59"/>
        <v>5.2383333333333333</v>
      </c>
      <c r="Q47" s="34">
        <f t="shared" si="51"/>
        <v>1.2633333333333334</v>
      </c>
      <c r="R47" s="34">
        <f t="shared" si="52"/>
        <v>35.411666666666669</v>
      </c>
      <c r="S47" s="34">
        <f t="shared" si="53"/>
        <v>30.805</v>
      </c>
      <c r="T47" s="34">
        <f t="shared" si="54"/>
        <v>61.88666666666667</v>
      </c>
      <c r="U47" s="34">
        <f t="shared" si="55"/>
        <v>49.046666666666667</v>
      </c>
      <c r="V47" s="17"/>
      <c r="W47" s="17"/>
      <c r="X47" s="33">
        <f t="shared" si="56"/>
        <v>27560.678722717144</v>
      </c>
      <c r="Y47" s="17">
        <f t="shared" si="57"/>
        <v>7570.5460258971434</v>
      </c>
      <c r="Z47" s="17"/>
      <c r="AA47" s="17"/>
      <c r="AB47" s="17"/>
      <c r="AP47" s="17"/>
      <c r="AQ47" s="19"/>
      <c r="AR47" s="19"/>
      <c r="AS47" s="19"/>
    </row>
    <row r="48" spans="2:45" x14ac:dyDescent="0.3">
      <c r="B48" s="17"/>
      <c r="C48" s="17" t="s">
        <v>96</v>
      </c>
      <c r="D48" s="17" t="s">
        <v>96</v>
      </c>
      <c r="E48" s="17" t="s">
        <v>97</v>
      </c>
      <c r="F48" s="17" t="s">
        <v>97</v>
      </c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P48" s="17"/>
      <c r="AQ48" s="19"/>
      <c r="AR48" s="19"/>
      <c r="AS48" s="19"/>
    </row>
    <row r="49" spans="3:45" x14ac:dyDescent="0.3">
      <c r="C49" s="16"/>
      <c r="AP49" s="17"/>
      <c r="AQ49" s="17"/>
      <c r="AR49" s="17"/>
      <c r="AS49" s="17"/>
    </row>
    <row r="51" spans="3:45" x14ac:dyDescent="0.3">
      <c r="AB51" s="39">
        <f>SUM(AB16,AB26,AB35,AB44)</f>
        <v>345629.91034504201</v>
      </c>
    </row>
  </sheetData>
  <mergeCells count="5">
    <mergeCell ref="AT17:AT20"/>
    <mergeCell ref="AT21:AT24"/>
    <mergeCell ref="AT25:AT28"/>
    <mergeCell ref="AT29:AT32"/>
    <mergeCell ref="AV15:AW15"/>
  </mergeCells>
  <conditionalFormatting sqref="H15:M15">
    <cfRule type="containsBlanks" dxfId="15" priority="9">
      <formula>LEN(TRIM(H15))=0</formula>
    </cfRule>
  </conditionalFormatting>
  <conditionalFormatting sqref="H25:M25">
    <cfRule type="containsBlanks" dxfId="14" priority="6">
      <formula>LEN(TRIM(H25))=0</formula>
    </cfRule>
  </conditionalFormatting>
  <conditionalFormatting sqref="H34:M34">
    <cfRule type="containsBlanks" dxfId="13" priority="4">
      <formula>LEN(TRIM(H34))=0</formula>
    </cfRule>
  </conditionalFormatting>
  <conditionalFormatting sqref="H43:M43">
    <cfRule type="containsBlanks" dxfId="12" priority="2">
      <formula>LEN(TRIM(H43))=0</formula>
    </cfRule>
  </conditionalFormatting>
  <conditionalFormatting sqref="N4 P4:U4 N5:P5 R5:U5 O6:U6 O7 Q7:U7 O8:U10 N11:U11">
    <cfRule type="containsBlanks" dxfId="11" priority="12">
      <formula>LEN(TRIM(N4))=0</formula>
    </cfRule>
  </conditionalFormatting>
  <conditionalFormatting sqref="N6:N10">
    <cfRule type="containsBlanks" dxfId="10" priority="11">
      <formula>LEN(TRIM(N6))=0</formula>
    </cfRule>
  </conditionalFormatting>
  <conditionalFormatting sqref="P15:U15">
    <cfRule type="containsBlanks" dxfId="9" priority="8">
      <formula>LEN(TRIM(P15))=0</formula>
    </cfRule>
  </conditionalFormatting>
  <conditionalFormatting sqref="P25:U25">
    <cfRule type="containsBlanks" dxfId="8" priority="5">
      <formula>LEN(TRIM(P25))=0</formula>
    </cfRule>
  </conditionalFormatting>
  <conditionalFormatting sqref="P34:U34">
    <cfRule type="containsBlanks" dxfId="7" priority="3">
      <formula>LEN(TRIM(P34))=0</formula>
    </cfRule>
  </conditionalFormatting>
  <conditionalFormatting sqref="P43:U43">
    <cfRule type="containsBlanks" dxfId="6" priority="1">
      <formula>LEN(TRIM(P43))=0</formula>
    </cfRule>
  </conditionalFormatting>
  <conditionalFormatting sqref="AE3:AK37">
    <cfRule type="containsBlanks" dxfId="5" priority="7">
      <formula>LEN(TRIM(AE3))=0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P26"/>
  <sheetViews>
    <sheetView workbookViewId="0">
      <selection activeCell="C27" sqref="C27"/>
    </sheetView>
  </sheetViews>
  <sheetFormatPr defaultRowHeight="14.4" x14ac:dyDescent="0.3"/>
  <sheetData>
    <row r="1" spans="3:16" x14ac:dyDescent="0.3">
      <c r="C1" t="s">
        <v>129</v>
      </c>
    </row>
    <row r="3" spans="3:16" x14ac:dyDescent="0.3">
      <c r="K3" s="4" t="s">
        <v>48</v>
      </c>
    </row>
    <row r="4" spans="3:16" ht="72" x14ac:dyDescent="0.3">
      <c r="C4" t="s">
        <v>125</v>
      </c>
      <c r="K4" s="9" t="s">
        <v>49</v>
      </c>
      <c r="L4" s="9" t="s">
        <v>50</v>
      </c>
      <c r="M4" s="9" t="s">
        <v>51</v>
      </c>
      <c r="N4" s="9" t="s">
        <v>52</v>
      </c>
      <c r="O4" s="9" t="s">
        <v>53</v>
      </c>
      <c r="P4" s="9" t="s">
        <v>124</v>
      </c>
    </row>
    <row r="5" spans="3:16" x14ac:dyDescent="0.3">
      <c r="C5" t="s">
        <v>145</v>
      </c>
      <c r="K5" s="10" t="s">
        <v>10</v>
      </c>
      <c r="L5" s="6">
        <v>2</v>
      </c>
      <c r="M5" s="6">
        <v>0.1</v>
      </c>
      <c r="N5" s="6">
        <v>0.1</v>
      </c>
      <c r="O5" s="6">
        <v>240</v>
      </c>
      <c r="P5" s="6">
        <v>5</v>
      </c>
    </row>
    <row r="6" spans="3:16" x14ac:dyDescent="0.3">
      <c r="C6" t="s">
        <v>146</v>
      </c>
      <c r="K6" s="10" t="s">
        <v>14</v>
      </c>
      <c r="L6" s="6">
        <v>1</v>
      </c>
      <c r="M6" s="6">
        <v>0.05</v>
      </c>
      <c r="N6" s="6">
        <v>0.05</v>
      </c>
      <c r="O6" s="6">
        <v>240</v>
      </c>
      <c r="P6" s="6">
        <v>3</v>
      </c>
    </row>
    <row r="7" spans="3:16" x14ac:dyDescent="0.3">
      <c r="C7" t="s">
        <v>127</v>
      </c>
      <c r="K7" s="10" t="s">
        <v>16</v>
      </c>
      <c r="L7" s="6">
        <v>3</v>
      </c>
      <c r="M7" s="6">
        <v>0.15000000000000002</v>
      </c>
      <c r="N7" s="6">
        <v>0.15000000000000002</v>
      </c>
      <c r="O7" s="6">
        <v>240</v>
      </c>
      <c r="P7" s="6">
        <v>9</v>
      </c>
    </row>
    <row r="8" spans="3:16" x14ac:dyDescent="0.3">
      <c r="C8" t="s">
        <v>130</v>
      </c>
      <c r="K8" s="10" t="s">
        <v>18</v>
      </c>
      <c r="L8" s="6">
        <v>2</v>
      </c>
      <c r="M8" s="6">
        <v>0.1</v>
      </c>
      <c r="N8" s="6">
        <v>0.1</v>
      </c>
      <c r="O8" s="6">
        <v>240</v>
      </c>
      <c r="P8" s="6">
        <v>15</v>
      </c>
    </row>
    <row r="9" spans="3:16" x14ac:dyDescent="0.3">
      <c r="C9" t="s">
        <v>144</v>
      </c>
    </row>
    <row r="11" spans="3:16" x14ac:dyDescent="0.3">
      <c r="K11" s="5" t="s">
        <v>33</v>
      </c>
      <c r="L11" s="5" t="s">
        <v>34</v>
      </c>
    </row>
    <row r="12" spans="3:16" x14ac:dyDescent="0.3">
      <c r="K12" t="s">
        <v>36</v>
      </c>
      <c r="L12" s="6">
        <v>5</v>
      </c>
    </row>
    <row r="13" spans="3:16" x14ac:dyDescent="0.3">
      <c r="K13" t="s">
        <v>37</v>
      </c>
      <c r="L13" s="6">
        <v>4</v>
      </c>
    </row>
    <row r="14" spans="3:16" x14ac:dyDescent="0.3">
      <c r="K14" t="s">
        <v>38</v>
      </c>
      <c r="L14" s="6">
        <v>3</v>
      </c>
    </row>
    <row r="15" spans="3:16" x14ac:dyDescent="0.3">
      <c r="K15" t="s">
        <v>39</v>
      </c>
      <c r="L15" s="6">
        <v>2</v>
      </c>
    </row>
    <row r="18" spans="3:14" x14ac:dyDescent="0.3">
      <c r="K18" t="s">
        <v>126</v>
      </c>
      <c r="M18" s="11">
        <v>1</v>
      </c>
      <c r="N18" t="s">
        <v>75</v>
      </c>
    </row>
    <row r="26" spans="3:14" x14ac:dyDescent="0.3">
      <c r="C26" t="s">
        <v>147</v>
      </c>
    </row>
  </sheetData>
  <conditionalFormatting sqref="K11:L15">
    <cfRule type="containsBlanks" dxfId="4" priority="2">
      <formula>LEN(TRIM(K11))=0</formula>
    </cfRule>
  </conditionalFormatting>
  <conditionalFormatting sqref="K3:Q4 K5:P8">
    <cfRule type="containsBlanks" dxfId="3" priority="4">
      <formula>LEN(TRIM(K3))=0</formula>
    </cfRule>
  </conditionalFormatting>
  <conditionalFormatting sqref="L18:N18">
    <cfRule type="containsBlanks" dxfId="2" priority="1">
      <formula>LEN(TRIM(L18))=0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Definer analyse</vt:lpstr>
      <vt:lpstr>RELRAD</vt:lpstr>
      <vt:lpstr>RELRAD_with_capacity</vt:lpstr>
      <vt:lpstr>KILE</vt:lpstr>
      <vt:lpstr>Input og antakelser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 Vefsnmo</dc:creator>
  <cp:lastModifiedBy>Sigurd Hofsmo Jakobsen</cp:lastModifiedBy>
  <dcterms:created xsi:type="dcterms:W3CDTF">2017-06-01T11:25:46Z</dcterms:created>
  <dcterms:modified xsi:type="dcterms:W3CDTF">2023-10-25T12:00:15Z</dcterms:modified>
</cp:coreProperties>
</file>