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5.xml" ContentType="application/vnd.openxmlformats-officedocument.drawingml.chart+xml"/>
  <Override PartName="/xl/theme/themeOverride2.xml" ContentType="application/vnd.openxmlformats-officedocument.themeOverrid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4.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6.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omments7.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8.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7C6B95B9-12F1-4E41-83E7-FB33CAEDEF60}" xr6:coauthVersionLast="47" xr6:coauthVersionMax="47" xr10:uidLastSave="{00000000-0000-0000-0000-000000000000}"/>
  <bookViews>
    <workbookView xWindow="-108" yWindow="-108" windowWidth="23256" windowHeight="12456" tabRatio="825" activeTab="8" xr2:uid="{00000000-000D-0000-FFFF-FFFF00000000}"/>
  </bookViews>
  <sheets>
    <sheet name="SEA Tool" sheetId="94" r:id="rId1"/>
    <sheet name="Plant Overview" sheetId="81" r:id="rId2"/>
    <sheet name="Unit-100 GT" sheetId="101" r:id="rId3"/>
    <sheet name="Unit-200 Steam Cycle" sheetId="80" r:id="rId4"/>
    <sheet name="Unit-200" sheetId="98" state="hidden" r:id="rId5"/>
    <sheet name="Unit-400" sheetId="102" state="hidden"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externalReferences>
    <externalReference r:id="rId19"/>
  </externalReferences>
  <definedNames>
    <definedName name="Axial" localSheetId="2">Tabla20[Turbine]</definedName>
    <definedName name="Axial" localSheetId="4">Tabla20[Turbine]</definedName>
    <definedName name="Axial" localSheetId="3">Tabla20[Turbine]</definedName>
    <definedName name="Axial" localSheetId="5">Tabla20[Turbine]</definedName>
    <definedName name="Blender" localSheetId="2">Tabla2[[Blender ]]</definedName>
    <definedName name="Blender" localSheetId="4">Tabla2[[Blender ]]</definedName>
    <definedName name="Blender" localSheetId="3">Tabla2[[Blender ]]</definedName>
    <definedName name="Blender" localSheetId="5">Tabla2[[Blender ]]</definedName>
    <definedName name="Blender_Material" localSheetId="2">Tabla31[Blender_Material]</definedName>
    <definedName name="Blender_Material" localSheetId="4">Tabla31[Blender_Material]</definedName>
    <definedName name="Blender_Material" localSheetId="3">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4">Task[Task]</definedName>
    <definedName name="Case" localSheetId="3">Task[Task]</definedName>
    <definedName name="Case" localSheetId="5">Task[Task]</definedName>
    <definedName name="Centrifuge" localSheetId="2">Tabla3[Centrifuge]</definedName>
    <definedName name="Centrifuge" localSheetId="4">Tabla3[Centrifuge]</definedName>
    <definedName name="Centrifuge" localSheetId="3">Tabla3[Centrifuge]</definedName>
    <definedName name="Centrifuge" localSheetId="5">Tabla3[Centrifuge]</definedName>
    <definedName name="Centrifuge_Material" localSheetId="2">Tabla32[Centrifuge_Material]</definedName>
    <definedName name="Centrifuge_Material" localSheetId="4">Tabla32[Centrifuge_Material]</definedName>
    <definedName name="Centrifuge_Material" localSheetId="3">Tabla32[Centrifuge_Material]</definedName>
    <definedName name="Centrifuge_Material" localSheetId="5">Tabla32[Centrifuge_Material]</definedName>
    <definedName name="Compressor" localSheetId="2">Tabla4[Compressor]</definedName>
    <definedName name="Compressor" localSheetId="4">Tabla4[Compressor]</definedName>
    <definedName name="Compressor" localSheetId="3">Tabla4[Compressor]</definedName>
    <definedName name="Compressor" localSheetId="5">Tabla4[Compressor]</definedName>
    <definedName name="Compressor_Material" localSheetId="2">Tabla33[Compressor_Material]</definedName>
    <definedName name="Compressor_Material" localSheetId="4">Tabla33[Compressor_Material]</definedName>
    <definedName name="Compressor_Material" localSheetId="3">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4">Tabla81[Construction]</definedName>
    <definedName name="Construction" localSheetId="3">Tabla81[Construction]</definedName>
    <definedName name="Construction" localSheetId="5">Tabla81[Construction]</definedName>
    <definedName name="Conveyor" localSheetId="2">Tabla5[Conveyor]</definedName>
    <definedName name="Conveyor" localSheetId="4">Tabla5[Conveyor]</definedName>
    <definedName name="Conveyor" localSheetId="3">Tabla5[Conveyor]</definedName>
    <definedName name="Conveyor" localSheetId="5">Tabla5[Conveyor]</definedName>
    <definedName name="Conveyor_Material" localSheetId="2">Tabla34[Conveyor_Material]</definedName>
    <definedName name="Conveyor_Material" localSheetId="4">Tabla34[Conveyor_Material]</definedName>
    <definedName name="Conveyor_Material" localSheetId="3">Tabla34[Conveyor_Material]</definedName>
    <definedName name="Conveyor_Material" localSheetId="5">Tabla34[Conveyor_Material]</definedName>
    <definedName name="Crystallizer" localSheetId="2">[1]!Tabla6[[Crystallizer ]]</definedName>
    <definedName name="Crystallizer" localSheetId="4">Tabla6[Crystallizer]</definedName>
    <definedName name="Crystallizer" localSheetId="3">Tabla6[Crystallizer]</definedName>
    <definedName name="Crystallizer" localSheetId="5">[1]!Tabla6[[Crystallizer ]]</definedName>
    <definedName name="Crystallizer_Material" localSheetId="2">Tabla35[Crystallizer_Material]</definedName>
    <definedName name="Crystallizer_Material" localSheetId="4">Tabla35[Crystallizer_Material]</definedName>
    <definedName name="Crystallizer_Material" localSheetId="3">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4">Tabla56[Currency]</definedName>
    <definedName name="Currency" localSheetId="3">Tabla56[Currency]</definedName>
    <definedName name="Currency" localSheetId="5">Tabla56[Currency]</definedName>
    <definedName name="Dirve_Material" localSheetId="2">Tabla36[Drive_Material]</definedName>
    <definedName name="Dirve_Material" localSheetId="4">Tabla36[Drive_Material]</definedName>
    <definedName name="Dirve_Material" localSheetId="3">Tabla36[Drive_Material]</definedName>
    <definedName name="Dirve_Material" localSheetId="5">Tabla36[Drive_Material]</definedName>
    <definedName name="Drive" localSheetId="2">Tabla7[[Drive ]]</definedName>
    <definedName name="Drive" localSheetId="4">Tabla7[[Drive ]]</definedName>
    <definedName name="Drive" localSheetId="3">Tabla7[[Drive ]]</definedName>
    <definedName name="Drive" localSheetId="5">Tabla7[[Drive ]]</definedName>
    <definedName name="Drive_Material" localSheetId="2">Tabla36[Drive_Material]</definedName>
    <definedName name="Drive_Material" localSheetId="4">Tabla36[Drive_Material]</definedName>
    <definedName name="Drive_Material" localSheetId="3">Tabla36[Drive_Material]</definedName>
    <definedName name="Drive_Material" localSheetId="5">Tabla36[Drive_Material]</definedName>
    <definedName name="Dryer" localSheetId="2">Tabla8[Dryer]</definedName>
    <definedName name="Dryer" localSheetId="4">Tabla8[Dryer]</definedName>
    <definedName name="Dryer" localSheetId="3">Tabla8[Dryer]</definedName>
    <definedName name="Dryer" localSheetId="5">Tabla8[Dryer]</definedName>
    <definedName name="Dryer_Material" localSheetId="2">Tabla37[Dryer_Material]</definedName>
    <definedName name="Dryer_Material" localSheetId="4">Tabla37[Dryer_Material]</definedName>
    <definedName name="Dryer_Material" localSheetId="3">Tabla37[Dryer_Material]</definedName>
    <definedName name="Dryer_Material" localSheetId="5">Tabla37[Dryer_Material]</definedName>
    <definedName name="DustCollectors" localSheetId="2">[1]!Tabla9[[Dust Collectors ]]</definedName>
    <definedName name="DustCollectors" localSheetId="4">Tabla9[Dust Collectors]</definedName>
    <definedName name="DustCollectors" localSheetId="3">Tabla9[Dust Collectors]</definedName>
    <definedName name="DustCollectors" localSheetId="5">[1]!Tabla9[[Dust Collectors ]]</definedName>
    <definedName name="DustCollectors_Material" localSheetId="2">Tabla38[DustCollectors_Material]</definedName>
    <definedName name="DustCollectors_Material" localSheetId="4">Tabla38[DustCollectors_Material]</definedName>
    <definedName name="DustCollectors_Material" localSheetId="3">Tabla38[DustCollectors_Material]</definedName>
    <definedName name="DustCollectors_Material" localSheetId="5">Tabla38[DustCollectors_Material]</definedName>
    <definedName name="Equipment" localSheetId="2">Tabla1[Equipment]</definedName>
    <definedName name="Equipment" localSheetId="4">Tabla1[Equipment]</definedName>
    <definedName name="Equipment" localSheetId="3">Tabla1[Equipment]</definedName>
    <definedName name="Equipment" localSheetId="5">Tabla1[Equipment]</definedName>
    <definedName name="Evaporator" localSheetId="2">Tabla13[[Evaporator ]]</definedName>
    <definedName name="Evaporator" localSheetId="4">Tabla13[[Evaporator ]]</definedName>
    <definedName name="Evaporator" localSheetId="3">Tabla13[[Evaporator ]]</definedName>
    <definedName name="Evaporator" localSheetId="5">Tabla13[[Evaporator ]]</definedName>
    <definedName name="Evaporator_Material" localSheetId="2">Tabla42[Evaporator_Material]</definedName>
    <definedName name="Evaporator_Material" localSheetId="4">Tabla42[Evaporator_Material]</definedName>
    <definedName name="Evaporator_Material" localSheetId="3">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4">Tabla10[Fan]</definedName>
    <definedName name="Fan" localSheetId="3">Tabla10[Fan]</definedName>
    <definedName name="Fan" localSheetId="5">Tabla10[Fan]</definedName>
    <definedName name="Fan_Material" localSheetId="2">Tabla39[Fan_Material]</definedName>
    <definedName name="Fan_Material" localSheetId="4">Tabla39[Fan_Material]</definedName>
    <definedName name="Fan_Material" localSheetId="3">Tabla39[Fan_Material]</definedName>
    <definedName name="Fan_Material" localSheetId="5">Tabla39[Fan_Material]</definedName>
    <definedName name="Filter" localSheetId="2">[1]!Tabla11[[Filter ]]</definedName>
    <definedName name="Filter" localSheetId="4">Tabla11[Filter]</definedName>
    <definedName name="Filter" localSheetId="3">Tabla11[Filter]</definedName>
    <definedName name="Filter" localSheetId="5">[1]!Tabla11[[Filter ]]</definedName>
    <definedName name="Filter_Material" localSheetId="2">Tabla40[Filter_Material]</definedName>
    <definedName name="Filter_Material" localSheetId="4">Tabla40[Filter_Material]</definedName>
    <definedName name="Filter_Material" localSheetId="3">Tabla40[Filter_Material]</definedName>
    <definedName name="Filter_Material" localSheetId="5">Tabla40[Filter_Material]</definedName>
    <definedName name="FiredHeater" localSheetId="2">Tabla12[[Fired Heater ]]</definedName>
    <definedName name="FiredHeater" localSheetId="4">Tabla12[[Fired Heater ]]</definedName>
    <definedName name="FiredHeater" localSheetId="3">Tabla12[[Fired Heater ]]</definedName>
    <definedName name="FiredHeater" localSheetId="5">Tabla12[[Fired Heater ]]</definedName>
    <definedName name="FiredHeater_Material" localSheetId="2">Tabla41[FiredHeater_Material]</definedName>
    <definedName name="FiredHeater_Material" localSheetId="4">Tabla41[FiredHeater_Material]</definedName>
    <definedName name="FiredHeater_Material" localSheetId="3">Tabla41[FiredHeater_Material]</definedName>
    <definedName name="FiredHeater_Material" localSheetId="5">Tabla41[FiredHeater_Material]</definedName>
    <definedName name="HeatExchanger" localSheetId="2">Tabla14[Heat Exchanger]</definedName>
    <definedName name="HeatExchanger" localSheetId="4">Tabla14[Heat Exchanger]</definedName>
    <definedName name="HeatExchanger" localSheetId="3">Tabla14[Heat Exchanger]</definedName>
    <definedName name="HeatExchanger" localSheetId="5">Tabla14[Heat Exchanger]</definedName>
    <definedName name="HeatExchanger_AirCooler_Material" localSheetId="4">Tabla79[HeatExchanger_AirCooler_Material]</definedName>
    <definedName name="HeatExchanger_AirCooler_Material" localSheetId="3">Tabla79[HeatExchanger_AirCooler_Material]</definedName>
    <definedName name="HeatExchanger_Bayonet_Material" localSheetId="4">Tabla70[HeatExchanger_Bayonet_Material]</definedName>
    <definedName name="HeatExchanger_Bayonet_Material" localSheetId="3">Tabla70[HeatExchanger_Bayonet_Material]</definedName>
    <definedName name="HeatExchanger_DoublePipe_Material" localSheetId="4">Tabla66[HeatExchanger_DoublePipe_Material]</definedName>
    <definedName name="HeatExchanger_DoublePipe_Material" localSheetId="3">Tabla66[HeatExchanger_DoublePipe_Material]</definedName>
    <definedName name="HeatExchanger_FixedtubesheetorUtube_Material" localSheetId="4">Tabla68[HeatExchanger_FixedtubesheetorUtube_Material]</definedName>
    <definedName name="HeatExchanger_FixedtubesheetorUtube_Material" localSheetId="3">Tabla68[HeatExchanger_FixedtubesheetorUtube_Material]</definedName>
    <definedName name="HeatExchanger_FlatPlate_Material" localSheetId="4">Tabla78[HeatExchanger_FlatPlate_Material]</definedName>
    <definedName name="HeatExchanger_FlatPlate_Material" localSheetId="3">Tabla78[HeatExchanger_FlatPlate_Material]</definedName>
    <definedName name="HeatExchanger_FloatingHead_Material" localSheetId="4">Tabla69[HeatExchanger_FloatingHead_Material]</definedName>
    <definedName name="HeatExchanger_FloatingHead_Material" localSheetId="3">Tabla69[HeatExchanger_FloatingHead_Material]</definedName>
    <definedName name="HeatExchanger_KettleReboiler_Material" localSheetId="4">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4">Tabla43[HeatExchanger_Material]</definedName>
    <definedName name="HeatExchanger_Material" localSheetId="3">Tabla43[HeatExchanger_Material]</definedName>
    <definedName name="HeatExchanger_Material" localSheetId="5">Tabla43[HeatExchanger_Material]</definedName>
    <definedName name="HeatExchanger_MultiplePipe_Material" localSheetId="4">Tabla67[HeatExchanger_MultiplePipe_Material]</definedName>
    <definedName name="HeatExchanger_MultiplePipe_Material" localSheetId="3">Tabla67[HeatExchanger_MultiplePipe_Material]</definedName>
    <definedName name="HeatExchanger_ScrapedWall_Material" localSheetId="4">Tabla74[HeatExchanger_ScrapedWall_Material]</definedName>
    <definedName name="HeatExchanger_ScrapedWall_Material" localSheetId="3">Tabla74[HeatExchanger_ScrapedWall_Material]</definedName>
    <definedName name="HeatExchanger_SpiralPlate_Material" localSheetId="4">Tabla77[HeatExchanger_SpiralPlate_Material]</definedName>
    <definedName name="HeatExchanger_SpiralPlate_Material" localSheetId="3">Tabla77[HeatExchanger_SpiralPlate_Material]</definedName>
    <definedName name="HeatExchanger_SpiralTube_Material" localSheetId="4">Tabla75[HeatExchanger_SpiralTube_Material]</definedName>
    <definedName name="HeatExchanger_SpiralTube_Material" localSheetId="3">Tabla75[HeatExchanger_SpiralTube_Material]</definedName>
    <definedName name="HeatExchanger_TeflonTubeExchanger_Material" localSheetId="4">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4">Tabla82[Lifetime]</definedName>
    <definedName name="Lifetime" localSheetId="3">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4">Tabla55[Location]</definedName>
    <definedName name="Location" localSheetId="3">Tabla55[Location]</definedName>
    <definedName name="Location" localSheetId="5">Tabla55[Location]</definedName>
    <definedName name="Mixer" localSheetId="2">Tabla15[[Mixer ]]</definedName>
    <definedName name="Mixer" localSheetId="4">Tabla15[[Mixer ]]</definedName>
    <definedName name="Mixer" localSheetId="3">Tabla15[[Mixer ]]</definedName>
    <definedName name="Mixer" localSheetId="5">Tabla15[[Mixer ]]</definedName>
    <definedName name="Mixer_Material" localSheetId="2">Tabla44[Mixer_Material]</definedName>
    <definedName name="Mixer_Material" localSheetId="4">Tabla44[Mixer_Material]</definedName>
    <definedName name="Mixer_Material" localSheetId="3">Tabla44[Mixer_Material]</definedName>
    <definedName name="Mixer_Material" localSheetId="5">Tabla44[Mixer_Material]</definedName>
    <definedName name="Pump" localSheetId="2">Tabla16[[Pump ]]</definedName>
    <definedName name="Pump" localSheetId="4">Tabla16[[Pump ]]</definedName>
    <definedName name="Pump" localSheetId="3">Tabla16[[Pump ]]</definedName>
    <definedName name="Pump" localSheetId="5">Tabla16[[Pump ]]</definedName>
    <definedName name="Pump_Material" localSheetId="2">Tabla45[Pump_Material]</definedName>
    <definedName name="Pump_Material" localSheetId="4">Tabla45[Pump_Material]</definedName>
    <definedName name="Pump_Material" localSheetId="3">Tabla45[Pump_Material]</definedName>
    <definedName name="Pump_Material" localSheetId="5">Tabla45[Pump_Material]</definedName>
    <definedName name="Reactor" localSheetId="2">Tabla17[[Reactor ]]</definedName>
    <definedName name="Reactor" localSheetId="4">Tabla17[[Reactor ]]</definedName>
    <definedName name="Reactor" localSheetId="3">Tabla17[[Reactor ]]</definedName>
    <definedName name="Reactor" localSheetId="5">Tabla17[[Reactor ]]</definedName>
    <definedName name="Reactor_Material" localSheetId="2">Tabla46[Reactor_Material]</definedName>
    <definedName name="Reactor_Material" localSheetId="4">Tabla46[Reactor_Material]</definedName>
    <definedName name="Reactor_Material" localSheetId="3">Tabla46[Reactor_Material]</definedName>
    <definedName name="Reactor_Material" localSheetId="5">Tabla46[Reactor_Material]</definedName>
    <definedName name="Screen" localSheetId="2">[1]!Tabla18[[Screen ]]</definedName>
    <definedName name="Screen" localSheetId="4">Tabla18[Screen]</definedName>
    <definedName name="Screen" localSheetId="3">Tabla18[Screen]</definedName>
    <definedName name="Screen" localSheetId="5">[1]!Tabla18[[Screen ]]</definedName>
    <definedName name="Screen_Material" localSheetId="2">Tabla47[Screen_Material]</definedName>
    <definedName name="Screen_Material" localSheetId="4">Tabla47[Screen_Material]</definedName>
    <definedName name="Screen_Material" localSheetId="3">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4">Tabla19[Tank]</definedName>
    <definedName name="Tank" localSheetId="3">Tabla19[Tank]</definedName>
    <definedName name="Tank" localSheetId="5">Tabla19[Tank]</definedName>
    <definedName name="Tank_Material" localSheetId="2">Tabla48[Tank_Material]</definedName>
    <definedName name="Tank_Material" localSheetId="4">Tabla48[Tank_Material]</definedName>
    <definedName name="Tank_Material" localSheetId="3">Tabla48[Tank_Material]</definedName>
    <definedName name="Tank_Material" localSheetId="5">Tabla48[Tank_Material]</definedName>
    <definedName name="test" localSheetId="4">Tabla20[Turbine]</definedName>
    <definedName name="test" localSheetId="3">Tabla20[Turbine]</definedName>
    <definedName name="TowerPacking" localSheetId="2">Tabla24[Tower Packing]</definedName>
    <definedName name="TowerPacking" localSheetId="4">Tabla24[Tower Packing]</definedName>
    <definedName name="TowerPacking" localSheetId="3">Tabla24[Tower Packing]</definedName>
    <definedName name="TowerPacking" localSheetId="5">Tabla24[Tower Packing]</definedName>
    <definedName name="TowerPacking_Material" localSheetId="2">Tabla53[TowerPacking_Material]</definedName>
    <definedName name="TowerPacking_Material" localSheetId="4">Tabla53[TowerPacking_Material]</definedName>
    <definedName name="TowerPacking_Material" localSheetId="3">Tabla53[TowerPacking_Material]</definedName>
    <definedName name="TowerPacking_Material" localSheetId="5">Tabla53[TowerPacking_Material]</definedName>
    <definedName name="TowerTrays" localSheetId="2">Tabla23[Tower Trays]</definedName>
    <definedName name="TowerTrays" localSheetId="4">Tabla23[Tower Trays]</definedName>
    <definedName name="TowerTrays" localSheetId="3">Tabla23[Tower Trays]</definedName>
    <definedName name="TowerTrays" localSheetId="5">Tabla23[Tower Trays]</definedName>
    <definedName name="TowerTrays_Material" localSheetId="2">Tabla52[TowerTrays_Material]</definedName>
    <definedName name="TowerTrays_Material" localSheetId="4">Tabla52[TowerTrays_Material]</definedName>
    <definedName name="TowerTrays_Material" localSheetId="3">Tabla52[TowerTrays_Material]</definedName>
    <definedName name="TowerTrays_Material" localSheetId="5">Tabla52[TowerTrays_Material]</definedName>
    <definedName name="Turbine" localSheetId="2">Tabla20[Turbine]</definedName>
    <definedName name="Turbine" localSheetId="4">Tabla20[Turbine]</definedName>
    <definedName name="Turbine" localSheetId="3">Tabla20[Turbine]</definedName>
    <definedName name="Turbine" localSheetId="5">Tabla20[Turbine]</definedName>
    <definedName name="Turbine_Material" localSheetId="2">Tabla49[Turbine_Material]</definedName>
    <definedName name="Turbine_Material" localSheetId="4">Tabla49[Turbine_Material]</definedName>
    <definedName name="Turbine_Material" localSheetId="3">Tabla49[Turbine_Material]</definedName>
    <definedName name="Turbine_Material" localSheetId="5">Tabla49[Turbine_Material]</definedName>
    <definedName name="Vaporizer" localSheetId="2">Tabla21[Vaporizer]</definedName>
    <definedName name="Vaporizer" localSheetId="4">Tabla21[Vaporizer]</definedName>
    <definedName name="Vaporizer" localSheetId="3">Tabla21[Vaporizer]</definedName>
    <definedName name="Vaporizer" localSheetId="5">Tabla21[Vaporizer]</definedName>
    <definedName name="Vaporizer_Material" localSheetId="2">Tabla50[Vaporizer_Material]</definedName>
    <definedName name="Vaporizer_Material" localSheetId="4">Tabla50[Vaporizer_Material]</definedName>
    <definedName name="Vaporizer_Material" localSheetId="3">Tabla50[Vaporizer_Material]</definedName>
    <definedName name="Vaporizer_Material" localSheetId="5">Tabla50[Vaporizer_Material]</definedName>
    <definedName name="Vessel" localSheetId="2">Tabla22[Vessel]</definedName>
    <definedName name="Vessel" localSheetId="4">Tabla22[Vessel]</definedName>
    <definedName name="Vessel" localSheetId="3">Tabla22[Vessel]</definedName>
    <definedName name="Vessel" localSheetId="5">Tabla22[Vessel]</definedName>
    <definedName name="Vessel_Material" localSheetId="2">Tabla51[Vessel_Material]</definedName>
    <definedName name="Vessel_Material" localSheetId="4">Tabla51[Vessel_Material]</definedName>
    <definedName name="Vessel_Material" localSheetId="3">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4">Tabla80[Year]</definedName>
    <definedName name="Year" localSheetId="3">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84" l="1"/>
  <c r="I29" i="84"/>
  <c r="J29" i="84"/>
  <c r="K29" i="84"/>
  <c r="L29" i="84"/>
  <c r="M29" i="84"/>
  <c r="N29" i="84"/>
  <c r="O29" i="84"/>
  <c r="P29" i="84"/>
  <c r="Q29" i="84"/>
  <c r="R29" i="84"/>
  <c r="S29" i="84"/>
  <c r="T29" i="84"/>
  <c r="U29" i="84"/>
  <c r="V29" i="84"/>
  <c r="W29" i="84"/>
  <c r="X29" i="84"/>
  <c r="Y29" i="84"/>
  <c r="Z29" i="84"/>
  <c r="AA29" i="84"/>
  <c r="AB29" i="84"/>
  <c r="AC29" i="84"/>
  <c r="AD29" i="84"/>
  <c r="G29" i="84"/>
  <c r="H29" i="84"/>
  <c r="T17" i="16"/>
  <c r="R17" i="16"/>
  <c r="C18" i="16"/>
  <c r="G18" i="16" s="1"/>
  <c r="C17" i="16"/>
  <c r="G16" i="16"/>
  <c r="AC38" i="80"/>
  <c r="AA38" i="80"/>
  <c r="O19" i="80"/>
  <c r="N19" i="80"/>
  <c r="M19" i="80"/>
  <c r="J19" i="80"/>
  <c r="O18" i="80"/>
  <c r="N18" i="80"/>
  <c r="M18" i="80"/>
  <c r="J18" i="80"/>
  <c r="O17" i="80"/>
  <c r="N17" i="80"/>
  <c r="M17" i="80"/>
  <c r="J17" i="80"/>
  <c r="O16" i="80"/>
  <c r="N16" i="80"/>
  <c r="M16" i="80"/>
  <c r="J16" i="80"/>
  <c r="O15" i="80"/>
  <c r="N15" i="80"/>
  <c r="M15" i="80"/>
  <c r="J15" i="80"/>
  <c r="P14" i="80"/>
  <c r="M14" i="80"/>
  <c r="J14" i="80"/>
  <c r="P13" i="80"/>
  <c r="M13" i="80"/>
  <c r="J13" i="80"/>
  <c r="Y54" i="101"/>
  <c r="Y56" i="101"/>
  <c r="F71" i="81"/>
  <c r="F58" i="81"/>
  <c r="F18" i="81" s="1"/>
  <c r="F52" i="81"/>
  <c r="F19" i="81"/>
  <c r="D35" i="5" s="1"/>
  <c r="F32" i="81" l="1"/>
  <c r="AD38" i="80"/>
  <c r="Q14" i="80"/>
  <c r="Q13" i="80"/>
  <c r="P15" i="80"/>
  <c r="Q15" i="80" s="1"/>
  <c r="P16" i="80"/>
  <c r="Q16" i="80" s="1"/>
  <c r="P18" i="80"/>
  <c r="Q18" i="80" s="1"/>
  <c r="P17" i="80"/>
  <c r="Q17" i="80" s="1"/>
  <c r="P19" i="80"/>
  <c r="Q19" i="80" s="1"/>
  <c r="Y52" i="101"/>
  <c r="R13" i="101" s="1"/>
  <c r="F20" i="81"/>
  <c r="D34" i="5" l="1"/>
  <c r="F39" i="81"/>
  <c r="G25" i="84"/>
  <c r="AF29" i="84" l="1"/>
  <c r="AG29" i="84"/>
  <c r="AH29" i="84"/>
  <c r="AI29" i="84"/>
  <c r="AJ29" i="84"/>
  <c r="AK29" i="84"/>
  <c r="AL29" i="84"/>
  <c r="AM29" i="84"/>
  <c r="AN29" i="84"/>
  <c r="AO29" i="84"/>
  <c r="AP29" i="84"/>
  <c r="AQ29" i="84"/>
  <c r="AR29" i="84"/>
  <c r="AS29" i="84"/>
  <c r="AT29" i="84"/>
  <c r="E7" i="102" l="1"/>
  <c r="E6" i="102"/>
  <c r="W3" i="102"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E7" i="101"/>
  <c r="D5" i="5" s="1"/>
  <c r="E6" i="101"/>
  <c r="B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S27" i="101" s="1" a="1"/>
  <c r="S27" i="101" s="1"/>
  <c r="R26" i="101"/>
  <c r="S26" i="101" s="1" a="1"/>
  <c r="S26" i="101" s="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G39" i="101" l="1"/>
  <c r="D4" i="5"/>
  <c r="S36" i="102"/>
  <c r="B39" i="102"/>
  <c r="O3" i="102"/>
  <c r="G39" i="102"/>
  <c r="O3" i="101"/>
  <c r="W3" i="101"/>
  <c r="M22" i="18" l="1"/>
  <c r="S14" i="98"/>
  <c r="E7" i="98"/>
  <c r="E6" i="98"/>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AE3" i="18"/>
  <c r="AE6" i="18"/>
  <c r="AE5" i="18"/>
  <c r="W3" i="98" l="1"/>
  <c r="S13" i="98"/>
  <c r="R52" i="98" s="1"/>
  <c r="S52" i="98" s="1" a="1"/>
  <c r="S52" i="98" s="1"/>
  <c r="T46" i="98"/>
  <c r="S53" i="98"/>
  <c r="B56" i="98"/>
  <c r="H56" i="98"/>
  <c r="O3" i="98"/>
  <c r="W34" i="98"/>
  <c r="S22" i="80"/>
  <c r="S18" i="80"/>
  <c r="C35" i="84"/>
  <c r="D35" i="84" s="1"/>
  <c r="E35" i="84" s="1"/>
  <c r="F35" i="84" s="1"/>
  <c r="T27" i="98" l="1"/>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9" i="80" a="1"/>
  <c r="S49" i="80" s="1"/>
  <c r="S50" i="80" a="1"/>
  <c r="S50" i="80" s="1"/>
  <c r="B2" i="97"/>
  <c r="H15" i="84"/>
  <c r="I11" i="84"/>
  <c r="J11" i="84"/>
  <c r="P16" i="16" l="1"/>
  <c r="J15" i="84" l="1"/>
  <c r="J6"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16" i="16" l="1"/>
  <c r="Q17" i="16"/>
  <c r="Q16" i="16"/>
  <c r="E20" i="84"/>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J96" i="18"/>
  <c r="N76" i="18"/>
  <c r="N73" i="18"/>
  <c r="E7" i="84"/>
  <c r="E8" i="84"/>
  <c r="E6" i="84"/>
  <c r="E5" i="84"/>
  <c r="J7" i="84"/>
  <c r="E4" i="84" s="1"/>
  <c r="E22" i="84" s="1"/>
  <c r="I17" i="16"/>
  <c r="I16" i="16"/>
  <c r="C54" i="81"/>
  <c r="W17" i="16"/>
  <c r="W14" i="16"/>
  <c r="W15" i="16" l="1"/>
  <c r="B7" i="84"/>
  <c r="W16" i="16"/>
  <c r="B33" i="84"/>
  <c r="AE3" i="81"/>
  <c r="O3" i="81"/>
  <c r="E7" i="80"/>
  <c r="E5" i="5" s="1"/>
  <c r="E6" i="80"/>
  <c r="E4" i="5" s="1"/>
  <c r="O34" i="81"/>
  <c r="F4" i="5"/>
  <c r="Q9" i="16"/>
  <c r="H14" i="84"/>
  <c r="P41" i="84" s="1"/>
  <c r="P106" i="18"/>
  <c r="O106" i="18"/>
  <c r="P107" i="18"/>
  <c r="M107" i="18"/>
  <c r="J103" i="18"/>
  <c r="O104" i="18"/>
  <c r="B31" i="84"/>
  <c r="G19" i="84" s="1"/>
  <c r="G20" i="84"/>
  <c r="G18" i="84"/>
  <c r="G17" i="84"/>
  <c r="O3" i="80" l="1"/>
  <c r="B56" i="80"/>
  <c r="H56" i="80"/>
  <c r="W3" i="80"/>
  <c r="W34" i="80"/>
  <c r="C30" i="5" l="1"/>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5" i="84"/>
  <c r="AS35" i="84"/>
  <c r="AR35" i="84"/>
  <c r="AQ35" i="84"/>
  <c r="AP35" i="84"/>
  <c r="AO35" i="84"/>
  <c r="AN35" i="84"/>
  <c r="AM35" i="84"/>
  <c r="AL35" i="84"/>
  <c r="AK35" i="84"/>
  <c r="AJ35" i="84"/>
  <c r="AI35" i="84"/>
  <c r="AH35" i="84"/>
  <c r="AG35" i="84"/>
  <c r="AF35" i="84"/>
  <c r="G35" i="84"/>
  <c r="H35" i="84" s="1"/>
  <c r="I35" i="84" s="1"/>
  <c r="J35" i="84" s="1"/>
  <c r="K35" i="84" s="1"/>
  <c r="L35" i="84" s="1"/>
  <c r="M35" i="84" s="1"/>
  <c r="N35" i="84" s="1"/>
  <c r="O35" i="84" s="1"/>
  <c r="P35" i="84" s="1"/>
  <c r="Q35" i="84" s="1"/>
  <c r="R35" i="84" s="1"/>
  <c r="S35" i="84" s="1"/>
  <c r="T35" i="84" s="1"/>
  <c r="U35" i="84" s="1"/>
  <c r="V35" i="84" s="1"/>
  <c r="W35" i="84" s="1"/>
  <c r="X35" i="84" s="1"/>
  <c r="Y35" i="84" s="1"/>
  <c r="Z35" i="84" s="1"/>
  <c r="AA35" i="84" s="1"/>
  <c r="AB35" i="84" s="1"/>
  <c r="AC35" i="84" s="1"/>
  <c r="AD35" i="84" s="1"/>
  <c r="AE35" i="84" s="1"/>
  <c r="AT30" i="84"/>
  <c r="AS30" i="84"/>
  <c r="AR30" i="84"/>
  <c r="AQ30" i="84"/>
  <c r="AP30" i="84"/>
  <c r="AO30" i="84"/>
  <c r="AN30" i="84"/>
  <c r="AM30" i="84"/>
  <c r="AL30" i="84"/>
  <c r="AK30" i="84"/>
  <c r="AJ30" i="84"/>
  <c r="AI30" i="84"/>
  <c r="AH30" i="84"/>
  <c r="AG30" i="84"/>
  <c r="AF30" i="84"/>
  <c r="AT25" i="84"/>
  <c r="AS25" i="84"/>
  <c r="AR25" i="84"/>
  <c r="AQ25" i="84"/>
  <c r="AP25" i="84"/>
  <c r="AO25" i="84"/>
  <c r="AN25" i="84"/>
  <c r="AM25" i="84"/>
  <c r="AL25" i="84"/>
  <c r="AK25" i="84"/>
  <c r="AJ25" i="84"/>
  <c r="AI25" i="84"/>
  <c r="AH25" i="84"/>
  <c r="AG25" i="84"/>
  <c r="AF25" i="84"/>
  <c r="AE25" i="84"/>
  <c r="AD25" i="84"/>
  <c r="AC25" i="84"/>
  <c r="AB25" i="84"/>
  <c r="AA25" i="84"/>
  <c r="Z25" i="84"/>
  <c r="Y25" i="84"/>
  <c r="X25" i="84"/>
  <c r="W25" i="84"/>
  <c r="V25" i="84"/>
  <c r="U25" i="84"/>
  <c r="T25" i="84"/>
  <c r="S25" i="84"/>
  <c r="R25" i="84"/>
  <c r="Q25" i="84"/>
  <c r="P25" i="84"/>
  <c r="O25" i="84"/>
  <c r="N25" i="84"/>
  <c r="M25" i="84"/>
  <c r="L25" i="84"/>
  <c r="K25" i="84"/>
  <c r="J25" i="84"/>
  <c r="I25" i="84"/>
  <c r="H25" i="84"/>
  <c r="G27" i="84"/>
  <c r="G22" i="84"/>
  <c r="B32" i="84"/>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R48" i="80"/>
  <c r="R47" i="80"/>
  <c r="R46" i="80"/>
  <c r="S43" i="80"/>
  <c r="S42" i="80"/>
  <c r="S41" i="80"/>
  <c r="S40" i="80"/>
  <c r="S39" i="80"/>
  <c r="S38" i="80"/>
  <c r="S37" i="80"/>
  <c r="S36" i="80"/>
  <c r="S35" i="80"/>
  <c r="S34" i="80"/>
  <c r="S33" i="80"/>
  <c r="S32" i="80"/>
  <c r="S31" i="80"/>
  <c r="S30" i="80"/>
  <c r="S29" i="80"/>
  <c r="S28" i="80"/>
  <c r="S27" i="80"/>
  <c r="S26" i="80"/>
  <c r="S25" i="80"/>
  <c r="S24" i="80"/>
  <c r="S23" i="80"/>
  <c r="D46" i="30" a="1"/>
  <c r="H5" i="30" a="1"/>
  <c r="H22" i="30" a="1"/>
  <c r="D23" i="30" a="1"/>
  <c r="D5" i="30" a="1"/>
  <c r="H8" i="30" a="1"/>
  <c r="H19" i="30" a="1"/>
  <c r="D15" i="30" a="1"/>
  <c r="H3" i="30" a="1"/>
  <c r="D26" i="30" a="1"/>
  <c r="H6" i="30" a="1"/>
  <c r="D33" i="30" a="1"/>
  <c r="D14" i="30" a="1"/>
  <c r="D34" i="30" a="1"/>
  <c r="D42" i="30" a="1"/>
  <c r="D11" i="30" a="1"/>
  <c r="D45" i="30" a="1"/>
  <c r="D13" i="30" a="1"/>
  <c r="D25" i="30" a="1"/>
  <c r="D40" i="30" a="1"/>
  <c r="D19" i="30" a="1"/>
  <c r="H11" i="30" a="1"/>
  <c r="D6" i="30" a="1"/>
  <c r="D43" i="30" a="1"/>
  <c r="D37" i="30" a="1"/>
  <c r="H12" i="30" a="1"/>
  <c r="D24" i="30" a="1"/>
  <c r="D3" i="30" a="1"/>
  <c r="D32" i="30" a="1"/>
  <c r="D47" i="30" a="1"/>
  <c r="D8" i="30" a="1"/>
  <c r="D4" i="30" a="1"/>
  <c r="H7" i="30" a="1"/>
  <c r="D9" i="30" a="1"/>
  <c r="H18" i="30" a="1"/>
  <c r="H15" i="30" a="1"/>
  <c r="D31" i="30" a="1"/>
  <c r="H14" i="30" a="1"/>
  <c r="D10" i="30" a="1"/>
  <c r="D12" i="30" a="1"/>
  <c r="D39" i="30" a="1"/>
  <c r="D36" i="30" a="1"/>
  <c r="D30" i="30" a="1"/>
  <c r="D48" i="30" a="1"/>
  <c r="H9" i="30" a="1"/>
  <c r="D35" i="30" a="1"/>
  <c r="D38" i="30" a="1"/>
  <c r="D41" i="30" a="1"/>
  <c r="D20" i="30" a="1"/>
  <c r="D21" i="30" a="1"/>
  <c r="H13" i="30" a="1"/>
  <c r="H21" i="30" a="1"/>
  <c r="D22" i="30" a="1"/>
  <c r="D29" i="30" a="1"/>
  <c r="D18" i="30" a="1"/>
  <c r="H17" i="30" a="1"/>
  <c r="H20" i="30" a="1"/>
  <c r="H10" i="30" a="1"/>
  <c r="D17" i="30" a="1"/>
  <c r="H4" i="30" a="1"/>
  <c r="H16" i="30" a="1"/>
  <c r="D44" i="30" a="1"/>
  <c r="D27" i="30" a="1"/>
  <c r="D28" i="30" a="1"/>
  <c r="D7" i="30" a="1"/>
  <c r="D16" i="30" a="1"/>
  <c r="AN27" i="84" l="1"/>
  <c r="W27" i="84"/>
  <c r="H27" i="84"/>
  <c r="Y27" i="84"/>
  <c r="J27" i="84"/>
  <c r="R27" i="84"/>
  <c r="Z27" i="84"/>
  <c r="AH27" i="84"/>
  <c r="AP27" i="84"/>
  <c r="O27" i="84"/>
  <c r="AE27" i="84"/>
  <c r="AF27" i="84"/>
  <c r="S27" i="84"/>
  <c r="AA27" i="84"/>
  <c r="AI27" i="84"/>
  <c r="AQ27" i="84"/>
  <c r="AM27" i="84"/>
  <c r="P27" i="84"/>
  <c r="I27" i="84"/>
  <c r="AO27" i="84"/>
  <c r="K27" i="84"/>
  <c r="L27" i="84"/>
  <c r="T27" i="84"/>
  <c r="AB27" i="84"/>
  <c r="AJ27" i="84"/>
  <c r="AR27" i="84"/>
  <c r="AG27" i="84"/>
  <c r="M27" i="84"/>
  <c r="U27" i="84"/>
  <c r="AC27" i="84"/>
  <c r="AK27" i="84"/>
  <c r="AS27" i="84"/>
  <c r="X27" i="84"/>
  <c r="Q27" i="84"/>
  <c r="N27" i="84"/>
  <c r="V27" i="84"/>
  <c r="AD27" i="84"/>
  <c r="AL27" i="84"/>
  <c r="AT27" i="84"/>
  <c r="C33" i="5"/>
  <c r="D33" i="5"/>
  <c r="R52"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13" i="101" a="1"/>
  <c r="S46" i="80" a="1"/>
  <c r="S52" i="80" a="1"/>
  <c r="S48" i="80" a="1"/>
  <c r="S47" i="80" a="1"/>
  <c r="S46" i="80" l="1"/>
  <c r="S47" i="80"/>
  <c r="T47" i="80" s="1"/>
  <c r="S48" i="80"/>
  <c r="T48" i="80" s="1"/>
  <c r="S13" i="101"/>
  <c r="S36" i="101" s="1"/>
  <c r="D6" i="5" s="1"/>
  <c r="S52" i="80"/>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46" i="80" l="1"/>
  <c r="S53" i="80"/>
  <c r="E6" i="5" s="1"/>
  <c r="T13" i="80"/>
  <c r="T19" i="80"/>
  <c r="T41" i="80"/>
  <c r="T21" i="80"/>
  <c r="T39" i="80"/>
  <c r="T36" i="80"/>
  <c r="T42" i="80"/>
  <c r="T33" i="80"/>
  <c r="T31" i="80"/>
  <c r="T28" i="80"/>
  <c r="T34" i="80"/>
  <c r="T17" i="80"/>
  <c r="T38" i="80"/>
  <c r="T20" i="80"/>
  <c r="T26" i="80"/>
  <c r="T40" i="80"/>
  <c r="T32" i="80"/>
  <c r="T14" i="80"/>
  <c r="T43" i="80"/>
  <c r="T25" i="80"/>
  <c r="T24" i="80"/>
  <c r="T22" i="80"/>
  <c r="T15" i="80"/>
  <c r="T37" i="80"/>
  <c r="T35" i="80"/>
  <c r="T23" i="80"/>
  <c r="T16" i="80"/>
  <c r="T18" i="80"/>
  <c r="T29" i="80"/>
  <c r="T27" i="80"/>
  <c r="T30" i="80"/>
  <c r="P82" i="18"/>
  <c r="P84" i="18"/>
  <c r="P76" i="18"/>
  <c r="P68" i="18"/>
  <c r="P72" i="18"/>
  <c r="P75" i="18"/>
  <c r="P71" i="18"/>
  <c r="P73" i="18"/>
  <c r="P83" i="18"/>
  <c r="P67" i="18"/>
  <c r="P69" i="18"/>
  <c r="P70" i="18"/>
  <c r="E7" i="5" l="1"/>
  <c r="E8" i="5"/>
  <c r="D8" i="5"/>
  <c r="D7" i="5"/>
  <c r="E9" i="5" l="1"/>
  <c r="E10" i="5" s="1"/>
  <c r="E11" i="5" s="1"/>
  <c r="E12" i="5" s="1"/>
  <c r="E13" i="5" s="1"/>
  <c r="E14" i="5" s="1"/>
  <c r="D9" i="5"/>
  <c r="D10" i="5" l="1"/>
  <c r="U17" i="16"/>
  <c r="U16" i="16"/>
  <c r="N16" i="16"/>
  <c r="D7" i="84" s="1"/>
  <c r="G32" i="84" s="1"/>
  <c r="N17" i="16"/>
  <c r="J27" i="32"/>
  <c r="J26" i="32"/>
  <c r="J25" i="32"/>
  <c r="J24" i="32"/>
  <c r="J22" i="32"/>
  <c r="J21" i="32"/>
  <c r="J20" i="32"/>
  <c r="J19" i="32"/>
  <c r="J18" i="32"/>
  <c r="J17" i="32"/>
  <c r="K16" i="32"/>
  <c r="L16" i="32" s="1"/>
  <c r="M16" i="32" s="1"/>
  <c r="N16" i="32" s="1"/>
  <c r="O16" i="32" s="1"/>
  <c r="P16" i="32" s="1"/>
  <c r="Q16" i="32" s="1"/>
  <c r="R16" i="32" s="1"/>
  <c r="S16" i="32" s="1"/>
  <c r="T16" i="32" s="1"/>
  <c r="J16" i="32"/>
  <c r="J14" i="32"/>
  <c r="G33" i="84" l="1"/>
  <c r="AN33" i="84"/>
  <c r="J33" i="84"/>
  <c r="AP33" i="84"/>
  <c r="S33" i="84"/>
  <c r="AM33" i="84"/>
  <c r="K33" i="84"/>
  <c r="AJ33" i="84"/>
  <c r="U33" i="84"/>
  <c r="X33" i="84"/>
  <c r="AD33" i="84"/>
  <c r="Z33" i="84"/>
  <c r="Y33" i="84"/>
  <c r="AO33" i="84"/>
  <c r="AB33" i="84"/>
  <c r="AS33" i="84"/>
  <c r="AK33" i="84"/>
  <c r="AQ33" i="84"/>
  <c r="M33" i="84"/>
  <c r="W33" i="84"/>
  <c r="R33" i="84"/>
  <c r="O33" i="84"/>
  <c r="AA33" i="84"/>
  <c r="P33" i="84"/>
  <c r="L33" i="84"/>
  <c r="AR33" i="84"/>
  <c r="AC33" i="84"/>
  <c r="Q33" i="84"/>
  <c r="AL33" i="84"/>
  <c r="AE33" i="84"/>
  <c r="AH33" i="84"/>
  <c r="V33" i="84"/>
  <c r="H33" i="84"/>
  <c r="AI33" i="84"/>
  <c r="I33" i="84"/>
  <c r="T33" i="84"/>
  <c r="AG33" i="84"/>
  <c r="N33" i="84"/>
  <c r="AT33" i="84"/>
  <c r="AF33" i="84"/>
  <c r="D11" i="5"/>
  <c r="U18" i="16"/>
  <c r="D6" i="84" s="1"/>
  <c r="U19" i="16"/>
  <c r="AO32" i="84"/>
  <c r="AQ32" i="84"/>
  <c r="R32" i="84"/>
  <c r="AC32" i="84"/>
  <c r="AN32" i="84"/>
  <c r="Y32" i="84"/>
  <c r="L32" i="84"/>
  <c r="O32" i="84"/>
  <c r="AK32" i="84"/>
  <c r="AG32" i="84"/>
  <c r="T32" i="84"/>
  <c r="AS32" i="84"/>
  <c r="W32" i="84"/>
  <c r="Z32" i="84"/>
  <c r="AB32" i="84"/>
  <c r="N32" i="84"/>
  <c r="AE32" i="84"/>
  <c r="AI32" i="84"/>
  <c r="AT32" i="84"/>
  <c r="K32" i="84"/>
  <c r="AJ32" i="84"/>
  <c r="V32" i="84"/>
  <c r="AM32" i="84"/>
  <c r="H32" i="84"/>
  <c r="AF32" i="84"/>
  <c r="S32" i="84"/>
  <c r="AR32" i="84"/>
  <c r="J32" i="84"/>
  <c r="AD32" i="84"/>
  <c r="P32" i="84"/>
  <c r="Q32" i="84"/>
  <c r="AA32" i="84"/>
  <c r="M32" i="84"/>
  <c r="AP32" i="84"/>
  <c r="AL32" i="84"/>
  <c r="X32" i="84"/>
  <c r="I32" i="84"/>
  <c r="U32" i="84"/>
  <c r="AH32" i="84"/>
  <c r="G19" i="16"/>
  <c r="D5"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G34" i="84" l="1"/>
  <c r="D8" i="84"/>
  <c r="D12" i="5"/>
  <c r="AH34" i="84"/>
  <c r="AR34" i="84"/>
  <c r="I34" i="84"/>
  <c r="Y34" i="84"/>
  <c r="AO34" i="84"/>
  <c r="Q34" i="84"/>
  <c r="S34" i="84"/>
  <c r="AT34" i="84"/>
  <c r="AS34" i="84"/>
  <c r="AJ34" i="84"/>
  <c r="AB34" i="84"/>
  <c r="K34" i="84"/>
  <c r="AE34" i="84"/>
  <c r="AI34" i="84"/>
  <c r="AP34" i="84"/>
  <c r="X34" i="84"/>
  <c r="AQ34" i="84"/>
  <c r="L34" i="84"/>
  <c r="AM34" i="84"/>
  <c r="AG34" i="84"/>
  <c r="O34" i="84"/>
  <c r="W34" i="84"/>
  <c r="AC34" i="84"/>
  <c r="AL34" i="84"/>
  <c r="J34" i="84"/>
  <c r="N34" i="84"/>
  <c r="H34" i="84"/>
  <c r="AA34" i="84"/>
  <c r="M34" i="84"/>
  <c r="R34" i="84"/>
  <c r="AF34" i="84"/>
  <c r="AK34" i="84"/>
  <c r="T34" i="84"/>
  <c r="AN34" i="84"/>
  <c r="Z34" i="84"/>
  <c r="P34" i="84"/>
  <c r="V34" i="84"/>
  <c r="U34" i="84"/>
  <c r="AD34"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1" i="84"/>
  <c r="R31" i="84"/>
  <c r="AP31" i="84"/>
  <c r="AH31" i="84"/>
  <c r="Z31" i="84"/>
  <c r="J31" i="84"/>
  <c r="AA31" i="84"/>
  <c r="M31" i="84"/>
  <c r="AD31" i="84"/>
  <c r="X31" i="84"/>
  <c r="Y31" i="84"/>
  <c r="U31" i="84"/>
  <c r="AL31" i="84"/>
  <c r="AG31" i="84"/>
  <c r="AI31" i="84"/>
  <c r="AQ31" i="84"/>
  <c r="AC31" i="84"/>
  <c r="AT31" i="84"/>
  <c r="G31" i="84"/>
  <c r="AN31" i="84"/>
  <c r="L31" i="84"/>
  <c r="AK31" i="84"/>
  <c r="O31" i="84"/>
  <c r="P31" i="84"/>
  <c r="T31" i="84"/>
  <c r="AS31" i="84"/>
  <c r="W31" i="84"/>
  <c r="AR31" i="84"/>
  <c r="V31" i="84"/>
  <c r="AF31" i="84"/>
  <c r="AB31" i="84"/>
  <c r="AE31" i="84"/>
  <c r="K31" i="84"/>
  <c r="AJ31" i="84"/>
  <c r="N31" i="84"/>
  <c r="AM31" i="84"/>
  <c r="H31" i="84"/>
  <c r="I31" i="84"/>
  <c r="S31" i="84"/>
  <c r="Q31" i="84"/>
  <c r="S22" i="32"/>
  <c r="R22" i="32"/>
  <c r="S18" i="32"/>
  <c r="T21" i="32"/>
  <c r="T18" i="32"/>
  <c r="S19" i="32"/>
  <c r="S17" i="32"/>
  <c r="T22" i="32"/>
  <c r="T20" i="32"/>
  <c r="S21" i="32"/>
  <c r="R18" i="32"/>
  <c r="T19" i="32"/>
  <c r="R17" i="32"/>
  <c r="R19" i="32"/>
  <c r="R20" i="32"/>
  <c r="R21" i="32"/>
  <c r="S20" i="32"/>
  <c r="AL36" i="84" l="1"/>
  <c r="AL37" i="84" s="1"/>
  <c r="AQ36" i="84"/>
  <c r="AQ37" i="84" s="1"/>
  <c r="AK36" i="84"/>
  <c r="AK37" i="84" s="1"/>
  <c r="AR36" i="84"/>
  <c r="AR37" i="84" s="1"/>
  <c r="AO36" i="84"/>
  <c r="AO37" i="84" s="1"/>
  <c r="AI36" i="84"/>
  <c r="AI37" i="84" s="1"/>
  <c r="AN36" i="84"/>
  <c r="AN37" i="84" s="1"/>
  <c r="AH36" i="84"/>
  <c r="AH37" i="84" s="1"/>
  <c r="AJ36" i="84"/>
  <c r="AJ37" i="84" s="1"/>
  <c r="AT36" i="84"/>
  <c r="AT37" i="84" s="1"/>
  <c r="AS36" i="84"/>
  <c r="AS37" i="84" s="1"/>
  <c r="AP36" i="84"/>
  <c r="AP37" i="84" s="1"/>
  <c r="AF36" i="84"/>
  <c r="AF37" i="84" s="1"/>
  <c r="AM36" i="84"/>
  <c r="AM37" i="84" s="1"/>
  <c r="AG36" i="84"/>
  <c r="AG37" i="84" s="1"/>
  <c r="H19" i="84"/>
  <c r="H18" i="84"/>
  <c r="D13" i="5"/>
  <c r="O105" i="18"/>
  <c r="O61" i="18"/>
  <c r="Q61" i="18" s="1"/>
  <c r="N103" i="18"/>
  <c r="P103" i="18" s="1"/>
  <c r="N102" i="18"/>
  <c r="P102" i="18" s="1"/>
  <c r="D14" i="5" l="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4" i="84" l="1"/>
  <c r="AB36" i="84" l="1"/>
  <c r="AB37" i="84" s="1"/>
  <c r="AC36" i="84"/>
  <c r="AC37" i="84" s="1"/>
  <c r="AD36" i="84"/>
  <c r="AD37" i="84" s="1"/>
  <c r="AA36" i="84"/>
  <c r="AA37" i="84" s="1"/>
  <c r="G36" i="84"/>
  <c r="G37" i="84" s="1"/>
  <c r="Z36" i="84"/>
  <c r="Z37" i="84" s="1"/>
  <c r="W36" i="84"/>
  <c r="W37" i="84" s="1"/>
  <c r="Y36" i="84"/>
  <c r="Y37" i="84" s="1"/>
  <c r="V36" i="84"/>
  <c r="V37" i="84" s="1"/>
  <c r="X36" i="84"/>
  <c r="X37" i="84" s="1"/>
  <c r="AE29" i="84"/>
  <c r="AE36" i="84" s="1"/>
  <c r="AE37" i="84" s="1"/>
  <c r="N36" i="84"/>
  <c r="N37" i="84" s="1"/>
  <c r="K36" i="84"/>
  <c r="I36" i="84"/>
  <c r="I37" i="84" s="1"/>
  <c r="L36" i="84"/>
  <c r="L37" i="84" s="1"/>
  <c r="P36" i="84"/>
  <c r="P37" i="84" s="1"/>
  <c r="T36" i="84"/>
  <c r="T37" i="84" s="1"/>
  <c r="Q36" i="84"/>
  <c r="Q37" i="84" s="1"/>
  <c r="J36" i="84"/>
  <c r="J37" i="84" s="1"/>
  <c r="H36" i="84"/>
  <c r="H37" i="84" s="1"/>
  <c r="S36" i="84"/>
  <c r="S37" i="84" s="1"/>
  <c r="O36" i="84"/>
  <c r="O37" i="84" s="1"/>
  <c r="M36" i="84"/>
  <c r="M37" i="84" s="1"/>
  <c r="R36" i="84"/>
  <c r="R37" i="84" s="1"/>
  <c r="U36" i="84"/>
  <c r="U37" i="84" s="1"/>
  <c r="F29" i="84"/>
  <c r="F36" i="84" s="1"/>
  <c r="F37" i="84" s="1"/>
  <c r="E29" i="84"/>
  <c r="E36" i="84" s="1"/>
  <c r="E37" i="84" s="1"/>
  <c r="C29" i="84"/>
  <c r="D29" i="84"/>
  <c r="D36" i="84" s="1"/>
  <c r="H17" i="84" l="1"/>
  <c r="D37" i="84"/>
  <c r="C36" i="84"/>
  <c r="C38" i="84" s="1"/>
  <c r="C37" i="84" l="1"/>
  <c r="C39" i="84" l="1"/>
  <c r="D39" i="84" s="1"/>
  <c r="E39" i="84" s="1"/>
  <c r="F39" i="84" s="1"/>
  <c r="G39" i="84" s="1"/>
  <c r="D38" i="84"/>
  <c r="E38" i="84" s="1"/>
  <c r="H39" i="84" l="1"/>
  <c r="I39" i="84" s="1"/>
  <c r="J39" i="84" s="1"/>
  <c r="F38" i="84"/>
  <c r="G38" i="84" s="1"/>
  <c r="H38" i="84" l="1"/>
  <c r="I38" i="84" s="1"/>
  <c r="J38" i="84" s="1"/>
  <c r="K37" i="84"/>
  <c r="K39" i="84" l="1"/>
  <c r="H20" i="84"/>
  <c r="H21" i="84"/>
  <c r="H22" i="84"/>
  <c r="K38" i="84"/>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L39" i="84" l="1"/>
  <c r="M39" i="84" s="1"/>
  <c r="N39" i="84" s="1"/>
  <c r="O39" i="84" s="1"/>
  <c r="P39" i="84" s="1"/>
  <c r="Q39" i="84" s="1"/>
  <c r="R39" i="84" s="1"/>
  <c r="S39" i="84" s="1"/>
  <c r="T39" i="84" s="1"/>
  <c r="U39" i="84" s="1"/>
  <c r="V39" i="84" s="1"/>
  <c r="W39" i="84" s="1"/>
  <c r="X39" i="84" s="1"/>
  <c r="Y39" i="84" s="1"/>
  <c r="Z39" i="84" s="1"/>
  <c r="AA39" i="84" s="1"/>
  <c r="AB39" i="84" s="1"/>
  <c r="AC39" i="84" s="1"/>
  <c r="AD39" i="84" s="1"/>
  <c r="AE39" i="84" s="1"/>
  <c r="H16" i="84"/>
  <c r="I9" i="84" a="1"/>
  <c r="I9" i="84" s="1"/>
  <c r="I10" i="84" l="1" a="1"/>
  <c r="I10" i="84" s="1"/>
  <c r="D22" i="84"/>
  <c r="I7" i="8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0EF44218-072A-4EC7-A070-163E147937CF}">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<sst xmlns="http://schemas.openxmlformats.org/spreadsheetml/2006/main" count="2596" uniqueCount="898">
  <si>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</si>
  <si>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</si>
  <si>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</si>
  <si>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</si>
  <si>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</si>
  <si>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</si>
  <si>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</si>
  <si>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</si>
  <si>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</si>
  <si>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</si>
  <si>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</si>
  <si>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</si>
  <si>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</si>
  <si>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</si>
  <si>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</si>
  <si>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</si>
  <si>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</si>
  <si>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</si>
  <si>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</si>
  <si>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</si>
  <si>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</si>
  <si>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</si>
  <si>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</si>
  <si>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</si>
  <si>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</si>
  <si>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</si>
  <si>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</si>
  <si>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</si>
  <si>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</si>
  <si>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</si>
  <si>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</si>
  <si>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</si>
  <si>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</si>
  <si>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</si>
  <si>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</si>
  <si>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</si>
  <si>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</si>
  <si>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</si>
  <si>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</si>
  <si>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</si>
  <si>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</si>
  <si>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</si>
  <si>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</si>
  <si>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</si>
  <si>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</si>
  <si>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</si>
  <si>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</si>
  <si>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</si>
  <si>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</si>
  <si>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</si>
  <si>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</si>
  <si>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</si>
  <si>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</si>
  <si>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</si>
  <si>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</si>
  <si>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</si>
  <si>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</si>
  <si>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</si>
  <si>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</si>
  <si>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</si>
  <si>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</si>
  <si>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</si>
  <si>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</si>
  <si>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</si>
  <si>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</si>
  <si>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</si>
  <si>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</si>
  <si>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</si>
  <si>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</si>
  <si>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</si>
  <si>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</si>
  <si>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</si>
  <si>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</si>
  <si>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</si>
  <si>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</si>
  <si>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</si>
  <si>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</si>
  <si>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</si>
  <si>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</si>
  <si>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</si>
  <si>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</si>
  <si>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</si>
  <si>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</si>
  <si>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</si>
  <si>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</si>
  <si>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</si>
  <si>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</si>
  <si>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</si>
  <si>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</si>
  <si>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</si>
  <si>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</si>
  <si>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</si>
  <si>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</si>
  <si>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</si>
  <si>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</si>
  <si>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</si>
  <si>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</si>
  <si>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</si>
  <si>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</si>
  <si>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</si>
  <si>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</si>
  <si>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</si>
  <si>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</si>
  <si>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</si>
  <si>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</si>
  <si>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</si>
  <si>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</si>
  <si>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</si>
  <si>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</si>
  <si>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</si>
  <si>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</si>
  <si>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</si>
  <si>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</si>
  <si>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</si>
  <si>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</si>
  <si>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</si>
  <si>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</si>
  <si>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</si>
  <si>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</si>
  <si>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</si>
  <si>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</si>
  <si>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</si>
  <si>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</si>
  <si>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</si>
  <si>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</si>
  <si>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</si>
  <si>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</si>
  <si>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</si>
  <si>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</si>
  <si>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</si>
  <si>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</si>
  <si>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</si>
  <si>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</si>
  <si>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</si>
  <si>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</si>
  <si>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</si>
  <si>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</si>
  <si>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</si>
  <si>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</si>
  <si>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</si>
  <si>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</si>
  <si>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</si>
  <si>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</si>
  <si>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</si>
  <si>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</si>
  <si>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</si>
  <si>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</si>
  <si>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</si>
  <si>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</si>
  <si>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</si>
  <si>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</si>
  <si>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</si>
  <si>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</si>
  <si>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</si>
  <si>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</si>
  <si>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</si>
  <si>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</si>
  <si>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</si>
  <si>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</si>
  <si>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</si>
  <si>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</si>
  <si>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</si>
  <si>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</si>
  <si>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</si>
  <si>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</si>
  <si>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</si>
  <si>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</si>
  <si>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</si>
  <si>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</si>
  <si>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</si>
  <si>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</si>
  <si>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</si>
  <si>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</si>
  <si>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</si>
  <si>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</si>
  <si>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</si>
  <si>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</si>
  <si>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</si>
  <si>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</si>
  <si>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</si>
  <si>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</si>
  <si>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</si>
  <si>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</si>
  <si>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</si>
  <si>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</si>
  <si>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</si>
  <si>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</si>
  <si>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</si>
  <si>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</si>
  <si>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</si>
  <si>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</si>
  <si>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</si>
  <si>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</si>
  <si>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</si>
  <si>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</si>
  <si>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</si>
  <si>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</si>
  <si>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</si>
  <si>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</si>
  <si>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</si>
  <si>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</si>
  <si>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</si>
  <si>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</si>
  <si>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</si>
  <si>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</si>
  <si>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</si>
  <si>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</si>
  <si>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</si>
  <si>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</si>
  <si>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</si>
  <si>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</si>
  <si>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</si>
  <si>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</si>
  <si>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</si>
  <si>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</si>
  <si>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</si>
  <si>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</si>
  <si>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</si>
  <si>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</si>
  <si>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</si>
  <si>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</si>
  <si>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</si>
  <si>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</si>
  <si>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</si>
  <si>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</si>
  <si>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</si>
  <si>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</si>
  <si>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</si>
  <si>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</si>
  <si>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</si>
  <si>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</si>
  <si>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</si>
  <si>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</si>
  <si>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</si>
  <si>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</si>
  <si>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</si>
  <si>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</si>
  <si>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</si>
  <si>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</si>
  <si>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</si>
  <si>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</si>
  <si>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</si>
  <si>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</si>
  <si>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</si>
  <si>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</si>
  <si>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</si>
  <si>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</si>
  <si>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</si>
  <si>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</si>
  <si>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</si>
  <si>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</si>
  <si>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</si>
  <si>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</si>
  <si>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</si>
  <si>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</si>
  <si>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</si>
  <si>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</si>
  <si>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</si>
  <si>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</si>
  <si>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</si>
  <si>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</si>
  <si>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</si>
  <si>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</si>
  <si>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</si>
  <si>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</si>
  <si>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</si>
  <si>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</si>
  <si>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</si>
  <si>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</si>
  <si>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</si>
  <si>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</si>
  <si>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</si>
  <si>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</si>
  <si>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</si>
  <si>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</si>
  <si>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</si>
  <si>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</si>
  <si>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</si>
  <si>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</si>
  <si>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</si>
  <si>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</si>
  <si>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</si>
  <si>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</si>
  <si>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</si>
  <si>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</si>
  <si>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</si>
  <si>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</si>
  <si>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</si>
  <si>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</si>
  <si>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</si>
  <si>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</si>
  <si>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</si>
  <si>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</si>
  <si>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</si>
  <si>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</si>
  <si>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</si>
  <si>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</si>
  <si>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</si>
  <si>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</si>
  <si>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</si>
  <si>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</si>
  <si>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</si>
  <si>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</si>
  <si>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</si>
  <si>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</si>
  <si>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</si>
  <si>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</si>
  <si>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</si>
  <si>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</si>
  <si>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</si>
  <si>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</si>
  <si>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</si>
  <si>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</si>
  <si>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</si>
  <si>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</si>
  <si>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</si>
  <si>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</si>
  <si>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</si>
  <si>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</si>
  <si>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</si>
  <si>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</si>
  <si>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</si>
  <si>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</si>
  <si>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</si>
  <si>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</si>
  <si>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</si>
  <si>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</si>
  <si>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</si>
  <si>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</si>
  <si>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</si>
  <si>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</si>
  <si>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</si>
  <si>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</si>
  <si>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</si>
  <si>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</si>
  <si>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</si>
  <si>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</si>
  <si>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</si>
  <si>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</si>
  <si>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</si>
  <si>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</si>
  <si>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</si>
  <si>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</si>
  <si>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</si>
  <si>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</si>
  <si>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</si>
  <si>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</si>
  <si>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</si>
  <si>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</si>
  <si>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</si>
  <si>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</si>
  <si>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</si>
  <si>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</si>
  <si>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</si>
  <si>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</si>
  <si>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</si>
  <si>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</si>
  <si>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</si>
  <si>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</si>
  <si>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</si>
  <si>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</si>
  <si>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</si>
  <si>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</si>
  <si>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</si>
  <si>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</si>
  <si>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</si>
  <si>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</si>
  <si>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</si>
  <si>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</si>
  <si>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</si>
  <si>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</si>
  <si>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</si>
  <si>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</si>
  <si>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</si>
  <si>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</si>
  <si>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</si>
  <si>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</si>
  <si>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</si>
  <si>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</si>
  <si>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</si>
  <si>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</si>
  <si>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</si>
  <si>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</si>
  <si>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</si>
  <si>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</si>
  <si>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</si>
  <si>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</si>
  <si>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</si>
  <si>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</si>
  <si>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</si>
  <si>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</si>
  <si>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</si>
  <si>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</si>
  <si>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</si>
  <si>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</si>
  <si>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</si>
  <si>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</si>
  <si>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</si>
  <si>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</si>
  <si>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</si>
  <si>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</si>
  <si>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</si>
  <si>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</si>
  <si>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</si>
  <si>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</si>
  <si>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</si>
  <si>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</si>
  <si>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</si>
  <si>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</si>
  <si>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</si>
  <si>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</si>
  <si>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</si>
  <si>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</si>
  <si>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</si>
  <si>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</si>
  <si>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</si>
  <si>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</si>
  <si>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</si>
  <si>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</si>
  <si>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</si>
  <si>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</si>
  <si>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</si>
  <si>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</si>
  <si>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</si>
  <si>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</si>
  <si>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</si>
  <si>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</si>
  <si>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</si>
  <si>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</si>
  <si>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</si>
  <si>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</si>
  <si>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</si>
  <si>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</si>
  <si>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</si>
  <si>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</si>
  <si>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</si>
  <si>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</si>
  <si>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</si>
  <si>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</si>
  <si>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</si>
  <si>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</si>
  <si>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</si>
  <si>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</si>
  <si>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</si>
  <si>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</si>
  <si>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Fixed Operating and Maintenance Costs (FOM)</t>
  </si>
  <si>
    <t>Total FOM</t>
  </si>
  <si>
    <t>Variable Operation and Maintenance Costs (VOM)</t>
  </si>
  <si>
    <t>years</t>
  </si>
  <si>
    <t>U-200</t>
  </si>
  <si>
    <t>€</t>
  </si>
  <si>
    <t>%</t>
  </si>
  <si>
    <t>FOM</t>
  </si>
  <si>
    <t>VOM</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</si>
  <si>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</si>
  <si>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</si>
  <si>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</si>
  <si>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</si>
  <si>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</si>
  <si>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</si>
  <si>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</si>
  <si>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</si>
  <si>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</si>
  <si>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</si>
  <si>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</si>
  <si>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</si>
  <si>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</si>
  <si>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</si>
  <si>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</si>
  <si>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</si>
  <si>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</si>
  <si>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</si>
  <si>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</si>
  <si>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</si>
  <si>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</si>
  <si>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</si>
  <si>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</si>
  <si>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</si>
  <si>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</si>
  <si>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</si>
  <si>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</si>
  <si>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</si>
  <si>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</si>
  <si>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</si>
  <si>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</si>
  <si>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</si>
  <si>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</si>
  <si>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</si>
  <si>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</si>
  <si>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</si>
  <si>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</si>
  <si>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</si>
  <si>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</si>
  <si>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</si>
  <si>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</si>
  <si>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</si>
  <si>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</si>
  <si>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</si>
  <si>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</si>
  <si>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</si>
  <si>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</si>
  <si>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</si>
  <si>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</si>
  <si>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</si>
  <si>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</si>
  <si>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</si>
  <si>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</si>
  <si>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</si>
  <si>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</si>
  <si>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</si>
  <si>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</si>
  <si>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</si>
  <si>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</si>
  <si>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</si>
  <si>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</si>
  <si>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</si>
  <si>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</si>
  <si>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</si>
  <si>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</si>
  <si>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</si>
  <si>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</si>
  <si>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</si>
  <si>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</si>
  <si>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</si>
  <si>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</si>
  <si>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</si>
  <si>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</si>
  <si>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</si>
  <si>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</si>
  <si>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</si>
  <si>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</si>
  <si>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</si>
  <si>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</si>
  <si>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</si>
  <si>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</si>
  <si>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</si>
  <si>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</si>
  <si>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</si>
  <si>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</si>
  <si>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</si>
  <si>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</si>
  <si>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</si>
  <si>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</si>
  <si>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</si>
  <si>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</si>
  <si>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</si>
  <si>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</si>
  <si>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</si>
  <si>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</si>
  <si>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</si>
  <si>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</si>
  <si>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</si>
  <si>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</si>
  <si>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</si>
  <si>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</si>
  <si>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</si>
  <si>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</si>
  <si>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</si>
  <si>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</si>
  <si>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</si>
  <si>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</si>
  <si>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</si>
  <si>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</si>
  <si>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</si>
  <si>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</si>
  <si>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</si>
  <si>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</si>
  <si>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</si>
  <si>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</si>
  <si>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</si>
  <si>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</si>
  <si>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</si>
  <si>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</si>
  <si>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</si>
  <si>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</si>
  <si>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</si>
  <si>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</si>
  <si>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</si>
  <si>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</si>
  <si>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</si>
  <si>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</si>
  <si>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</si>
  <si>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</si>
  <si>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</si>
  <si>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</si>
  <si>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</si>
  <si>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</si>
  <si>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</si>
  <si>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</si>
  <si>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</si>
  <si>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</si>
  <si>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</si>
  <si>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</si>
  <si>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</si>
  <si>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</si>
  <si>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</si>
  <si>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</si>
  <si>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</si>
  <si>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</si>
  <si>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</si>
  <si>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</si>
  <si>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</si>
  <si>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</si>
  <si>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</si>
  <si>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</si>
  <si>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</si>
  <si>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</si>
  <si>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</si>
  <si>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</si>
  <si>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</si>
  <si>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</si>
  <si>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</si>
  <si>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</si>
  <si>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</si>
  <si>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</si>
  <si>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</si>
  <si>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</si>
  <si>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</si>
  <si>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</si>
  <si>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</si>
  <si>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</si>
  <si>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</si>
  <si>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</si>
  <si>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</si>
  <si>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</si>
  <si>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</si>
  <si>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</si>
  <si>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</si>
  <si>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</si>
  <si>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</si>
  <si>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</si>
  <si>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</si>
  <si>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</si>
  <si>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</si>
  <si>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</si>
  <si>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</si>
  <si>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</si>
  <si>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</si>
  <si>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</si>
  <si>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</si>
  <si>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</si>
  <si>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</si>
  <si>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</si>
  <si>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</si>
  <si>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</si>
  <si>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</si>
  <si>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</si>
  <si>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</si>
  <si>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</si>
  <si>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</si>
  <si>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</si>
  <si>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</si>
  <si>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</si>
  <si>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</si>
  <si>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2</t>
  </si>
  <si>
    <t>Item 1</t>
  </si>
  <si>
    <t>Item 2</t>
  </si>
  <si>
    <t>LCOP</t>
  </si>
  <si>
    <t>Sales</t>
  </si>
  <si>
    <t>Value</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</si>
  <si>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</si>
  <si>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</si>
  <si>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</si>
  <si>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</si>
  <si>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</si>
  <si>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</si>
  <si>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</si>
  <si>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</si>
  <si>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</si>
  <si>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</si>
  <si>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</si>
  <si>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</si>
  <si>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</si>
  <si>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</si>
  <si>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</si>
  <si>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</si>
  <si>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</si>
  <si>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</si>
  <si>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</si>
  <si>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</si>
  <si>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</si>
  <si>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</si>
  <si>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</si>
  <si>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</si>
  <si>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</si>
  <si>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</si>
  <si>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</si>
  <si>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</si>
  <si>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</si>
  <si>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</si>
  <si>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</si>
  <si>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</si>
  <si>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</si>
  <si>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</si>
  <si>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</si>
  <si>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</si>
  <si>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</si>
  <si>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</si>
  <si>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</si>
  <si>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</si>
  <si>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</si>
  <si>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</si>
  <si>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</si>
  <si>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</si>
  <si>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</si>
  <si>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</si>
  <si>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</si>
  <si>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</si>
  <si>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</si>
  <si>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</si>
  <si>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</si>
  <si>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</si>
  <si>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</si>
  <si>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</si>
  <si>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</si>
  <si>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</si>
  <si>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</si>
  <si>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</si>
  <si>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</si>
  <si>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</si>
  <si>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</si>
  <si>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</si>
  <si>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</si>
  <si>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</si>
  <si>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</si>
  <si>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</si>
  <si>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</si>
  <si>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</si>
  <si>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</si>
  <si>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</si>
  <si>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</si>
  <si>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</si>
  <si>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</si>
  <si>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</si>
  <si>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</si>
  <si>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</si>
  <si>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</si>
  <si>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</si>
  <si>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</si>
  <si>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</si>
  <si>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</si>
  <si>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</si>
  <si>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</si>
  <si>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</si>
  <si>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</si>
  <si>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</si>
  <si>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</si>
  <si>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</si>
  <si>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</si>
  <si>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</si>
  <si>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</si>
  <si>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</si>
  <si>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</si>
  <si>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</si>
  <si>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</si>
  <si>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</si>
  <si>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</si>
  <si>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</si>
  <si>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</si>
  <si>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</si>
  <si>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</si>
  <si>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</si>
  <si>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Final unit</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</si>
  <si>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</si>
  <si>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</si>
  <si>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</si>
  <si>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</si>
  <si>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</si>
  <si>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</si>
  <si>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</si>
  <si>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</si>
  <si>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</si>
  <si>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</si>
  <si>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</si>
  <si>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</si>
  <si>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</si>
  <si>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</si>
  <si>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</si>
  <si>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</si>
  <si>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</si>
  <si>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</si>
  <si>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</si>
  <si>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</si>
  <si>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</si>
  <si>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</si>
  <si>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</si>
  <si>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</si>
  <si>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4. When doing an analysis with the Equipment unit sheets, select the equipment and subtype from the drop-down menus and add/remove them to/from the sheet. Then, fill in the appropriate capacity and pressure, and select the material.</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</si>
  <si>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after selecting an economic indicator</t>
    </r>
  </si>
  <si>
    <t>%TOC</t>
  </si>
  <si>
    <t>Economic Summary</t>
  </si>
  <si>
    <t>Salvage Value</t>
  </si>
  <si>
    <t>Depreciation Period</t>
  </si>
  <si>
    <r>
      <t>CO</t>
    </r>
    <r>
      <rPr>
        <vertAlign val="subscript"/>
        <sz val="11"/>
        <color theme="1"/>
        <rFont val="Calibri"/>
        <family val="2"/>
        <scheme val="minor"/>
      </rPr>
      <t>2</t>
    </r>
    <r>
      <rPr>
        <sz val="11"/>
        <color theme="1"/>
        <rFont val="Calibri"/>
        <family val="2"/>
        <scheme val="minor"/>
      </rPr>
      <t xml:space="preserve"> tax</t>
    </r>
  </si>
  <si>
    <t>Tax Rate</t>
  </si>
  <si>
    <t>Cumulative Cash Flow</t>
  </si>
  <si>
    <r>
      <t>CO</t>
    </r>
    <r>
      <rPr>
        <sz val="11"/>
        <color theme="1"/>
        <rFont val="Calibri"/>
        <family val="2"/>
      </rPr>
      <t>₂</t>
    </r>
    <r>
      <rPr>
        <sz val="11"/>
        <color theme="1"/>
        <rFont val="Calibri"/>
        <family val="2"/>
        <scheme val="minor"/>
      </rPr>
      <t xml:space="preserve"> tax</t>
    </r>
  </si>
  <si>
    <t>Cumulative Discounted Cash Flow</t>
  </si>
  <si>
    <t>Net Cash Flow</t>
  </si>
  <si>
    <t>Capacity Factor (1st year)</t>
  </si>
  <si>
    <t>Value (MW)</t>
  </si>
  <si>
    <t>Gas Turbine Net</t>
  </si>
  <si>
    <t>Steam Turbine Net</t>
  </si>
  <si>
    <t>Condenser Duty</t>
  </si>
  <si>
    <t>Heat Input</t>
  </si>
  <si>
    <t>Net power</t>
  </si>
  <si>
    <t>Net Efficiency</t>
  </si>
  <si>
    <t>MJ</t>
  </si>
  <si>
    <t>MWh</t>
  </si>
  <si>
    <t>Power</t>
  </si>
  <si>
    <t>kg/s</t>
  </si>
  <si>
    <r>
      <t>CO</t>
    </r>
    <r>
      <rPr>
        <sz val="11"/>
        <color theme="1"/>
        <rFont val="Calibri"/>
        <family val="2"/>
      </rPr>
      <t>₂</t>
    </r>
    <r>
      <rPr>
        <sz val="11"/>
        <color theme="1"/>
        <rFont val="Calibri"/>
        <family val="2"/>
        <scheme val="minor"/>
      </rPr>
      <t xml:space="preserve"> emissions</t>
    </r>
  </si>
  <si>
    <t>Specific emissions</t>
  </si>
  <si>
    <t>kg CO2/MWh</t>
  </si>
  <si>
    <r>
      <t>CO</t>
    </r>
    <r>
      <rPr>
        <sz val="11"/>
        <color theme="1"/>
        <rFont val="Calibri"/>
        <family val="2"/>
      </rPr>
      <t>₂</t>
    </r>
    <r>
      <rPr>
        <sz val="11"/>
        <color theme="1"/>
        <rFont val="Calibri"/>
        <family val="2"/>
        <scheme val="minor"/>
      </rPr>
      <t xml:space="preserve"> Emissions</t>
    </r>
  </si>
  <si>
    <t>NG flow</t>
  </si>
  <si>
    <t>LHV</t>
  </si>
  <si>
    <t>kJ/kg</t>
  </si>
  <si>
    <t>MW</t>
  </si>
  <si>
    <t>NGCC</t>
  </si>
  <si>
    <t>Gas Turbine Cost Breakdowm</t>
  </si>
  <si>
    <t>C[$] = 55’240*m_air[kg/s]^0.7*spw[kJ/kg]^0.34*beta^0.1*(1+ts)*(1+ic)</t>
  </si>
  <si>
    <t>Where:</t>
  </si>
  <si>
    <t>C is the equipment-only budget price for standard bare bones gas turbine genset without add-on options in 2020 USD</t>
  </si>
  <si>
    <t>m_air is the air flow rate</t>
  </si>
  <si>
    <t>spw is the specific work given by power output divided by air flow rate</t>
  </si>
  <si>
    <t>beta is the compressor pressure ratio</t>
  </si>
  <si>
    <t>ts = 8% is the cost increase for twin shaft arrangement</t>
  </si>
  <si>
    <t>ic = 22% is the cost increase for intercooling</t>
  </si>
  <si>
    <t xml:space="preserve">Gas Turbine </t>
  </si>
  <si>
    <t>M$ (2020)</t>
  </si>
  <si>
    <t>a</t>
  </si>
  <si>
    <t>m_air</t>
  </si>
  <si>
    <t>b</t>
  </si>
  <si>
    <t>spw</t>
  </si>
  <si>
    <t>c</t>
  </si>
  <si>
    <t>beta</t>
  </si>
  <si>
    <t>(bar/bar)</t>
  </si>
  <si>
    <t>d</t>
  </si>
  <si>
    <t>ts</t>
  </si>
  <si>
    <t>TS</t>
  </si>
  <si>
    <t>no</t>
  </si>
  <si>
    <t>ic</t>
  </si>
  <si>
    <t>IC</t>
  </si>
  <si>
    <t>Installation factor</t>
  </si>
  <si>
    <t>GT-101</t>
  </si>
  <si>
    <t>GT-Handbook</t>
  </si>
  <si>
    <t>GT</t>
  </si>
  <si>
    <t>Steam Cycle</t>
  </si>
  <si>
    <t>X-201</t>
  </si>
  <si>
    <t>HSRG</t>
  </si>
  <si>
    <t>EBTF</t>
  </si>
  <si>
    <t>UA</t>
  </si>
  <si>
    <t>MW/K</t>
  </si>
  <si>
    <t>X-202</t>
  </si>
  <si>
    <t>CWT</t>
  </si>
  <si>
    <t>Web</t>
  </si>
  <si>
    <t>Vol. flow</t>
  </si>
  <si>
    <t>X-203</t>
  </si>
  <si>
    <t>Piping</t>
  </si>
  <si>
    <t>NETL</t>
  </si>
  <si>
    <t>Gross power</t>
  </si>
  <si>
    <t>C-201</t>
  </si>
  <si>
    <t>P-201</t>
  </si>
  <si>
    <t>P-202</t>
  </si>
  <si>
    <t>P-203</t>
  </si>
  <si>
    <t>P-204</t>
  </si>
  <si>
    <t>T-201</t>
  </si>
  <si>
    <t>T-202</t>
  </si>
  <si>
    <t>Side 1</t>
  </si>
  <si>
    <t>Side 2</t>
  </si>
  <si>
    <t>HTC</t>
  </si>
  <si>
    <t>UA (kJ/hºC)</t>
  </si>
  <si>
    <t>Type</t>
  </si>
  <si>
    <t>type/pres.</t>
  </si>
  <si>
    <t>value</t>
  </si>
  <si>
    <t>U (W/m2K)</t>
  </si>
  <si>
    <t>gas-liquid</t>
  </si>
  <si>
    <t>Ph. Ch.</t>
  </si>
  <si>
    <t>liquid</t>
  </si>
  <si>
    <t>W/m2K</t>
  </si>
  <si>
    <t xml:space="preserve"> Gas at 1 atm</t>
  </si>
  <si>
    <t>Pressure Exponent</t>
  </si>
  <si>
    <t>Liquid</t>
  </si>
  <si>
    <t>Phase change</t>
  </si>
  <si>
    <t>Operating Labour</t>
  </si>
  <si>
    <t>operators</t>
  </si>
  <si>
    <t>€/operator-year</t>
  </si>
  <si>
    <t>Maintenance</t>
  </si>
  <si>
    <t>M€</t>
  </si>
  <si>
    <t>Insurance</t>
  </si>
  <si>
    <t>Make-up water</t>
  </si>
  <si>
    <t>ton/year</t>
  </si>
  <si>
    <t>GJ/year</t>
  </si>
  <si>
    <r>
      <rPr>
        <sz val="11"/>
        <color theme="1"/>
        <rFont val="Calibri"/>
        <family val="2"/>
      </rPr>
      <t>€</t>
    </r>
    <r>
      <rPr>
        <sz val="6.05"/>
        <color theme="1"/>
        <rFont val="Calibri"/>
        <family val="2"/>
      </rPr>
      <t>/GJ</t>
    </r>
  </si>
  <si>
    <r>
      <rPr>
        <sz val="11"/>
        <color theme="1"/>
        <rFont val="Calibri"/>
        <family val="2"/>
      </rPr>
      <t>€</t>
    </r>
    <r>
      <rPr>
        <sz val="6.05"/>
        <color theme="1"/>
        <rFont val="Calibri"/>
        <family val="2"/>
      </rPr>
      <t>/ton</t>
    </r>
  </si>
  <si>
    <t>Apr. 2025</t>
  </si>
  <si>
    <t>SEA Tool v1.7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</si>
</sst>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000000"/>
    <numFmt numFmtId="171" formatCode="0.0%"/>
  </numFmts>
  <fonts count="89"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
      <vertAlign val="subscript"/>
      <sz val="11"/>
      <color theme="1"/>
      <name val="Calibri"/>
      <family val="2"/>
      <scheme val="minor"/>
    </font>
    <font>
      <sz val="11"/>
      <color theme="9" tint="-0.249977111117893"/>
      <name val="Calibri"/>
      <family val="2"/>
      <scheme val="minor"/>
    </font>
    <font>
      <sz val="11"/>
      <color rgb="FF000000"/>
      <name val="Calibri"/>
      <family val="2"/>
    </font>
    <font>
      <sz val="11"/>
      <color rgb="FF000000"/>
      <name val="Courier New"/>
      <family val="3"/>
    </font>
    <font>
      <b/>
      <sz val="11"/>
      <color rgb="FF000000"/>
      <name val="Calibri"/>
      <family val="2"/>
    </font>
    <font>
      <sz val="11"/>
      <color rgb="FFFFFFFF"/>
      <name val="Calibri"/>
      <family val="2"/>
    </font>
    <font>
      <sz val="6.05"/>
      <color theme="1"/>
      <name val="Calibri"/>
      <family val="2"/>
    </font>
  </fonts>
  <fills count="26">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EDEDED"/>
        <bgColor rgb="FF000000"/>
      </patternFill>
    </fill>
    <fill>
      <patternFill patternType="solid">
        <fgColor rgb="FFFCE4D6"/>
        <bgColor rgb="FF000000"/>
      </patternFill>
    </fill>
    <fill>
      <patternFill patternType="solid">
        <fgColor rgb="FFFFF2CC"/>
        <bgColor rgb="FF000000"/>
      </patternFill>
    </fill>
    <fill>
      <patternFill patternType="solid">
        <fgColor rgb="FFE2EFDA"/>
        <bgColor rgb="FF000000"/>
      </patternFill>
    </fill>
    <fill>
      <patternFill patternType="solid">
        <fgColor rgb="FFDDEBF7"/>
        <bgColor rgb="FF000000"/>
      </patternFill>
    </fill>
    <fill>
      <patternFill patternType="solid">
        <fgColor rgb="FFFFFFFF"/>
        <bgColor rgb="FF000000"/>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8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0" fontId="2" fillId="2" borderId="6" xfId="1" applyNumberFormat="1" applyFill="1" applyBorder="1" applyAlignment="1">
      <alignment horizontal="center"/>
    </xf>
    <xf numFmtId="170"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10" xfId="6" applyFont="1" applyBorder="1" applyAlignment="1">
      <alignment horizontal="center"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9" fillId="0" borderId="14" xfId="0" applyFont="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0" fontId="1" fillId="0" borderId="3" xfId="0" applyFont="1" applyBorder="1" applyAlignment="1">
      <alignment horizontal="center" vertical="center"/>
    </xf>
    <xf numFmtId="0" fontId="0" fillId="0" borderId="15" xfId="0" applyBorder="1"/>
    <xf numFmtId="9" fontId="22" fillId="0" borderId="4" xfId="8" applyFont="1" applyBorder="1" applyAlignment="1">
      <alignment horizontal="center" vertical="center"/>
    </xf>
    <xf numFmtId="0" fontId="22" fillId="0" borderId="0" xfId="6" applyFont="1" applyAlignment="1">
      <alignment horizontal="center" vertical="center"/>
    </xf>
    <xf numFmtId="0" fontId="22" fillId="0" borderId="6" xfId="0" applyFont="1" applyBorder="1" applyAlignment="1">
      <alignment horizontal="center" vertical="center"/>
    </xf>
    <xf numFmtId="0" fontId="22" fillId="2" borderId="6" xfId="0" applyFont="1" applyFill="1" applyBorder="1" applyAlignment="1">
      <alignment vertical="center"/>
    </xf>
    <xf numFmtId="0" fontId="22" fillId="0" borderId="6" xfId="0" applyFont="1" applyBorder="1" applyAlignment="1">
      <alignment vertical="center"/>
    </xf>
    <xf numFmtId="0" fontId="22" fillId="0" borderId="7" xfId="0" applyFont="1" applyBorder="1" applyAlignment="1">
      <alignment vertical="center"/>
    </xf>
    <xf numFmtId="2" fontId="22" fillId="0" borderId="0" xfId="6" applyNumberFormat="1" applyFont="1" applyAlignment="1">
      <alignment horizontal="center" vertical="center"/>
    </xf>
    <xf numFmtId="2" fontId="22" fillId="0" borderId="2" xfId="6" applyNumberFormat="1" applyFont="1" applyBorder="1" applyAlignment="1">
      <alignment horizontal="center" vertical="center"/>
    </xf>
    <xf numFmtId="2" fontId="22" fillId="0" borderId="1" xfId="6" applyNumberFormat="1" applyFont="1" applyBorder="1" applyAlignment="1">
      <alignment horizontal="center" vertical="center"/>
    </xf>
    <xf numFmtId="2" fontId="22" fillId="0" borderId="3" xfId="6" applyNumberFormat="1" applyFont="1" applyBorder="1" applyAlignment="1">
      <alignment horizontal="center" vertical="center"/>
    </xf>
    <xf numFmtId="0" fontId="15" fillId="0" borderId="9" xfId="6" applyBorder="1" applyAlignment="1">
      <alignment horizontal="center" vertical="center"/>
    </xf>
    <xf numFmtId="0" fontId="15" fillId="0" borderId="11" xfId="6" applyBorder="1" applyAlignment="1">
      <alignment horizontal="center" vertical="center"/>
    </xf>
    <xf numFmtId="0" fontId="22" fillId="0" borderId="7" xfId="6" applyFont="1" applyBorder="1" applyAlignment="1">
      <alignment horizontal="center" vertical="center"/>
    </xf>
    <xf numFmtId="0" fontId="22" fillId="0" borderId="1" xfId="6" applyFont="1" applyBorder="1" applyAlignment="1">
      <alignment horizontal="center" vertical="center"/>
    </xf>
    <xf numFmtId="0" fontId="22" fillId="0" borderId="3" xfId="6" applyFont="1" applyBorder="1" applyAlignment="1">
      <alignment horizontal="center" vertical="center"/>
    </xf>
    <xf numFmtId="9" fontId="22" fillId="0" borderId="1" xfId="6" applyNumberFormat="1" applyFont="1" applyBorder="1" applyAlignment="1">
      <alignment horizontal="center" vertical="center"/>
    </xf>
    <xf numFmtId="9" fontId="22" fillId="0" borderId="2" xfId="6" applyNumberFormat="1" applyFont="1" applyBorder="1" applyAlignment="1">
      <alignment horizontal="center" vertical="center"/>
    </xf>
    <xf numFmtId="9" fontId="22" fillId="0" borderId="3" xfId="6" applyNumberFormat="1" applyFont="1" applyBorder="1" applyAlignment="1">
      <alignment horizontal="center" vertical="center"/>
    </xf>
    <xf numFmtId="0" fontId="10" fillId="0" borderId="4" xfId="6" applyFont="1" applyBorder="1" applyAlignment="1">
      <alignment horizontal="center" vertical="center"/>
    </xf>
    <xf numFmtId="166" fontId="0" fillId="2" borderId="14" xfId="0" applyNumberFormat="1" applyFill="1" applyBorder="1" applyAlignment="1">
      <alignment horizontal="center" vertical="center"/>
    </xf>
    <xf numFmtId="166" fontId="83" fillId="0" borderId="0" xfId="0" applyNumberFormat="1" applyFont="1" applyAlignment="1">
      <alignment horizontal="center" vertical="center"/>
    </xf>
    <xf numFmtId="168" fontId="0" fillId="0" borderId="4" xfId="0" applyNumberFormat="1" applyBorder="1" applyAlignment="1">
      <alignment horizontal="center" vertical="center"/>
    </xf>
    <xf numFmtId="166" fontId="83" fillId="0" borderId="15" xfId="0" applyNumberFormat="1" applyFont="1" applyBorder="1" applyAlignment="1">
      <alignment horizontal="center" vertical="center"/>
    </xf>
    <xf numFmtId="166" fontId="83" fillId="0" borderId="8" xfId="0" applyNumberFormat="1" applyFont="1" applyBorder="1" applyAlignment="1">
      <alignment horizontal="center" vertical="center"/>
    </xf>
    <xf numFmtId="0" fontId="0" fillId="0" borderId="10" xfId="0" applyBorder="1" applyAlignment="1">
      <alignment horizontal="center"/>
    </xf>
    <xf numFmtId="0" fontId="0" fillId="5" borderId="4" xfId="0" applyFill="1" applyBorder="1" applyAlignment="1">
      <alignment horizontal="center" vertical="center"/>
    </xf>
    <xf numFmtId="168" fontId="83" fillId="0" borderId="0" xfId="0" applyNumberFormat="1" applyFont="1" applyAlignment="1">
      <alignment horizontal="center" vertical="center"/>
    </xf>
    <xf numFmtId="0" fontId="19" fillId="0" borderId="9" xfId="0" applyFont="1" applyBorder="1"/>
    <xf numFmtId="0" fontId="19" fillId="0" borderId="0" xfId="0" applyFont="1"/>
    <xf numFmtId="0" fontId="84" fillId="0" borderId="0" xfId="0" applyFont="1"/>
    <xf numFmtId="0" fontId="84" fillId="0" borderId="10" xfId="0" applyFont="1" applyBorder="1"/>
    <xf numFmtId="0" fontId="85" fillId="0" borderId="0" xfId="0" applyFont="1" applyAlignment="1">
      <alignment vertical="center"/>
    </xf>
    <xf numFmtId="0" fontId="84" fillId="21" borderId="4" xfId="0" applyFont="1" applyFill="1" applyBorder="1" applyAlignment="1">
      <alignment horizontal="center" vertical="center"/>
    </xf>
    <xf numFmtId="166" fontId="86" fillId="0" borderId="4" xfId="0" applyNumberFormat="1" applyFont="1" applyBorder="1" applyAlignment="1">
      <alignment horizontal="center" vertical="center"/>
    </xf>
    <xf numFmtId="0" fontId="84" fillId="0" borderId="7" xfId="0" applyFont="1" applyBorder="1" applyAlignment="1">
      <alignment horizontal="center" vertical="center"/>
    </xf>
    <xf numFmtId="0" fontId="84" fillId="22" borderId="4" xfId="0" applyFont="1" applyFill="1" applyBorder="1" applyAlignment="1">
      <alignment horizontal="center" vertical="center"/>
    </xf>
    <xf numFmtId="0" fontId="84" fillId="23" borderId="1" xfId="0" applyFont="1" applyFill="1" applyBorder="1" applyAlignment="1">
      <alignment horizontal="center" vertical="center"/>
    </xf>
    <xf numFmtId="2" fontId="84" fillId="0" borderId="15" xfId="0" applyNumberFormat="1" applyFont="1" applyBorder="1" applyAlignment="1">
      <alignment horizontal="center" vertical="center"/>
    </xf>
    <xf numFmtId="0" fontId="84" fillId="0" borderId="10" xfId="0" applyFont="1" applyBorder="1" applyAlignment="1">
      <alignment horizontal="center" vertical="center"/>
    </xf>
    <xf numFmtId="166" fontId="84" fillId="0" borderId="8" xfId="0" applyNumberFormat="1" applyFont="1" applyBorder="1" applyAlignment="1">
      <alignment horizontal="center" vertical="center"/>
    </xf>
    <xf numFmtId="0" fontId="84" fillId="0" borderId="8" xfId="0" applyFont="1" applyBorder="1" applyAlignment="1">
      <alignment horizontal="center" vertical="center"/>
    </xf>
    <xf numFmtId="0" fontId="84" fillId="0" borderId="13" xfId="0" applyFont="1" applyBorder="1" applyAlignment="1">
      <alignment horizontal="center" vertical="center"/>
    </xf>
    <xf numFmtId="0" fontId="84" fillId="21" borderId="1" xfId="0" applyFont="1" applyFill="1" applyBorder="1" applyAlignment="1">
      <alignment horizontal="center" vertical="center"/>
    </xf>
    <xf numFmtId="9" fontId="84" fillId="0" borderId="8" xfId="8" applyFont="1" applyFill="1" applyBorder="1" applyAlignment="1">
      <alignment horizontal="center" vertical="center"/>
    </xf>
    <xf numFmtId="0" fontId="84" fillId="24" borderId="4" xfId="0" applyFont="1" applyFill="1" applyBorder="1" applyAlignment="1">
      <alignment horizontal="center" vertical="center"/>
    </xf>
    <xf numFmtId="0" fontId="70" fillId="25" borderId="9" xfId="0" applyFont="1" applyFill="1" applyBorder="1"/>
    <xf numFmtId="0" fontId="19" fillId="25" borderId="0" xfId="0" applyFont="1" applyFill="1"/>
    <xf numFmtId="0" fontId="87" fillId="25" borderId="10" xfId="0" applyFont="1" applyFill="1" applyBorder="1"/>
    <xf numFmtId="0" fontId="19" fillId="25" borderId="14" xfId="0" applyFont="1" applyFill="1" applyBorder="1" applyAlignment="1">
      <alignment horizontal="center" vertical="center"/>
    </xf>
    <xf numFmtId="0" fontId="70" fillId="25" borderId="11" xfId="0" applyFont="1" applyFill="1" applyBorder="1"/>
    <xf numFmtId="0" fontId="70" fillId="25" borderId="12" xfId="0" applyFont="1" applyFill="1" applyBorder="1"/>
    <xf numFmtId="0" fontId="19" fillId="25" borderId="12" xfId="0" applyFont="1" applyFill="1" applyBorder="1"/>
    <xf numFmtId="0" fontId="87" fillId="25" borderId="13" xfId="0" applyFont="1" applyFill="1" applyBorder="1"/>
    <xf numFmtId="0" fontId="86" fillId="0" borderId="1" xfId="0" applyFont="1" applyBorder="1" applyAlignment="1">
      <alignment horizontal="center" vertical="center"/>
    </xf>
    <xf numFmtId="0" fontId="86" fillId="0" borderId="2" xfId="0" applyFont="1" applyBorder="1" applyAlignment="1">
      <alignment horizontal="center" vertical="center"/>
    </xf>
    <xf numFmtId="0" fontId="86" fillId="0" borderId="3" xfId="0" applyFont="1" applyBorder="1" applyAlignment="1">
      <alignment horizontal="center" vertical="center"/>
    </xf>
    <xf numFmtId="0" fontId="72" fillId="2" borderId="15" xfId="0" applyFont="1" applyFill="1" applyBorder="1" applyAlignment="1">
      <alignment horizontal="center" vertical="center"/>
    </xf>
    <xf numFmtId="0" fontId="72" fillId="2" borderId="7" xfId="0" applyFont="1" applyFill="1" applyBorder="1" applyAlignment="1">
      <alignment horizontal="center" vertical="center"/>
    </xf>
    <xf numFmtId="0" fontId="72" fillId="2" borderId="5" xfId="0" applyFont="1" applyFill="1" applyBorder="1" applyAlignment="1">
      <alignment horizontal="center" vertical="center"/>
    </xf>
    <xf numFmtId="166" fontId="0" fillId="2" borderId="3" xfId="0" applyNumberFormat="1" applyFill="1" applyBorder="1" applyAlignment="1">
      <alignment horizontal="center" vertical="center"/>
    </xf>
    <xf numFmtId="1" fontId="0" fillId="2" borderId="2" xfId="0" applyNumberFormat="1" applyFill="1" applyBorder="1" applyAlignment="1">
      <alignment horizontal="center" vertical="center"/>
    </xf>
    <xf numFmtId="1" fontId="0" fillId="2" borderId="4" xfId="0" applyNumberFormat="1" applyFill="1" applyBorder="1" applyAlignment="1">
      <alignment horizontal="center" vertical="center"/>
    </xf>
    <xf numFmtId="0" fontId="83" fillId="0" borderId="0" xfId="0" applyFont="1" applyAlignment="1">
      <alignment horizontal="center" vertical="center"/>
    </xf>
    <xf numFmtId="1" fontId="0" fillId="2" borderId="0" xfId="0" applyNumberFormat="1" applyFill="1" applyAlignment="1">
      <alignment horizontal="center" vertical="center"/>
    </xf>
    <xf numFmtId="0" fontId="0" fillId="2" borderId="10" xfId="0" applyFill="1" applyBorder="1" applyAlignment="1">
      <alignment horizontal="center"/>
    </xf>
    <xf numFmtId="171" fontId="0" fillId="0" borderId="4" xfId="8" applyNumberFormat="1" applyFont="1" applyBorder="1" applyAlignment="1">
      <alignment horizontal="center" vertical="center"/>
    </xf>
    <xf numFmtId="166" fontId="22" fillId="0" borderId="0" xfId="6" applyNumberFormat="1" applyFont="1" applyAlignment="1">
      <alignment horizontal="center" vertical="center"/>
    </xf>
    <xf numFmtId="0" fontId="35" fillId="0" borderId="5" xfId="6" applyFont="1" applyBorder="1" applyAlignment="1">
      <alignment horizontal="center" vertical="center"/>
    </xf>
    <xf numFmtId="166" fontId="22" fillId="0" borderId="9" xfId="6" applyNumberFormat="1" applyFont="1" applyBorder="1" applyAlignment="1">
      <alignment horizontal="center" vertical="center"/>
    </xf>
    <xf numFmtId="166" fontId="22" fillId="0" borderId="10" xfId="6" applyNumberFormat="1" applyFont="1" applyBorder="1" applyAlignment="1">
      <alignment horizontal="center" vertical="center"/>
    </xf>
    <xf numFmtId="171" fontId="0" fillId="0" borderId="4" xfId="8" applyNumberFormat="1" applyFont="1" applyFill="1" applyBorder="1" applyAlignment="1">
      <alignment horizontal="center" vertical="center"/>
    </xf>
    <xf numFmtId="168" fontId="22" fillId="0" borderId="2" xfId="6" applyNumberFormat="1" applyFont="1" applyBorder="1" applyAlignment="1">
      <alignment horizontal="center" vertical="center"/>
    </xf>
    <xf numFmtId="2" fontId="42" fillId="0" borderId="4" xfId="4" applyNumberFormat="1" applyFont="1" applyFill="1" applyBorder="1" applyAlignment="1">
      <alignment horizontal="center" vertical="center"/>
    </xf>
    <xf numFmtId="171" fontId="0" fillId="2" borderId="13" xfId="8" applyNumberFormat="1" applyFont="1" applyFill="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78" fillId="20" borderId="1" xfId="0" applyFont="1" applyFill="1" applyBorder="1" applyAlignment="1">
      <alignment horizontal="center" vertical="center"/>
    </xf>
    <xf numFmtId="0" fontId="78" fillId="20" borderId="2" xfId="0" applyFont="1" applyFill="1" applyBorder="1" applyAlignment="1">
      <alignment horizontal="center" vertical="center"/>
    </xf>
    <xf numFmtId="0" fontId="78" fillId="20" borderId="3"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 fillId="2" borderId="2" xfId="0" applyFont="1" applyFill="1" applyBorder="1" applyAlignment="1">
      <alignment horizontal="center" vertical="center"/>
    </xf>
    <xf numFmtId="0" fontId="35" fillId="2" borderId="0" xfId="0" applyFont="1" applyFill="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6" borderId="5"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5" fillId="3" borderId="4" xfId="6" applyFill="1" applyBorder="1" applyAlignment="1">
      <alignment horizontal="center" vertical="center"/>
    </xf>
    <xf numFmtId="0" fontId="15" fillId="4" borderId="1" xfId="6" applyFill="1" applyBorder="1" applyAlignment="1">
      <alignment horizontal="center" vertical="center"/>
    </xf>
    <xf numFmtId="0" fontId="15" fillId="4" borderId="3" xfId="6" applyFill="1" applyBorder="1" applyAlignment="1">
      <alignment horizontal="center" vertical="center"/>
    </xf>
    <xf numFmtId="0" fontId="15" fillId="3" borderId="1" xfId="6" applyFill="1" applyBorder="1" applyAlignment="1">
      <alignment horizontal="center" vertical="center"/>
    </xf>
    <xf numFmtId="0" fontId="15" fillId="3" borderId="3"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1" xfId="6" applyFill="1" applyBorder="1" applyAlignment="1">
      <alignment horizontal="center" vertical="center"/>
    </xf>
    <xf numFmtId="0" fontId="15" fillId="5" borderId="3" xfId="6" applyFill="1" applyBorder="1" applyAlignment="1">
      <alignment horizontal="center" vertical="center"/>
    </xf>
    <xf numFmtId="0" fontId="0" fillId="5" borderId="1" xfId="6" applyFont="1" applyFill="1" applyBorder="1" applyAlignment="1">
      <alignment horizontal="center" vertical="center"/>
    </xf>
    <xf numFmtId="0" fontId="0" fillId="5"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'Unit-100 GT'!$C$13</c:f>
          <c:strCache>
            <c:ptCount val="1"/>
            <c:pt idx="0">
              <c:v>GT-101</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'Unit-100 GT'!$E$6</c:f>
              <c:strCache>
                <c:ptCount val="1"/>
                <c:pt idx="0">
                  <c:v>GT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strRef>
              <c:f>'Unit-100 GT'!$C$13:$C$34</c:f>
              <c:strCache>
                <c:ptCount val="1"/>
                <c:pt idx="0">
                  <c:v>GT-101</c:v>
                </c:pt>
              </c:strCache>
            </c:strRef>
          </c:cat>
          <c:val>
            <c:numRef>
              <c:f>'Unit-100 GT'!$S$13:$S$34</c:f>
              <c:numCache>
                <c:formatCode>0.0</c:formatCode>
                <c:ptCount val="22"/>
                <c:pt idx="0">
                  <c:v>81.696497924603236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Steam Cycle'!$E$6</c:f>
              <c:strCache>
                <c:ptCount val="1"/>
                <c:pt idx="0">
                  <c:v>Steam Cycle</c:v>
                </c:pt>
              </c:strCache>
            </c:strRef>
          </c:tx>
          <c:cat>
            <c:strRef>
              <c:f>('Unit-200 Steam Cycle'!$C$13:$C$43,'Unit-200 Steam Cycle'!$C$46:$C$50)</c:f>
              <c:strCache>
                <c:ptCount val="34"/>
                <c:pt idx="0">
                  <c:v>T-201</c:v>
                </c:pt>
                <c:pt idx="1">
                  <c:v>T-202</c:v>
                </c:pt>
                <c:pt idx="2">
                  <c:v>C-201</c:v>
                </c:pt>
                <c:pt idx="3">
                  <c:v>P-201</c:v>
                </c:pt>
                <c:pt idx="4">
                  <c:v>P-202</c:v>
                </c:pt>
                <c:pt idx="5">
                  <c:v>P-203</c:v>
                </c:pt>
                <c:pt idx="6">
                  <c:v>P-204</c:v>
                </c:pt>
                <c:pt idx="31">
                  <c:v>X-201</c:v>
                </c:pt>
                <c:pt idx="32">
                  <c:v>X-202</c:v>
                </c:pt>
                <c:pt idx="33">
                  <c:v>X-203</c:v>
                </c:pt>
              </c:strCache>
            </c:strRef>
          </c:cat>
          <c:val>
            <c:numRef>
              <c:f>('Unit-200 Steam Cycle'!$T$13:$T$43,'Unit-200 Steam Cycle'!$T$46:$T$50)</c:f>
              <c:numCache>
                <c:formatCode>General</c:formatCode>
                <c:ptCount val="36"/>
                <c:pt idx="0">
                  <c:v>22.70183738521111</c:v>
                </c:pt>
                <c:pt idx="1">
                  <c:v>25.163059146928457</c:v>
                </c:pt>
                <c:pt idx="2">
                  <c:v>5.7961134755947175</c:v>
                </c:pt>
                <c:pt idx="3">
                  <c:v>0.66707173586913315</c:v>
                </c:pt>
                <c:pt idx="4">
                  <c:v>9.5296265647841785E-2</c:v>
                </c:pt>
                <c:pt idx="5">
                  <c:v>0.24735876069139257</c:v>
                </c:pt>
                <c:pt idx="6">
                  <c:v>3.2180749021036528E-2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41.945659363307684</c:v>
                </c:pt>
                <c:pt idx="32" formatCode="0.00">
                  <c:v>19.33424527539756</c:v>
                </c:pt>
                <c:pt idx="33" formatCode="0.00">
                  <c:v>5.3597594086101843</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#REF!</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#REF!</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dLbls>
            <c:spPr>
              <a:solidFill>
                <a:sysClr val="window" lastClr="FFFFFF"/>
              </a:solidFill>
              <a:ln>
                <a:solidFill>
                  <a:sysClr val="windowText" lastClr="000000">
                    <a:lumMod val="65000"/>
                    <a:lumOff val="35000"/>
                  </a:sysClr>
                </a:solid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CAPEX'!$D$4:$E$4</c:f>
              <c:strCache>
                <c:ptCount val="2"/>
                <c:pt idx="0">
                  <c:v>GT</c:v>
                </c:pt>
                <c:pt idx="1">
                  <c:v>Steam Cycle</c:v>
                </c:pt>
              </c:strCache>
            </c:strRef>
          </c:cat>
          <c:val>
            <c:numRef>
              <c:f>'Plant CAPEX'!$D$13:$E$13</c:f>
              <c:numCache>
                <c:formatCode>0.0</c:formatCode>
                <c:ptCount val="2"/>
                <c:pt idx="0">
                  <c:v>124.0152838495477</c:v>
                </c:pt>
                <c:pt idx="1">
                  <c:v>184.19803881761175</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Natural Gas</c:v>
                </c:pt>
                <c:pt idx="2">
                  <c:v>Fuel 2</c:v>
                </c:pt>
                <c:pt idx="3">
                  <c:v>Total VOM (exl. Fuel &amp; CO2 tax)</c:v>
                </c:pt>
              </c:strCache>
            </c:strRef>
          </c:cat>
          <c:val>
            <c:numRef>
              <c:f>('Plant OPEX'!$G$19,'Plant OPEX'!$N$16,'Plant OPEX'!$N$17,'Plant OPEX'!$U$18)</c:f>
              <c:numCache>
                <c:formatCode>0.00</c:formatCode>
                <c:ptCount val="4"/>
                <c:pt idx="0">
                  <c:v>11.147466125488283</c:v>
                </c:pt>
                <c:pt idx="1">
                  <c:v>81.84559832866357</c:v>
                </c:pt>
                <c:pt idx="2">
                  <c:v>0</c:v>
                </c:pt>
                <c:pt idx="3">
                  <c:v>0.48565568520000113</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NGCC</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NGCC</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Natural Gas</c:v>
                </c:pt>
              </c:strCache>
            </c:strRef>
          </c:tx>
          <c:spPr>
            <a:solidFill>
              <a:schemeClr val="accent2"/>
            </a:solidFill>
            <a:ln>
              <a:noFill/>
            </a:ln>
            <a:effectLst/>
          </c:spPr>
          <c:invertIfNegative val="0"/>
          <c:cat>
            <c:strRef>
              <c:f>'Cash Flow Analysis'!$H$14:$I$14</c:f>
              <c:strCache>
                <c:ptCount val="2"/>
                <c:pt idx="0">
                  <c:v>NGCC</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NGCC</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NGCC</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CO₂ tax</c:v>
                </c:pt>
              </c:strCache>
            </c:strRef>
          </c:tx>
          <c:spPr>
            <a:solidFill>
              <a:schemeClr val="tx1"/>
            </a:solidFill>
            <a:ln>
              <a:noFill/>
            </a:ln>
            <a:effectLst/>
          </c:spPr>
          <c:invertIfNegative val="0"/>
          <c:cat>
            <c:strRef>
              <c:f>'Cash Flow Analysis'!$H$14:$I$14</c:f>
              <c:strCache>
                <c:ptCount val="2"/>
                <c:pt idx="0">
                  <c:v>NGCC</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NGCC</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Cumulative 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c:v>0</c:v>
                </c:pt>
                <c:pt idx="1">
                  <c:v>0</c:v>
                </c:pt>
                <c:pt idx="2">
                  <c:v>-154.10665893554688</c:v>
                </c:pt>
                <c:pt idx="3">
                  <c:v>-285.40389048819901</c:v>
                </c:pt>
                <c:pt idx="4">
                  <c:v>-253.13164226967248</c:v>
                </c:pt>
                <c:pt idx="5">
                  <c:v>-214.31232799908298</c:v>
                </c:pt>
                <c:pt idx="6">
                  <c:v>-181.23868582355271</c:v>
                </c:pt>
                <c:pt idx="7">
                  <c:v>-153.06029505832078</c:v>
                </c:pt>
                <c:pt idx="8">
                  <c:v>-129.05260634039755</c:v>
                </c:pt>
                <c:pt idx="9">
                  <c:v>-108.59831133190278</c:v>
                </c:pt>
                <c:pt idx="10">
                  <c:v>-91.171469905797963</c:v>
                </c:pt>
                <c:pt idx="11">
                  <c:v>-76.323986677240001</c:v>
                </c:pt>
                <c:pt idx="12">
                  <c:v>-63.674089152374322</c:v>
                </c:pt>
                <c:pt idx="13">
                  <c:v>-52.89651123386102</c:v>
                </c:pt>
                <c:pt idx="14">
                  <c:v>-44.313800620368511</c:v>
                </c:pt>
                <c:pt idx="15">
                  <c:v>-37.001422618322302</c:v>
                </c:pt>
                <c:pt idx="16">
                  <c:v>-30.771354467038009</c:v>
                </c:pt>
                <c:pt idx="17">
                  <c:v>-25.46340277761691</c:v>
                </c:pt>
                <c:pt idx="18">
                  <c:v>-20.941084489426061</c:v>
                </c:pt>
                <c:pt idx="19">
                  <c:v>-17.08811748890389</c:v>
                </c:pt>
                <c:pt idx="20">
                  <c:v>-13.805430654171678</c:v>
                </c:pt>
                <c:pt idx="21">
                  <c:v>-11.008616444897688</c:v>
                </c:pt>
                <c:pt idx="22">
                  <c:v>-8.625760536001648</c:v>
                </c:pt>
                <c:pt idx="23">
                  <c:v>-6.5955926886941576</c:v>
                </c:pt>
                <c:pt idx="24">
                  <c:v>-4.8659113123029902</c:v>
                </c:pt>
                <c:pt idx="25">
                  <c:v>-3.3922412077338961</c:v>
                </c:pt>
                <c:pt idx="26">
                  <c:v>-2.1366899791996792</c:v>
                </c:pt>
                <c:pt idx="27">
                  <c:v>-1.0669737091972227</c:v>
                </c:pt>
                <c:pt idx="28">
                  <c:v>1.7968759799646961E-5</c:v>
                </c:pt>
                <c:pt idx="29" formatCode="General">
                  <c:v>0</c:v>
                </c:pt>
                <c:pt idx="30"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pt idx="39" formatCode="General">
                  <c:v>0</c:v>
                </c:pt>
                <c:pt idx="40" formatCode="General">
                  <c:v>0</c:v>
                </c:pt>
                <c:pt idx="41" formatCode="General">
                  <c:v>0</c:v>
                </c:pt>
                <c:pt idx="42" formatCode="General">
                  <c:v>0</c:v>
                </c:pt>
                <c:pt idx="43" formatCode="General">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Cumulative 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c:v>0</c:v>
                </c:pt>
                <c:pt idx="1">
                  <c:v>0</c:v>
                </c:pt>
                <c:pt idx="2">
                  <c:v>-154.10665893554688</c:v>
                </c:pt>
                <c:pt idx="3">
                  <c:v>-308.21331787109375</c:v>
                </c:pt>
                <c:pt idx="4">
                  <c:v>-263.75419469933297</c:v>
                </c:pt>
                <c:pt idx="5">
                  <c:v>-200.98517190232499</c:v>
                </c:pt>
                <c:pt idx="6">
                  <c:v>-138.21614910531702</c:v>
                </c:pt>
                <c:pt idx="7">
                  <c:v>-75.447126308309038</c:v>
                </c:pt>
                <c:pt idx="8">
                  <c:v>-12.67810351130106</c:v>
                </c:pt>
                <c:pt idx="9">
                  <c:v>50.090919285706917</c:v>
                </c:pt>
                <c:pt idx="10">
                  <c:v>112.85994208271489</c:v>
                </c:pt>
                <c:pt idx="11">
                  <c:v>175.62896487972287</c:v>
                </c:pt>
                <c:pt idx="12">
                  <c:v>238.39798767673085</c:v>
                </c:pt>
                <c:pt idx="13">
                  <c:v>301.16701047373886</c:v>
                </c:pt>
                <c:pt idx="14">
                  <c:v>359.83679614306129</c:v>
                </c:pt>
                <c:pt idx="15">
                  <c:v>418.50658181238373</c:v>
                </c:pt>
                <c:pt idx="16">
                  <c:v>477.17636748170617</c:v>
                </c:pt>
                <c:pt idx="17">
                  <c:v>535.8461531510286</c:v>
                </c:pt>
                <c:pt idx="18">
                  <c:v>594.51593882035104</c:v>
                </c:pt>
                <c:pt idx="19">
                  <c:v>653.18572448967348</c:v>
                </c:pt>
                <c:pt idx="20">
                  <c:v>711.85551015899591</c:v>
                </c:pt>
                <c:pt idx="21">
                  <c:v>770.52529582831835</c:v>
                </c:pt>
                <c:pt idx="22">
                  <c:v>829.19508149764079</c:v>
                </c:pt>
                <c:pt idx="23">
                  <c:v>887.86486716696322</c:v>
                </c:pt>
                <c:pt idx="24">
                  <c:v>946.53465283628566</c:v>
                </c:pt>
                <c:pt idx="25">
                  <c:v>1005.2044385056081</c:v>
                </c:pt>
                <c:pt idx="26">
                  <c:v>1063.8742241749305</c:v>
                </c:pt>
                <c:pt idx="27">
                  <c:v>1122.544009844253</c:v>
                </c:pt>
                <c:pt idx="28">
                  <c:v>1191.2307283443859</c:v>
                </c:pt>
                <c:pt idx="29" formatCode="General">
                  <c:v>0</c:v>
                </c:pt>
                <c:pt idx="30"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pt idx="39" formatCode="General">
                  <c:v>0</c:v>
                </c:pt>
                <c:pt idx="40" formatCode="General">
                  <c:v>0</c:v>
                </c:pt>
                <c:pt idx="41" formatCode="General">
                  <c:v>0</c:v>
                </c:pt>
                <c:pt idx="42" formatCode="General">
                  <c:v>0</c:v>
                </c:pt>
                <c:pt idx="43" formatCode="General">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2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247650</xdr:colOff>
      <xdr:row>8</xdr:row>
      <xdr:rowOff>133350</xdr:rowOff>
    </xdr:from>
    <xdr:to>
      <xdr:col>33</xdr:col>
      <xdr:colOff>862056</xdr:colOff>
      <xdr:row>26</xdr:row>
      <xdr:rowOff>108529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stretch>
          <a:fillRect/>
        </a:stretch>
      </xdr:blipFill>
      <xdr:spPr>
        <a:xfrm>
          <a:off x="29679900" y="1962150"/>
          <a:ext cx="9948906" cy="40899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3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3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4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4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4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6</xdr:col>
      <xdr:colOff>552105</xdr:colOff>
      <xdr:row>2</xdr:row>
      <xdr:rowOff>150668</xdr:rowOff>
    </xdr:from>
    <xdr:to>
      <xdr:col>10</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92</xdr:col>
      <xdr:colOff>19050</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2" dataDxfId="310" headerRowBorderDxfId="311" tableBorderDxfId="309">
  <autoFilter ref="AE6:AE7" xr:uid="{BD430C73-D62B-4B34-81C6-4CB5D46BEDB9}">
    <filterColumn colId="0" hiddenButton="1"/>
  </autoFilter>
  <tableColumns count="1">
    <tableColumn id="1" xr3:uid="{84F9157D-4D99-4CBA-AAD8-CC3862882A85}" name="Stream" dataDxfId="30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7" dataDxfId="305" headerRowBorderDxfId="306" tableBorderDxfId="304" totalsRowBorderDxfId="303">
  <autoFilter ref="AG6:AG7" xr:uid="{510DCB59-50DF-48D5-B930-238A03E9FB6D}">
    <filterColumn colId="0" hiddenButton="1"/>
  </autoFilter>
  <tableColumns count="1">
    <tableColumn id="1" xr3:uid="{0220A6D5-F39F-488C-949A-4AABD7B530C9}" name="Component 1" dataDxfId="30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1" dataDxfId="299" headerRowBorderDxfId="300" tableBorderDxfId="298" totalsRowBorderDxfId="297">
  <autoFilter ref="AF6:AF7" xr:uid="{1E496B6B-9D2B-467B-B1BC-B30D13381E1A}">
    <filterColumn colId="0" hiddenButton="1"/>
  </autoFilter>
  <tableColumns count="1">
    <tableColumn id="1" xr3:uid="{876249EE-102A-4A6F-80BD-15A7B17749BB}" name="Property 1" dataDxfId="296"/>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5" dataDxfId="293" headerRowBorderDxfId="294" tableBorderDxfId="292">
  <autoFilter ref="D12:D43" xr:uid="{54D9AD24-3255-47F8-8858-1911F353046A}">
    <filterColumn colId="0" hiddenButton="1"/>
  </autoFilter>
  <tableColumns count="1">
    <tableColumn id="1" xr3:uid="{A355DF28-B822-4D21-91F3-9DBB6C59828A}" name="Equipment" dataDxfId="29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0" dataDxfId="288" headerRowBorderDxfId="289" tableBorderDxfId="287">
  <autoFilter ref="E12:E43" xr:uid="{E7DD97D0-07C4-49A5-A08A-CD158C5E4B0A}">
    <filterColumn colId="0" hiddenButton="1"/>
  </autoFilter>
  <tableColumns count="1">
    <tableColumn id="1" xr3:uid="{6FE28B51-AB7B-4376-A0AF-515604CD3E9B}" name="Subtype" dataDxfId="286"/>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5" headerRowBorderDxfId="284" tableBorderDxfId="283">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2" dataDxfId="280" headerRowBorderDxfId="281" tableBorderDxfId="279">
  <autoFilter ref="D12:D43" xr:uid="{54D9AD24-3255-47F8-8858-1911F353046A}">
    <filterColumn colId="0" hiddenButton="1"/>
  </autoFilter>
  <tableColumns count="1">
    <tableColumn id="1" xr3:uid="{7E9D2AD7-12CA-45B3-9081-4CE4B56CBBDD}" name="Equipment" dataDxfId="278"/>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77" dataDxfId="275" headerRowBorderDxfId="276" tableBorderDxfId="274">
  <autoFilter ref="E12:E43" xr:uid="{E7DD97D0-07C4-49A5-A08A-CD158C5E4B0A}">
    <filterColumn colId="0" hiddenButton="1"/>
  </autoFilter>
  <tableColumns count="1">
    <tableColumn id="1" xr3:uid="{D55DEFE2-D9A4-49B0-811A-D64EA429699C}" name="Subtype" dataDxfId="273"/>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2" headerRowBorderDxfId="271" tableBorderDxfId="270">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F14" headerRowDxfId="269" dataDxfId="267" headerRowBorderDxfId="268" tableBorderDxfId="266">
  <autoFilter ref="D3:F14" xr:uid="{64CC735C-3D0C-4D1C-922B-02CBF98B8EB5}">
    <filterColumn colId="0" hiddenButton="1"/>
    <filterColumn colId="1" hiddenButton="1"/>
    <filterColumn colId="2" hiddenButton="1"/>
  </autoFilter>
  <tableColumns count="3">
    <tableColumn id="1" xr3:uid="{3D7F9C3B-45CD-4580-80A0-AE226C2C5DCF}" name="Item 1" totalsRowLabel="Total" dataDxfId="265" totalsRowDxfId="264"/>
    <tableColumn id="2" xr3:uid="{4D82A35B-4189-4719-BB3C-4D34D7E09642}" name="Item 2" dataDxfId="263" totalsRowDxfId="262">
      <calculatedColumnFormula>+#REF!+#REF!</calculatedColumnFormula>
    </tableColumn>
    <tableColumn id="22" xr3:uid="{118B0DE5-F4D6-41BA-B022-A7A53FBE109A}" name="Total" dataDxfId="261" totalsRowDxfId="260">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E25" totalsRowShown="0" headerRowDxfId="259" dataDxfId="257" headerRowBorderDxfId="258" tableBorderDxfId="256">
  <autoFilter ref="D16:E25" xr:uid="{242DD7A6-A2F2-4530-8CB1-4AE3D4814DA5}">
    <filterColumn colId="0" hiddenButton="1"/>
    <filterColumn colId="1" hiddenButton="1"/>
  </autoFilter>
  <tableColumns count="2">
    <tableColumn id="1" xr3:uid="{F63E2223-F910-4628-9144-F8EE509C95E9}" name="Item 1" dataDxfId="255"/>
    <tableColumn id="2" xr3:uid="{A2FE6D58-DE8B-428E-BCCE-879A37C47E6E}" name="Item 2"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34" headerRowBorderDxfId="233" tableBorderDxfId="23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10" Type="http://schemas.openxmlformats.org/officeDocument/2006/relationships/comments" Target="../comments3.xml"/><Relationship Id="rId4" Type="http://schemas.openxmlformats.org/officeDocument/2006/relationships/ctrlProp" Target="../ctrlProps/ctrlProp14.xml"/><Relationship Id="rId9"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5.vml"/><Relationship Id="rId7"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4.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5.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6.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7.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61" zoomScaleNormal="61"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4"/>
      <c r="C2" s="273"/>
      <c r="D2" s="497"/>
      <c r="E2" s="497"/>
      <c r="F2" s="497"/>
      <c r="G2" s="497"/>
      <c r="H2" s="497"/>
      <c r="I2" s="497"/>
      <c r="J2" s="497"/>
      <c r="K2" s="497"/>
      <c r="L2" s="497"/>
      <c r="M2" s="497"/>
      <c r="N2" s="497"/>
      <c r="O2" s="497"/>
      <c r="P2" s="497"/>
      <c r="Q2" s="497"/>
      <c r="R2" s="497"/>
      <c r="S2" s="497"/>
      <c r="T2" s="497"/>
      <c r="U2" s="497"/>
      <c r="V2" s="497"/>
      <c r="W2" s="497"/>
      <c r="X2" s="497"/>
      <c r="Y2" s="497"/>
      <c r="Z2" s="498"/>
      <c r="AA2" s="191"/>
      <c r="AB2" s="751" t="s">
        <v>721</v>
      </c>
      <c r="AC2" s="752"/>
      <c r="AD2" s="753"/>
      <c r="AE2" s="191"/>
      <c r="AF2" s="191"/>
    </row>
    <row r="3" spans="2:32" ht="18" customHeight="1" x14ac:dyDescent="0.3">
      <c r="B3" s="91"/>
      <c r="C3" s="754" t="s">
        <v>683</v>
      </c>
      <c r="D3" s="755"/>
      <c r="E3" s="755"/>
      <c r="F3" s="755"/>
      <c r="G3" s="755"/>
      <c r="H3" s="755"/>
      <c r="I3" s="755"/>
      <c r="J3" s="755"/>
      <c r="K3" s="755"/>
      <c r="L3" s="755"/>
      <c r="M3" s="755"/>
      <c r="N3" s="755"/>
      <c r="O3" s="755"/>
      <c r="P3" s="755"/>
      <c r="Q3" s="755"/>
      <c r="R3" s="755"/>
      <c r="S3" s="755"/>
      <c r="T3" s="755"/>
      <c r="U3" s="755"/>
      <c r="V3" s="755"/>
      <c r="W3" s="755"/>
      <c r="X3" s="755"/>
      <c r="Y3" s="756"/>
      <c r="Z3" s="508"/>
      <c r="AA3" s="545"/>
      <c r="AB3" s="166" t="s">
        <v>359</v>
      </c>
      <c r="AC3" s="166" t="s">
        <v>722</v>
      </c>
      <c r="AD3" s="166" t="s">
        <v>723</v>
      </c>
      <c r="AE3" s="545"/>
      <c r="AF3" s="191"/>
    </row>
    <row r="4" spans="2:32" ht="18" customHeight="1" x14ac:dyDescent="0.3">
      <c r="B4" s="91"/>
      <c r="C4" s="757"/>
      <c r="D4" s="758"/>
      <c r="E4" s="758"/>
      <c r="F4" s="758"/>
      <c r="G4" s="758"/>
      <c r="H4" s="758"/>
      <c r="I4" s="758"/>
      <c r="J4" s="758"/>
      <c r="K4" s="758"/>
      <c r="L4" s="758"/>
      <c r="M4" s="758"/>
      <c r="N4" s="758"/>
      <c r="O4" s="758"/>
      <c r="P4" s="758"/>
      <c r="Q4" s="758"/>
      <c r="R4" s="758"/>
      <c r="S4" s="758"/>
      <c r="T4" s="758"/>
      <c r="U4" s="758"/>
      <c r="V4" s="758"/>
      <c r="W4" s="758"/>
      <c r="X4" s="758"/>
      <c r="Y4" s="759"/>
      <c r="Z4" s="499"/>
      <c r="AA4" s="191"/>
      <c r="AB4" s="564"/>
      <c r="AC4" s="567"/>
      <c r="AD4" s="97"/>
      <c r="AE4" s="191"/>
      <c r="AF4" s="191"/>
    </row>
    <row r="5" spans="2:32" ht="18" customHeight="1" x14ac:dyDescent="0.3">
      <c r="B5" s="91"/>
      <c r="C5" s="760"/>
      <c r="D5" s="761"/>
      <c r="E5" s="761"/>
      <c r="F5" s="761"/>
      <c r="G5" s="761"/>
      <c r="H5" s="761"/>
      <c r="I5" s="761"/>
      <c r="J5" s="761"/>
      <c r="K5" s="761"/>
      <c r="L5" s="761"/>
      <c r="M5" s="761"/>
      <c r="N5" s="761"/>
      <c r="O5" s="761"/>
      <c r="P5" s="761"/>
      <c r="Q5" s="761"/>
      <c r="R5" s="761"/>
      <c r="S5" s="761"/>
      <c r="T5" s="761"/>
      <c r="U5" s="761"/>
      <c r="V5" s="761"/>
      <c r="W5" s="761"/>
      <c r="X5" s="761"/>
      <c r="Y5" s="762"/>
      <c r="Z5" s="499"/>
      <c r="AA5" s="191"/>
      <c r="AB5" s="565"/>
      <c r="AC5" s="568"/>
      <c r="AD5" s="97"/>
      <c r="AE5" s="191"/>
      <c r="AF5" s="191"/>
    </row>
    <row r="6" spans="2:32" ht="18" customHeight="1" x14ac:dyDescent="0.3">
      <c r="B6" s="91"/>
      <c r="C6" s="191"/>
      <c r="D6" s="191"/>
      <c r="E6" s="191"/>
      <c r="F6" s="191"/>
      <c r="G6" s="191"/>
      <c r="H6" s="191"/>
      <c r="I6" s="191"/>
      <c r="J6" s="191"/>
      <c r="M6" s="546"/>
      <c r="N6" s="546"/>
      <c r="O6" s="546"/>
      <c r="P6" s="191"/>
      <c r="R6" s="191"/>
      <c r="S6" s="191"/>
      <c r="T6" s="191"/>
      <c r="Y6" s="191"/>
      <c r="Z6" s="499"/>
      <c r="AA6" s="191"/>
      <c r="AB6" s="565"/>
      <c r="AC6" s="568"/>
      <c r="AD6" s="97"/>
      <c r="AE6" s="191"/>
      <c r="AF6" s="191"/>
    </row>
    <row r="7" spans="2:32" ht="18" customHeight="1" x14ac:dyDescent="0.35">
      <c r="B7" s="91"/>
      <c r="C7" s="191"/>
      <c r="D7" s="191"/>
      <c r="E7" s="191"/>
      <c r="H7" s="547"/>
      <c r="I7" s="548"/>
      <c r="J7" s="511"/>
      <c r="K7" s="549"/>
      <c r="L7" s="550" t="s">
        <v>688</v>
      </c>
      <c r="M7" s="549"/>
      <c r="N7" s="549"/>
      <c r="O7" s="549"/>
      <c r="P7" s="511"/>
      <c r="R7" s="548"/>
      <c r="S7" s="548"/>
      <c r="T7" s="548"/>
      <c r="Y7" s="191"/>
      <c r="Z7" s="499"/>
      <c r="AA7" s="191"/>
      <c r="AB7" s="565"/>
      <c r="AC7" s="568"/>
      <c r="AD7" s="97"/>
      <c r="AE7" s="191"/>
      <c r="AF7" s="191"/>
    </row>
    <row r="8" spans="2:32" ht="18" customHeight="1" x14ac:dyDescent="0.35">
      <c r="B8" s="91"/>
      <c r="C8" s="191"/>
      <c r="J8" s="511"/>
      <c r="K8" s="549"/>
      <c r="L8" s="550" t="s">
        <v>680</v>
      </c>
      <c r="M8" s="549"/>
      <c r="N8" s="549"/>
      <c r="O8" s="549"/>
      <c r="P8" s="511"/>
      <c r="Z8" s="84"/>
      <c r="AB8" s="565"/>
      <c r="AC8" s="568"/>
      <c r="AD8" s="97"/>
      <c r="AF8" s="191"/>
    </row>
    <row r="9" spans="2:32" ht="18" customHeight="1" x14ac:dyDescent="0.35">
      <c r="B9" s="91"/>
      <c r="C9" s="191"/>
      <c r="J9" s="549"/>
      <c r="K9" s="549"/>
      <c r="L9" s="550" t="s">
        <v>681</v>
      </c>
      <c r="M9" s="511"/>
      <c r="N9" s="511"/>
      <c r="O9" s="511"/>
      <c r="P9" s="511"/>
      <c r="Z9" s="84"/>
      <c r="AB9" s="565"/>
      <c r="AC9" s="568"/>
      <c r="AD9" s="97"/>
      <c r="AF9" s="191"/>
    </row>
    <row r="10" spans="2:32" ht="18" customHeight="1" x14ac:dyDescent="0.3">
      <c r="B10" s="91"/>
      <c r="C10" s="191"/>
      <c r="D10" s="191"/>
      <c r="E10" s="191"/>
      <c r="F10" s="191"/>
      <c r="L10" s="547"/>
      <c r="R10" s="548"/>
      <c r="S10" s="548"/>
      <c r="T10" s="548"/>
      <c r="U10" s="548"/>
      <c r="V10" s="548"/>
      <c r="W10" s="548"/>
      <c r="X10" s="191"/>
      <c r="Y10" s="191"/>
      <c r="Z10" s="499"/>
      <c r="AA10" s="191"/>
      <c r="AB10" s="565"/>
      <c r="AC10" s="568"/>
      <c r="AD10" s="97"/>
      <c r="AE10" s="191"/>
      <c r="AF10" s="191"/>
    </row>
    <row r="11" spans="2:32" ht="18" customHeight="1" x14ac:dyDescent="0.35">
      <c r="B11" s="91"/>
      <c r="C11" s="191"/>
      <c r="D11" s="191"/>
      <c r="E11" s="191"/>
      <c r="F11" s="191"/>
      <c r="G11" s="191"/>
      <c r="H11" s="191"/>
      <c r="I11" s="551"/>
      <c r="J11" s="510"/>
      <c r="K11" s="510"/>
      <c r="L11" s="356" t="s">
        <v>724</v>
      </c>
      <c r="M11" s="356"/>
      <c r="N11" s="356"/>
      <c r="O11" s="356"/>
      <c r="P11" s="356"/>
      <c r="Q11" s="356"/>
      <c r="R11" s="547"/>
      <c r="S11" s="96"/>
      <c r="T11" s="191"/>
      <c r="U11" s="191"/>
      <c r="V11" s="191"/>
      <c r="W11" s="191"/>
      <c r="X11" s="191"/>
      <c r="Y11" s="191"/>
      <c r="Z11" s="499"/>
      <c r="AA11" s="191"/>
      <c r="AB11" s="565"/>
      <c r="AC11" s="568"/>
      <c r="AD11" s="97"/>
      <c r="AE11" s="191"/>
      <c r="AF11" s="191"/>
    </row>
    <row r="12" spans="2:32" ht="18" customHeight="1" x14ac:dyDescent="0.35">
      <c r="B12" s="91"/>
      <c r="C12" s="191"/>
      <c r="I12" s="509"/>
      <c r="J12" s="181"/>
      <c r="K12" s="510"/>
      <c r="L12" s="356" t="s">
        <v>682</v>
      </c>
      <c r="M12" s="182"/>
      <c r="N12" s="182"/>
      <c r="O12" s="182"/>
      <c r="P12" s="182"/>
      <c r="Q12" s="182"/>
      <c r="R12" s="552"/>
      <c r="S12" s="96"/>
      <c r="T12" s="191"/>
      <c r="U12" s="191"/>
      <c r="V12" s="191"/>
      <c r="W12" s="191"/>
      <c r="X12" s="191"/>
      <c r="Y12" s="191"/>
      <c r="Z12" s="499"/>
      <c r="AA12" s="191"/>
      <c r="AB12" s="565"/>
      <c r="AC12" s="568"/>
      <c r="AD12" s="97"/>
      <c r="AE12" s="191"/>
      <c r="AF12" s="191"/>
    </row>
    <row r="13" spans="2:32" ht="18" customHeight="1" x14ac:dyDescent="0.3">
      <c r="B13" s="91"/>
      <c r="C13" s="191"/>
      <c r="I13" s="281"/>
      <c r="J13" s="553"/>
      <c r="K13" s="281"/>
      <c r="L13" s="131" t="s">
        <v>695</v>
      </c>
      <c r="M13" s="131"/>
      <c r="N13" s="131"/>
      <c r="O13" s="131"/>
      <c r="P13" s="131"/>
      <c r="Q13" s="131"/>
      <c r="R13" s="131"/>
      <c r="S13" s="131"/>
      <c r="T13" s="553"/>
      <c r="U13" s="191"/>
      <c r="V13" s="191"/>
      <c r="W13" s="191"/>
      <c r="X13" s="191"/>
      <c r="Y13" s="191"/>
      <c r="Z13" s="499"/>
      <c r="AA13" s="191"/>
      <c r="AB13" s="565"/>
      <c r="AC13" s="568"/>
      <c r="AD13" s="97"/>
      <c r="AE13" s="191"/>
      <c r="AF13" s="191"/>
    </row>
    <row r="14" spans="2:32" ht="18" customHeight="1" x14ac:dyDescent="0.3">
      <c r="B14" s="91"/>
      <c r="C14" s="191"/>
      <c r="J14" s="191"/>
      <c r="K14" s="191"/>
      <c r="L14" s="191"/>
      <c r="M14" s="191"/>
      <c r="N14" s="191"/>
      <c r="O14" s="191"/>
      <c r="P14" s="191"/>
      <c r="Q14" s="191"/>
      <c r="R14" s="191"/>
      <c r="S14" s="191"/>
      <c r="Y14" s="191"/>
      <c r="Z14" s="499"/>
      <c r="AA14" s="191"/>
      <c r="AB14" s="565"/>
      <c r="AC14" s="568"/>
      <c r="AD14" s="97"/>
      <c r="AE14" s="191"/>
      <c r="AF14" s="191"/>
    </row>
    <row r="15" spans="2:32" ht="18" customHeight="1" x14ac:dyDescent="0.3">
      <c r="B15" s="91"/>
      <c r="C15" s="763" t="s">
        <v>698</v>
      </c>
      <c r="D15" s="764"/>
      <c r="E15" s="765"/>
      <c r="F15" s="766" t="s">
        <v>746</v>
      </c>
      <c r="G15" s="767"/>
      <c r="H15" s="767"/>
      <c r="I15" s="767"/>
      <c r="J15" s="767"/>
      <c r="K15" s="767"/>
      <c r="L15" s="767"/>
      <c r="M15" s="767"/>
      <c r="N15" s="767"/>
      <c r="O15" s="767"/>
      <c r="P15" s="767"/>
      <c r="Q15" s="767"/>
      <c r="R15" s="767"/>
      <c r="S15" s="767"/>
      <c r="T15" s="767"/>
      <c r="U15" s="767"/>
      <c r="V15" s="767"/>
      <c r="W15" s="767"/>
      <c r="X15" s="767"/>
      <c r="Y15" s="768"/>
      <c r="Z15" s="84"/>
      <c r="AB15" s="565"/>
      <c r="AC15" s="56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499"/>
      <c r="AA16" s="191"/>
      <c r="AB16" s="565"/>
      <c r="AC16" s="568"/>
      <c r="AD16" s="97"/>
      <c r="AE16" s="191"/>
      <c r="AF16" s="191"/>
    </row>
    <row r="17" spans="2:32" ht="18" customHeight="1" x14ac:dyDescent="0.3">
      <c r="B17" s="91"/>
      <c r="C17" s="329"/>
      <c r="D17" s="497"/>
      <c r="E17" s="497"/>
      <c r="F17" s="497"/>
      <c r="G17" s="497"/>
      <c r="H17" s="497"/>
      <c r="I17" s="497"/>
      <c r="J17" s="497"/>
      <c r="K17" s="497"/>
      <c r="L17" s="497"/>
      <c r="M17" s="497"/>
      <c r="N17" s="497"/>
      <c r="O17" s="497"/>
      <c r="P17" s="497"/>
      <c r="Q17" s="498"/>
      <c r="R17" s="191"/>
      <c r="S17" s="329"/>
      <c r="T17" s="497"/>
      <c r="U17" s="497"/>
      <c r="V17" s="497"/>
      <c r="W17" s="497"/>
      <c r="X17" s="497"/>
      <c r="Y17" s="498"/>
      <c r="Z17" s="499"/>
      <c r="AA17" s="191"/>
      <c r="AB17" s="565"/>
      <c r="AC17" s="568"/>
      <c r="AD17" s="97"/>
      <c r="AE17" s="191"/>
      <c r="AF17" s="191"/>
    </row>
    <row r="18" spans="2:32" ht="18" customHeight="1" x14ac:dyDescent="0.3">
      <c r="B18" s="91"/>
      <c r="C18" s="319"/>
      <c r="D18" s="751" t="s">
        <v>686</v>
      </c>
      <c r="E18" s="752"/>
      <c r="F18" s="752"/>
      <c r="G18" s="752"/>
      <c r="H18" s="752"/>
      <c r="I18" s="752"/>
      <c r="J18" s="752"/>
      <c r="K18" s="753"/>
      <c r="L18" s="748" t="s">
        <v>684</v>
      </c>
      <c r="M18" s="749"/>
      <c r="N18" s="749"/>
      <c r="O18" s="749"/>
      <c r="P18" s="750"/>
      <c r="Q18" s="499"/>
      <c r="R18" s="191"/>
      <c r="S18" s="319"/>
      <c r="T18" s="740" t="s">
        <v>691</v>
      </c>
      <c r="U18" s="741"/>
      <c r="V18" s="745" t="s">
        <v>689</v>
      </c>
      <c r="W18" s="746"/>
      <c r="X18" s="747"/>
      <c r="Y18" s="499"/>
      <c r="Z18" s="499"/>
      <c r="AA18" s="191"/>
      <c r="AB18" s="565"/>
      <c r="AC18" s="568"/>
      <c r="AD18" s="97"/>
      <c r="AE18" s="191"/>
      <c r="AF18" s="191"/>
    </row>
    <row r="19" spans="2:32" ht="18" customHeight="1" x14ac:dyDescent="0.3">
      <c r="B19" s="91"/>
      <c r="C19" s="319"/>
      <c r="D19" s="191"/>
      <c r="E19" s="191"/>
      <c r="F19" s="191"/>
      <c r="G19" s="191"/>
      <c r="I19" s="548"/>
      <c r="J19" s="548"/>
      <c r="K19" s="548"/>
      <c r="L19" s="548"/>
      <c r="M19" s="548"/>
      <c r="N19" s="548"/>
      <c r="O19" s="548"/>
      <c r="P19" s="548"/>
      <c r="Q19" s="499"/>
      <c r="R19" s="191"/>
      <c r="S19" s="319"/>
      <c r="T19" s="740" t="s">
        <v>692</v>
      </c>
      <c r="U19" s="741"/>
      <c r="V19" s="742">
        <v>1.7</v>
      </c>
      <c r="W19" s="743"/>
      <c r="X19" s="744"/>
      <c r="Y19" s="499"/>
      <c r="Z19" s="499"/>
      <c r="AA19" s="191"/>
      <c r="AB19" s="565"/>
      <c r="AC19" s="568"/>
      <c r="AD19" s="97"/>
      <c r="AE19" s="191"/>
      <c r="AF19" s="191"/>
    </row>
    <row r="20" spans="2:32" ht="18" customHeight="1" x14ac:dyDescent="0.3">
      <c r="B20" s="91"/>
      <c r="C20" s="319"/>
      <c r="D20" s="553" t="s">
        <v>729</v>
      </c>
      <c r="E20" s="553"/>
      <c r="F20" s="553"/>
      <c r="G20" s="553"/>
      <c r="H20" s="281"/>
      <c r="I20" s="553"/>
      <c r="J20" s="553"/>
      <c r="K20" s="553"/>
      <c r="L20" s="553"/>
      <c r="M20" s="553"/>
      <c r="N20" s="553"/>
      <c r="O20" s="553"/>
      <c r="P20" s="553"/>
      <c r="Q20" s="499"/>
      <c r="R20" s="191"/>
      <c r="S20" s="319"/>
      <c r="T20" s="740" t="s">
        <v>693</v>
      </c>
      <c r="U20" s="741"/>
      <c r="V20" s="745" t="s">
        <v>896</v>
      </c>
      <c r="W20" s="746"/>
      <c r="X20" s="747"/>
      <c r="Y20" s="499"/>
      <c r="Z20" s="499"/>
      <c r="AA20" s="191"/>
      <c r="AB20" s="565"/>
      <c r="AC20" s="568"/>
      <c r="AD20" s="97"/>
      <c r="AE20" s="191"/>
      <c r="AF20" s="191"/>
    </row>
    <row r="21" spans="2:32" ht="18" customHeight="1" x14ac:dyDescent="0.3">
      <c r="B21" s="91"/>
      <c r="C21" s="319"/>
      <c r="D21" s="553" t="s">
        <v>730</v>
      </c>
      <c r="E21" s="553"/>
      <c r="F21" s="553"/>
      <c r="G21" s="553"/>
      <c r="H21" s="281"/>
      <c r="I21" s="553"/>
      <c r="J21" s="553"/>
      <c r="K21" s="553"/>
      <c r="L21" s="553"/>
      <c r="M21" s="553"/>
      <c r="N21" s="553"/>
      <c r="O21" s="553"/>
      <c r="P21" s="553"/>
      <c r="Q21" s="499"/>
      <c r="R21" s="191"/>
      <c r="S21" s="319"/>
      <c r="T21" s="740" t="s">
        <v>694</v>
      </c>
      <c r="U21" s="741"/>
      <c r="V21" s="748" t="s">
        <v>735</v>
      </c>
      <c r="W21" s="749"/>
      <c r="X21" s="750"/>
      <c r="Y21" s="499"/>
      <c r="Z21" s="499"/>
      <c r="AA21" s="191"/>
      <c r="AB21" s="565"/>
      <c r="AC21" s="568"/>
      <c r="AD21" s="97"/>
      <c r="AE21" s="191"/>
      <c r="AF21" s="191"/>
    </row>
    <row r="22" spans="2:32" ht="18" customHeight="1" x14ac:dyDescent="0.3">
      <c r="B22" s="91"/>
      <c r="C22" s="319"/>
      <c r="E22" s="554" t="s">
        <v>731</v>
      </c>
      <c r="F22" s="554"/>
      <c r="G22" s="554"/>
      <c r="J22" s="553"/>
      <c r="K22" s="553"/>
      <c r="L22" s="553"/>
      <c r="M22" s="553"/>
      <c r="N22" s="553"/>
      <c r="O22" s="553"/>
      <c r="P22" s="553"/>
      <c r="Q22" s="499"/>
      <c r="R22" s="191"/>
      <c r="S22" s="319"/>
      <c r="Y22" s="499"/>
      <c r="Z22" s="499"/>
      <c r="AA22" s="191"/>
      <c r="AB22" s="565"/>
      <c r="AC22" s="568"/>
      <c r="AD22" s="97"/>
      <c r="AE22" s="191"/>
      <c r="AF22" s="191"/>
    </row>
    <row r="23" spans="2:32" ht="18" customHeight="1" x14ac:dyDescent="0.3">
      <c r="B23" s="91"/>
      <c r="C23" s="319"/>
      <c r="E23" s="554" t="s">
        <v>732</v>
      </c>
      <c r="F23" s="554"/>
      <c r="G23" s="554"/>
      <c r="J23" s="553"/>
      <c r="K23" s="553"/>
      <c r="L23" s="553"/>
      <c r="M23" s="553"/>
      <c r="N23" s="553"/>
      <c r="O23" s="553"/>
      <c r="P23" s="553"/>
      <c r="Q23" s="499"/>
      <c r="R23" s="191"/>
      <c r="S23" s="319"/>
      <c r="T23" s="728" t="s">
        <v>690</v>
      </c>
      <c r="U23" s="729"/>
      <c r="V23" s="729"/>
      <c r="W23" s="729"/>
      <c r="X23" s="730"/>
      <c r="Y23" s="499"/>
      <c r="Z23" s="499"/>
      <c r="AA23" s="191"/>
      <c r="AB23" s="565"/>
      <c r="AC23" s="568"/>
      <c r="AD23" s="97"/>
      <c r="AE23" s="191"/>
      <c r="AF23" s="191"/>
    </row>
    <row r="24" spans="2:32" ht="18" customHeight="1" x14ac:dyDescent="0.3">
      <c r="B24" s="91"/>
      <c r="C24" s="319"/>
      <c r="D24" s="553" t="s">
        <v>733</v>
      </c>
      <c r="E24" s="553"/>
      <c r="F24" s="553"/>
      <c r="G24" s="553"/>
      <c r="H24" s="553"/>
      <c r="I24" s="553"/>
      <c r="J24" s="553"/>
      <c r="K24" s="553"/>
      <c r="L24" s="553"/>
      <c r="M24" s="553"/>
      <c r="N24" s="553"/>
      <c r="O24" s="553"/>
      <c r="P24" s="553"/>
      <c r="Q24" s="499"/>
      <c r="R24" s="191"/>
      <c r="S24" s="319"/>
      <c r="T24" s="731" t="s">
        <v>897</v>
      </c>
      <c r="U24" s="732"/>
      <c r="V24" s="732"/>
      <c r="W24" s="732"/>
      <c r="X24" s="733"/>
      <c r="Y24" s="499"/>
      <c r="Z24" s="499"/>
      <c r="AA24" s="191"/>
      <c r="AB24" s="565"/>
      <c r="AC24" s="568"/>
      <c r="AD24" s="97"/>
      <c r="AE24" s="191"/>
      <c r="AF24" s="191"/>
    </row>
    <row r="25" spans="2:32" ht="18" customHeight="1" x14ac:dyDescent="0.3">
      <c r="B25" s="91"/>
      <c r="C25" s="319"/>
      <c r="D25" s="553" t="s">
        <v>725</v>
      </c>
      <c r="E25" s="553"/>
      <c r="F25" s="553"/>
      <c r="G25" s="553"/>
      <c r="H25" s="553"/>
      <c r="I25" s="553"/>
      <c r="J25" s="553"/>
      <c r="K25" s="553"/>
      <c r="L25" s="553"/>
      <c r="M25" s="553"/>
      <c r="N25" s="553"/>
      <c r="O25" s="553"/>
      <c r="P25" s="553"/>
      <c r="Q25" s="499"/>
      <c r="R25" s="191"/>
      <c r="S25" s="319"/>
      <c r="T25" s="734"/>
      <c r="U25" s="735"/>
      <c r="V25" s="735"/>
      <c r="W25" s="735"/>
      <c r="X25" s="736"/>
      <c r="Y25" s="499"/>
      <c r="Z25" s="499"/>
      <c r="AA25" s="191"/>
      <c r="AB25" s="565"/>
      <c r="AC25" s="568"/>
      <c r="AD25" s="97"/>
      <c r="AE25" s="191"/>
      <c r="AF25" s="191"/>
    </row>
    <row r="26" spans="2:32" ht="18" customHeight="1" x14ac:dyDescent="0.3">
      <c r="B26" s="91"/>
      <c r="C26" s="319"/>
      <c r="D26" s="553" t="s">
        <v>734</v>
      </c>
      <c r="E26" s="553"/>
      <c r="F26" s="553"/>
      <c r="G26" s="553"/>
      <c r="H26" s="553"/>
      <c r="I26" s="553"/>
      <c r="J26" s="553"/>
      <c r="K26" s="553"/>
      <c r="L26" s="553"/>
      <c r="M26" s="553"/>
      <c r="N26" s="553"/>
      <c r="O26" s="553"/>
      <c r="P26" s="553"/>
      <c r="Q26" s="499"/>
      <c r="R26" s="191"/>
      <c r="S26" s="319"/>
      <c r="T26" s="734"/>
      <c r="U26" s="735"/>
      <c r="V26" s="735"/>
      <c r="W26" s="735"/>
      <c r="X26" s="736"/>
      <c r="Y26" s="499"/>
      <c r="Z26" s="499"/>
      <c r="AA26" s="191"/>
      <c r="AB26" s="565"/>
      <c r="AC26" s="568"/>
      <c r="AD26" s="97"/>
      <c r="AE26" s="191"/>
      <c r="AF26" s="191"/>
    </row>
    <row r="27" spans="2:32" ht="18" customHeight="1" x14ac:dyDescent="0.3">
      <c r="B27" s="91"/>
      <c r="C27" s="319"/>
      <c r="D27" s="553" t="s">
        <v>788</v>
      </c>
      <c r="E27" s="553"/>
      <c r="F27" s="553"/>
      <c r="G27" s="553"/>
      <c r="H27" s="553"/>
      <c r="I27" s="553"/>
      <c r="J27" s="553"/>
      <c r="K27" s="553"/>
      <c r="L27" s="553"/>
      <c r="M27" s="553"/>
      <c r="N27" s="553"/>
      <c r="O27" s="553"/>
      <c r="P27" s="553"/>
      <c r="Q27" s="499"/>
      <c r="R27" s="191"/>
      <c r="S27" s="319"/>
      <c r="T27" s="737"/>
      <c r="U27" s="738"/>
      <c r="V27" s="738"/>
      <c r="W27" s="738"/>
      <c r="X27" s="739"/>
      <c r="Y27" s="499"/>
      <c r="Z27" s="499"/>
      <c r="AA27" s="191"/>
      <c r="AB27" s="565"/>
      <c r="AC27" s="568"/>
      <c r="AD27" s="97"/>
      <c r="AE27" s="191"/>
      <c r="AF27" s="191"/>
    </row>
    <row r="28" spans="2:32" ht="18" customHeight="1" x14ac:dyDescent="0.3">
      <c r="B28" s="91"/>
      <c r="C28" s="500"/>
      <c r="D28" s="501"/>
      <c r="E28" s="501"/>
      <c r="F28" s="501"/>
      <c r="G28" s="501"/>
      <c r="H28" s="501"/>
      <c r="I28" s="501"/>
      <c r="J28" s="501"/>
      <c r="K28" s="501"/>
      <c r="L28" s="501"/>
      <c r="M28" s="501"/>
      <c r="N28" s="501"/>
      <c r="O28" s="501"/>
      <c r="P28" s="501"/>
      <c r="Q28" s="502"/>
      <c r="R28" s="191"/>
      <c r="S28" s="500"/>
      <c r="T28" s="501"/>
      <c r="U28" s="501"/>
      <c r="V28" s="501"/>
      <c r="W28" s="501"/>
      <c r="X28" s="501"/>
      <c r="Y28" s="502"/>
      <c r="Z28" s="499"/>
      <c r="AA28" s="191"/>
      <c r="AB28" s="565"/>
      <c r="AC28" s="568"/>
      <c r="AD28" s="97"/>
      <c r="AE28" s="191"/>
      <c r="AF28" s="191"/>
    </row>
    <row r="29" spans="2:32" ht="18" customHeight="1" x14ac:dyDescent="0.3">
      <c r="B29" s="315"/>
      <c r="C29" s="501"/>
      <c r="D29" s="501"/>
      <c r="E29" s="501"/>
      <c r="F29" s="501"/>
      <c r="G29" s="501"/>
      <c r="H29" s="501"/>
      <c r="I29" s="501"/>
      <c r="J29" s="501"/>
      <c r="K29" s="501"/>
      <c r="L29" s="501"/>
      <c r="M29" s="501"/>
      <c r="N29" s="501"/>
      <c r="O29" s="501"/>
      <c r="P29" s="501"/>
      <c r="Q29" s="501"/>
      <c r="R29" s="501"/>
      <c r="S29" s="501"/>
      <c r="T29" s="501"/>
      <c r="U29" s="501"/>
      <c r="V29" s="501"/>
      <c r="W29" s="501"/>
      <c r="X29" s="501"/>
      <c r="Y29" s="501"/>
      <c r="Z29" s="502"/>
      <c r="AA29" s="191"/>
      <c r="AB29" s="566"/>
      <c r="AC29" s="56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70"/>
      <c r="C31" s="571"/>
      <c r="D31" s="572" t="s">
        <v>726</v>
      </c>
      <c r="E31" s="571"/>
      <c r="F31" s="497"/>
      <c r="G31" s="497"/>
      <c r="H31" s="497"/>
      <c r="I31" s="497"/>
      <c r="J31" s="497"/>
      <c r="K31" s="497"/>
      <c r="L31" s="497"/>
      <c r="M31" s="497"/>
      <c r="N31" s="497"/>
      <c r="O31" s="497"/>
      <c r="P31" s="497"/>
      <c r="Q31" s="497"/>
      <c r="R31" s="497"/>
      <c r="S31" s="497"/>
      <c r="T31" s="497"/>
      <c r="U31" s="497"/>
      <c r="V31" s="497"/>
      <c r="W31" s="497"/>
      <c r="X31" s="497"/>
      <c r="Y31" s="497"/>
      <c r="Z31" s="497"/>
      <c r="AA31" s="497"/>
      <c r="AB31" s="497"/>
      <c r="AC31" s="497"/>
      <c r="AD31" s="498"/>
      <c r="AE31" s="191"/>
      <c r="AF31" s="191"/>
    </row>
    <row r="32" spans="2:32" ht="18" customHeight="1" x14ac:dyDescent="0.3">
      <c r="B32" s="319"/>
      <c r="C32" s="191"/>
      <c r="D32" s="191" t="s">
        <v>727</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499"/>
      <c r="AE32" s="191"/>
      <c r="AF32" s="191"/>
    </row>
    <row r="33" spans="2:32" ht="18" customHeight="1" x14ac:dyDescent="0.3">
      <c r="B33" s="319"/>
      <c r="C33" s="191"/>
      <c r="D33" s="191" t="s">
        <v>728</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499"/>
      <c r="AE33" s="191"/>
      <c r="AF33" s="191"/>
    </row>
    <row r="34" spans="2:32" ht="18" customHeight="1" x14ac:dyDescent="0.3">
      <c r="B34" s="319"/>
      <c r="C34" s="191"/>
      <c r="D34" s="191" t="s">
        <v>763</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499"/>
      <c r="AE34" s="191"/>
      <c r="AF34" s="191"/>
    </row>
    <row r="35" spans="2:32" ht="18" customHeight="1" x14ac:dyDescent="0.3">
      <c r="B35" s="500"/>
      <c r="C35" s="501"/>
      <c r="D35" s="501" t="s">
        <v>787</v>
      </c>
      <c r="E35" s="501"/>
      <c r="F35" s="501"/>
      <c r="G35" s="501"/>
      <c r="H35" s="501"/>
      <c r="I35" s="501"/>
      <c r="J35" s="501"/>
      <c r="K35" s="501"/>
      <c r="L35" s="501"/>
      <c r="M35" s="501"/>
      <c r="N35" s="501"/>
      <c r="O35" s="501"/>
      <c r="P35" s="501"/>
      <c r="Q35" s="501"/>
      <c r="R35" s="501"/>
      <c r="S35" s="501"/>
      <c r="T35" s="501"/>
      <c r="U35" s="501"/>
      <c r="V35" s="501"/>
      <c r="W35" s="501"/>
      <c r="X35" s="501"/>
      <c r="Y35" s="501"/>
      <c r="Z35" s="501"/>
      <c r="AA35" s="501"/>
      <c r="AB35" s="501"/>
      <c r="AC35" s="501"/>
      <c r="AD35" s="502"/>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10" zoomScale="55" zoomScaleNormal="55" workbookViewId="0">
      <selection activeCell="G17" sqref="G17"/>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804" t="s">
        <v>652</v>
      </c>
      <c r="D3" s="805"/>
      <c r="E3" s="805"/>
      <c r="F3" s="805"/>
      <c r="G3" s="805"/>
      <c r="H3" s="805"/>
      <c r="I3" s="805"/>
      <c r="J3" s="805"/>
      <c r="K3" s="806"/>
      <c r="L3" s="104"/>
      <c r="M3" s="83"/>
      <c r="N3" s="103"/>
      <c r="O3" s="798" t="str">
        <f>+E6&amp;" Diagram"</f>
        <v>NGCC Diagram</v>
      </c>
      <c r="P3" s="799"/>
      <c r="Q3" s="799"/>
      <c r="R3" s="799"/>
      <c r="S3" s="799"/>
      <c r="T3" s="799"/>
      <c r="U3" s="799"/>
      <c r="V3" s="799"/>
      <c r="W3" s="799"/>
      <c r="X3" s="799"/>
      <c r="Y3" s="799"/>
      <c r="Z3" s="799"/>
      <c r="AA3" s="800"/>
      <c r="AB3" s="104"/>
      <c r="AC3" s="83"/>
      <c r="AD3" s="83"/>
      <c r="AE3" s="791" t="str">
        <f>+E6&amp;" Stream Summary"</f>
        <v>NGCC Stream Summary</v>
      </c>
      <c r="AF3" s="791"/>
      <c r="AG3" s="791"/>
      <c r="AH3" s="537"/>
      <c r="AI3" s="537"/>
      <c r="AJ3" s="537"/>
      <c r="AK3" s="537"/>
      <c r="AL3" s="537"/>
      <c r="AM3" s="537"/>
      <c r="AN3" s="537"/>
      <c r="AO3" s="537"/>
      <c r="AP3" s="537"/>
      <c r="AQ3" s="537"/>
      <c r="AR3" s="53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809" t="s">
        <v>587</v>
      </c>
      <c r="E5" s="809"/>
      <c r="F5" s="83"/>
      <c r="I5" s="807" t="s">
        <v>267</v>
      </c>
      <c r="J5" s="808"/>
      <c r="K5" s="83"/>
      <c r="L5" s="104"/>
      <c r="M5" s="83"/>
      <c r="N5" s="103"/>
      <c r="O5" s="83"/>
      <c r="P5" s="83"/>
      <c r="Q5" s="83"/>
      <c r="R5" s="83"/>
      <c r="S5" s="83"/>
      <c r="T5" s="83"/>
      <c r="U5" s="83"/>
      <c r="V5" s="83"/>
      <c r="W5" s="83"/>
      <c r="X5" s="83"/>
      <c r="Y5" s="83"/>
      <c r="Z5" s="83"/>
      <c r="AA5" s="83"/>
      <c r="AB5" s="104"/>
      <c r="AC5" s="83"/>
      <c r="AE5" s="537"/>
      <c r="AF5" s="537"/>
      <c r="AG5" s="537"/>
      <c r="AH5" s="537"/>
      <c r="AI5" s="537"/>
      <c r="AJ5" s="537"/>
      <c r="AK5" s="537"/>
      <c r="AL5" s="537"/>
      <c r="AM5" s="537"/>
      <c r="AN5" s="537"/>
      <c r="AO5" s="537"/>
      <c r="AP5" s="537"/>
      <c r="AQ5" s="537"/>
      <c r="AR5" s="537"/>
    </row>
    <row r="6" spans="1:62" ht="22.2" customHeight="1" x14ac:dyDescent="0.3">
      <c r="A6" s="83"/>
      <c r="B6" s="103"/>
      <c r="C6" s="83"/>
      <c r="D6" s="423" t="s">
        <v>667</v>
      </c>
      <c r="E6" s="86" t="s">
        <v>819</v>
      </c>
      <c r="F6" s="83"/>
      <c r="I6" s="85"/>
      <c r="J6" s="314" t="s">
        <v>262</v>
      </c>
      <c r="K6" s="83"/>
      <c r="L6" s="104"/>
      <c r="M6" s="83"/>
      <c r="N6" s="103"/>
      <c r="O6" s="83"/>
      <c r="P6" s="83"/>
      <c r="Q6" s="83"/>
      <c r="R6" s="83"/>
      <c r="S6" s="83"/>
      <c r="T6" s="83"/>
      <c r="U6" s="83"/>
      <c r="V6" s="83"/>
      <c r="W6" s="83"/>
      <c r="X6" s="83"/>
      <c r="Y6" s="83"/>
      <c r="Z6" s="83"/>
      <c r="AA6" s="83"/>
      <c r="AB6" s="104"/>
      <c r="AC6" s="83"/>
      <c r="AD6" s="83"/>
      <c r="AE6" s="540" t="s">
        <v>717</v>
      </c>
      <c r="AF6" s="539" t="s">
        <v>715</v>
      </c>
      <c r="AG6" s="541" t="s">
        <v>716</v>
      </c>
      <c r="AH6" s="83"/>
      <c r="AI6" s="83"/>
      <c r="AJ6" s="83"/>
    </row>
    <row r="7" spans="1:62" ht="22.2" customHeight="1" x14ac:dyDescent="0.3">
      <c r="A7" s="83"/>
      <c r="B7" s="103"/>
      <c r="C7" s="83"/>
      <c r="D7" s="428" t="s">
        <v>470</v>
      </c>
      <c r="E7" s="456" t="s">
        <v>481</v>
      </c>
      <c r="F7" s="83"/>
      <c r="I7" s="95"/>
      <c r="J7" s="314" t="s">
        <v>263</v>
      </c>
      <c r="K7" s="83"/>
      <c r="L7" s="104"/>
      <c r="M7" s="83"/>
      <c r="N7" s="103"/>
      <c r="O7" s="83"/>
      <c r="P7" s="83"/>
      <c r="Q7" s="83"/>
      <c r="R7" s="83"/>
      <c r="S7" s="83"/>
      <c r="T7" s="83"/>
      <c r="U7" s="83"/>
      <c r="V7" s="83"/>
      <c r="W7" s="83"/>
      <c r="X7" s="83"/>
      <c r="Y7" s="83"/>
      <c r="Z7" s="83"/>
      <c r="AA7" s="83"/>
      <c r="AB7" s="104"/>
      <c r="AC7" s="83"/>
      <c r="AD7" s="83"/>
      <c r="AE7" s="542">
        <v>1</v>
      </c>
      <c r="AF7" s="536"/>
      <c r="AG7" s="536"/>
      <c r="AH7" s="83"/>
      <c r="AI7" s="83"/>
      <c r="AJ7" s="83"/>
    </row>
    <row r="8" spans="1:62" ht="22.2" customHeight="1" x14ac:dyDescent="0.3">
      <c r="A8" s="83"/>
      <c r="B8" s="103"/>
      <c r="C8" s="83"/>
      <c r="D8" s="428" t="s">
        <v>315</v>
      </c>
      <c r="E8" s="457">
        <v>2024</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566</v>
      </c>
      <c r="E9" s="458" t="s">
        <v>450</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3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37"/>
      <c r="AJ10" s="83"/>
      <c r="AM10" s="83"/>
      <c r="AN10" s="83"/>
      <c r="AT10" s="83"/>
      <c r="AU10" s="83"/>
      <c r="AV10" s="53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37"/>
      <c r="AY11" s="537"/>
      <c r="BA11" s="537"/>
      <c r="BB11" s="83"/>
      <c r="BC11" s="83"/>
      <c r="BD11" s="83"/>
      <c r="BE11" s="83"/>
    </row>
    <row r="12" spans="1:62" ht="22.2" customHeight="1" x14ac:dyDescent="0.3">
      <c r="A12" s="83"/>
      <c r="B12" s="103"/>
      <c r="C12" s="798" t="str">
        <f>+E6&amp;": Mass &amp; Energy Balance"</f>
        <v>NGCC: Mass &amp; Energy Balance</v>
      </c>
      <c r="D12" s="799"/>
      <c r="E12" s="799"/>
      <c r="F12" s="799"/>
      <c r="G12" s="799"/>
      <c r="H12" s="799"/>
      <c r="I12" s="799"/>
      <c r="J12" s="799"/>
      <c r="K12" s="800"/>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E14" s="87" t="s">
        <v>455</v>
      </c>
      <c r="F14" s="652" t="s">
        <v>800</v>
      </c>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E15" s="99" t="s">
        <v>801</v>
      </c>
      <c r="F15" s="227">
        <v>145</v>
      </c>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E16" s="99" t="s">
        <v>802</v>
      </c>
      <c r="F16" s="227">
        <v>74.47</v>
      </c>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E17" s="99" t="s">
        <v>803</v>
      </c>
      <c r="F17" s="227">
        <v>139.1</v>
      </c>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E18" s="99" t="s">
        <v>804</v>
      </c>
      <c r="F18" s="227">
        <f>+F58</f>
        <v>399.00469338929724</v>
      </c>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E19" s="99" t="s">
        <v>805</v>
      </c>
      <c r="F19" s="227">
        <f>+F15+F16</f>
        <v>219.47</v>
      </c>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E20" s="673" t="s">
        <v>806</v>
      </c>
      <c r="F20" s="727">
        <f>+F19/F18</f>
        <v>0.55004365521552778</v>
      </c>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E22" s="96"/>
      <c r="F22" s="674"/>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E23" s="96"/>
      <c r="F23" s="674"/>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3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659</v>
      </c>
      <c r="G31" s="423" t="s">
        <v>761</v>
      </c>
      <c r="H31" s="423" t="s">
        <v>762</v>
      </c>
      <c r="I31" s="423" t="s">
        <v>759</v>
      </c>
      <c r="J31" s="234" t="s">
        <v>760</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809</v>
      </c>
      <c r="F32" s="644">
        <f>+F19</f>
        <v>219.47</v>
      </c>
      <c r="G32" s="86" t="s">
        <v>807</v>
      </c>
      <c r="H32" s="86" t="s">
        <v>808</v>
      </c>
      <c r="I32" s="86">
        <v>3600</v>
      </c>
      <c r="J32" s="86" t="str">
        <f>G32&amp;"/"&amp;H32</f>
        <v>MJ/MWh</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98" t="str">
        <f>+E6&amp;": Environmental Performance"</f>
        <v>NGCC: Environmental Performance</v>
      </c>
      <c r="D34" s="799"/>
      <c r="E34" s="799"/>
      <c r="F34" s="799"/>
      <c r="G34" s="799"/>
      <c r="H34" s="799"/>
      <c r="I34" s="799"/>
      <c r="J34" s="799"/>
      <c r="K34" s="800"/>
      <c r="L34" s="104"/>
      <c r="M34" s="83"/>
      <c r="N34" s="112"/>
      <c r="O34" s="798" t="str">
        <f>+E6</f>
        <v>NGCC</v>
      </c>
      <c r="P34" s="799"/>
      <c r="Q34" s="799"/>
      <c r="R34" s="799"/>
      <c r="S34" s="799"/>
      <c r="T34" s="800"/>
      <c r="V34" s="798" t="s">
        <v>675</v>
      </c>
      <c r="W34" s="799"/>
      <c r="X34" s="799"/>
      <c r="Y34" s="799"/>
      <c r="Z34" s="799"/>
      <c r="AA34" s="800"/>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E36" s="96"/>
      <c r="F36" s="680"/>
      <c r="G36" s="96"/>
      <c r="K36" s="137"/>
      <c r="L36" s="104"/>
      <c r="M36" s="83"/>
      <c r="N36" s="103"/>
      <c r="O36" s="728" t="s">
        <v>573</v>
      </c>
      <c r="P36" s="729"/>
      <c r="Q36" s="729"/>
      <c r="R36" s="729"/>
      <c r="S36" s="729"/>
      <c r="T36" s="730"/>
      <c r="V36" s="455" t="s">
        <v>359</v>
      </c>
      <c r="W36" s="489" t="s">
        <v>582</v>
      </c>
      <c r="X36" s="810" t="s">
        <v>573</v>
      </c>
      <c r="Y36" s="810"/>
      <c r="Z36" s="810"/>
      <c r="AA36" s="811"/>
      <c r="AB36" s="104"/>
      <c r="AC36" s="83"/>
      <c r="AE36" s="83"/>
      <c r="AF36" s="83"/>
      <c r="AG36" s="83"/>
      <c r="AH36" s="83"/>
      <c r="AI36" s="83"/>
      <c r="AJ36" s="83"/>
      <c r="AK36" s="83"/>
      <c r="AL36" s="83"/>
      <c r="AO36" s="83"/>
      <c r="AP36" s="83"/>
    </row>
    <row r="37" spans="1:42" ht="22.2" customHeight="1" x14ac:dyDescent="0.3">
      <c r="A37" s="83"/>
      <c r="B37" s="103"/>
      <c r="C37" s="112"/>
      <c r="E37" s="96"/>
      <c r="F37" s="680"/>
      <c r="G37" s="96"/>
      <c r="K37" s="137"/>
      <c r="L37" s="104"/>
      <c r="M37" s="83"/>
      <c r="N37" s="103"/>
      <c r="O37" s="731"/>
      <c r="P37" s="783"/>
      <c r="Q37" s="783"/>
      <c r="R37" s="783"/>
      <c r="S37" s="783"/>
      <c r="T37" s="784"/>
      <c r="U37" s="83"/>
      <c r="V37" s="299" t="s">
        <v>847</v>
      </c>
      <c r="W37" s="526" t="s">
        <v>240</v>
      </c>
      <c r="X37" s="792"/>
      <c r="Y37" s="793"/>
      <c r="Z37" s="793"/>
      <c r="AA37" s="794"/>
      <c r="AB37" s="104"/>
      <c r="AC37" s="83"/>
      <c r="AF37" s="83"/>
      <c r="AG37" s="83"/>
      <c r="AH37" s="83"/>
      <c r="AI37" s="83"/>
      <c r="AJ37" s="83"/>
      <c r="AK37" s="83"/>
      <c r="AL37" s="83"/>
      <c r="AO37" s="83"/>
      <c r="AP37" s="83"/>
    </row>
    <row r="38" spans="1:42" ht="22.2" customHeight="1" x14ac:dyDescent="0.3">
      <c r="A38" s="83"/>
      <c r="B38" s="103"/>
      <c r="C38" s="112"/>
      <c r="E38" s="526" t="s">
        <v>811</v>
      </c>
      <c r="F38" s="675">
        <v>22.725000000000001</v>
      </c>
      <c r="G38" s="314" t="s">
        <v>810</v>
      </c>
      <c r="K38" s="137"/>
      <c r="L38" s="104"/>
      <c r="M38" s="83"/>
      <c r="N38" s="103"/>
      <c r="O38" s="785"/>
      <c r="P38" s="786"/>
      <c r="Q38" s="786"/>
      <c r="R38" s="786"/>
      <c r="S38" s="786"/>
      <c r="T38" s="787"/>
      <c r="U38" s="83"/>
      <c r="V38" s="299" t="s">
        <v>848</v>
      </c>
      <c r="W38" s="526" t="s">
        <v>449</v>
      </c>
      <c r="X38" s="795"/>
      <c r="Y38" s="796"/>
      <c r="Z38" s="796"/>
      <c r="AA38" s="797"/>
      <c r="AB38" s="104"/>
      <c r="AC38" s="83"/>
      <c r="AG38" s="83"/>
      <c r="AH38" s="83"/>
      <c r="AI38" s="83"/>
      <c r="AJ38" s="83"/>
      <c r="AK38" s="83"/>
      <c r="AL38" s="83"/>
      <c r="AO38" s="83"/>
      <c r="AP38" s="83"/>
    </row>
    <row r="39" spans="1:42" ht="22.2" customHeight="1" x14ac:dyDescent="0.3">
      <c r="A39" s="83"/>
      <c r="B39" s="103"/>
      <c r="C39" s="112"/>
      <c r="E39" s="679" t="s">
        <v>812</v>
      </c>
      <c r="F39" s="675">
        <f>F38*3600/F32</f>
        <v>372.76165307331297</v>
      </c>
      <c r="G39" s="314" t="s">
        <v>813</v>
      </c>
      <c r="K39" s="137"/>
      <c r="L39" s="104"/>
      <c r="M39" s="83"/>
      <c r="N39" s="103"/>
      <c r="O39" s="785"/>
      <c r="P39" s="786"/>
      <c r="Q39" s="786"/>
      <c r="R39" s="786"/>
      <c r="S39" s="786"/>
      <c r="T39" s="787"/>
      <c r="U39" s="83"/>
      <c r="V39" s="653"/>
      <c r="X39" s="795"/>
      <c r="Y39" s="796"/>
      <c r="Z39" s="796"/>
      <c r="AA39" s="797"/>
      <c r="AB39" s="104"/>
      <c r="AC39" s="83"/>
      <c r="AG39" s="83"/>
      <c r="AH39" s="83"/>
      <c r="AI39" s="83"/>
      <c r="AJ39" s="83"/>
      <c r="AK39" s="83"/>
      <c r="AL39" s="83"/>
      <c r="AO39" s="83"/>
      <c r="AP39" s="83"/>
    </row>
    <row r="40" spans="1:42" ht="22.2" customHeight="1" x14ac:dyDescent="0.3">
      <c r="A40" s="83"/>
      <c r="B40" s="103"/>
      <c r="C40" s="112"/>
      <c r="K40" s="137"/>
      <c r="L40" s="104"/>
      <c r="M40" s="83"/>
      <c r="N40" s="103"/>
      <c r="O40" s="785"/>
      <c r="P40" s="786"/>
      <c r="Q40" s="786"/>
      <c r="R40" s="786"/>
      <c r="S40" s="786"/>
      <c r="T40" s="787"/>
      <c r="U40" s="83"/>
      <c r="V40" s="92"/>
      <c r="X40" s="795"/>
      <c r="Y40" s="796"/>
      <c r="Z40" s="796"/>
      <c r="AA40" s="797"/>
      <c r="AB40" s="104"/>
      <c r="AC40" s="83"/>
      <c r="AG40" s="83"/>
      <c r="AH40" s="83"/>
      <c r="AI40" s="83"/>
      <c r="AJ40" s="83"/>
      <c r="AK40" s="83"/>
      <c r="AL40" s="83"/>
      <c r="AO40" s="83"/>
      <c r="AP40" s="83"/>
    </row>
    <row r="41" spans="1:42" ht="22.2" customHeight="1" x14ac:dyDescent="0.3">
      <c r="A41" s="83"/>
      <c r="B41" s="103"/>
      <c r="C41" s="112"/>
      <c r="K41" s="137"/>
      <c r="L41" s="104"/>
      <c r="M41" s="83"/>
      <c r="N41" s="103"/>
      <c r="O41" s="785"/>
      <c r="P41" s="786"/>
      <c r="Q41" s="786"/>
      <c r="R41" s="786"/>
      <c r="S41" s="786"/>
      <c r="T41" s="787"/>
      <c r="U41" s="83"/>
      <c r="V41" s="147"/>
      <c r="W41" s="96"/>
      <c r="X41" s="795"/>
      <c r="Y41" s="796"/>
      <c r="Z41" s="796"/>
      <c r="AA41" s="797"/>
      <c r="AB41" s="534"/>
      <c r="AC41" s="83"/>
      <c r="AG41" s="83"/>
      <c r="AH41" s="83"/>
      <c r="AI41" s="83"/>
      <c r="AK41" s="83"/>
      <c r="AL41" s="83"/>
      <c r="AO41" s="83"/>
      <c r="AP41" s="83"/>
    </row>
    <row r="42" spans="1:42" ht="22.2" customHeight="1" x14ac:dyDescent="0.3">
      <c r="A42" s="83"/>
      <c r="B42" s="103"/>
      <c r="C42" s="135"/>
      <c r="K42" s="137"/>
      <c r="L42" s="104"/>
      <c r="M42" s="83"/>
      <c r="N42" s="103"/>
      <c r="O42" s="785"/>
      <c r="P42" s="786"/>
      <c r="Q42" s="786"/>
      <c r="R42" s="786"/>
      <c r="S42" s="786"/>
      <c r="T42" s="787"/>
      <c r="U42" s="83"/>
      <c r="V42" s="147"/>
      <c r="W42" s="96"/>
      <c r="X42" s="795"/>
      <c r="Y42" s="796"/>
      <c r="Z42" s="796"/>
      <c r="AA42" s="797"/>
      <c r="AB42" s="104"/>
      <c r="AC42" s="83"/>
      <c r="AG42" s="83"/>
      <c r="AH42" s="83"/>
      <c r="AI42" s="83"/>
      <c r="AK42" s="83"/>
      <c r="AL42" s="83"/>
      <c r="AM42" s="83"/>
      <c r="AO42" s="83"/>
      <c r="AP42" s="83"/>
    </row>
    <row r="43" spans="1:42" ht="22.2" customHeight="1" x14ac:dyDescent="0.3">
      <c r="A43" s="83"/>
      <c r="B43" s="103"/>
      <c r="C43" s="135"/>
      <c r="K43" s="137"/>
      <c r="L43" s="104"/>
      <c r="M43" s="83"/>
      <c r="N43" s="103"/>
      <c r="O43" s="785"/>
      <c r="P43" s="786"/>
      <c r="Q43" s="786"/>
      <c r="R43" s="786"/>
      <c r="S43" s="786"/>
      <c r="T43" s="787"/>
      <c r="U43" s="83"/>
      <c r="V43" s="147"/>
      <c r="W43" s="96"/>
      <c r="X43" s="795"/>
      <c r="Y43" s="796"/>
      <c r="Z43" s="796"/>
      <c r="AA43" s="797"/>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85"/>
      <c r="P44" s="786"/>
      <c r="Q44" s="786"/>
      <c r="R44" s="786"/>
      <c r="S44" s="786"/>
      <c r="T44" s="787"/>
      <c r="U44" s="83"/>
      <c r="V44" s="147"/>
      <c r="W44" s="96"/>
      <c r="X44" s="795"/>
      <c r="Y44" s="796"/>
      <c r="Z44" s="796"/>
      <c r="AA44" s="797"/>
      <c r="AB44" s="104"/>
      <c r="AC44" s="83"/>
      <c r="AG44" s="83"/>
      <c r="AI44" s="83"/>
      <c r="AK44" s="83"/>
      <c r="AM44" s="83"/>
      <c r="AN44" s="83"/>
      <c r="AO44" s="83"/>
      <c r="AP44" s="83"/>
    </row>
    <row r="45" spans="1:42" ht="22.2" customHeight="1" x14ac:dyDescent="0.3">
      <c r="A45" s="83"/>
      <c r="B45" s="103"/>
      <c r="C45" s="135"/>
      <c r="K45" s="137"/>
      <c r="L45" s="104"/>
      <c r="M45" s="83"/>
      <c r="N45" s="103"/>
      <c r="O45" s="785"/>
      <c r="P45" s="786"/>
      <c r="Q45" s="786"/>
      <c r="R45" s="786"/>
      <c r="S45" s="786"/>
      <c r="T45" s="787"/>
      <c r="U45" s="83"/>
      <c r="V45" s="147"/>
      <c r="W45" s="96"/>
      <c r="X45" s="795"/>
      <c r="Y45" s="796"/>
      <c r="Z45" s="796"/>
      <c r="AA45" s="797"/>
      <c r="AB45" s="104"/>
      <c r="AC45" s="83"/>
      <c r="AG45" s="83"/>
      <c r="AM45" s="83"/>
      <c r="AN45" s="83"/>
      <c r="AO45" s="83"/>
      <c r="AP45" s="83"/>
    </row>
    <row r="46" spans="1:42" ht="22.2" customHeight="1" x14ac:dyDescent="0.3">
      <c r="A46" s="83"/>
      <c r="B46" s="103"/>
      <c r="C46" s="135"/>
      <c r="K46" s="137"/>
      <c r="L46" s="104"/>
      <c r="M46" s="83"/>
      <c r="N46" s="103"/>
      <c r="O46" s="785"/>
      <c r="P46" s="786"/>
      <c r="Q46" s="786"/>
      <c r="R46" s="786"/>
      <c r="S46" s="786"/>
      <c r="T46" s="787"/>
      <c r="U46" s="83"/>
      <c r="V46" s="147"/>
      <c r="W46" s="96"/>
      <c r="X46" s="301"/>
      <c r="Y46" s="378"/>
      <c r="Z46" s="378"/>
      <c r="AA46" s="104"/>
      <c r="AB46" s="104"/>
      <c r="AC46" s="83"/>
      <c r="AG46" s="83"/>
      <c r="AM46" s="83"/>
      <c r="AN46" s="83"/>
      <c r="AO46" s="83"/>
      <c r="AP46" s="83"/>
    </row>
    <row r="47" spans="1:42" ht="22.2" customHeight="1" x14ac:dyDescent="0.3">
      <c r="A47" s="83"/>
      <c r="B47" s="103"/>
      <c r="C47" s="135"/>
      <c r="K47" s="137"/>
      <c r="L47" s="104"/>
      <c r="M47" s="83"/>
      <c r="N47" s="103"/>
      <c r="O47" s="785"/>
      <c r="P47" s="786"/>
      <c r="Q47" s="786"/>
      <c r="R47" s="786"/>
      <c r="S47" s="786"/>
      <c r="T47" s="787"/>
      <c r="U47" s="83"/>
      <c r="V47" s="147"/>
      <c r="W47" s="96"/>
      <c r="X47" s="301"/>
      <c r="Y47" s="378"/>
      <c r="Z47" s="378"/>
      <c r="AA47" s="104"/>
      <c r="AB47" s="104"/>
      <c r="AC47" s="83"/>
      <c r="AG47" s="83"/>
      <c r="AM47" s="83"/>
      <c r="AN47" s="83"/>
      <c r="AO47" s="83"/>
      <c r="AP47" s="83"/>
    </row>
    <row r="48" spans="1:42" ht="22.2" customHeight="1" x14ac:dyDescent="0.3">
      <c r="A48" s="83"/>
      <c r="B48" s="103"/>
      <c r="C48" s="135"/>
      <c r="K48" s="137"/>
      <c r="L48" s="104"/>
      <c r="M48" s="83"/>
      <c r="N48" s="103"/>
      <c r="O48" s="785"/>
      <c r="P48" s="786"/>
      <c r="Q48" s="786"/>
      <c r="R48" s="786"/>
      <c r="S48" s="786"/>
      <c r="T48" s="787"/>
      <c r="U48" s="83"/>
      <c r="V48" s="147"/>
      <c r="W48" s="96"/>
      <c r="X48" s="301"/>
      <c r="Y48" s="378"/>
      <c r="Z48" s="378"/>
      <c r="AA48" s="104"/>
      <c r="AB48" s="104"/>
      <c r="AC48" s="83"/>
      <c r="AG48" s="83"/>
      <c r="AM48" s="83"/>
      <c r="AN48" s="83"/>
      <c r="AO48" s="83"/>
      <c r="AP48" s="83"/>
    </row>
    <row r="49" spans="1:42" ht="22.2" customHeight="1" x14ac:dyDescent="0.3">
      <c r="A49" s="83"/>
      <c r="B49" s="103"/>
      <c r="C49" s="135"/>
      <c r="K49" s="137"/>
      <c r="L49" s="104"/>
      <c r="M49" s="83"/>
      <c r="N49" s="103"/>
      <c r="O49" s="785"/>
      <c r="P49" s="786"/>
      <c r="Q49" s="786"/>
      <c r="R49" s="786"/>
      <c r="S49" s="786"/>
      <c r="T49" s="787"/>
      <c r="U49" s="83"/>
      <c r="V49" s="147"/>
      <c r="W49" s="96"/>
      <c r="X49" s="301"/>
      <c r="Y49" s="378"/>
      <c r="Z49" s="378"/>
      <c r="AA49" s="104"/>
      <c r="AB49" s="104"/>
      <c r="AC49" s="83"/>
      <c r="AG49" s="83"/>
      <c r="AM49" s="83"/>
      <c r="AN49" s="83"/>
      <c r="AO49" s="83"/>
      <c r="AP49" s="83"/>
    </row>
    <row r="50" spans="1:42" ht="22.2" customHeight="1" x14ac:dyDescent="0.3">
      <c r="A50" s="83"/>
      <c r="B50" s="103"/>
      <c r="C50" s="135"/>
      <c r="K50" s="137"/>
      <c r="L50" s="104"/>
      <c r="M50" s="83"/>
      <c r="N50" s="103"/>
      <c r="O50" s="785"/>
      <c r="P50" s="786"/>
      <c r="Q50" s="786"/>
      <c r="R50" s="786"/>
      <c r="S50" s="786"/>
      <c r="T50" s="787"/>
      <c r="U50" s="83"/>
      <c r="V50" s="147"/>
      <c r="W50" s="96"/>
      <c r="X50" s="301"/>
      <c r="Y50" s="378"/>
      <c r="Z50" s="378"/>
      <c r="AA50" s="104"/>
      <c r="AB50" s="104"/>
      <c r="AC50" s="83"/>
      <c r="AG50" s="83"/>
      <c r="AM50" s="83"/>
      <c r="AN50" s="83"/>
      <c r="AO50" s="83"/>
      <c r="AP50" s="83"/>
    </row>
    <row r="51" spans="1:42" ht="22.2" customHeight="1" x14ac:dyDescent="0.3">
      <c r="A51" s="83"/>
      <c r="B51" s="103"/>
      <c r="C51" s="135"/>
      <c r="D51" s="535"/>
      <c r="E51" s="423" t="s">
        <v>359</v>
      </c>
      <c r="F51" s="423" t="s">
        <v>659</v>
      </c>
      <c r="G51" s="423" t="s">
        <v>235</v>
      </c>
      <c r="H51" s="423" t="s">
        <v>762</v>
      </c>
      <c r="I51" s="423" t="s">
        <v>759</v>
      </c>
      <c r="J51" s="234" t="s">
        <v>760</v>
      </c>
      <c r="K51" s="137"/>
      <c r="L51" s="104"/>
      <c r="M51" s="83"/>
      <c r="N51" s="103"/>
      <c r="O51" s="785"/>
      <c r="P51" s="786"/>
      <c r="Q51" s="786"/>
      <c r="R51" s="786"/>
      <c r="S51" s="786"/>
      <c r="T51" s="787"/>
      <c r="U51" s="83"/>
      <c r="V51" s="147"/>
      <c r="W51" s="96"/>
      <c r="X51" s="301"/>
      <c r="Y51" s="378"/>
      <c r="Z51" s="378"/>
      <c r="AA51" s="104"/>
      <c r="AB51" s="104"/>
      <c r="AC51" s="83"/>
      <c r="AG51" s="83"/>
      <c r="AM51" s="83"/>
      <c r="AN51" s="83"/>
      <c r="AO51" s="83"/>
      <c r="AP51" s="83"/>
    </row>
    <row r="52" spans="1:42" ht="22.2" customHeight="1" x14ac:dyDescent="0.3">
      <c r="A52" s="83"/>
      <c r="B52" s="103"/>
      <c r="C52" s="135"/>
      <c r="D52" s="535"/>
      <c r="E52" s="86" t="s">
        <v>814</v>
      </c>
      <c r="F52" s="675">
        <f>+F38</f>
        <v>22.725000000000001</v>
      </c>
      <c r="G52" s="86" t="s">
        <v>810</v>
      </c>
      <c r="H52" s="86" t="s">
        <v>810</v>
      </c>
      <c r="I52" s="86">
        <v>1</v>
      </c>
      <c r="J52" s="86" t="str">
        <f>G52&amp;"/"&amp;H52</f>
        <v>kg/s/kg/s</v>
      </c>
      <c r="K52" s="137"/>
      <c r="L52" s="104"/>
      <c r="M52" s="83"/>
      <c r="N52" s="103"/>
      <c r="O52" s="788"/>
      <c r="P52" s="789"/>
      <c r="Q52" s="789"/>
      <c r="R52" s="789"/>
      <c r="S52" s="789"/>
      <c r="T52" s="790"/>
      <c r="U52" s="83"/>
      <c r="V52" s="173"/>
      <c r="W52" s="106"/>
      <c r="X52" s="105"/>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98" t="str">
        <f>+E6&amp;" Fuel / Raw Materials"</f>
        <v>NGCC Fuel / Raw Materials</v>
      </c>
      <c r="D54" s="799"/>
      <c r="E54" s="799"/>
      <c r="F54" s="799"/>
      <c r="G54" s="799"/>
      <c r="H54" s="799"/>
      <c r="I54" s="799"/>
      <c r="J54" s="799"/>
      <c r="K54" s="800"/>
      <c r="L54" s="104"/>
      <c r="M54" s="83"/>
      <c r="N54" s="103"/>
      <c r="O54" s="801" t="s">
        <v>711</v>
      </c>
      <c r="P54" s="802"/>
      <c r="Q54" s="802"/>
      <c r="R54" s="802"/>
      <c r="S54" s="802"/>
      <c r="T54" s="803"/>
      <c r="U54" s="83"/>
      <c r="V54" s="804" t="s">
        <v>719</v>
      </c>
      <c r="W54" s="805"/>
      <c r="X54" s="805"/>
      <c r="Y54" s="805"/>
      <c r="Z54" s="805"/>
      <c r="AA54" s="806"/>
      <c r="AB54" s="104"/>
      <c r="AC54" s="83"/>
      <c r="AE54" s="83"/>
      <c r="AG54" s="83"/>
      <c r="AM54" s="83"/>
      <c r="AN54" s="83"/>
      <c r="AO54" s="83"/>
      <c r="AP54" s="83"/>
    </row>
    <row r="55" spans="1:42" ht="22.2" customHeight="1" x14ac:dyDescent="0.3">
      <c r="A55" s="83"/>
      <c r="B55" s="103"/>
      <c r="C55" s="141"/>
      <c r="K55" s="305"/>
      <c r="L55" s="104"/>
      <c r="M55" s="83"/>
      <c r="N55" s="103"/>
      <c r="O55" s="464"/>
      <c r="P55" s="273"/>
      <c r="Q55" s="273"/>
      <c r="R55" s="273"/>
      <c r="S55" s="273"/>
      <c r="T55" s="113"/>
      <c r="U55" s="83"/>
      <c r="V55" s="464"/>
      <c r="W55" s="273"/>
      <c r="X55" s="273"/>
      <c r="Y55" s="273"/>
      <c r="Z55" s="273"/>
      <c r="AA55" s="113"/>
      <c r="AB55" s="104"/>
      <c r="AC55" s="83"/>
      <c r="AD55" s="83"/>
      <c r="AE55" s="83"/>
      <c r="AF55" s="83"/>
      <c r="AG55" s="83"/>
      <c r="AM55" s="83"/>
      <c r="AN55" s="83"/>
      <c r="AO55" s="83"/>
      <c r="AP55" s="83"/>
    </row>
    <row r="56" spans="1:42" ht="22.2" customHeight="1" x14ac:dyDescent="0.3">
      <c r="A56" s="83"/>
      <c r="B56" s="91"/>
      <c r="C56" s="112"/>
      <c r="E56" s="268" t="s">
        <v>815</v>
      </c>
      <c r="F56" s="676">
        <v>8.5806976891258806</v>
      </c>
      <c r="G56" s="608" t="s">
        <v>810</v>
      </c>
      <c r="K56" s="137"/>
      <c r="L56" s="104"/>
      <c r="M56" s="83"/>
      <c r="N56" s="91"/>
      <c r="O56" s="317"/>
      <c r="P56" s="769" t="s">
        <v>739</v>
      </c>
      <c r="Q56" s="770"/>
      <c r="R56" s="771"/>
      <c r="S56" s="543"/>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E57" s="265" t="s">
        <v>816</v>
      </c>
      <c r="F57" s="677">
        <v>46500.2623149102</v>
      </c>
      <c r="G57" s="678" t="s">
        <v>817</v>
      </c>
      <c r="K57" s="137"/>
      <c r="L57" s="104"/>
      <c r="M57" s="83"/>
      <c r="N57" s="103"/>
      <c r="O57" s="91"/>
      <c r="P57" s="772"/>
      <c r="Q57" s="773"/>
      <c r="R57" s="774"/>
      <c r="S57" s="544"/>
      <c r="T57" s="84"/>
      <c r="U57" s="83"/>
      <c r="V57" s="103"/>
      <c r="W57" s="778" t="s">
        <v>712</v>
      </c>
      <c r="X57" s="778"/>
      <c r="Y57" s="778"/>
      <c r="Z57" s="425" t="s">
        <v>342</v>
      </c>
      <c r="AA57" s="104"/>
      <c r="AB57" s="104"/>
      <c r="AC57" s="83"/>
      <c r="AD57" s="83"/>
      <c r="AE57" s="83"/>
      <c r="AF57" s="83"/>
      <c r="AG57" s="83"/>
      <c r="AM57" s="83"/>
      <c r="AN57" s="83"/>
      <c r="AO57" s="83"/>
      <c r="AP57" s="83"/>
    </row>
    <row r="58" spans="1:42" ht="22.2" customHeight="1" x14ac:dyDescent="0.3">
      <c r="A58" s="83"/>
      <c r="B58" s="91"/>
      <c r="C58" s="112"/>
      <c r="E58" s="679" t="s">
        <v>804</v>
      </c>
      <c r="F58" s="644">
        <f>+F57*F56/1000</f>
        <v>399.00469338929724</v>
      </c>
      <c r="G58" s="314" t="s">
        <v>818</v>
      </c>
      <c r="K58" s="137"/>
      <c r="L58" s="104"/>
      <c r="M58" s="83"/>
      <c r="N58" s="103"/>
      <c r="O58" s="91"/>
      <c r="T58" s="84"/>
      <c r="U58" s="83"/>
      <c r="V58" s="103"/>
      <c r="W58" s="779" t="s">
        <v>571</v>
      </c>
      <c r="X58" s="543"/>
      <c r="Y58" s="781" t="s">
        <v>572</v>
      </c>
      <c r="Z58" s="829">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69" t="s">
        <v>740</v>
      </c>
      <c r="Q59" s="770"/>
      <c r="R59" s="771"/>
      <c r="S59" s="543"/>
      <c r="T59" s="84"/>
      <c r="U59" s="83"/>
      <c r="V59" s="103"/>
      <c r="W59" s="780"/>
      <c r="X59" s="544"/>
      <c r="Y59" s="782"/>
      <c r="Z59" s="830"/>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72"/>
      <c r="Q60" s="773"/>
      <c r="R60" s="774"/>
      <c r="S60" s="54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75" t="s">
        <v>714</v>
      </c>
      <c r="X61" s="776"/>
      <c r="Y61" s="777"/>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823" t="s">
        <v>741</v>
      </c>
      <c r="Q62" s="824"/>
      <c r="R62" s="825"/>
      <c r="S62" s="543"/>
      <c r="T62" s="84"/>
      <c r="U62" s="83"/>
      <c r="V62" s="103"/>
      <c r="W62" s="779" t="str">
        <f>+W58</f>
        <v>ADD</v>
      </c>
      <c r="X62" s="818"/>
      <c r="Y62" s="781" t="str">
        <f>+Y58</f>
        <v>REMOVE</v>
      </c>
      <c r="Z62" s="829">
        <v>1</v>
      </c>
      <c r="AA62" s="104"/>
      <c r="AB62" s="104"/>
      <c r="AC62" s="83"/>
      <c r="AD62" s="83"/>
      <c r="AM62" s="83"/>
      <c r="AN62" s="83"/>
      <c r="AO62" s="83"/>
      <c r="AP62" s="83"/>
    </row>
    <row r="63" spans="1:42" ht="22.2" customHeight="1" x14ac:dyDescent="0.3">
      <c r="A63" s="83"/>
      <c r="B63" s="91"/>
      <c r="C63" s="135"/>
      <c r="K63" s="137"/>
      <c r="L63" s="104"/>
      <c r="M63" s="83"/>
      <c r="N63" s="103"/>
      <c r="O63" s="91"/>
      <c r="P63" s="826"/>
      <c r="Q63" s="827"/>
      <c r="R63" s="828"/>
      <c r="S63" s="544"/>
      <c r="T63" s="84"/>
      <c r="U63" s="83"/>
      <c r="V63" s="103"/>
      <c r="W63" s="780"/>
      <c r="X63" s="819"/>
      <c r="Y63" s="782"/>
      <c r="Z63" s="830"/>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69" t="s">
        <v>742</v>
      </c>
      <c r="Q65" s="770"/>
      <c r="R65" s="771"/>
      <c r="S65" s="543"/>
      <c r="T65" s="84"/>
      <c r="U65" s="83"/>
      <c r="V65" s="103"/>
      <c r="W65" s="775" t="s">
        <v>713</v>
      </c>
      <c r="X65" s="776"/>
      <c r="Y65" s="777"/>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72"/>
      <c r="Q66" s="773"/>
      <c r="R66" s="774"/>
      <c r="S66" s="544"/>
      <c r="T66" s="84"/>
      <c r="U66" s="83"/>
      <c r="V66" s="103"/>
      <c r="W66" s="779" t="str">
        <f>+W62</f>
        <v>ADD</v>
      </c>
      <c r="X66" s="818"/>
      <c r="Y66" s="781" t="str">
        <f>+Y62</f>
        <v>REMOVE</v>
      </c>
      <c r="Z66" s="829">
        <v>1</v>
      </c>
      <c r="AA66" s="104"/>
      <c r="AB66" s="104"/>
      <c r="AC66" s="83"/>
      <c r="AD66" s="83"/>
      <c r="AM66" s="83"/>
      <c r="AN66" s="83"/>
      <c r="AO66" s="83"/>
      <c r="AP66" s="83"/>
    </row>
    <row r="67" spans="1:42" ht="22.2" customHeight="1" x14ac:dyDescent="0.3">
      <c r="A67" s="83"/>
      <c r="B67" s="91"/>
      <c r="C67" s="135"/>
      <c r="K67" s="137"/>
      <c r="L67" s="104"/>
      <c r="M67" s="83"/>
      <c r="N67" s="103"/>
      <c r="O67" s="585"/>
      <c r="T67" s="84"/>
      <c r="U67" s="83"/>
      <c r="V67" s="103"/>
      <c r="W67" s="780"/>
      <c r="X67" s="819"/>
      <c r="Y67" s="782"/>
      <c r="Z67" s="830"/>
      <c r="AA67" s="104"/>
      <c r="AB67" s="104"/>
      <c r="AC67" s="83"/>
      <c r="AD67" s="83"/>
      <c r="AM67" s="83"/>
      <c r="AN67" s="83"/>
      <c r="AO67" s="83"/>
      <c r="AP67" s="83"/>
    </row>
    <row r="68" spans="1:42" ht="22.2" customHeight="1" x14ac:dyDescent="0.3">
      <c r="A68" s="83"/>
      <c r="B68" s="91"/>
      <c r="C68" s="135"/>
      <c r="K68" s="137"/>
      <c r="L68" s="104"/>
      <c r="M68" s="83"/>
      <c r="N68" s="103"/>
      <c r="O68" s="585"/>
      <c r="P68" s="769" t="s">
        <v>743</v>
      </c>
      <c r="Q68" s="770"/>
      <c r="R68" s="771"/>
      <c r="S68" s="821"/>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585"/>
      <c r="P69" s="772"/>
      <c r="Q69" s="773"/>
      <c r="R69" s="774"/>
      <c r="S69" s="822"/>
      <c r="T69" s="84"/>
      <c r="U69" s="83"/>
      <c r="V69" s="103"/>
      <c r="AA69" s="104"/>
      <c r="AB69" s="104"/>
      <c r="AC69" s="83"/>
      <c r="AD69" s="83"/>
      <c r="AM69" s="83"/>
      <c r="AN69" s="83"/>
      <c r="AO69" s="83"/>
      <c r="AP69" s="83"/>
    </row>
    <row r="70" spans="1:42" ht="22.2" customHeight="1" x14ac:dyDescent="0.3">
      <c r="A70" s="83"/>
      <c r="B70" s="91"/>
      <c r="C70" s="135"/>
      <c r="D70" s="535"/>
      <c r="E70" s="423" t="s">
        <v>359</v>
      </c>
      <c r="F70" s="423" t="s">
        <v>659</v>
      </c>
      <c r="G70" s="423" t="s">
        <v>235</v>
      </c>
      <c r="H70" s="423" t="s">
        <v>762</v>
      </c>
      <c r="I70" s="423" t="s">
        <v>759</v>
      </c>
      <c r="J70" s="234" t="s">
        <v>760</v>
      </c>
      <c r="K70" s="137"/>
      <c r="L70" s="104"/>
      <c r="M70" s="83"/>
      <c r="N70" s="103"/>
      <c r="O70" s="91"/>
      <c r="T70" s="84"/>
      <c r="U70" s="83"/>
      <c r="V70" s="103"/>
      <c r="W70" s="820" t="s">
        <v>268</v>
      </c>
      <c r="X70" s="820"/>
      <c r="Y70" s="820"/>
      <c r="Z70" s="820"/>
      <c r="AA70" s="104"/>
      <c r="AB70" s="104"/>
      <c r="AC70" s="83"/>
      <c r="AD70" s="83"/>
      <c r="AM70" s="83"/>
      <c r="AN70" s="83"/>
      <c r="AO70" s="83"/>
      <c r="AP70" s="83"/>
    </row>
    <row r="71" spans="1:42" ht="22.2" customHeight="1" x14ac:dyDescent="0.3">
      <c r="A71" s="83"/>
      <c r="B71" s="91"/>
      <c r="C71" s="135"/>
      <c r="D71" s="535"/>
      <c r="E71" s="86" t="s">
        <v>382</v>
      </c>
      <c r="F71" s="675">
        <f>+F56</f>
        <v>8.5806976891258806</v>
      </c>
      <c r="G71" s="86" t="s">
        <v>810</v>
      </c>
      <c r="H71" s="86" t="s">
        <v>810</v>
      </c>
      <c r="I71" s="86">
        <v>1</v>
      </c>
      <c r="J71" s="86" t="str">
        <f>G71&amp;"/"&amp;H71</f>
        <v>kg/s/kg/s</v>
      </c>
      <c r="K71" s="137"/>
      <c r="L71" s="104"/>
      <c r="M71" s="83"/>
      <c r="N71" s="103"/>
      <c r="O71" s="91"/>
      <c r="P71" s="769" t="s">
        <v>777</v>
      </c>
      <c r="Q71" s="770"/>
      <c r="R71" s="771"/>
      <c r="S71" s="821"/>
      <c r="T71" s="84"/>
      <c r="U71" s="83"/>
      <c r="V71" s="103"/>
      <c r="W71" s="812" t="s">
        <v>718</v>
      </c>
      <c r="X71" s="813"/>
      <c r="Y71" s="813"/>
      <c r="Z71" s="814"/>
      <c r="AA71" s="104"/>
      <c r="AB71" s="104"/>
      <c r="AC71" s="83"/>
      <c r="AD71" s="83"/>
      <c r="AN71" s="83"/>
      <c r="AO71" s="83"/>
      <c r="AP71" s="83"/>
    </row>
    <row r="72" spans="1:42" ht="22.2" customHeight="1" x14ac:dyDescent="0.3">
      <c r="A72" s="83"/>
      <c r="B72" s="91"/>
      <c r="C72" s="135"/>
      <c r="D72" s="535"/>
      <c r="E72" s="86" t="s">
        <v>654</v>
      </c>
      <c r="F72" s="86"/>
      <c r="G72" s="86"/>
      <c r="H72" s="86"/>
      <c r="I72" s="86"/>
      <c r="J72" s="86" t="str">
        <f>G72&amp;"/"&amp;H72</f>
        <v>/</v>
      </c>
      <c r="K72" s="137"/>
      <c r="L72" s="104"/>
      <c r="M72" s="83"/>
      <c r="N72" s="103"/>
      <c r="O72" s="91"/>
      <c r="P72" s="772"/>
      <c r="Q72" s="773"/>
      <c r="R72" s="774"/>
      <c r="S72" s="822"/>
      <c r="T72" s="84"/>
      <c r="U72" s="83"/>
      <c r="V72" s="103"/>
      <c r="W72" s="815"/>
      <c r="X72" s="816"/>
      <c r="Y72" s="816"/>
      <c r="Z72" s="817"/>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586"/>
      <c r="Q73" s="586"/>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38"/>
      <c r="P74" s="538"/>
      <c r="Q74" s="53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55" zoomScaleNormal="55" workbookViewId="0">
      <selection activeCell="D20" sqref="D20"/>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804" t="s">
        <v>786</v>
      </c>
      <c r="D3" s="805"/>
      <c r="E3" s="805"/>
      <c r="F3" s="805"/>
      <c r="G3" s="804" t="s">
        <v>341</v>
      </c>
      <c r="H3" s="806"/>
      <c r="J3" s="804" t="s">
        <v>493</v>
      </c>
      <c r="K3" s="805"/>
      <c r="L3" s="805"/>
      <c r="M3" s="806"/>
      <c r="O3" s="804" t="str">
        <f>+E6</f>
        <v>GT</v>
      </c>
      <c r="P3" s="805"/>
      <c r="Q3" s="805"/>
      <c r="R3" s="805"/>
      <c r="S3" s="806"/>
      <c r="T3" s="104"/>
      <c r="U3" s="103"/>
      <c r="V3" s="103"/>
      <c r="W3" s="845" t="str">
        <f>+E6&amp;" Diagram"</f>
        <v>GT Diagram</v>
      </c>
      <c r="X3" s="846"/>
      <c r="Y3" s="846"/>
      <c r="Z3" s="846"/>
      <c r="AA3" s="846"/>
      <c r="AB3" s="846"/>
      <c r="AC3" s="846"/>
      <c r="AD3" s="846"/>
      <c r="AE3" s="846"/>
      <c r="AF3" s="846"/>
      <c r="AG3" s="846"/>
      <c r="AH3" s="847"/>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807" t="s">
        <v>265</v>
      </c>
      <c r="E5" s="808"/>
      <c r="F5" s="182"/>
      <c r="G5" s="807" t="s">
        <v>267</v>
      </c>
      <c r="H5" s="808"/>
      <c r="J5" s="388"/>
      <c r="K5" s="389"/>
      <c r="L5" s="185" t="s">
        <v>463</v>
      </c>
      <c r="M5" s="186" t="s">
        <v>498</v>
      </c>
      <c r="O5" s="728" t="s">
        <v>573</v>
      </c>
      <c r="P5" s="729"/>
      <c r="Q5" s="729"/>
      <c r="R5" s="729"/>
      <c r="S5" s="730"/>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850" t="s">
        <v>489</v>
      </c>
      <c r="D6" s="419" t="s">
        <v>670</v>
      </c>
      <c r="E6" s="471" t="str">
        <f>+'Plant Overview'!V37</f>
        <v>GT</v>
      </c>
      <c r="F6" s="183"/>
      <c r="G6" s="85"/>
      <c r="H6" s="314" t="s">
        <v>262</v>
      </c>
      <c r="J6" s="390"/>
      <c r="K6" s="391"/>
      <c r="L6" s="93" t="s">
        <v>464</v>
      </c>
      <c r="M6" s="86" t="s">
        <v>497</v>
      </c>
      <c r="O6" s="731"/>
      <c r="P6" s="783"/>
      <c r="Q6" s="783"/>
      <c r="R6" s="783"/>
      <c r="S6" s="784"/>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851"/>
      <c r="D7" s="419" t="s">
        <v>669</v>
      </c>
      <c r="E7" s="408" t="str">
        <f>+'Plant Overview'!W37</f>
        <v>U-100</v>
      </c>
      <c r="F7" s="183"/>
      <c r="G7" s="179"/>
      <c r="H7" s="314" t="s">
        <v>263</v>
      </c>
      <c r="J7" s="390"/>
      <c r="K7" s="391"/>
      <c r="L7" s="185" t="s">
        <v>458</v>
      </c>
      <c r="M7" s="186" t="s">
        <v>496</v>
      </c>
      <c r="O7" s="785"/>
      <c r="P7" s="786"/>
      <c r="Q7" s="786"/>
      <c r="R7" s="786"/>
      <c r="S7" s="787"/>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52"/>
      <c r="D8" s="853" t="s">
        <v>312</v>
      </c>
      <c r="E8" s="855"/>
      <c r="F8" s="184"/>
      <c r="G8" s="94"/>
      <c r="H8" s="98" t="s">
        <v>264</v>
      </c>
      <c r="J8" s="390"/>
      <c r="K8" s="391"/>
      <c r="L8" s="185" t="s">
        <v>459</v>
      </c>
      <c r="M8" s="186" t="s">
        <v>494</v>
      </c>
      <c r="O8" s="785"/>
      <c r="P8" s="786"/>
      <c r="Q8" s="786"/>
      <c r="R8" s="786"/>
      <c r="S8" s="787"/>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819"/>
      <c r="D9" s="854"/>
      <c r="E9" s="856"/>
      <c r="F9" s="184"/>
      <c r="G9" s="108"/>
      <c r="H9" s="300" t="s">
        <v>268</v>
      </c>
      <c r="J9" s="392"/>
      <c r="K9" s="393"/>
      <c r="L9" s="185" t="s">
        <v>460</v>
      </c>
      <c r="M9" s="186" t="s">
        <v>495</v>
      </c>
      <c r="O9" s="788"/>
      <c r="P9" s="789"/>
      <c r="Q9" s="789"/>
      <c r="R9" s="789"/>
      <c r="S9" s="790"/>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804" t="s">
        <v>501</v>
      </c>
      <c r="E11" s="805"/>
      <c r="F11" s="805"/>
      <c r="G11" s="805"/>
      <c r="H11" s="805"/>
      <c r="I11" s="805"/>
      <c r="J11" s="805"/>
      <c r="K11" s="804" t="s">
        <v>500</v>
      </c>
      <c r="L11" s="805"/>
      <c r="M11" s="805"/>
      <c r="N11" s="805"/>
      <c r="O11" s="806"/>
      <c r="P11" s="804" t="s">
        <v>503</v>
      </c>
      <c r="Q11" s="805"/>
      <c r="R11" s="806"/>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492</v>
      </c>
      <c r="E12" s="423" t="s">
        <v>491</v>
      </c>
      <c r="F12" s="428" t="s">
        <v>457</v>
      </c>
      <c r="G12" s="428" t="s">
        <v>576</v>
      </c>
      <c r="H12" s="428" t="s">
        <v>502</v>
      </c>
      <c r="I12" s="423" t="s">
        <v>499</v>
      </c>
      <c r="J12" s="423" t="s">
        <v>235</v>
      </c>
      <c r="K12" s="414" t="s">
        <v>459</v>
      </c>
      <c r="L12" s="423" t="s">
        <v>460</v>
      </c>
      <c r="M12" s="421" t="s">
        <v>579</v>
      </c>
      <c r="N12" s="422" t="s">
        <v>462</v>
      </c>
      <c r="O12" s="418" t="s">
        <v>461</v>
      </c>
      <c r="P12" s="414" t="s">
        <v>458</v>
      </c>
      <c r="Q12" s="414" t="s">
        <v>464</v>
      </c>
      <c r="R12" s="421" t="s">
        <v>463</v>
      </c>
      <c r="S12" s="418" t="s">
        <v>490</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t="s">
        <v>845</v>
      </c>
      <c r="D13" s="268" t="s">
        <v>40</v>
      </c>
      <c r="E13" s="269" t="s">
        <v>846</v>
      </c>
      <c r="F13" s="269" t="s">
        <v>480</v>
      </c>
      <c r="G13" s="269">
        <v>2020</v>
      </c>
      <c r="H13" s="269" t="s">
        <v>471</v>
      </c>
      <c r="I13" s="269" t="s">
        <v>809</v>
      </c>
      <c r="J13" s="148" t="s">
        <v>818</v>
      </c>
      <c r="K13" s="269"/>
      <c r="L13" s="96"/>
      <c r="M13" s="269"/>
      <c r="N13" s="190"/>
      <c r="O13" s="193"/>
      <c r="P13" s="192"/>
      <c r="Q13" s="269"/>
      <c r="R13" s="190">
        <f>+Y52</f>
        <v>55.894463850894375</v>
      </c>
      <c r="S13" s="381" cm="1">
        <f t="array" aca="1" ref="S13" ca="1">+IF(R13="","",R13*INDIRECT(ADDRESS(MATCH(G13,'Cost Conversion'!$B$3:$B$48,0)+2,4,1,1,"Cost conversion"))*INDIRECT(ADDRESS(MATCH(H13,'Cost Conversion'!$F$3:$F$22,0)+2,8,1,1,"Cost conversion"))/IF('Plant Overview'!$E$9="€",IF(F13="$",'Cost Conversion'!$L$2,1),IF('Plant Overview'!$E$9="$",1,1/'Cost Conversion'!$L$2)))</f>
        <v>81.696497924603236</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72"/>
      <c r="Q34" s="773"/>
      <c r="R34" s="156" t="str">
        <f t="shared" si="0"/>
        <v/>
      </c>
      <c r="S34" s="647"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632</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81.696497924603236</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804" t="str">
        <f>+"BEC Distribution: "&amp;E6</f>
        <v>BEC Distribution: GT</v>
      </c>
      <c r="C39" s="805"/>
      <c r="D39" s="805"/>
      <c r="E39" s="805"/>
      <c r="F39" s="805"/>
      <c r="G39" s="804" t="str">
        <f>+"Estimate Benchmark: "&amp;E6</f>
        <v>Estimate Benchmark: GT</v>
      </c>
      <c r="H39" s="805"/>
      <c r="I39" s="805"/>
      <c r="J39" s="806"/>
      <c r="K39" s="804" t="s">
        <v>627</v>
      </c>
      <c r="L39" s="805"/>
      <c r="M39" s="806"/>
      <c r="N39" s="157"/>
      <c r="O39" s="157"/>
      <c r="P39" s="157"/>
      <c r="Q39" s="83"/>
      <c r="R39" s="83"/>
      <c r="S39" s="83"/>
      <c r="T39" s="83"/>
      <c r="U39" s="83"/>
      <c r="V39" s="83"/>
      <c r="W39" s="831" t="s">
        <v>820</v>
      </c>
      <c r="X39" s="832"/>
      <c r="Y39" s="832"/>
      <c r="Z39" s="832"/>
      <c r="AA39" s="832"/>
      <c r="AB39" s="832"/>
      <c r="AC39" s="832"/>
      <c r="AD39" s="832"/>
      <c r="AE39" s="832"/>
      <c r="AF39" s="833"/>
      <c r="AG39" s="155"/>
      <c r="AH39" s="155"/>
      <c r="AI39" s="83"/>
      <c r="AJ39" s="351"/>
    </row>
    <row r="40" spans="1:36" ht="18.600000000000001" customHeight="1" x14ac:dyDescent="0.3">
      <c r="A40" s="83"/>
      <c r="B40" s="100"/>
      <c r="C40" s="286"/>
      <c r="D40" s="273"/>
      <c r="E40" s="273"/>
      <c r="F40" s="113"/>
      <c r="G40" s="289"/>
      <c r="H40" s="286"/>
      <c r="I40" s="286"/>
      <c r="J40" s="290"/>
      <c r="K40" s="423" t="s">
        <v>582</v>
      </c>
      <c r="L40" s="820" t="s">
        <v>626</v>
      </c>
      <c r="M40" s="820"/>
      <c r="N40" s="157"/>
      <c r="W40" s="681"/>
      <c r="X40" s="682"/>
      <c r="Y40" s="682"/>
      <c r="Z40" s="682"/>
      <c r="AA40" s="682"/>
      <c r="AB40" s="683"/>
      <c r="AC40" s="683"/>
      <c r="AD40" s="683"/>
      <c r="AE40" s="683"/>
      <c r="AF40" s="684"/>
      <c r="AI40" s="83"/>
      <c r="AJ40" s="351"/>
    </row>
    <row r="41" spans="1:36" ht="18.600000000000001" customHeight="1" x14ac:dyDescent="0.3">
      <c r="A41" s="83"/>
      <c r="B41" s="103"/>
      <c r="C41" s="157"/>
      <c r="F41" s="84"/>
      <c r="G41" s="291"/>
      <c r="H41" s="157"/>
      <c r="I41" s="157"/>
      <c r="J41" s="157"/>
      <c r="K41" s="466" t="str">
        <f>+IF(C13="","",TEXT(C13,0))</f>
        <v>GT-101</v>
      </c>
      <c r="L41" s="848"/>
      <c r="M41" s="849"/>
      <c r="N41" s="157"/>
      <c r="W41" s="681"/>
      <c r="X41" s="685" t="s">
        <v>821</v>
      </c>
      <c r="Y41" s="683"/>
      <c r="Z41" s="683"/>
      <c r="AA41" s="683"/>
      <c r="AB41" s="683"/>
      <c r="AC41" s="683"/>
      <c r="AD41" s="683"/>
      <c r="AE41" s="683"/>
      <c r="AF41" s="684"/>
      <c r="AI41" s="83"/>
      <c r="AJ41" s="351"/>
    </row>
    <row r="42" spans="1:36" ht="18.600000000000001" customHeight="1" x14ac:dyDescent="0.3">
      <c r="A42" s="83"/>
      <c r="B42" s="103"/>
      <c r="C42" s="157"/>
      <c r="F42" s="84"/>
      <c r="G42" s="291"/>
      <c r="H42" s="157"/>
      <c r="I42" s="157"/>
      <c r="J42" s="157"/>
      <c r="K42" s="467"/>
      <c r="L42" s="834"/>
      <c r="M42" s="835"/>
      <c r="N42" s="157"/>
      <c r="W42" s="681"/>
      <c r="X42" s="685"/>
      <c r="Y42" s="683"/>
      <c r="Z42" s="683"/>
      <c r="AA42" s="683"/>
      <c r="AB42" s="683"/>
      <c r="AC42" s="683"/>
      <c r="AD42" s="683"/>
      <c r="AE42" s="683"/>
      <c r="AF42" s="684"/>
      <c r="AI42" s="83"/>
      <c r="AJ42" s="351"/>
    </row>
    <row r="43" spans="1:36" ht="18.600000000000001" customHeight="1" x14ac:dyDescent="0.3">
      <c r="A43" s="83"/>
      <c r="B43" s="103"/>
      <c r="C43" s="157"/>
      <c r="F43" s="84"/>
      <c r="G43" s="291"/>
      <c r="H43" s="157"/>
      <c r="I43" s="157"/>
      <c r="J43" s="157"/>
      <c r="K43" s="467"/>
      <c r="L43" s="834"/>
      <c r="M43" s="835"/>
      <c r="N43" s="157"/>
      <c r="W43" s="681"/>
      <c r="X43" s="685" t="s">
        <v>822</v>
      </c>
      <c r="Y43" s="683"/>
      <c r="Z43" s="683"/>
      <c r="AA43" s="683"/>
      <c r="AB43" s="683"/>
      <c r="AC43" s="683"/>
      <c r="AD43" s="683"/>
      <c r="AE43" s="683"/>
      <c r="AF43" s="684"/>
      <c r="AI43" s="83"/>
      <c r="AJ43" s="351"/>
    </row>
    <row r="44" spans="1:36" ht="18.600000000000001" customHeight="1" x14ac:dyDescent="0.3">
      <c r="A44" s="83"/>
      <c r="B44" s="103"/>
      <c r="C44" s="157"/>
      <c r="F44" s="84"/>
      <c r="G44" s="291"/>
      <c r="H44" s="157"/>
      <c r="I44" s="157"/>
      <c r="J44" s="157"/>
      <c r="K44" s="467"/>
      <c r="L44" s="834"/>
      <c r="M44" s="835"/>
      <c r="N44" s="157"/>
      <c r="W44" s="681"/>
      <c r="X44" s="685" t="s">
        <v>823</v>
      </c>
      <c r="Y44" s="683"/>
      <c r="Z44" s="683"/>
      <c r="AA44" s="683"/>
      <c r="AB44" s="683"/>
      <c r="AC44" s="683"/>
      <c r="AD44" s="683"/>
      <c r="AE44" s="683"/>
      <c r="AF44" s="684"/>
      <c r="AI44" s="83"/>
      <c r="AJ44" s="83"/>
    </row>
    <row r="45" spans="1:36" ht="18.600000000000001" customHeight="1" x14ac:dyDescent="0.3">
      <c r="A45" s="83"/>
      <c r="B45" s="103"/>
      <c r="C45" s="157"/>
      <c r="F45" s="84"/>
      <c r="G45" s="291"/>
      <c r="H45" s="157"/>
      <c r="I45" s="157"/>
      <c r="J45" s="157"/>
      <c r="K45" s="467"/>
      <c r="L45" s="310"/>
      <c r="M45" s="287"/>
      <c r="N45" s="157"/>
      <c r="W45" s="681"/>
      <c r="X45" s="685" t="s">
        <v>824</v>
      </c>
      <c r="Y45" s="683"/>
      <c r="Z45" s="683"/>
      <c r="AA45" s="683"/>
      <c r="AB45" s="683"/>
      <c r="AC45" s="683"/>
      <c r="AD45" s="683"/>
      <c r="AE45" s="683"/>
      <c r="AF45" s="684"/>
      <c r="AI45" s="83"/>
      <c r="AJ45" s="83"/>
    </row>
    <row r="46" spans="1:36" ht="18.600000000000001" customHeight="1" x14ac:dyDescent="0.3">
      <c r="A46" s="83"/>
      <c r="B46" s="103"/>
      <c r="C46" s="157"/>
      <c r="F46" s="84"/>
      <c r="G46" s="291"/>
      <c r="H46" s="157"/>
      <c r="I46" s="157"/>
      <c r="J46" s="157"/>
      <c r="K46" s="467"/>
      <c r="L46" s="310"/>
      <c r="M46" s="287"/>
      <c r="N46" s="157"/>
      <c r="W46" s="681"/>
      <c r="X46" s="685" t="s">
        <v>825</v>
      </c>
      <c r="Y46" s="683"/>
      <c r="Z46" s="683"/>
      <c r="AA46" s="683"/>
      <c r="AB46" s="683"/>
      <c r="AC46" s="683"/>
      <c r="AD46" s="683"/>
      <c r="AE46" s="683"/>
      <c r="AF46" s="684"/>
      <c r="AI46" s="83"/>
      <c r="AJ46" s="83"/>
    </row>
    <row r="47" spans="1:36" ht="18.600000000000001" customHeight="1" x14ac:dyDescent="0.3">
      <c r="A47" s="83"/>
      <c r="B47" s="103"/>
      <c r="C47" s="157"/>
      <c r="F47" s="84"/>
      <c r="G47" s="291"/>
      <c r="H47" s="157"/>
      <c r="I47" s="157"/>
      <c r="J47" s="157"/>
      <c r="K47" s="467" t="str">
        <f>+IF(C19="","",TEXT(C19,0))</f>
        <v/>
      </c>
      <c r="L47" s="310"/>
      <c r="M47" s="287"/>
      <c r="N47" s="157"/>
      <c r="W47" s="681"/>
      <c r="X47" s="685" t="s">
        <v>826</v>
      </c>
      <c r="Y47" s="683"/>
      <c r="Z47" s="683"/>
      <c r="AA47" s="683"/>
      <c r="AB47" s="683"/>
      <c r="AC47" s="683"/>
      <c r="AD47" s="683"/>
      <c r="AE47" s="683"/>
      <c r="AF47" s="684"/>
      <c r="AI47" s="83"/>
      <c r="AJ47" s="83"/>
    </row>
    <row r="48" spans="1:36" ht="18.600000000000001" customHeight="1" x14ac:dyDescent="0.3">
      <c r="A48" s="83"/>
      <c r="B48" s="103"/>
      <c r="C48" s="157"/>
      <c r="F48" s="84"/>
      <c r="G48" s="291"/>
      <c r="H48" s="157"/>
      <c r="I48" s="157"/>
      <c r="J48" s="157"/>
      <c r="K48" s="467"/>
      <c r="L48" s="310"/>
      <c r="M48" s="287"/>
      <c r="N48" s="157"/>
      <c r="W48" s="681"/>
      <c r="X48" s="685" t="s">
        <v>827</v>
      </c>
      <c r="Y48" s="683"/>
      <c r="Z48" s="683"/>
      <c r="AA48" s="683"/>
      <c r="AB48" s="683"/>
      <c r="AC48" s="683"/>
      <c r="AD48" s="683"/>
      <c r="AE48" s="683"/>
      <c r="AF48" s="684"/>
      <c r="AI48" s="83"/>
      <c r="AJ48" s="83"/>
    </row>
    <row r="49" spans="1:36" ht="18.600000000000001" customHeight="1" x14ac:dyDescent="0.3">
      <c r="A49" s="83"/>
      <c r="B49" s="103"/>
      <c r="C49" s="157"/>
      <c r="F49" s="84"/>
      <c r="G49" s="291"/>
      <c r="H49" s="157"/>
      <c r="I49" s="157"/>
      <c r="J49" s="157"/>
      <c r="K49" s="467"/>
      <c r="L49" s="310"/>
      <c r="M49" s="287"/>
      <c r="N49" s="157"/>
      <c r="W49" s="681"/>
      <c r="X49" s="685" t="s">
        <v>828</v>
      </c>
      <c r="Y49" s="683"/>
      <c r="Z49" s="683"/>
      <c r="AA49" s="683"/>
      <c r="AB49" s="683"/>
      <c r="AC49" s="683"/>
      <c r="AD49" s="683"/>
      <c r="AE49" s="683"/>
      <c r="AF49" s="684"/>
      <c r="AI49" s="83"/>
      <c r="AJ49" s="83"/>
    </row>
    <row r="50" spans="1:36" ht="18.600000000000001" customHeight="1" x14ac:dyDescent="0.3">
      <c r="A50" s="83"/>
      <c r="B50" s="103"/>
      <c r="C50" s="157"/>
      <c r="F50" s="84"/>
      <c r="G50" s="291"/>
      <c r="H50" s="157"/>
      <c r="I50" s="157"/>
      <c r="J50" s="157"/>
      <c r="K50" s="467"/>
      <c r="L50" s="310"/>
      <c r="M50" s="287"/>
      <c r="N50" s="157"/>
      <c r="W50" s="681"/>
      <c r="X50" s="685"/>
      <c r="Y50" s="683"/>
      <c r="Z50" s="683"/>
      <c r="AA50" s="683"/>
      <c r="AB50" s="683"/>
      <c r="AC50" s="683"/>
      <c r="AD50" s="683"/>
      <c r="AE50" s="683"/>
      <c r="AF50" s="684"/>
      <c r="AI50" s="83"/>
      <c r="AJ50" s="83"/>
    </row>
    <row r="51" spans="1:36" ht="18.600000000000001" customHeight="1" x14ac:dyDescent="0.3">
      <c r="A51" s="83"/>
      <c r="B51" s="103"/>
      <c r="C51" s="157"/>
      <c r="F51" s="84"/>
      <c r="G51" s="291"/>
      <c r="H51" s="157"/>
      <c r="I51" s="157"/>
      <c r="J51" s="157"/>
      <c r="K51" s="467"/>
      <c r="L51" s="310"/>
      <c r="M51" s="287"/>
      <c r="N51" s="157"/>
      <c r="W51" s="681"/>
      <c r="X51" s="707" t="s">
        <v>829</v>
      </c>
      <c r="Y51" s="708"/>
      <c r="Z51" s="708"/>
      <c r="AA51" s="708"/>
      <c r="AB51" s="709"/>
      <c r="AC51" s="683"/>
      <c r="AD51" s="683"/>
      <c r="AE51" s="683"/>
      <c r="AF51" s="684"/>
      <c r="AI51" s="83"/>
      <c r="AJ51" s="83"/>
    </row>
    <row r="52" spans="1:36" ht="18.600000000000001" customHeight="1" x14ac:dyDescent="0.3">
      <c r="A52" s="83"/>
      <c r="B52" s="103"/>
      <c r="C52" s="157"/>
      <c r="F52" s="84"/>
      <c r="G52" s="291"/>
      <c r="H52" s="157"/>
      <c r="I52" s="157"/>
      <c r="J52" s="157"/>
      <c r="K52" s="467"/>
      <c r="L52" s="310"/>
      <c r="M52" s="287"/>
      <c r="N52" s="157"/>
      <c r="W52" s="681"/>
      <c r="X52" s="686" t="s">
        <v>463</v>
      </c>
      <c r="Y52" s="687">
        <f>+(AB52*(Y53^AB53)*(Y54^AB54)*(Y55^AB55)*(1+Y56)*(Y57+1))/10^6*Y58</f>
        <v>55.894463850894375</v>
      </c>
      <c r="Z52" s="688" t="s">
        <v>830</v>
      </c>
      <c r="AA52" s="689" t="s">
        <v>831</v>
      </c>
      <c r="AB52" s="688">
        <v>55240</v>
      </c>
      <c r="AC52" s="683"/>
      <c r="AD52" s="683"/>
      <c r="AE52" s="683"/>
      <c r="AF52" s="684"/>
      <c r="AI52" s="83"/>
      <c r="AJ52" s="83"/>
    </row>
    <row r="53" spans="1:36" ht="18.600000000000001" customHeight="1" x14ac:dyDescent="0.3">
      <c r="A53" s="83"/>
      <c r="B53" s="103"/>
      <c r="C53" s="157"/>
      <c r="F53" s="84"/>
      <c r="G53" s="291"/>
      <c r="H53" s="157"/>
      <c r="I53" s="157"/>
      <c r="J53" s="157"/>
      <c r="K53" s="468"/>
      <c r="L53" s="310"/>
      <c r="M53" s="287"/>
      <c r="N53" s="157"/>
      <c r="W53" s="681"/>
      <c r="X53" s="690" t="s">
        <v>832</v>
      </c>
      <c r="Y53" s="691">
        <v>342.67036765916203</v>
      </c>
      <c r="Z53" s="692" t="s">
        <v>810</v>
      </c>
      <c r="AA53" s="689" t="s">
        <v>833</v>
      </c>
      <c r="AB53" s="692">
        <v>0.7</v>
      </c>
      <c r="AC53" s="683"/>
      <c r="AD53" s="683"/>
      <c r="AE53" s="683"/>
      <c r="AF53" s="684"/>
      <c r="AI53" s="83"/>
      <c r="AJ53" s="83"/>
    </row>
    <row r="54" spans="1:36" ht="18.600000000000001" customHeight="1" x14ac:dyDescent="0.3">
      <c r="A54" s="83"/>
      <c r="B54" s="103"/>
      <c r="C54" s="157"/>
      <c r="F54" s="84"/>
      <c r="G54" s="291"/>
      <c r="H54" s="157"/>
      <c r="I54" s="157"/>
      <c r="J54" s="157"/>
      <c r="K54" s="468"/>
      <c r="L54" s="310"/>
      <c r="M54" s="287"/>
      <c r="N54" s="157"/>
      <c r="W54" s="681"/>
      <c r="X54" s="690" t="s">
        <v>834</v>
      </c>
      <c r="Y54" s="693">
        <f>'Plant Overview'!F15*1000/Y53</f>
        <v>423.14718074550473</v>
      </c>
      <c r="Z54" s="692" t="s">
        <v>817</v>
      </c>
      <c r="AA54" s="689" t="s">
        <v>835</v>
      </c>
      <c r="AB54" s="692">
        <v>0.34</v>
      </c>
      <c r="AC54" s="683"/>
      <c r="AD54" s="683"/>
      <c r="AE54" s="683"/>
      <c r="AF54" s="684"/>
      <c r="AI54" s="83"/>
      <c r="AJ54" s="83"/>
    </row>
    <row r="55" spans="1:36" ht="18.600000000000001" customHeight="1" x14ac:dyDescent="0.3">
      <c r="A55" s="83"/>
      <c r="B55" s="103"/>
      <c r="C55" s="157"/>
      <c r="F55" s="84"/>
      <c r="G55" s="291"/>
      <c r="H55" s="157"/>
      <c r="I55" s="157"/>
      <c r="J55" s="157"/>
      <c r="K55" s="468"/>
      <c r="L55" s="310"/>
      <c r="M55" s="287"/>
      <c r="N55" s="157"/>
      <c r="W55" s="681"/>
      <c r="X55" s="690" t="s">
        <v>836</v>
      </c>
      <c r="Y55" s="694">
        <v>13.3</v>
      </c>
      <c r="Z55" s="692" t="s">
        <v>837</v>
      </c>
      <c r="AA55" s="689" t="s">
        <v>838</v>
      </c>
      <c r="AB55" s="695">
        <v>0.1</v>
      </c>
      <c r="AC55" s="683"/>
      <c r="AD55" s="683"/>
      <c r="AE55" s="683"/>
      <c r="AF55" s="684"/>
      <c r="AI55" s="83"/>
      <c r="AJ55" s="83"/>
    </row>
    <row r="56" spans="1:36" ht="18.600000000000001" customHeight="1" x14ac:dyDescent="0.3">
      <c r="A56" s="83"/>
      <c r="B56" s="103"/>
      <c r="C56" s="157"/>
      <c r="F56" s="84"/>
      <c r="G56" s="291"/>
      <c r="H56" s="157"/>
      <c r="I56" s="157"/>
      <c r="J56" s="157"/>
      <c r="K56" s="468"/>
      <c r="L56" s="310"/>
      <c r="M56" s="287"/>
      <c r="N56" s="157"/>
      <c r="W56" s="681"/>
      <c r="X56" s="696" t="s">
        <v>839</v>
      </c>
      <c r="Y56" s="697">
        <f>+IF(AB56="yes",0.08,0)</f>
        <v>0</v>
      </c>
      <c r="Z56" s="692" t="s">
        <v>451</v>
      </c>
      <c r="AA56" s="698" t="s">
        <v>840</v>
      </c>
      <c r="AB56" s="688" t="s">
        <v>841</v>
      </c>
      <c r="AC56" s="683"/>
      <c r="AD56" s="683"/>
      <c r="AE56" s="683"/>
      <c r="AF56" s="684"/>
      <c r="AI56" s="83"/>
      <c r="AJ56" s="83"/>
    </row>
    <row r="57" spans="1:36" ht="18.600000000000001" customHeight="1" x14ac:dyDescent="0.3">
      <c r="A57" s="83"/>
      <c r="B57" s="103"/>
      <c r="C57" s="157"/>
      <c r="D57" s="157"/>
      <c r="E57" s="157"/>
      <c r="F57" s="287"/>
      <c r="G57" s="291"/>
      <c r="H57" s="157"/>
      <c r="I57" s="157"/>
      <c r="J57" s="157"/>
      <c r="K57" s="468"/>
      <c r="L57" s="310"/>
      <c r="M57" s="287"/>
      <c r="N57" s="157"/>
      <c r="W57" s="699"/>
      <c r="X57" s="696" t="s">
        <v>842</v>
      </c>
      <c r="Y57" s="697">
        <v>0</v>
      </c>
      <c r="Z57" s="695" t="s">
        <v>451</v>
      </c>
      <c r="AA57" s="698" t="s">
        <v>843</v>
      </c>
      <c r="AB57" s="695" t="s">
        <v>841</v>
      </c>
      <c r="AC57" s="700"/>
      <c r="AD57" s="700"/>
      <c r="AE57" s="700"/>
      <c r="AF57" s="701"/>
      <c r="AI57" s="83"/>
      <c r="AJ57" s="83"/>
    </row>
    <row r="58" spans="1:36" ht="18.600000000000001" customHeight="1" x14ac:dyDescent="0.3">
      <c r="A58" s="83"/>
      <c r="B58" s="103"/>
      <c r="C58" s="157"/>
      <c r="D58" s="157"/>
      <c r="E58" s="157"/>
      <c r="F58" s="287"/>
      <c r="G58" s="291"/>
      <c r="H58" s="157"/>
      <c r="I58" s="157"/>
      <c r="J58" s="157"/>
      <c r="K58" s="468"/>
      <c r="L58" s="310"/>
      <c r="M58" s="287"/>
      <c r="N58" s="157"/>
      <c r="W58" s="699"/>
      <c r="X58" s="696" t="s">
        <v>844</v>
      </c>
      <c r="Y58" s="702">
        <v>1.68</v>
      </c>
      <c r="Z58" s="700"/>
      <c r="AA58" s="700"/>
      <c r="AB58" s="700"/>
      <c r="AC58" s="700"/>
      <c r="AD58" s="700"/>
      <c r="AE58" s="700"/>
      <c r="AF58" s="701"/>
      <c r="AI58" s="83"/>
      <c r="AJ58" s="83"/>
    </row>
    <row r="59" spans="1:36" ht="18.600000000000001" customHeight="1" x14ac:dyDescent="0.3">
      <c r="A59" s="83"/>
      <c r="B59" s="103"/>
      <c r="C59" s="157"/>
      <c r="D59" s="157"/>
      <c r="E59" s="157"/>
      <c r="F59" s="287"/>
      <c r="G59" s="291"/>
      <c r="H59" s="157"/>
      <c r="I59" s="157"/>
      <c r="J59" s="157"/>
      <c r="K59" s="468"/>
      <c r="L59" s="310"/>
      <c r="M59" s="287"/>
      <c r="N59" s="157"/>
      <c r="W59" s="703"/>
      <c r="X59" s="704"/>
      <c r="Y59" s="705"/>
      <c r="Z59" s="705"/>
      <c r="AA59" s="705"/>
      <c r="AB59" s="705"/>
      <c r="AC59" s="705"/>
      <c r="AD59" s="705"/>
      <c r="AE59" s="705"/>
      <c r="AF59" s="706"/>
      <c r="AI59" s="83"/>
      <c r="AJ59" s="83"/>
    </row>
    <row r="60" spans="1:36" ht="18.600000000000001" customHeight="1" x14ac:dyDescent="0.3">
      <c r="A60" s="83"/>
      <c r="B60" s="103"/>
      <c r="C60" s="157"/>
      <c r="D60" s="157"/>
      <c r="E60" s="157"/>
      <c r="F60" s="287"/>
      <c r="G60" s="291"/>
      <c r="H60" s="157"/>
      <c r="I60" s="157"/>
      <c r="J60" s="157"/>
      <c r="K60" s="468"/>
      <c r="L60" s="310"/>
      <c r="M60" s="287"/>
      <c r="N60" s="157"/>
      <c r="AI60" s="83"/>
      <c r="AJ60" s="83"/>
    </row>
    <row r="61" spans="1:36" ht="18.600000000000001" customHeight="1" x14ac:dyDescent="0.3">
      <c r="A61" s="83"/>
      <c r="B61" s="103"/>
      <c r="C61" s="157"/>
      <c r="D61" s="157"/>
      <c r="E61" s="157"/>
      <c r="F61" s="287"/>
      <c r="G61" s="291"/>
      <c r="H61" s="157"/>
      <c r="I61" s="157"/>
      <c r="J61" s="157"/>
      <c r="K61" s="468"/>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68"/>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68"/>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36" t="s">
        <v>737</v>
      </c>
      <c r="C64" s="837"/>
      <c r="D64" s="837"/>
      <c r="E64" s="837"/>
      <c r="F64" s="838"/>
      <c r="G64" s="88" t="s">
        <v>678</v>
      </c>
      <c r="H64" s="88" t="s">
        <v>359</v>
      </c>
      <c r="I64" s="842" t="s">
        <v>573</v>
      </c>
      <c r="J64" s="842"/>
      <c r="K64" s="468"/>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39"/>
      <c r="C65" s="840"/>
      <c r="D65" s="840"/>
      <c r="E65" s="840"/>
      <c r="F65" s="841"/>
      <c r="G65" s="488"/>
      <c r="H65" s="488"/>
      <c r="I65" s="843"/>
      <c r="J65" s="844"/>
      <c r="K65" s="469"/>
      <c r="L65" s="470"/>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78"/>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78"/>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9">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W39:AF39"/>
    <mergeCell ref="L42:M42"/>
    <mergeCell ref="L43:M43"/>
    <mergeCell ref="L44:M44"/>
    <mergeCell ref="B64:F65"/>
    <mergeCell ref="I64:J64"/>
    <mergeCell ref="I65:J65"/>
  </mergeCells>
  <dataValidations count="5">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 type="list" allowBlank="1" showInputMessage="1" showErrorMessage="1" sqref="AB56:AB57" xr:uid="{B1D8081D-5C0A-49AD-B8C0-A682AAFA1BB6}">
      <formula1>"yes,no"</formula1>
    </dataValidation>
  </dataValidations>
  <pageMargins left="0.7" right="0.7" top="0.75" bottom="0.75" header="0.3" footer="0.3"/>
  <pageSetup paperSize="9" orientation="portrait" verticalDpi="0" r:id="rId1"/>
  <ignoredErrors>
    <ignoredError sqref="S1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10" zoomScale="55" zoomScaleNormal="55" workbookViewId="0">
      <selection activeCell="Y46" sqref="Y4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804" t="s">
        <v>786</v>
      </c>
      <c r="D3" s="805"/>
      <c r="E3" s="805"/>
      <c r="F3" s="805"/>
      <c r="G3" s="804" t="s">
        <v>229</v>
      </c>
      <c r="H3" s="806"/>
      <c r="J3" s="804" t="s">
        <v>660</v>
      </c>
      <c r="K3" s="805"/>
      <c r="L3" s="805"/>
      <c r="M3" s="806"/>
      <c r="N3" s="181"/>
      <c r="O3" s="804" t="str">
        <f>+E6</f>
        <v>Steam Cycle</v>
      </c>
      <c r="P3" s="805"/>
      <c r="Q3" s="805"/>
      <c r="R3" s="805"/>
      <c r="S3" s="806"/>
      <c r="T3" s="104"/>
      <c r="U3" s="104"/>
      <c r="V3" s="83"/>
      <c r="W3" s="845" t="str">
        <f>+E6&amp;" Diagram"</f>
        <v>Steam Cycle Diagram</v>
      </c>
      <c r="X3" s="846"/>
      <c r="Y3" s="846"/>
      <c r="Z3" s="846"/>
      <c r="AA3" s="846"/>
      <c r="AB3" s="846"/>
      <c r="AC3" s="846"/>
      <c r="AD3" s="846"/>
      <c r="AE3" s="846"/>
      <c r="AF3" s="846"/>
      <c r="AG3" s="846"/>
      <c r="AH3" s="846"/>
      <c r="AI3" s="846"/>
      <c r="AJ3" s="846"/>
      <c r="AK3" s="846"/>
      <c r="AL3" s="846"/>
      <c r="AM3" s="846"/>
      <c r="AN3" s="847"/>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807" t="s">
        <v>265</v>
      </c>
      <c r="E5" s="808"/>
      <c r="F5" s="83"/>
      <c r="G5" s="807" t="s">
        <v>267</v>
      </c>
      <c r="H5" s="808"/>
      <c r="J5" s="866"/>
      <c r="K5" s="867"/>
      <c r="L5" s="185" t="s">
        <v>463</v>
      </c>
      <c r="M5" s="186" t="s">
        <v>498</v>
      </c>
      <c r="N5" s="394"/>
      <c r="O5" s="648" t="s">
        <v>229</v>
      </c>
      <c r="P5" s="590" t="s">
        <v>269</v>
      </c>
      <c r="Q5" s="728" t="s">
        <v>573</v>
      </c>
      <c r="R5" s="729"/>
      <c r="S5" s="730"/>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850" t="s">
        <v>489</v>
      </c>
      <c r="D6" s="234" t="s">
        <v>670</v>
      </c>
      <c r="E6" s="408" t="str">
        <f>+'Plant Overview'!V38</f>
        <v>Steam Cycle</v>
      </c>
      <c r="F6" s="83"/>
      <c r="G6" s="85"/>
      <c r="H6" s="314" t="s">
        <v>262</v>
      </c>
      <c r="J6" s="868"/>
      <c r="K6" s="869"/>
      <c r="L6" s="166" t="s">
        <v>464</v>
      </c>
      <c r="M6" s="86" t="s">
        <v>497</v>
      </c>
      <c r="N6" s="394"/>
      <c r="O6" s="648" t="s">
        <v>348</v>
      </c>
      <c r="P6" s="465" t="s">
        <v>156</v>
      </c>
      <c r="Q6" s="482"/>
      <c r="R6" s="394"/>
      <c r="S6" s="483"/>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851"/>
      <c r="D7" s="234" t="s">
        <v>669</v>
      </c>
      <c r="E7" s="408" t="str">
        <f>+'Plant Overview'!W38</f>
        <v>U-200</v>
      </c>
      <c r="F7" s="83"/>
      <c r="G7" s="95"/>
      <c r="H7" s="314" t="s">
        <v>263</v>
      </c>
      <c r="J7" s="868"/>
      <c r="K7" s="869"/>
      <c r="L7" s="185" t="s">
        <v>458</v>
      </c>
      <c r="M7" s="186" t="s">
        <v>496</v>
      </c>
      <c r="N7" s="394"/>
      <c r="O7" s="649" t="s">
        <v>571</v>
      </c>
      <c r="P7" s="650" t="s">
        <v>572</v>
      </c>
      <c r="Q7" s="482"/>
      <c r="R7" s="394"/>
      <c r="S7" s="483"/>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818"/>
      <c r="D8" s="880" t="s">
        <v>312</v>
      </c>
      <c r="E8" s="855"/>
      <c r="F8" s="83"/>
      <c r="G8" s="94"/>
      <c r="H8" s="98" t="s">
        <v>264</v>
      </c>
      <c r="J8" s="868"/>
      <c r="K8" s="869"/>
      <c r="L8" s="185" t="s">
        <v>459</v>
      </c>
      <c r="M8" s="186" t="s">
        <v>494</v>
      </c>
      <c r="N8" s="394"/>
      <c r="O8" s="882"/>
      <c r="P8" s="882"/>
      <c r="Q8" s="482"/>
      <c r="R8" s="394"/>
      <c r="S8" s="483"/>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819"/>
      <c r="D9" s="881"/>
      <c r="E9" s="856"/>
      <c r="F9" s="83"/>
      <c r="G9" s="108"/>
      <c r="H9" s="300" t="s">
        <v>268</v>
      </c>
      <c r="J9" s="870"/>
      <c r="K9" s="871"/>
      <c r="L9" s="185" t="s">
        <v>460</v>
      </c>
      <c r="M9" s="186" t="s">
        <v>495</v>
      </c>
      <c r="N9" s="394"/>
      <c r="O9" s="883"/>
      <c r="P9" s="883"/>
      <c r="Q9" s="484"/>
      <c r="R9" s="485"/>
      <c r="S9" s="486"/>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804" t="s">
        <v>565</v>
      </c>
      <c r="E11" s="805"/>
      <c r="F11" s="805"/>
      <c r="G11" s="805"/>
      <c r="H11" s="805"/>
      <c r="I11" s="805"/>
      <c r="J11" s="805"/>
      <c r="K11" s="805"/>
      <c r="L11" s="806"/>
      <c r="M11" s="804" t="s">
        <v>574</v>
      </c>
      <c r="N11" s="805"/>
      <c r="O11" s="805"/>
      <c r="P11" s="805"/>
      <c r="Q11" s="805"/>
      <c r="R11" s="806"/>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58" t="s">
        <v>229</v>
      </c>
      <c r="E12" s="558" t="s">
        <v>348</v>
      </c>
      <c r="F12" s="416" t="s">
        <v>234</v>
      </c>
      <c r="G12" s="416" t="s">
        <v>469</v>
      </c>
      <c r="H12" s="417" t="s">
        <v>235</v>
      </c>
      <c r="I12" s="558" t="s">
        <v>236</v>
      </c>
      <c r="J12" s="555" t="s">
        <v>341</v>
      </c>
      <c r="K12" s="416" t="s">
        <v>340</v>
      </c>
      <c r="L12" s="416" t="s">
        <v>528</v>
      </c>
      <c r="M12" s="419" t="s">
        <v>230</v>
      </c>
      <c r="N12" s="419" t="s">
        <v>231</v>
      </c>
      <c r="O12" s="419" t="s">
        <v>232</v>
      </c>
      <c r="P12" s="419" t="s">
        <v>225</v>
      </c>
      <c r="Q12" s="419" t="s">
        <v>233</v>
      </c>
      <c r="R12" s="418" t="s">
        <v>266</v>
      </c>
      <c r="S12" s="419" t="s">
        <v>653</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t="s">
        <v>867</v>
      </c>
      <c r="D13" s="203" t="s">
        <v>148</v>
      </c>
      <c r="E13" s="203" t="s">
        <v>24</v>
      </c>
      <c r="F13" s="156">
        <v>35734.138062441503</v>
      </c>
      <c r="G13" s="96" t="s">
        <v>354</v>
      </c>
      <c r="H13" s="96" t="s">
        <v>467</v>
      </c>
      <c r="I13" s="96" t="s">
        <v>87</v>
      </c>
      <c r="J13" s="96" t="str">
        <f>+IF(F13&gt;'Equipment Data'!$M$210,"yes","No")</f>
        <v>yes</v>
      </c>
      <c r="K13" s="96">
        <v>0.67</v>
      </c>
      <c r="L13" s="96" t="s">
        <v>354</v>
      </c>
      <c r="M13" s="153">
        <f>+IF(AND(D13="Turbine",E13="Axial"),IF(F13&lt;'Equipment Data'!$M$210,10^('Equipment Data'!$C$210+'Equipment Data'!$D$210*LOG10(F13)+'Equipment Data'!$E$210*LOG10(F13)*LOG10(F13)),10^('Equipment Data'!$C$210+'Equipment Data'!$D$210*LOG10('Equipment Data'!$M$210)+'Equipment Data'!$E$210*LOG10('Equipment Data'!$M$210)*LOG10('Equipment Data'!$M$210))*(F13/'Equipment Data'!$M$210)^K13),"N/A")</f>
        <v>1675717.0708971994</v>
      </c>
      <c r="N13" s="96" t="s">
        <v>354</v>
      </c>
      <c r="O13" s="96" t="s">
        <v>354</v>
      </c>
      <c r="P13" s="96">
        <f>+IF(I13="Cl",'Equipment Data'!$F$210,IF(I13="CS",'Equipment Data'!$G$210,IF(I13="Cu",'Equipment Data'!$H$210,IF(I13="SS",'Equipment Data'!$I$210,IF(I13="Ni",'Equipment Data'!$J$210,IF(I13="Ti",'Equipment Data'!$K$210,"N/A"))))))</f>
        <v>6.13</v>
      </c>
      <c r="Q13" s="150">
        <f>+M13*P13</f>
        <v>10272145.644599833</v>
      </c>
      <c r="R13" s="148">
        <v>1</v>
      </c>
      <c r="S13" s="188">
        <f>+IF(Tabla258790120135[[#This Row],[Equipment]]="","",Q13*R13/10^6)</f>
        <v>10.272145644599833</v>
      </c>
      <c r="T13" s="573">
        <f ca="1">+$S$52/$R$52*S13</f>
        <v>22.70183738521111</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t="s">
        <v>868</v>
      </c>
      <c r="D14" s="203" t="s">
        <v>148</v>
      </c>
      <c r="E14" s="203" t="s">
        <v>24</v>
      </c>
      <c r="F14" s="156">
        <v>41668.067185242697</v>
      </c>
      <c r="G14" s="96" t="s">
        <v>354</v>
      </c>
      <c r="H14" s="96" t="s">
        <v>467</v>
      </c>
      <c r="I14" s="96" t="s">
        <v>87</v>
      </c>
      <c r="J14" s="96" t="str">
        <f>+IF(F14&gt;'Equipment Data'!$M$210,"yes","No")</f>
        <v>yes</v>
      </c>
      <c r="K14" s="96">
        <v>0.67</v>
      </c>
      <c r="L14" s="96" t="s">
        <v>354</v>
      </c>
      <c r="M14" s="153">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1857390.0893137697</v>
      </c>
      <c r="N14" s="96" t="s">
        <v>354</v>
      </c>
      <c r="O14" s="96" t="s">
        <v>354</v>
      </c>
      <c r="P14" s="96">
        <f>+IF(I14="Cl",'Equipment Data'!$F$210,IF(I14="CS",'Equipment Data'!$G$210,IF(I14="Cu",'Equipment Data'!$H$210,IF(I14="SS",'Equipment Data'!$I$210,IF(I14="Ni",'Equipment Data'!$J$210,IF(I14="Ti",'Equipment Data'!$K$210,"N/A"))))))</f>
        <v>6.13</v>
      </c>
      <c r="Q14" s="150">
        <f>+M14*P14</f>
        <v>11385801.247493409</v>
      </c>
      <c r="R14" s="97">
        <v>1</v>
      </c>
      <c r="S14" s="188">
        <f>+IF(Tabla258790120135[[#This Row],[Equipment]]="","",Q14*R14/10^6)</f>
        <v>11.385801247493408</v>
      </c>
      <c r="T14" s="573">
        <f t="shared" ref="T14:T43" ca="1" si="0">+$S$52/$R$52*S14</f>
        <v>25.163059146928457</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t="s">
        <v>862</v>
      </c>
      <c r="D15" s="203" t="s">
        <v>252</v>
      </c>
      <c r="E15" s="203" t="s">
        <v>117</v>
      </c>
      <c r="F15" s="156">
        <v>19641.349184897939</v>
      </c>
      <c r="G15" s="96">
        <v>0.04</v>
      </c>
      <c r="H15" s="96" t="s">
        <v>352</v>
      </c>
      <c r="I15" s="96" t="s">
        <v>468</v>
      </c>
      <c r="J15" s="96" t="str">
        <f>+IF(F15&gt;'Equipment Data'!$L$126,"yes","No")</f>
        <v>yes</v>
      </c>
      <c r="K15" s="96">
        <v>0.67</v>
      </c>
      <c r="L15" s="96" t="s">
        <v>523</v>
      </c>
      <c r="M15" s="153">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565880.56976720016</v>
      </c>
      <c r="N15" s="149">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96">
        <f>+IF(I15="CS/CS",'Equipment Data'!$C$149,IF(I15="CS/Cu",'Equipment Data'!$D$149,IF(I15="Cu/Cu",'Equipment Data'!$E$149,IF(I15="CS/SS",'Equipment Data'!$F$149,IF(I15="SS/SS",'Equipment Data'!$G$149,IF(I15="CS/Ni",'Equipment Data'!$H$149,IF(I15="Ni/Ni",'Equipment Data'!$I$149,IF(I15="CS/Ti",'Equipment Data'!$J$149,IF(I15="Ti/Ti",'Equipment Data'!$K$149,"N/A")))))))))</f>
        <v>1.81</v>
      </c>
      <c r="P15" s="149">
        <f>+'Equipment Data'!$I$126+'Equipment Data'!$J$126*N15*O15</f>
        <v>4.6345999999999998</v>
      </c>
      <c r="Q15" s="150">
        <f t="shared" ref="Q15" si="1">+M15*P15</f>
        <v>2622630.0886430657</v>
      </c>
      <c r="R15" s="97">
        <v>1</v>
      </c>
      <c r="S15" s="188">
        <f>+IF(Tabla258790120135[[#This Row],[Equipment]]="","",Q15*R15/10^6)</f>
        <v>2.6226300886430658</v>
      </c>
      <c r="T15" s="573">
        <f t="shared" ca="1" si="0"/>
        <v>5.7961134755947175</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t="s">
        <v>863</v>
      </c>
      <c r="D16" s="203" t="s">
        <v>269</v>
      </c>
      <c r="E16" s="203" t="s">
        <v>156</v>
      </c>
      <c r="F16" s="96">
        <v>589.9</v>
      </c>
      <c r="G16" s="96">
        <v>80</v>
      </c>
      <c r="H16" s="96" t="s">
        <v>467</v>
      </c>
      <c r="I16" s="96" t="s">
        <v>85</v>
      </c>
      <c r="J16" s="96" t="str">
        <f>+IF(F16&gt;'Equipment Data'!$S$179,"yes","No")</f>
        <v>yes</v>
      </c>
      <c r="K16" s="96">
        <v>0.67</v>
      </c>
      <c r="L16" s="96" t="s">
        <v>354</v>
      </c>
      <c r="M16" s="153">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45968.542445623993</v>
      </c>
      <c r="N16" s="156">
        <f>+IF(G16-1.01325&gt;10,10^('Equipment Data'!$F$179+'Equipment Data'!$G$179*LOG10(G16-1.01325)+'Equipment Data'!$H$179*LOG10(G16-1.01325)*LOG10(G16-1.01325)),1)</f>
        <v>2.2347276640958103</v>
      </c>
      <c r="O16" s="96">
        <f>+IF(I16="Cl",'Equipment Data'!$K$179,IF(I16="CS",'Equipment Data'!$L$179,IF(I16="Cu",'Equipment Data'!$M$179,IF(I16="SS",'Equipment Data'!$N$179,IF(I16="Ni",'Equipment Data'!$O$179,IF(I16="Ti",'Equipment Data'!$P$179,"N/A"))))))</f>
        <v>1.55</v>
      </c>
      <c r="P16" s="96">
        <f>+'Equipment Data'!$I$179+'Equipment Data'!$J$179*O16*N16</f>
        <v>6.5661676371204836</v>
      </c>
      <c r="Q16" s="150">
        <f>+P16*M16</f>
        <v>301837.15573205554</v>
      </c>
      <c r="R16" s="97">
        <v>1</v>
      </c>
      <c r="S16" s="188">
        <f>+IF(Tabla258790120135[[#This Row],[Equipment]]="","",Q16*R16/10^6)</f>
        <v>0.30183715573205555</v>
      </c>
      <c r="T16" s="573">
        <f t="shared" ca="1" si="0"/>
        <v>0.66707173586913315</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t="s">
        <v>864</v>
      </c>
      <c r="D17" s="203" t="s">
        <v>269</v>
      </c>
      <c r="E17" s="203" t="s">
        <v>156</v>
      </c>
      <c r="F17" s="96">
        <v>42</v>
      </c>
      <c r="G17" s="96">
        <v>46.49</v>
      </c>
      <c r="H17" s="96" t="s">
        <v>467</v>
      </c>
      <c r="I17" s="96" t="s">
        <v>85</v>
      </c>
      <c r="J17" s="96" t="str">
        <f>+IF(F17&gt;'Equipment Data'!$S$179,"yes","No")</f>
        <v>No</v>
      </c>
      <c r="K17" s="96">
        <v>0.67</v>
      </c>
      <c r="L17" s="96" t="s">
        <v>354</v>
      </c>
      <c r="M17" s="153">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7611.3144785742661</v>
      </c>
      <c r="N17" s="156">
        <f>+IF(G17-1.01325&gt;10,10^('Equipment Data'!$F$179+'Equipment Data'!$G$179*LOG10(G17-1.01325)+'Equipment Data'!$H$179*LOG10(G17-1.01325)*LOG10(G17-1.01325)),1)</f>
        <v>1.8041647487423254</v>
      </c>
      <c r="O17" s="96">
        <f>+IF(I17="Cl",'Equipment Data'!$K$179,IF(I17="CS",'Equipment Data'!$L$179,IF(I17="Cu",'Equipment Data'!$M$179,IF(I17="SS",'Equipment Data'!$N$179,IF(I17="Ni",'Equipment Data'!$O$179,IF(I17="Ti",'Equipment Data'!$P$179,"N/A"))))))</f>
        <v>1.55</v>
      </c>
      <c r="P17" s="96">
        <f>+'Equipment Data'!$I$179+'Equipment Data'!$J$179*O17*N17</f>
        <v>5.6652147367433159</v>
      </c>
      <c r="Q17" s="150">
        <f>+P17*M17</f>
        <v>43119.730950006699</v>
      </c>
      <c r="R17" s="97">
        <v>1</v>
      </c>
      <c r="S17" s="188">
        <f>+IF(Tabla258790120135[[#This Row],[Equipment]]="","",Q17*R17/10^6)</f>
        <v>4.31197309500067E-2</v>
      </c>
      <c r="T17" s="573">
        <f t="shared" ca="1" si="0"/>
        <v>9.5296265647841785E-2</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t="s">
        <v>865</v>
      </c>
      <c r="D18" s="203" t="s">
        <v>269</v>
      </c>
      <c r="E18" s="203" t="s">
        <v>156</v>
      </c>
      <c r="F18" s="96">
        <v>92.2</v>
      </c>
      <c r="G18" s="96">
        <v>246.6</v>
      </c>
      <c r="H18" s="96" t="s">
        <v>467</v>
      </c>
      <c r="I18" s="96" t="s">
        <v>85</v>
      </c>
      <c r="J18" s="96" t="str">
        <f>+IF(F18&gt;'Equipment Data'!$S$179,"yes","No")</f>
        <v>No</v>
      </c>
      <c r="K18" s="96">
        <v>0.67</v>
      </c>
      <c r="L18" s="96" t="s">
        <v>354</v>
      </c>
      <c r="M18" s="153">
        <f>+IF(AND(D18="Pump",E18="Centrifugal pump"),IF(F18&lt;'Equipment Data'!$S$179,10^('Equipment Data'!$C$179+'Equipment Data'!$D$179*LOG10(F18)+'Equipment Data'!$E$179*LOG10(F18)*LOG10(F18)),10^('Equipment Data'!$C$179+'Equipment Data'!$D$179*LOG10('Equipment Data'!$S$179)+'Equipment Data'!$E$179*LOG10('Equipment Data'!$S$179)*LOG10('Equipment Data'!$S$179))*(F18/'Equipment Data'!$S$179)^K18),"N/A")</f>
        <v>12251.897449793802</v>
      </c>
      <c r="N18" s="156">
        <f>+IF(G18-1.01325&gt;10,10^('Equipment Data'!$F$179+'Equipment Data'!$G$179*LOG10(G18-1.01325)+'Equipment Data'!$H$179*LOG10(G18-1.01325)*LOG10(G18-1.01325)),1)</f>
        <v>3.462521921269198</v>
      </c>
      <c r="O18" s="96">
        <f>+IF(I18="Cl",'Equipment Data'!$K$179,IF(I18="CS",'Equipment Data'!$L$179,IF(I18="Cu",'Equipment Data'!$M$179,IF(I18="SS",'Equipment Data'!$N$179,IF(I18="Ni",'Equipment Data'!$O$179,IF(I18="Ti",'Equipment Data'!$P$179,"N/A"))))))</f>
        <v>1.55</v>
      </c>
      <c r="P18" s="96">
        <f>+'Equipment Data'!$I$179+'Equipment Data'!$J$179*O18*N18</f>
        <v>9.1353271202557984</v>
      </c>
      <c r="Q18" s="150">
        <f>+P18*M18</f>
        <v>111925.09104769416</v>
      </c>
      <c r="R18" s="97">
        <v>1</v>
      </c>
      <c r="S18" s="188">
        <f>+IF(Tabla258790120135[[#This Row],[Equipment]]="","",Q18*R18/10^6)</f>
        <v>0.11192509104769416</v>
      </c>
      <c r="T18" s="573">
        <f t="shared" ca="1" si="0"/>
        <v>0.24735876069139257</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t="s">
        <v>866</v>
      </c>
      <c r="D19" s="203" t="s">
        <v>269</v>
      </c>
      <c r="E19" s="203" t="s">
        <v>156</v>
      </c>
      <c r="F19" s="96">
        <v>8</v>
      </c>
      <c r="G19" s="96">
        <v>6.6319999999999997</v>
      </c>
      <c r="H19" s="96" t="s">
        <v>467</v>
      </c>
      <c r="I19" s="96" t="s">
        <v>85</v>
      </c>
      <c r="J19" s="96" t="str">
        <f>+IF(F19&gt;'Equipment Data'!$S$179,"yes","No")</f>
        <v>No</v>
      </c>
      <c r="K19" s="96">
        <v>0.67</v>
      </c>
      <c r="L19" s="96" t="s">
        <v>354</v>
      </c>
      <c r="M19" s="153">
        <f>+IF(AND(D19="Pump",E19="Centrifugal pump"),IF(F19&lt;'Equipment Data'!$S$179,10^('Equipment Data'!$C$179+'Equipment Data'!$D$179*LOG10(F19)+'Equipment Data'!$E$179*LOG10(F19)*LOG10(F19)),10^('Equipment Data'!$C$179+'Equipment Data'!$D$179*LOG10('Equipment Data'!$S$179)+'Equipment Data'!$E$179*LOG10('Equipment Data'!$S$179)*LOG10('Equipment Data'!$S$179))*(F19/'Equipment Data'!$S$179)^K19),"N/A")</f>
        <v>3656.2890666021462</v>
      </c>
      <c r="N19" s="156">
        <f>+IF(G19-1.01325&gt;10,10^('Equipment Data'!$F$179+'Equipment Data'!$G$179*LOG10(G19-1.01325)+'Equipment Data'!$H$179*LOG10(G19-1.01325)*LOG10(G19-1.01325)),1)</f>
        <v>1</v>
      </c>
      <c r="O19" s="96">
        <f>+IF(I19="Cl",'Equipment Data'!$K$179,IF(I19="CS",'Equipment Data'!$L$179,IF(I19="Cu",'Equipment Data'!$M$179,IF(I19="SS",'Equipment Data'!$N$179,IF(I19="Ni",'Equipment Data'!$O$179,IF(I19="Ti",'Equipment Data'!$P$179,"N/A"))))))</f>
        <v>1.55</v>
      </c>
      <c r="P19" s="96">
        <f>+'Equipment Data'!$I$179+'Equipment Data'!$J$179*O19*N19</f>
        <v>3.9824999999999999</v>
      </c>
      <c r="Q19" s="150">
        <f>+P19*M19</f>
        <v>14561.171207743047</v>
      </c>
      <c r="R19" s="97">
        <v>1</v>
      </c>
      <c r="S19" s="188">
        <f>+IF(Tabla258790120135[[#This Row],[Equipment]]="","",Q19*R19/10^6)</f>
        <v>1.4561171207743048E-2</v>
      </c>
      <c r="T19" s="573">
        <f t="shared" ca="1" si="0"/>
        <v>3.2180749021036528E-2</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7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7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7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7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7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7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7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7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7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7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7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7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7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7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73" t="e">
        <f t="shared" ca="1" si="0"/>
        <v>#VALUE!</v>
      </c>
      <c r="U34" s="83"/>
      <c r="V34" s="112"/>
      <c r="W34" s="798" t="str">
        <f>+E6&amp;" Calculations"</f>
        <v>Steam Cycle Calculations</v>
      </c>
      <c r="X34" s="799"/>
      <c r="Y34" s="799"/>
      <c r="Z34" s="799"/>
      <c r="AA34" s="799"/>
      <c r="AB34" s="799"/>
      <c r="AC34" s="799"/>
      <c r="AD34" s="799"/>
      <c r="AE34" s="799"/>
      <c r="AF34" s="799"/>
      <c r="AG34" s="799"/>
      <c r="AH34" s="799"/>
      <c r="AI34" s="799"/>
      <c r="AJ34" s="799"/>
      <c r="AK34" s="799"/>
      <c r="AL34" s="799"/>
      <c r="AM34" s="799"/>
      <c r="AN34" s="800"/>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73"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73" t="e">
        <f t="shared" ca="1" si="0"/>
        <v>#VALUE!</v>
      </c>
      <c r="U36" s="83"/>
      <c r="V36" s="301"/>
      <c r="W36" s="872" t="s">
        <v>252</v>
      </c>
      <c r="X36" s="859"/>
      <c r="Y36" s="873"/>
      <c r="Z36" s="872" t="s">
        <v>869</v>
      </c>
      <c r="AA36" s="873"/>
      <c r="AB36" s="859" t="s">
        <v>870</v>
      </c>
      <c r="AC36" s="859"/>
      <c r="AD36" s="308" t="s">
        <v>871</v>
      </c>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73" t="e">
        <f t="shared" ca="1" si="0"/>
        <v>#VALUE!</v>
      </c>
      <c r="U37" s="83"/>
      <c r="V37" s="301"/>
      <c r="W37" s="306" t="s">
        <v>350</v>
      </c>
      <c r="X37" s="306" t="s">
        <v>872</v>
      </c>
      <c r="Y37" s="306" t="s">
        <v>873</v>
      </c>
      <c r="Z37" s="710" t="s">
        <v>874</v>
      </c>
      <c r="AA37" s="710" t="s">
        <v>875</v>
      </c>
      <c r="AB37" s="711" t="s">
        <v>874</v>
      </c>
      <c r="AC37" s="712" t="s">
        <v>875</v>
      </c>
      <c r="AD37" s="163" t="s">
        <v>876</v>
      </c>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73" t="e">
        <f t="shared" ca="1" si="0"/>
        <v>#VALUE!</v>
      </c>
      <c r="U38" s="83"/>
      <c r="V38" s="301"/>
      <c r="W38" s="306" t="s">
        <v>862</v>
      </c>
      <c r="X38" s="306">
        <v>81587142.768037602</v>
      </c>
      <c r="Y38" s="299" t="s">
        <v>877</v>
      </c>
      <c r="Z38" s="526" t="s">
        <v>878</v>
      </c>
      <c r="AA38" s="713">
        <f>IF(Z38="Ph. Ch.",$Y$53,IF(Z38="Liquid",$Y$52,$Y$50*Z38^$Y$51))</f>
        <v>5000</v>
      </c>
      <c r="AB38" s="304" t="s">
        <v>879</v>
      </c>
      <c r="AC38" s="714">
        <f>IF(AB38="Ph. Ch.",$Y$53,IF(AB38="Liquid",$Y$52,$Y$50*AB38^$Y$51))</f>
        <v>1500</v>
      </c>
      <c r="AD38" s="715">
        <f>1/(1/AA38+1/AC38)</f>
        <v>1153.8461538461538</v>
      </c>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73" t="e">
        <f t="shared" ca="1" si="0"/>
        <v>#VALUE!</v>
      </c>
      <c r="U39" s="83"/>
      <c r="V39" s="301"/>
      <c r="W39" s="378"/>
      <c r="X39" s="378"/>
      <c r="Y39" s="378"/>
      <c r="Z39" s="716"/>
      <c r="AA39" s="376"/>
      <c r="AB39" s="378"/>
      <c r="AC39" s="717"/>
      <c r="AD39" s="717"/>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73" t="e">
        <f t="shared" ca="1" si="0"/>
        <v>#VALUE!</v>
      </c>
      <c r="U40" s="83"/>
      <c r="V40" s="301"/>
      <c r="W40" s="378"/>
      <c r="X40" s="378"/>
      <c r="Y40" s="378"/>
      <c r="Z40" s="378"/>
      <c r="AA40" s="376"/>
      <c r="AB40" s="378"/>
      <c r="AC40" s="717"/>
      <c r="AD40" s="717"/>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73" t="e">
        <f t="shared" ca="1" si="0"/>
        <v>#VALUE!</v>
      </c>
      <c r="U41" s="83"/>
      <c r="V41" s="301"/>
      <c r="W41" s="378"/>
      <c r="X41" s="378"/>
      <c r="Y41" s="378"/>
      <c r="Z41" s="378"/>
      <c r="AA41" s="376"/>
      <c r="AB41" s="378"/>
      <c r="AC41" s="717"/>
      <c r="AD41" s="717"/>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73" t="e">
        <f t="shared" ca="1" si="0"/>
        <v>#VALUE!</v>
      </c>
      <c r="U42" s="83"/>
      <c r="V42" s="301"/>
      <c r="W42" s="378"/>
      <c r="X42" s="378"/>
      <c r="Y42" s="378"/>
      <c r="Z42" s="378"/>
      <c r="AA42" s="376"/>
      <c r="AB42" s="378"/>
      <c r="AC42" s="717"/>
      <c r="AD42" s="717"/>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73" t="e">
        <f t="shared" ca="1" si="0"/>
        <v>#VALUE!</v>
      </c>
      <c r="U43" s="83"/>
      <c r="V43" s="301"/>
      <c r="W43" s="378"/>
      <c r="X43" s="210"/>
      <c r="Y43" s="210"/>
      <c r="Z43" s="378"/>
      <c r="AA43" s="860"/>
      <c r="AB43" s="860"/>
      <c r="AC43" s="860"/>
      <c r="AD43" s="378"/>
      <c r="AO43" s="104"/>
      <c r="AP43" s="83"/>
      <c r="AQ43" s="209"/>
      <c r="AR43" s="362"/>
    </row>
    <row r="44" spans="1:44" ht="16.2" customHeight="1" x14ac:dyDescent="0.3">
      <c r="A44" s="83"/>
      <c r="B44" s="103"/>
      <c r="C44" s="355"/>
      <c r="D44" s="804" t="s">
        <v>530</v>
      </c>
      <c r="E44" s="805"/>
      <c r="F44" s="805"/>
      <c r="G44" s="805"/>
      <c r="H44" s="805"/>
      <c r="I44" s="805"/>
      <c r="J44" s="805"/>
      <c r="K44" s="805"/>
      <c r="L44" s="805"/>
      <c r="M44" s="805"/>
      <c r="N44" s="805"/>
      <c r="O44" s="805"/>
      <c r="P44" s="805"/>
      <c r="Q44" s="805"/>
      <c r="R44" s="806"/>
      <c r="S44" s="175"/>
      <c r="T44" s="573"/>
      <c r="U44" s="83"/>
      <c r="V44" s="301"/>
      <c r="W44" s="378"/>
      <c r="X44" s="210"/>
      <c r="Y44" s="210"/>
      <c r="Z44" s="378"/>
      <c r="AA44" s="310"/>
      <c r="AB44" s="618"/>
      <c r="AC44" s="96"/>
      <c r="AD44" s="378"/>
      <c r="AO44" s="104"/>
      <c r="AP44" s="83"/>
      <c r="AQ44" s="209"/>
      <c r="AR44" s="362"/>
    </row>
    <row r="45" spans="1:44" ht="16.2" customHeight="1" x14ac:dyDescent="0.3">
      <c r="A45" s="83"/>
      <c r="B45" s="103"/>
      <c r="C45" s="420" t="s">
        <v>575</v>
      </c>
      <c r="D45" s="414" t="s">
        <v>492</v>
      </c>
      <c r="E45" s="414" t="s">
        <v>491</v>
      </c>
      <c r="F45" s="557" t="s">
        <v>457</v>
      </c>
      <c r="G45" s="557" t="s">
        <v>315</v>
      </c>
      <c r="H45" s="557" t="s">
        <v>502</v>
      </c>
      <c r="I45" s="414" t="s">
        <v>499</v>
      </c>
      <c r="J45" s="414" t="s">
        <v>235</v>
      </c>
      <c r="K45" s="414" t="s">
        <v>459</v>
      </c>
      <c r="L45" s="414" t="s">
        <v>460</v>
      </c>
      <c r="M45" s="421" t="s">
        <v>579</v>
      </c>
      <c r="N45" s="422" t="s">
        <v>462</v>
      </c>
      <c r="O45" s="418" t="s">
        <v>461</v>
      </c>
      <c r="P45" s="414" t="s">
        <v>458</v>
      </c>
      <c r="Q45" s="414" t="s">
        <v>464</v>
      </c>
      <c r="R45" s="419" t="s">
        <v>463</v>
      </c>
      <c r="S45" s="419" t="s">
        <v>490</v>
      </c>
      <c r="T45" s="573"/>
      <c r="U45" s="83"/>
      <c r="V45" s="301"/>
      <c r="W45" s="378"/>
      <c r="X45" s="210"/>
      <c r="Y45" s="210"/>
      <c r="Z45" s="378"/>
      <c r="AA45" s="310"/>
      <c r="AB45" s="96"/>
      <c r="AC45" s="96"/>
      <c r="AD45" s="378"/>
      <c r="AO45" s="104"/>
      <c r="AP45" s="83"/>
      <c r="AQ45" s="209"/>
      <c r="AR45" s="362"/>
    </row>
    <row r="46" spans="1:44" ht="16.2" customHeight="1" x14ac:dyDescent="0.3">
      <c r="A46" s="83"/>
      <c r="B46" s="103"/>
      <c r="C46" s="265" t="s">
        <v>849</v>
      </c>
      <c r="D46" s="268" t="s">
        <v>850</v>
      </c>
      <c r="E46" s="269" t="s">
        <v>851</v>
      </c>
      <c r="F46" s="269" t="s">
        <v>450</v>
      </c>
      <c r="G46" s="269">
        <v>2011</v>
      </c>
      <c r="H46" s="269" t="s">
        <v>481</v>
      </c>
      <c r="I46" s="269" t="s">
        <v>852</v>
      </c>
      <c r="J46" s="236" t="s">
        <v>853</v>
      </c>
      <c r="K46" s="269">
        <v>1</v>
      </c>
      <c r="L46" s="269">
        <v>0.67</v>
      </c>
      <c r="M46" s="268">
        <v>1</v>
      </c>
      <c r="N46" s="269">
        <v>12.9</v>
      </c>
      <c r="O46" s="269">
        <v>54.768000000000001</v>
      </c>
      <c r="P46" s="269">
        <v>1</v>
      </c>
      <c r="Q46" s="269">
        <v>5.452</v>
      </c>
      <c r="R46" s="188">
        <f>IF(ISBLANK(Q46),"",(P46/M46)^K46*O46*((Q46/P46)/(N46/M46))^L46)</f>
        <v>30.755599260252019</v>
      </c>
      <c r="S46" s="188" cm="1">
        <f t="array" aca="1" ref="S46" ca="1">IF(ISBLANK(Q46),"",IF(R46&gt;0,R46*INDIRECT(ADDRESS(MATCH(G46,'Cost Conversion'!$B$3:$B$48,0)+2,4,1,1,"Cost conversion"))*INDIRECT(ADDRESS(MATCH(H46,'Cost Conversion'!$F$3:$F$22,0)+2,8,1,1,"Cost conversion"))/IF('Plant Overview'!$E$9="€",IF(F46="$",'Cost Conversion'!$L$2,1),IF('Plant Overview'!$E$9="$",1,1/'Cost Conversion'!$L$2))))</f>
        <v>41.945659363307684</v>
      </c>
      <c r="T46" s="589">
        <f ca="1">+S46</f>
        <v>41.945659363307684</v>
      </c>
      <c r="U46" s="83"/>
      <c r="V46" s="301"/>
      <c r="W46" s="378"/>
      <c r="X46" s="210"/>
      <c r="Y46" s="210"/>
      <c r="Z46" s="378"/>
      <c r="AA46" s="310"/>
      <c r="AB46" s="96"/>
      <c r="AC46" s="96"/>
      <c r="AD46" s="378"/>
      <c r="AO46" s="104"/>
      <c r="AP46" s="83"/>
      <c r="AQ46" s="209"/>
      <c r="AR46" s="362"/>
    </row>
    <row r="47" spans="1:44" ht="16.2" customHeight="1" x14ac:dyDescent="0.3">
      <c r="A47" s="83"/>
      <c r="B47" s="103"/>
      <c r="C47" s="265" t="s">
        <v>854</v>
      </c>
      <c r="D47" s="265" t="s">
        <v>855</v>
      </c>
      <c r="E47" s="96" t="s">
        <v>856</v>
      </c>
      <c r="F47" s="96" t="s">
        <v>480</v>
      </c>
      <c r="G47" s="96">
        <v>2020</v>
      </c>
      <c r="H47" s="96" t="s">
        <v>471</v>
      </c>
      <c r="I47" s="118" t="s">
        <v>857</v>
      </c>
      <c r="J47" s="118" t="s">
        <v>351</v>
      </c>
      <c r="K47" s="96">
        <v>1</v>
      </c>
      <c r="L47" s="96">
        <v>1</v>
      </c>
      <c r="M47" s="265">
        <v>1</v>
      </c>
      <c r="N47" s="96">
        <v>1</v>
      </c>
      <c r="O47" s="96">
        <v>3.1700646282</v>
      </c>
      <c r="P47" s="96">
        <v>1</v>
      </c>
      <c r="Q47" s="96">
        <v>4.1727701414668408</v>
      </c>
      <c r="R47" s="188">
        <f>IF(ISBLANK(Q47),"",(P47/M47)^K47*O47*((Q47/P47)/(N47/M47))^L47)</f>
        <v>13.227951027073143</v>
      </c>
      <c r="S47" s="188" cm="1">
        <f t="array" aca="1" ref="S47" ca="1">IF(ISBLANK(Q47),"",IF(R47&gt;0,R47*INDIRECT(ADDRESS(MATCH(G47,'Cost Conversion'!$B$3:$B$48,0)+2,4,1,1,"Cost conversion"))*INDIRECT(ADDRESS(MATCH(H47,'Cost Conversion'!$F$3:$F$22,0)+2,8,1,1,"Cost conversion"))/IF('Plant Overview'!$E$9="€",IF(F47="$",'Cost Conversion'!$L$2,1),IF('Plant Overview'!$E$9="$",1,1/'Cost Conversion'!$L$2))))</f>
        <v>19.33424527539756</v>
      </c>
      <c r="T47" s="589">
        <f ca="1">+S47</f>
        <v>19.33424527539756</v>
      </c>
      <c r="U47" s="83"/>
      <c r="V47" s="301"/>
      <c r="W47" s="378"/>
      <c r="X47" s="210"/>
      <c r="Y47" s="210"/>
      <c r="Z47" s="378"/>
      <c r="AA47" s="310"/>
      <c r="AB47" s="310"/>
      <c r="AC47" s="310"/>
      <c r="AD47" s="378"/>
      <c r="AO47" s="104"/>
      <c r="AP47" s="83"/>
      <c r="AQ47" s="209"/>
      <c r="AR47" s="362"/>
    </row>
    <row r="48" spans="1:44" ht="16.2" customHeight="1" x14ac:dyDescent="0.3">
      <c r="A48" s="83"/>
      <c r="B48" s="103"/>
      <c r="C48" s="265" t="s">
        <v>858</v>
      </c>
      <c r="D48" s="265" t="s">
        <v>859</v>
      </c>
      <c r="E48" s="96" t="s">
        <v>860</v>
      </c>
      <c r="F48" s="96" t="s">
        <v>480</v>
      </c>
      <c r="G48" s="96">
        <v>2007</v>
      </c>
      <c r="H48" s="96" t="s">
        <v>474</v>
      </c>
      <c r="I48" s="96" t="s">
        <v>861</v>
      </c>
      <c r="J48" s="96" t="s">
        <v>818</v>
      </c>
      <c r="K48" s="96">
        <v>1</v>
      </c>
      <c r="L48" s="96">
        <v>0.67</v>
      </c>
      <c r="M48" s="265">
        <v>1</v>
      </c>
      <c r="N48" s="96">
        <v>276.3</v>
      </c>
      <c r="O48" s="96">
        <v>8.7170000000000005</v>
      </c>
      <c r="P48" s="96">
        <v>1</v>
      </c>
      <c r="Q48" s="96">
        <v>77.402205247684208</v>
      </c>
      <c r="R48" s="188">
        <f>IF(ISBLANK(Q48),"",(P48/M48)^K48*O48*((Q48/P48)/(N48/M48))^L48)</f>
        <v>3.7162642458521074</v>
      </c>
      <c r="S48" s="188" cm="1">
        <f t="array" aca="1" ref="S48" ca="1">IF(ISBLANK(Q48),"",IF(R48&gt;0,R48*INDIRECT(ADDRESS(MATCH(G48,'Cost Conversion'!$B$3:$B$48,0)+2,4,1,1,"Cost conversion"))*INDIRECT(ADDRESS(MATCH(H48,'Cost Conversion'!$F$3:$F$22,0)+2,8,1,1,"Cost conversion"))/IF('Plant Overview'!$E$9="€",IF(F48="$",'Cost Conversion'!$L$2,1),IF('Plant Overview'!$E$9="$",1,1/'Cost Conversion'!$L$2))))</f>
        <v>5.3597594086101843</v>
      </c>
      <c r="T48" s="589">
        <f ca="1">+S48</f>
        <v>5.3597594086101843</v>
      </c>
      <c r="U48" s="83"/>
      <c r="V48" s="103"/>
      <c r="W48" s="204"/>
      <c r="X48" s="204"/>
      <c r="Y48" s="204"/>
      <c r="Z48" s="204"/>
      <c r="AA48" s="310"/>
      <c r="AB48" s="385"/>
      <c r="AC48" s="310"/>
      <c r="AD48" s="204"/>
      <c r="AG48" s="591" t="s">
        <v>678</v>
      </c>
      <c r="AH48" s="591" t="s">
        <v>359</v>
      </c>
      <c r="AI48" s="863" t="s">
        <v>573</v>
      </c>
      <c r="AJ48" s="864"/>
      <c r="AK48" s="864"/>
      <c r="AL48" s="864"/>
      <c r="AM48" s="864"/>
      <c r="AN48" s="86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89" t="str">
        <f ca="1">+S49</f>
        <v/>
      </c>
      <c r="U49" s="83"/>
      <c r="V49" s="103"/>
      <c r="W49" s="861" t="s">
        <v>358</v>
      </c>
      <c r="X49" s="862"/>
      <c r="Y49" s="306" t="s">
        <v>880</v>
      </c>
      <c r="Z49" s="204"/>
      <c r="AA49" s="310"/>
      <c r="AB49" s="385"/>
      <c r="AC49" s="310"/>
      <c r="AD49" s="204"/>
      <c r="AG49" s="592"/>
      <c r="AH49" s="593"/>
      <c r="AI49" s="594"/>
      <c r="AJ49" s="594"/>
      <c r="AK49" s="594"/>
      <c r="AL49" s="594"/>
      <c r="AM49" s="594"/>
      <c r="AN49" s="595"/>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89" t="str">
        <f ca="1">+S50</f>
        <v/>
      </c>
      <c r="U50" s="83"/>
      <c r="V50" s="103"/>
      <c r="W50" s="792" t="s">
        <v>881</v>
      </c>
      <c r="X50" s="794"/>
      <c r="Y50" s="718">
        <v>40</v>
      </c>
      <c r="Z50" s="204"/>
      <c r="AA50" s="310"/>
      <c r="AB50" s="385"/>
      <c r="AC50" s="310"/>
      <c r="AD50" s="204"/>
      <c r="AG50" s="596"/>
      <c r="AH50" s="597"/>
      <c r="AI50" s="598"/>
      <c r="AJ50" s="598"/>
      <c r="AK50" s="598"/>
      <c r="AL50" s="598"/>
      <c r="AM50" s="598"/>
      <c r="AN50" s="599"/>
      <c r="AO50" s="104"/>
      <c r="AP50" s="83"/>
      <c r="AQ50" s="209"/>
      <c r="AR50" s="362"/>
    </row>
    <row r="51" spans="1:57" ht="16.2" customHeight="1" x14ac:dyDescent="0.3">
      <c r="A51" s="83"/>
      <c r="B51" s="103"/>
      <c r="C51" s="195"/>
      <c r="D51" s="266"/>
      <c r="E51" s="267"/>
      <c r="F51" s="267"/>
      <c r="G51" s="267"/>
      <c r="H51" s="267"/>
      <c r="I51" s="267"/>
      <c r="J51" s="267"/>
      <c r="K51" s="267"/>
      <c r="L51" s="98"/>
      <c r="M51" s="424" t="s">
        <v>578</v>
      </c>
      <c r="N51" s="417" t="s">
        <v>457</v>
      </c>
      <c r="O51" s="556" t="s">
        <v>315</v>
      </c>
      <c r="P51" s="877" t="s">
        <v>470</v>
      </c>
      <c r="Q51" s="878"/>
      <c r="R51" s="419" t="s">
        <v>633</v>
      </c>
      <c r="S51" s="425" t="s">
        <v>632</v>
      </c>
      <c r="T51" s="573"/>
      <c r="U51" s="83"/>
      <c r="V51" s="103"/>
      <c r="W51" s="795" t="s">
        <v>882</v>
      </c>
      <c r="X51" s="797"/>
      <c r="Y51" s="718">
        <v>0.7</v>
      </c>
      <c r="Z51" s="204"/>
      <c r="AA51" s="310"/>
      <c r="AB51" s="310"/>
      <c r="AC51" s="310"/>
      <c r="AD51" s="204"/>
      <c r="AG51" s="596"/>
      <c r="AH51" s="597"/>
      <c r="AI51" s="598"/>
      <c r="AJ51" s="598"/>
      <c r="AK51" s="598"/>
      <c r="AL51" s="598"/>
      <c r="AM51" s="598"/>
      <c r="AN51" s="599"/>
      <c r="AO51" s="104"/>
      <c r="AP51" s="83"/>
      <c r="AQ51" s="209"/>
      <c r="AR51" s="362"/>
    </row>
    <row r="52" spans="1:57" ht="16.2" customHeight="1" x14ac:dyDescent="0.3">
      <c r="A52" s="83"/>
      <c r="B52" s="103"/>
      <c r="C52" s="563"/>
      <c r="D52" s="356"/>
      <c r="E52" s="356"/>
      <c r="F52" s="356"/>
      <c r="G52" s="356"/>
      <c r="H52" s="356"/>
      <c r="I52" s="356"/>
      <c r="J52" s="356"/>
      <c r="K52" s="356"/>
      <c r="L52" s="559"/>
      <c r="M52" s="496" t="s">
        <v>482</v>
      </c>
      <c r="N52" s="408" t="s">
        <v>480</v>
      </c>
      <c r="O52" s="471">
        <v>2001</v>
      </c>
      <c r="P52" s="766" t="s">
        <v>471</v>
      </c>
      <c r="Q52" s="768"/>
      <c r="R52" s="426">
        <f>+IF(SUM(S13:S43)&gt;0,IF(G3="Equipment",SUM(S13:S43),"NaN"),"")</f>
        <v>24.752020129673809</v>
      </c>
      <c r="S52" s="427" cm="1">
        <f t="array" aca="1" ref="S52" ca="1">+IF(R52="",0,R52*INDIRECT(ADDRESS(MATCH(O52,'Cost Conversion'!$B$3:$B$48,0)+2,4,1,1,"Cost conversion"))*INDIRECT(ADDRESS(MATCH(P52,'Cost Conversion'!$F$3:$F$22,0)+2,8,1,1,"Cost conversion"))/IF('Plant Overview'!$E$9="€",IF(N52="$",'Cost Conversion'!$L$2,1),IF('Plant Overview'!$E$9="$",1,1/'Cost Conversion'!$L$2)))</f>
        <v>54.702917518963694</v>
      </c>
      <c r="T52" s="573"/>
      <c r="U52" s="83"/>
      <c r="V52" s="103"/>
      <c r="W52" s="795" t="s">
        <v>883</v>
      </c>
      <c r="X52" s="797"/>
      <c r="Y52" s="718">
        <v>1500</v>
      </c>
      <c r="Z52" s="204"/>
      <c r="AA52" s="310"/>
      <c r="AB52" s="310"/>
      <c r="AC52" s="310"/>
      <c r="AD52" s="204"/>
      <c r="AG52" s="596"/>
      <c r="AH52" s="597"/>
      <c r="AI52" s="598"/>
      <c r="AJ52" s="598"/>
      <c r="AK52" s="598"/>
      <c r="AL52" s="598"/>
      <c r="AM52" s="598"/>
      <c r="AN52" s="599"/>
      <c r="AO52" s="104"/>
      <c r="AP52" s="83"/>
      <c r="AQ52" s="209"/>
      <c r="AR52" s="362"/>
    </row>
    <row r="53" spans="1:57" ht="16.2" customHeight="1" x14ac:dyDescent="0.3">
      <c r="A53" s="83"/>
      <c r="B53" s="103"/>
      <c r="C53" s="560"/>
      <c r="D53" s="561"/>
      <c r="E53" s="561"/>
      <c r="F53" s="561"/>
      <c r="G53" s="561"/>
      <c r="H53" s="561"/>
      <c r="I53" s="561"/>
      <c r="J53" s="561"/>
      <c r="K53" s="561"/>
      <c r="L53" s="562"/>
      <c r="M53" s="408" t="s">
        <v>634</v>
      </c>
      <c r="N53" s="127"/>
      <c r="O53" s="133"/>
      <c r="P53" s="766"/>
      <c r="Q53" s="768"/>
      <c r="R53" s="426" t="s">
        <v>354</v>
      </c>
      <c r="S53" s="427">
        <f ca="1">+IF(SUM(S46:S50)&gt;=0,SUM(S46:S50),"")</f>
        <v>66.639664047315435</v>
      </c>
      <c r="T53" s="573"/>
      <c r="U53" s="83"/>
      <c r="V53" s="103"/>
      <c r="W53" s="857" t="s">
        <v>884</v>
      </c>
      <c r="X53" s="858"/>
      <c r="Y53" s="523">
        <v>5000</v>
      </c>
      <c r="Z53" s="204"/>
      <c r="AA53" s="310"/>
      <c r="AB53" s="310"/>
      <c r="AC53" s="310"/>
      <c r="AD53" s="204"/>
      <c r="AG53" s="600"/>
      <c r="AH53" s="601"/>
      <c r="AI53" s="602"/>
      <c r="AJ53" s="602"/>
      <c r="AK53" s="602"/>
      <c r="AL53" s="602"/>
      <c r="AM53" s="602"/>
      <c r="AN53" s="603"/>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804" t="str">
        <f>+"BEC Distribution: "&amp;E6</f>
        <v>BEC Distribution: Steam Cycle</v>
      </c>
      <c r="C56" s="805"/>
      <c r="D56" s="805"/>
      <c r="E56" s="805"/>
      <c r="F56" s="805"/>
      <c r="G56" s="806"/>
      <c r="H56" s="804" t="str">
        <f>"Estimate Benchmark: "&amp;E6</f>
        <v>Estimate Benchmark: Steam Cycle</v>
      </c>
      <c r="I56" s="805"/>
      <c r="J56" s="805"/>
      <c r="K56" s="805"/>
      <c r="L56" s="805"/>
      <c r="M56" s="805"/>
      <c r="N56" s="806"/>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36" t="s">
        <v>736</v>
      </c>
      <c r="C80" s="837"/>
      <c r="D80" s="837"/>
      <c r="E80" s="837"/>
      <c r="F80" s="837"/>
      <c r="G80" s="838"/>
      <c r="H80" s="116" t="s">
        <v>678</v>
      </c>
      <c r="I80" s="117" t="s">
        <v>359</v>
      </c>
      <c r="J80" s="879" t="s">
        <v>573</v>
      </c>
      <c r="K80" s="810"/>
      <c r="L80" s="810"/>
      <c r="M80" s="810"/>
      <c r="N80" s="811"/>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39"/>
      <c r="C81" s="840"/>
      <c r="D81" s="840"/>
      <c r="E81" s="840"/>
      <c r="F81" s="840"/>
      <c r="G81" s="841"/>
      <c r="H81" s="487"/>
      <c r="I81" s="110"/>
      <c r="J81" s="874"/>
      <c r="K81" s="875"/>
      <c r="L81" s="875"/>
      <c r="M81" s="875"/>
      <c r="N81" s="876"/>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37">
    <mergeCell ref="J81:N81"/>
    <mergeCell ref="P51:Q51"/>
    <mergeCell ref="P52:Q52"/>
    <mergeCell ref="P53:Q53"/>
    <mergeCell ref="C6:C7"/>
    <mergeCell ref="C8:C9"/>
    <mergeCell ref="B56:G56"/>
    <mergeCell ref="H56:N56"/>
    <mergeCell ref="J80:N80"/>
    <mergeCell ref="D8:D9"/>
    <mergeCell ref="E8:E9"/>
    <mergeCell ref="B80:G81"/>
    <mergeCell ref="O8:O9"/>
    <mergeCell ref="P8:P9"/>
    <mergeCell ref="W3:AN3"/>
    <mergeCell ref="AI48:AN48"/>
    <mergeCell ref="D11:L11"/>
    <mergeCell ref="M11:R11"/>
    <mergeCell ref="W34:AN34"/>
    <mergeCell ref="D44:R44"/>
    <mergeCell ref="C3:F3"/>
    <mergeCell ref="G3:H3"/>
    <mergeCell ref="J3:M3"/>
    <mergeCell ref="J5:K9"/>
    <mergeCell ref="O3:S3"/>
    <mergeCell ref="G5:H5"/>
    <mergeCell ref="D5:E5"/>
    <mergeCell ref="Q5:S5"/>
    <mergeCell ref="W36:Y36"/>
    <mergeCell ref="Z36:AA36"/>
    <mergeCell ref="W52:X52"/>
    <mergeCell ref="W53:X53"/>
    <mergeCell ref="AB36:AC36"/>
    <mergeCell ref="AA43:AC43"/>
    <mergeCell ref="W49:X49"/>
    <mergeCell ref="W50:X50"/>
    <mergeCell ref="W51:X51"/>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D44" sqref="D44:R4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804" t="s">
        <v>786</v>
      </c>
      <c r="D3" s="805"/>
      <c r="E3" s="805"/>
      <c r="F3" s="805"/>
      <c r="G3" s="804" t="s">
        <v>229</v>
      </c>
      <c r="H3" s="806"/>
      <c r="J3" s="804" t="s">
        <v>660</v>
      </c>
      <c r="K3" s="805"/>
      <c r="L3" s="805"/>
      <c r="M3" s="806"/>
      <c r="N3" s="181"/>
      <c r="O3" s="804" t="e">
        <f>+E6</f>
        <v>#REF!</v>
      </c>
      <c r="P3" s="805"/>
      <c r="Q3" s="805"/>
      <c r="R3" s="805"/>
      <c r="S3" s="806"/>
      <c r="T3" s="104"/>
      <c r="U3" s="104"/>
      <c r="V3" s="83"/>
      <c r="W3" s="845" t="e">
        <f>+E6&amp;" Diagram"</f>
        <v>#REF!</v>
      </c>
      <c r="X3" s="846"/>
      <c r="Y3" s="846"/>
      <c r="Z3" s="846"/>
      <c r="AA3" s="846"/>
      <c r="AB3" s="846"/>
      <c r="AC3" s="846"/>
      <c r="AD3" s="846"/>
      <c r="AE3" s="846"/>
      <c r="AF3" s="846"/>
      <c r="AG3" s="846"/>
      <c r="AH3" s="846"/>
      <c r="AI3" s="846"/>
      <c r="AJ3" s="846"/>
      <c r="AK3" s="846"/>
      <c r="AL3" s="846"/>
      <c r="AM3" s="846"/>
      <c r="AN3" s="847"/>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807" t="s">
        <v>265</v>
      </c>
      <c r="E5" s="808"/>
      <c r="F5" s="83"/>
      <c r="G5" s="807" t="s">
        <v>267</v>
      </c>
      <c r="H5" s="808"/>
      <c r="J5" s="866"/>
      <c r="K5" s="867"/>
      <c r="L5" s="185" t="s">
        <v>463</v>
      </c>
      <c r="M5" s="186" t="s">
        <v>498</v>
      </c>
      <c r="N5" s="394"/>
      <c r="O5" s="648" t="s">
        <v>229</v>
      </c>
      <c r="P5" s="590" t="s">
        <v>506</v>
      </c>
      <c r="Q5" s="728" t="s">
        <v>573</v>
      </c>
      <c r="R5" s="729"/>
      <c r="S5" s="730"/>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850" t="s">
        <v>489</v>
      </c>
      <c r="D6" s="234" t="s">
        <v>670</v>
      </c>
      <c r="E6" s="408" t="e">
        <f>+'Plant Overview'!#REF!</f>
        <v>#REF!</v>
      </c>
      <c r="F6" s="83"/>
      <c r="G6" s="85"/>
      <c r="H6" s="314" t="s">
        <v>262</v>
      </c>
      <c r="J6" s="868"/>
      <c r="K6" s="869"/>
      <c r="L6" s="166" t="s">
        <v>464</v>
      </c>
      <c r="M6" s="86" t="s">
        <v>497</v>
      </c>
      <c r="N6" s="394"/>
      <c r="O6" s="648" t="s">
        <v>348</v>
      </c>
      <c r="P6" s="465" t="s">
        <v>7</v>
      </c>
      <c r="Q6" s="482"/>
      <c r="R6" s="394"/>
      <c r="S6" s="483"/>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851"/>
      <c r="D7" s="234" t="s">
        <v>669</v>
      </c>
      <c r="E7" s="408" t="e">
        <f>+'Plant Overview'!#REF!</f>
        <v>#REF!</v>
      </c>
      <c r="F7" s="83"/>
      <c r="G7" s="95"/>
      <c r="H7" s="314" t="s">
        <v>263</v>
      </c>
      <c r="J7" s="868"/>
      <c r="K7" s="869"/>
      <c r="L7" s="185" t="s">
        <v>458</v>
      </c>
      <c r="M7" s="186" t="s">
        <v>496</v>
      </c>
      <c r="N7" s="394"/>
      <c r="O7" s="649" t="s">
        <v>571</v>
      </c>
      <c r="P7" s="650" t="s">
        <v>572</v>
      </c>
      <c r="Q7" s="482"/>
      <c r="R7" s="394"/>
      <c r="S7" s="483"/>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818"/>
      <c r="D8" s="880" t="s">
        <v>312</v>
      </c>
      <c r="E8" s="855"/>
      <c r="F8" s="83"/>
      <c r="G8" s="94"/>
      <c r="H8" s="98" t="s">
        <v>264</v>
      </c>
      <c r="J8" s="868"/>
      <c r="K8" s="869"/>
      <c r="L8" s="185" t="s">
        <v>459</v>
      </c>
      <c r="M8" s="186" t="s">
        <v>494</v>
      </c>
      <c r="N8" s="394"/>
      <c r="O8" s="882"/>
      <c r="P8" s="882"/>
      <c r="Q8" s="482"/>
      <c r="R8" s="394"/>
      <c r="S8" s="483"/>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819"/>
      <c r="D9" s="881"/>
      <c r="E9" s="856"/>
      <c r="F9" s="83"/>
      <c r="G9" s="108"/>
      <c r="H9" s="300" t="s">
        <v>268</v>
      </c>
      <c r="J9" s="870"/>
      <c r="K9" s="871"/>
      <c r="L9" s="185" t="s">
        <v>460</v>
      </c>
      <c r="M9" s="186" t="s">
        <v>495</v>
      </c>
      <c r="N9" s="394"/>
      <c r="O9" s="883"/>
      <c r="P9" s="883"/>
      <c r="Q9" s="484"/>
      <c r="R9" s="485"/>
      <c r="S9" s="486"/>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804" t="s">
        <v>565</v>
      </c>
      <c r="E11" s="805"/>
      <c r="F11" s="805"/>
      <c r="G11" s="805"/>
      <c r="H11" s="805"/>
      <c r="I11" s="805"/>
      <c r="J11" s="805"/>
      <c r="K11" s="805"/>
      <c r="L11" s="806"/>
      <c r="M11" s="804" t="s">
        <v>574</v>
      </c>
      <c r="N11" s="805"/>
      <c r="O11" s="805"/>
      <c r="P11" s="805"/>
      <c r="Q11" s="805"/>
      <c r="R11" s="806"/>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58" t="s">
        <v>229</v>
      </c>
      <c r="E12" s="558" t="s">
        <v>348</v>
      </c>
      <c r="F12" s="416" t="s">
        <v>234</v>
      </c>
      <c r="G12" s="416" t="s">
        <v>469</v>
      </c>
      <c r="H12" s="417" t="s">
        <v>235</v>
      </c>
      <c r="I12" s="558" t="s">
        <v>236</v>
      </c>
      <c r="J12" s="555" t="s">
        <v>341</v>
      </c>
      <c r="K12" s="416" t="s">
        <v>340</v>
      </c>
      <c r="L12" s="416" t="s">
        <v>528</v>
      </c>
      <c r="M12" s="419" t="s">
        <v>230</v>
      </c>
      <c r="N12" s="419" t="s">
        <v>231</v>
      </c>
      <c r="O12" s="419" t="s">
        <v>232</v>
      </c>
      <c r="P12" s="419" t="s">
        <v>225</v>
      </c>
      <c r="Q12" s="419" t="s">
        <v>233</v>
      </c>
      <c r="R12" s="418" t="s">
        <v>266</v>
      </c>
      <c r="S12" s="419" t="s">
        <v>653</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7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+IF(Tabla25879012013530[[#This Row],[Equipment]]="","",Q14*R14/10^6)</f>
        <v/>
      </c>
      <c r="T14" s="57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96"/>
      <c r="Q15" s="150"/>
      <c r="R15" s="97"/>
      <c r="S15" s="188" t="str">
        <f>+IF(Tabla25879012013530[[#This Row],[Equipment]]="","",Q15*R15/10^6)</f>
        <v/>
      </c>
      <c r="T15" s="57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56"/>
      <c r="O16" s="96"/>
      <c r="P16" s="96"/>
      <c r="Q16" s="150"/>
      <c r="R16" s="97"/>
      <c r="S16" s="188" t="str">
        <f>+IF(Tabla25879012013530[[#This Row],[Equipment]]="","",Q16*R16/10^6)</f>
        <v/>
      </c>
      <c r="T16" s="57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7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7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7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7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7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7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7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7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7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7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7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7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7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7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7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7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7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73" t="e">
        <f t="shared" ca="1" si="0"/>
        <v>#VALUE!</v>
      </c>
      <c r="U34" s="83"/>
      <c r="V34" s="112"/>
      <c r="W34" s="798" t="e">
        <f>+E6&amp;" Calculations"</f>
        <v>#REF!</v>
      </c>
      <c r="X34" s="799"/>
      <c r="Y34" s="799"/>
      <c r="Z34" s="799"/>
      <c r="AA34" s="799"/>
      <c r="AB34" s="799"/>
      <c r="AC34" s="799"/>
      <c r="AD34" s="799"/>
      <c r="AE34" s="799"/>
      <c r="AF34" s="799"/>
      <c r="AG34" s="799"/>
      <c r="AH34" s="799"/>
      <c r="AI34" s="799"/>
      <c r="AJ34" s="799"/>
      <c r="AK34" s="799"/>
      <c r="AL34" s="799"/>
      <c r="AM34" s="799"/>
      <c r="AN34" s="800"/>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73"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73"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73"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73"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73"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73"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73"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73"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73" t="e">
        <f t="shared" ca="1" si="0"/>
        <v>#VALUE!</v>
      </c>
      <c r="U43" s="83"/>
      <c r="V43" s="301"/>
      <c r="AO43" s="104"/>
      <c r="AP43" s="83"/>
      <c r="AQ43" s="209"/>
      <c r="AR43" s="362"/>
    </row>
    <row r="44" spans="1:44" ht="16.2" customHeight="1" x14ac:dyDescent="0.3">
      <c r="A44" s="83"/>
      <c r="B44" s="103"/>
      <c r="C44" s="355"/>
      <c r="D44" s="804" t="s">
        <v>530</v>
      </c>
      <c r="E44" s="805"/>
      <c r="F44" s="805"/>
      <c r="G44" s="805"/>
      <c r="H44" s="805"/>
      <c r="I44" s="805"/>
      <c r="J44" s="805"/>
      <c r="K44" s="805"/>
      <c r="L44" s="805"/>
      <c r="M44" s="805"/>
      <c r="N44" s="805"/>
      <c r="O44" s="805"/>
      <c r="P44" s="805"/>
      <c r="Q44" s="805"/>
      <c r="R44" s="806"/>
      <c r="S44" s="175"/>
      <c r="T44" s="573"/>
      <c r="U44" s="83"/>
      <c r="V44" s="301"/>
      <c r="AO44" s="104"/>
      <c r="AP44" s="83"/>
      <c r="AQ44" s="209"/>
      <c r="AR44" s="362"/>
    </row>
    <row r="45" spans="1:44" ht="16.2" customHeight="1" x14ac:dyDescent="0.3">
      <c r="A45" s="83"/>
      <c r="B45" s="103"/>
      <c r="C45" s="420" t="s">
        <v>575</v>
      </c>
      <c r="D45" s="414" t="s">
        <v>492</v>
      </c>
      <c r="E45" s="414" t="s">
        <v>491</v>
      </c>
      <c r="F45" s="557" t="s">
        <v>457</v>
      </c>
      <c r="G45" s="557" t="s">
        <v>315</v>
      </c>
      <c r="H45" s="557" t="s">
        <v>502</v>
      </c>
      <c r="I45" s="414" t="s">
        <v>499</v>
      </c>
      <c r="J45" s="414" t="s">
        <v>235</v>
      </c>
      <c r="K45" s="414" t="s">
        <v>459</v>
      </c>
      <c r="L45" s="414" t="s">
        <v>460</v>
      </c>
      <c r="M45" s="421" t="s">
        <v>579</v>
      </c>
      <c r="N45" s="422" t="s">
        <v>462</v>
      </c>
      <c r="O45" s="418" t="s">
        <v>461</v>
      </c>
      <c r="P45" s="414" t="s">
        <v>458</v>
      </c>
      <c r="Q45" s="414" t="s">
        <v>464</v>
      </c>
      <c r="R45" s="419" t="s">
        <v>463</v>
      </c>
      <c r="S45" s="419" t="s">
        <v>490</v>
      </c>
      <c r="T45" s="573"/>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89"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89"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89" t="str">
        <f ca="1">+S48</f>
        <v/>
      </c>
      <c r="U48" s="83"/>
      <c r="V48" s="103"/>
      <c r="AG48" s="591" t="s">
        <v>678</v>
      </c>
      <c r="AH48" s="591" t="s">
        <v>359</v>
      </c>
      <c r="AI48" s="863" t="s">
        <v>573</v>
      </c>
      <c r="AJ48" s="864"/>
      <c r="AK48" s="864"/>
      <c r="AL48" s="864"/>
      <c r="AM48" s="864"/>
      <c r="AN48" s="86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89" t="str">
        <f ca="1">+S49</f>
        <v/>
      </c>
      <c r="U49" s="83"/>
      <c r="V49" s="103"/>
      <c r="AG49" s="592"/>
      <c r="AH49" s="593"/>
      <c r="AI49" s="594"/>
      <c r="AJ49" s="594"/>
      <c r="AK49" s="594"/>
      <c r="AL49" s="594"/>
      <c r="AM49" s="594"/>
      <c r="AN49" s="595"/>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89" t="str">
        <f ca="1">+S50</f>
        <v/>
      </c>
      <c r="U50" s="83"/>
      <c r="V50" s="103"/>
      <c r="AG50" s="596"/>
      <c r="AH50" s="597"/>
      <c r="AI50" s="598"/>
      <c r="AJ50" s="598"/>
      <c r="AK50" s="598"/>
      <c r="AL50" s="598"/>
      <c r="AM50" s="598"/>
      <c r="AN50" s="599"/>
      <c r="AO50" s="104"/>
      <c r="AP50" s="83"/>
      <c r="AQ50" s="209"/>
      <c r="AR50" s="362"/>
    </row>
    <row r="51" spans="1:57" ht="16.2" customHeight="1" x14ac:dyDescent="0.3">
      <c r="A51" s="83"/>
      <c r="B51" s="103"/>
      <c r="C51" s="195"/>
      <c r="D51" s="266"/>
      <c r="E51" s="267"/>
      <c r="F51" s="267"/>
      <c r="G51" s="267"/>
      <c r="H51" s="267"/>
      <c r="I51" s="267"/>
      <c r="J51" s="267"/>
      <c r="K51" s="267"/>
      <c r="L51" s="98"/>
      <c r="M51" s="424" t="s">
        <v>578</v>
      </c>
      <c r="N51" s="417" t="s">
        <v>457</v>
      </c>
      <c r="O51" s="556" t="s">
        <v>315</v>
      </c>
      <c r="P51" s="877" t="s">
        <v>470</v>
      </c>
      <c r="Q51" s="878"/>
      <c r="R51" s="419" t="s">
        <v>633</v>
      </c>
      <c r="S51" s="425" t="s">
        <v>632</v>
      </c>
      <c r="T51" s="573"/>
      <c r="U51" s="83"/>
      <c r="V51" s="103"/>
      <c r="AG51" s="596"/>
      <c r="AH51" s="597"/>
      <c r="AI51" s="598"/>
      <c r="AJ51" s="598"/>
      <c r="AK51" s="598"/>
      <c r="AL51" s="598"/>
      <c r="AM51" s="598"/>
      <c r="AN51" s="599"/>
      <c r="AO51" s="104"/>
      <c r="AP51" s="83"/>
      <c r="AQ51" s="209"/>
      <c r="AR51" s="362"/>
    </row>
    <row r="52" spans="1:57" ht="16.2" customHeight="1" x14ac:dyDescent="0.3">
      <c r="A52" s="83"/>
      <c r="B52" s="103"/>
      <c r="C52" s="563"/>
      <c r="D52" s="356"/>
      <c r="E52" s="356"/>
      <c r="F52" s="356"/>
      <c r="G52" s="356"/>
      <c r="H52" s="356"/>
      <c r="I52" s="356"/>
      <c r="J52" s="356"/>
      <c r="K52" s="356"/>
      <c r="L52" s="559"/>
      <c r="M52" s="496" t="s">
        <v>482</v>
      </c>
      <c r="N52" s="408" t="s">
        <v>480</v>
      </c>
      <c r="O52" s="471">
        <v>2001</v>
      </c>
      <c r="P52" s="766" t="s">
        <v>471</v>
      </c>
      <c r="Q52" s="768"/>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3"/>
      <c r="U52" s="83"/>
      <c r="V52" s="103"/>
      <c r="AG52" s="596"/>
      <c r="AH52" s="597"/>
      <c r="AI52" s="598"/>
      <c r="AJ52" s="598"/>
      <c r="AK52" s="598"/>
      <c r="AL52" s="598"/>
      <c r="AM52" s="598"/>
      <c r="AN52" s="599"/>
      <c r="AO52" s="104"/>
      <c r="AP52" s="83"/>
      <c r="AQ52" s="209"/>
      <c r="AR52" s="362"/>
    </row>
    <row r="53" spans="1:57" ht="16.2" customHeight="1" x14ac:dyDescent="0.3">
      <c r="A53" s="83"/>
      <c r="B53" s="103"/>
      <c r="C53" s="560"/>
      <c r="D53" s="561"/>
      <c r="E53" s="561"/>
      <c r="F53" s="561"/>
      <c r="G53" s="561"/>
      <c r="H53" s="561"/>
      <c r="I53" s="561"/>
      <c r="J53" s="561"/>
      <c r="K53" s="561"/>
      <c r="L53" s="562"/>
      <c r="M53" s="408" t="s">
        <v>634</v>
      </c>
      <c r="N53" s="127"/>
      <c r="O53" s="133"/>
      <c r="P53" s="766"/>
      <c r="Q53" s="768"/>
      <c r="R53" s="426" t="s">
        <v>354</v>
      </c>
      <c r="S53" s="427">
        <f ca="1">+IF(SUM(S46:S50)&gt;=0,SUM(S46:S50),"")</f>
        <v>0</v>
      </c>
      <c r="T53" s="573"/>
      <c r="U53" s="83"/>
      <c r="V53" s="103"/>
      <c r="AG53" s="600"/>
      <c r="AH53" s="601"/>
      <c r="AI53" s="602"/>
      <c r="AJ53" s="602"/>
      <c r="AK53" s="602"/>
      <c r="AL53" s="602"/>
      <c r="AM53" s="602"/>
      <c r="AN53" s="603"/>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804" t="e">
        <f>+"BEC Distribution: "&amp;E6</f>
        <v>#REF!</v>
      </c>
      <c r="C56" s="805"/>
      <c r="D56" s="805"/>
      <c r="E56" s="805"/>
      <c r="F56" s="805"/>
      <c r="G56" s="806"/>
      <c r="H56" s="804" t="e">
        <f>"Estimate Benchmark: "&amp;E6</f>
        <v>#REF!</v>
      </c>
      <c r="I56" s="805"/>
      <c r="J56" s="805"/>
      <c r="K56" s="805"/>
      <c r="L56" s="805"/>
      <c r="M56" s="805"/>
      <c r="N56" s="806"/>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36" t="s">
        <v>736</v>
      </c>
      <c r="C80" s="837"/>
      <c r="D80" s="837"/>
      <c r="E80" s="837"/>
      <c r="F80" s="837"/>
      <c r="G80" s="838"/>
      <c r="H80" s="116" t="s">
        <v>678</v>
      </c>
      <c r="I80" s="117" t="s">
        <v>359</v>
      </c>
      <c r="J80" s="879" t="s">
        <v>573</v>
      </c>
      <c r="K80" s="810"/>
      <c r="L80" s="810"/>
      <c r="M80" s="810"/>
      <c r="N80" s="811"/>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39"/>
      <c r="C81" s="840"/>
      <c r="D81" s="840"/>
      <c r="E81" s="840"/>
      <c r="F81" s="840"/>
      <c r="G81" s="841"/>
      <c r="H81" s="487"/>
      <c r="I81" s="110"/>
      <c r="J81" s="874"/>
      <c r="K81" s="875"/>
      <c r="L81" s="875"/>
      <c r="M81" s="875"/>
      <c r="N81" s="876"/>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D5:E5"/>
    <mergeCell ref="G5:H5"/>
    <mergeCell ref="J5:K9"/>
    <mergeCell ref="Q5:S5"/>
    <mergeCell ref="C6:C7"/>
    <mergeCell ref="C3:F3"/>
    <mergeCell ref="G3:H3"/>
    <mergeCell ref="J3:M3"/>
    <mergeCell ref="O3:S3"/>
    <mergeCell ref="W3:AN3"/>
    <mergeCell ref="P53:Q53"/>
    <mergeCell ref="C8:C9"/>
    <mergeCell ref="D8:D9"/>
    <mergeCell ref="E8:E9"/>
    <mergeCell ref="O8:O9"/>
    <mergeCell ref="P8:P9"/>
    <mergeCell ref="D11:L11"/>
    <mergeCell ref="M11:R11"/>
    <mergeCell ref="W34:AN34"/>
    <mergeCell ref="D44:R44"/>
    <mergeCell ref="AI48:AN48"/>
    <mergeCell ref="P51:Q51"/>
    <mergeCell ref="P52:Q52"/>
    <mergeCell ref="B56:G56"/>
    <mergeCell ref="H56:N56"/>
    <mergeCell ref="B80:G81"/>
    <mergeCell ref="J80:N80"/>
    <mergeCell ref="J81:N81"/>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804" t="s">
        <v>786</v>
      </c>
      <c r="D3" s="805"/>
      <c r="E3" s="805"/>
      <c r="F3" s="805"/>
      <c r="G3" s="804" t="s">
        <v>341</v>
      </c>
      <c r="H3" s="806"/>
      <c r="J3" s="804" t="s">
        <v>493</v>
      </c>
      <c r="K3" s="805"/>
      <c r="L3" s="805"/>
      <c r="M3" s="806"/>
      <c r="O3" s="804" t="e">
        <f>+E6</f>
        <v>#REF!</v>
      </c>
      <c r="P3" s="805"/>
      <c r="Q3" s="805"/>
      <c r="R3" s="805"/>
      <c r="S3" s="806"/>
      <c r="T3" s="104"/>
      <c r="U3" s="103"/>
      <c r="V3" s="103"/>
      <c r="W3" s="845" t="e">
        <f>+E6&amp;" Diagram"</f>
        <v>#REF!</v>
      </c>
      <c r="X3" s="846"/>
      <c r="Y3" s="846"/>
      <c r="Z3" s="846"/>
      <c r="AA3" s="846"/>
      <c r="AB3" s="846"/>
      <c r="AC3" s="846"/>
      <c r="AD3" s="846"/>
      <c r="AE3" s="846"/>
      <c r="AF3" s="846"/>
      <c r="AG3" s="846"/>
      <c r="AH3" s="847"/>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807" t="s">
        <v>265</v>
      </c>
      <c r="E5" s="808"/>
      <c r="F5" s="182"/>
      <c r="G5" s="807" t="s">
        <v>267</v>
      </c>
      <c r="H5" s="808"/>
      <c r="J5" s="388"/>
      <c r="K5" s="389"/>
      <c r="L5" s="185" t="s">
        <v>463</v>
      </c>
      <c r="M5" s="186" t="s">
        <v>498</v>
      </c>
      <c r="O5" s="728" t="s">
        <v>573</v>
      </c>
      <c r="P5" s="729"/>
      <c r="Q5" s="729"/>
      <c r="R5" s="729"/>
      <c r="S5" s="730"/>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850" t="s">
        <v>489</v>
      </c>
      <c r="D6" s="419" t="s">
        <v>670</v>
      </c>
      <c r="E6" s="471" t="e">
        <f>+'Plant Overview'!#REF!</f>
        <v>#REF!</v>
      </c>
      <c r="F6" s="183"/>
      <c r="G6" s="85"/>
      <c r="H6" s="314" t="s">
        <v>262</v>
      </c>
      <c r="J6" s="390"/>
      <c r="K6" s="391"/>
      <c r="L6" s="93" t="s">
        <v>464</v>
      </c>
      <c r="M6" s="86" t="s">
        <v>497</v>
      </c>
      <c r="O6" s="731"/>
      <c r="P6" s="783"/>
      <c r="Q6" s="783"/>
      <c r="R6" s="783"/>
      <c r="S6" s="784"/>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851"/>
      <c r="D7" s="419" t="s">
        <v>669</v>
      </c>
      <c r="E7" s="408" t="e">
        <f>+'Plant Overview'!#REF!</f>
        <v>#REF!</v>
      </c>
      <c r="F7" s="183"/>
      <c r="G7" s="179"/>
      <c r="H7" s="314" t="s">
        <v>263</v>
      </c>
      <c r="J7" s="390"/>
      <c r="K7" s="391"/>
      <c r="L7" s="185" t="s">
        <v>458</v>
      </c>
      <c r="M7" s="186" t="s">
        <v>496</v>
      </c>
      <c r="O7" s="785"/>
      <c r="P7" s="786"/>
      <c r="Q7" s="786"/>
      <c r="R7" s="786"/>
      <c r="S7" s="787"/>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52"/>
      <c r="D8" s="853" t="s">
        <v>312</v>
      </c>
      <c r="E8" s="855"/>
      <c r="F8" s="184"/>
      <c r="G8" s="94"/>
      <c r="H8" s="98" t="s">
        <v>264</v>
      </c>
      <c r="J8" s="390"/>
      <c r="K8" s="391"/>
      <c r="L8" s="185" t="s">
        <v>459</v>
      </c>
      <c r="M8" s="186" t="s">
        <v>494</v>
      </c>
      <c r="O8" s="785"/>
      <c r="P8" s="786"/>
      <c r="Q8" s="786"/>
      <c r="R8" s="786"/>
      <c r="S8" s="787"/>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819"/>
      <c r="D9" s="854"/>
      <c r="E9" s="856"/>
      <c r="F9" s="184"/>
      <c r="G9" s="108"/>
      <c r="H9" s="300" t="s">
        <v>268</v>
      </c>
      <c r="J9" s="392"/>
      <c r="K9" s="393"/>
      <c r="L9" s="185" t="s">
        <v>460</v>
      </c>
      <c r="M9" s="186" t="s">
        <v>495</v>
      </c>
      <c r="O9" s="788"/>
      <c r="P9" s="789"/>
      <c r="Q9" s="789"/>
      <c r="R9" s="789"/>
      <c r="S9" s="790"/>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804" t="s">
        <v>501</v>
      </c>
      <c r="E11" s="805"/>
      <c r="F11" s="805"/>
      <c r="G11" s="805"/>
      <c r="H11" s="805"/>
      <c r="I11" s="805"/>
      <c r="J11" s="805"/>
      <c r="K11" s="804" t="s">
        <v>500</v>
      </c>
      <c r="L11" s="805"/>
      <c r="M11" s="805"/>
      <c r="N11" s="805"/>
      <c r="O11" s="806"/>
      <c r="P11" s="804" t="s">
        <v>503</v>
      </c>
      <c r="Q11" s="805"/>
      <c r="R11" s="806"/>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492</v>
      </c>
      <c r="E12" s="423" t="s">
        <v>491</v>
      </c>
      <c r="F12" s="428" t="s">
        <v>457</v>
      </c>
      <c r="G12" s="428" t="s">
        <v>576</v>
      </c>
      <c r="H12" s="428" t="s">
        <v>502</v>
      </c>
      <c r="I12" s="423" t="s">
        <v>499</v>
      </c>
      <c r="J12" s="423" t="s">
        <v>235</v>
      </c>
      <c r="K12" s="414" t="s">
        <v>459</v>
      </c>
      <c r="L12" s="423" t="s">
        <v>460</v>
      </c>
      <c r="M12" s="421" t="s">
        <v>579</v>
      </c>
      <c r="N12" s="422" t="s">
        <v>462</v>
      </c>
      <c r="O12" s="418" t="s">
        <v>461</v>
      </c>
      <c r="P12" s="414" t="s">
        <v>458</v>
      </c>
      <c r="Q12" s="414" t="s">
        <v>464</v>
      </c>
      <c r="R12" s="421" t="s">
        <v>463</v>
      </c>
      <c r="S12" s="418" t="s">
        <v>490</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72"/>
      <c r="Q34" s="773"/>
      <c r="R34" s="156" t="str">
        <f t="shared" si="0"/>
        <v/>
      </c>
      <c r="S34" s="647"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632</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804" t="e">
        <f>+"BEC Distribution: "&amp;E6</f>
        <v>#REF!</v>
      </c>
      <c r="C39" s="805"/>
      <c r="D39" s="805"/>
      <c r="E39" s="805"/>
      <c r="F39" s="805"/>
      <c r="G39" s="804" t="e">
        <f>+"Estimate Benchmark: "&amp;E6</f>
        <v>#REF!</v>
      </c>
      <c r="H39" s="805"/>
      <c r="I39" s="805"/>
      <c r="J39" s="806"/>
      <c r="K39" s="804" t="s">
        <v>627</v>
      </c>
      <c r="L39" s="805"/>
      <c r="M39" s="806"/>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582</v>
      </c>
      <c r="L40" s="820" t="s">
        <v>626</v>
      </c>
      <c r="M40" s="820"/>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6" t="str">
        <f>+IF(C13="","",TEXT(C13,0))</f>
        <v/>
      </c>
      <c r="L41" s="848"/>
      <c r="M41" s="849"/>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7"/>
      <c r="L42" s="834"/>
      <c r="M42" s="83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7"/>
      <c r="L43" s="834"/>
      <c r="M43" s="835"/>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7"/>
      <c r="L44" s="834"/>
      <c r="M44" s="83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7"/>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7"/>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7"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7"/>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7"/>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7"/>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7"/>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7"/>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68"/>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68"/>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68"/>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68"/>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68"/>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68"/>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68"/>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68"/>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68"/>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68"/>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68"/>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36" t="s">
        <v>737</v>
      </c>
      <c r="C64" s="837"/>
      <c r="D64" s="837"/>
      <c r="E64" s="837"/>
      <c r="F64" s="838"/>
      <c r="G64" s="88" t="s">
        <v>678</v>
      </c>
      <c r="H64" s="88" t="s">
        <v>359</v>
      </c>
      <c r="I64" s="842" t="s">
        <v>573</v>
      </c>
      <c r="J64" s="842"/>
      <c r="K64" s="468"/>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39"/>
      <c r="C65" s="840"/>
      <c r="D65" s="840"/>
      <c r="E65" s="840"/>
      <c r="F65" s="841"/>
      <c r="G65" s="488"/>
      <c r="H65" s="488"/>
      <c r="I65" s="843"/>
      <c r="J65" s="844"/>
      <c r="K65" s="469"/>
      <c r="L65" s="470"/>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78"/>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78"/>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2" t="s">
        <v>567</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455</v>
      </c>
      <c r="C3" s="431" t="s">
        <v>456</v>
      </c>
      <c r="D3" s="429" t="s">
        <v>655</v>
      </c>
      <c r="E3" s="429" t="s">
        <v>656</v>
      </c>
      <c r="F3" s="429" t="s">
        <v>440</v>
      </c>
      <c r="G3" s="155"/>
    </row>
    <row r="4" spans="1:15" ht="38.4" customHeight="1" x14ac:dyDescent="0.3">
      <c r="A4" s="83"/>
      <c r="B4" s="87" t="s">
        <v>663</v>
      </c>
      <c r="C4" s="406" t="s">
        <v>356</v>
      </c>
      <c r="D4" s="407" t="str">
        <f>+'Unit-100 GT'!E6</f>
        <v>GT</v>
      </c>
      <c r="E4" s="407" t="str">
        <f>+'Unit-200 Steam Cycle'!E6</f>
        <v>Steam Cycle</v>
      </c>
      <c r="F4" s="376" t="str">
        <f>+'Plant Overview'!E6</f>
        <v>NGCC</v>
      </c>
      <c r="G4" s="155"/>
    </row>
    <row r="5" spans="1:15" ht="38.4" customHeight="1" x14ac:dyDescent="0.3">
      <c r="A5" s="83"/>
      <c r="B5" s="405" t="s">
        <v>239</v>
      </c>
      <c r="C5" s="406" t="s">
        <v>356</v>
      </c>
      <c r="D5" s="377" t="str">
        <f>+'Unit-100 GT'!E7</f>
        <v>U-100</v>
      </c>
      <c r="E5" s="377" t="str">
        <f>+'Unit-200 Steam Cycle'!E7</f>
        <v>U-200</v>
      </c>
      <c r="F5" s="376" t="s">
        <v>583</v>
      </c>
      <c r="G5" s="155"/>
    </row>
    <row r="6" spans="1:15" ht="38.4" customHeight="1" thickBot="1" x14ac:dyDescent="0.35">
      <c r="A6" s="83"/>
      <c r="B6" s="233" t="s">
        <v>580</v>
      </c>
      <c r="C6" s="165" t="s">
        <v>581</v>
      </c>
      <c r="D6" s="384">
        <f ca="1">+'Unit-100 GT'!S36</f>
        <v>81.696497924603236</v>
      </c>
      <c r="E6" s="384">
        <f ca="1">+'Unit-200 Steam Cycle'!S52+'Unit-200 Steam Cycle'!S53</f>
        <v>121.34258156627914</v>
      </c>
      <c r="F6" s="385">
        <v>203.03907775878906</v>
      </c>
      <c r="G6" s="155"/>
    </row>
    <row r="7" spans="1:15" ht="38.4" customHeight="1" thickTop="1" x14ac:dyDescent="0.3">
      <c r="A7" s="83"/>
      <c r="B7" s="246" t="s">
        <v>273</v>
      </c>
      <c r="C7" s="144" t="s">
        <v>650</v>
      </c>
      <c r="D7" s="385">
        <f ca="1">+D6*D18</f>
        <v>8.1696497924603246</v>
      </c>
      <c r="E7" s="385">
        <f ca="1">+E6*E18</f>
        <v>12.134258156627915</v>
      </c>
      <c r="F7" s="385">
        <v>20.303909301757813</v>
      </c>
      <c r="G7" s="155"/>
    </row>
    <row r="8" spans="1:15" ht="38.4" customHeight="1" x14ac:dyDescent="0.3">
      <c r="A8" s="83"/>
      <c r="B8" s="142" t="s">
        <v>274</v>
      </c>
      <c r="C8" s="145" t="s">
        <v>650</v>
      </c>
      <c r="D8" s="385">
        <f ca="1">+D19*D6</f>
        <v>0</v>
      </c>
      <c r="E8" s="385">
        <f ca="1">+E19*E6</f>
        <v>0</v>
      </c>
      <c r="F8" s="385">
        <v>0</v>
      </c>
      <c r="G8" s="83"/>
    </row>
    <row r="9" spans="1:15" ht="38.4" customHeight="1" x14ac:dyDescent="0.3">
      <c r="A9" s="83"/>
      <c r="B9" s="142" t="s">
        <v>275</v>
      </c>
      <c r="C9" s="242" t="s">
        <v>651</v>
      </c>
      <c r="D9" s="385">
        <f ca="1">+D20*(D6+D7+D8)</f>
        <v>17.97322954341271</v>
      </c>
      <c r="E9" s="385">
        <f ca="1">+E20*(E6+E7+E8)</f>
        <v>26.69536794458141</v>
      </c>
      <c r="F9" s="385">
        <v>44.668598175048828</v>
      </c>
      <c r="G9" s="83"/>
    </row>
    <row r="10" spans="1:15" ht="38.4" customHeight="1" x14ac:dyDescent="0.3">
      <c r="A10" s="83"/>
      <c r="B10" s="142" t="s">
        <v>276</v>
      </c>
      <c r="C10" s="143" t="s">
        <v>277</v>
      </c>
      <c r="D10" s="385">
        <f ca="1">+SUM(D8+D9)</f>
        <v>17.97322954341271</v>
      </c>
      <c r="E10" s="385">
        <f ca="1">+SUM(E8+E9)</f>
        <v>26.69536794458141</v>
      </c>
      <c r="F10" s="385">
        <v>44.668598175048828</v>
      </c>
      <c r="G10" s="83"/>
    </row>
    <row r="11" spans="1:15" ht="38.4" customHeight="1" x14ac:dyDescent="0.3">
      <c r="A11" s="83"/>
      <c r="B11" s="142" t="s">
        <v>278</v>
      </c>
      <c r="C11" s="143" t="s">
        <v>279</v>
      </c>
      <c r="D11" s="385">
        <f ca="1">+D6+D7+D10</f>
        <v>107.83937726047627</v>
      </c>
      <c r="E11" s="385">
        <f ca="1">+E6+E7+E10</f>
        <v>160.17220766748846</v>
      </c>
      <c r="F11" s="385">
        <v>268.0115966796875</v>
      </c>
      <c r="G11" s="83"/>
    </row>
    <row r="12" spans="1:15" ht="38.4" customHeight="1" x14ac:dyDescent="0.3">
      <c r="A12" s="83"/>
      <c r="B12" s="142" t="s">
        <v>280</v>
      </c>
      <c r="C12" s="143" t="s">
        <v>648</v>
      </c>
      <c r="D12" s="385">
        <f ca="1">+D11*D23</f>
        <v>16.175906589071438</v>
      </c>
      <c r="E12" s="385">
        <f ca="1">+E11*E23</f>
        <v>24.02583115012327</v>
      </c>
      <c r="F12" s="385">
        <v>40.201736450195313</v>
      </c>
      <c r="G12" s="83"/>
    </row>
    <row r="13" spans="1:15" ht="38.4" customHeight="1" thickBot="1" x14ac:dyDescent="0.35">
      <c r="A13" s="83"/>
      <c r="B13" s="167" t="s">
        <v>281</v>
      </c>
      <c r="C13" s="168" t="s">
        <v>282</v>
      </c>
      <c r="D13" s="385">
        <f ca="1">+D11+D12</f>
        <v>124.0152838495477</v>
      </c>
      <c r="E13" s="385">
        <f ca="1">+E11+E12</f>
        <v>184.19803881761175</v>
      </c>
      <c r="F13" s="385">
        <v>308.21331787109375</v>
      </c>
      <c r="G13" s="83"/>
    </row>
    <row r="14" spans="1:15" ht="38.4" customHeight="1" thickTop="1" x14ac:dyDescent="0.3">
      <c r="A14" s="83"/>
      <c r="B14" s="169" t="s">
        <v>283</v>
      </c>
      <c r="C14" s="144" t="s">
        <v>649</v>
      </c>
      <c r="D14" s="385">
        <f ca="1">+D13*D25</f>
        <v>137.65696507299796</v>
      </c>
      <c r="E14" s="385">
        <f ca="1">+E13*E25</f>
        <v>204.45982308754907</v>
      </c>
      <c r="F14" s="385">
        <v>342.11679077148438</v>
      </c>
      <c r="G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456</v>
      </c>
      <c r="D16" s="447" t="s">
        <v>655</v>
      </c>
      <c r="E16" s="447" t="s">
        <v>656</v>
      </c>
      <c r="F16" s="157"/>
      <c r="G16" s="83"/>
      <c r="H16" s="83"/>
    </row>
    <row r="17" spans="1:15" ht="38.4" customHeight="1" x14ac:dyDescent="0.3">
      <c r="A17" s="83"/>
      <c r="B17" s="86" t="s">
        <v>271</v>
      </c>
      <c r="C17" s="86" t="s">
        <v>272</v>
      </c>
      <c r="D17" s="320" t="s">
        <v>354</v>
      </c>
      <c r="E17" s="320" t="s">
        <v>354</v>
      </c>
      <c r="F17" s="157"/>
      <c r="G17" s="83"/>
      <c r="H17" s="83"/>
    </row>
    <row r="18" spans="1:15" ht="38.4" customHeight="1" x14ac:dyDescent="0.3">
      <c r="A18" s="83"/>
      <c r="B18" s="465" t="s">
        <v>273</v>
      </c>
      <c r="C18" s="86" t="s">
        <v>650</v>
      </c>
      <c r="D18" s="403">
        <v>0.1</v>
      </c>
      <c r="E18" s="403">
        <v>0.1</v>
      </c>
      <c r="F18" s="157"/>
      <c r="G18" s="83"/>
      <c r="H18" s="83"/>
    </row>
    <row r="19" spans="1:15" ht="38.4" customHeight="1" x14ac:dyDescent="0.3">
      <c r="A19" s="83"/>
      <c r="B19" s="86" t="s">
        <v>274</v>
      </c>
      <c r="C19" s="86" t="s">
        <v>650</v>
      </c>
      <c r="D19" s="404">
        <v>0</v>
      </c>
      <c r="E19" s="404">
        <v>0</v>
      </c>
      <c r="F19" s="157"/>
      <c r="G19" s="83"/>
      <c r="H19" s="83"/>
    </row>
    <row r="20" spans="1:15" ht="38.4" customHeight="1" x14ac:dyDescent="0.3">
      <c r="A20" s="83"/>
      <c r="B20" s="86" t="s">
        <v>275</v>
      </c>
      <c r="C20" s="86" t="s">
        <v>651</v>
      </c>
      <c r="D20" s="404">
        <v>0.2</v>
      </c>
      <c r="E20" s="404">
        <v>0.2</v>
      </c>
      <c r="F20" s="157"/>
      <c r="G20" s="83"/>
      <c r="H20" s="83"/>
    </row>
    <row r="21" spans="1:15" ht="38.4" customHeight="1" x14ac:dyDescent="0.3">
      <c r="A21" s="83"/>
      <c r="B21" s="86" t="s">
        <v>276</v>
      </c>
      <c r="C21" s="86" t="s">
        <v>277</v>
      </c>
      <c r="D21" s="310" t="s">
        <v>354</v>
      </c>
      <c r="E21" s="310" t="s">
        <v>354</v>
      </c>
      <c r="F21" s="157"/>
      <c r="G21" s="83"/>
      <c r="H21" s="83"/>
    </row>
    <row r="22" spans="1:15" ht="38.4" customHeight="1" x14ac:dyDescent="0.3">
      <c r="A22" s="83"/>
      <c r="B22" s="86" t="s">
        <v>278</v>
      </c>
      <c r="C22" s="86" t="s">
        <v>279</v>
      </c>
      <c r="D22" s="310" t="s">
        <v>354</v>
      </c>
      <c r="E22" s="310" t="s">
        <v>354</v>
      </c>
      <c r="F22" s="157"/>
      <c r="G22" s="83"/>
      <c r="H22" s="83"/>
    </row>
    <row r="23" spans="1:15" ht="38.4" customHeight="1" x14ac:dyDescent="0.3">
      <c r="A23" s="83"/>
      <c r="B23" s="86" t="s">
        <v>280</v>
      </c>
      <c r="C23" s="86" t="s">
        <v>648</v>
      </c>
      <c r="D23" s="404">
        <v>0.15</v>
      </c>
      <c r="E23" s="404">
        <v>0.15</v>
      </c>
      <c r="F23" s="157"/>
      <c r="G23" s="83"/>
      <c r="H23" s="83"/>
    </row>
    <row r="24" spans="1:15" ht="38.4" customHeight="1" x14ac:dyDescent="0.3">
      <c r="A24" s="83"/>
      <c r="B24" s="86" t="s">
        <v>281</v>
      </c>
      <c r="C24" s="86" t="s">
        <v>282</v>
      </c>
      <c r="D24" s="310" t="s">
        <v>354</v>
      </c>
      <c r="E24" s="310" t="s">
        <v>354</v>
      </c>
      <c r="F24" s="157"/>
      <c r="G24" s="83"/>
      <c r="H24" s="83"/>
    </row>
    <row r="25" spans="1:15" ht="38.4" customHeight="1" x14ac:dyDescent="0.3">
      <c r="A25" s="83"/>
      <c r="B25" s="86" t="s">
        <v>283</v>
      </c>
      <c r="C25" s="86" t="s">
        <v>284</v>
      </c>
      <c r="D25" s="404">
        <v>1.1100000000000001</v>
      </c>
      <c r="E25" s="404">
        <v>1.1100000000000001</v>
      </c>
      <c r="F25" s="157"/>
      <c r="G25" s="83"/>
      <c r="H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84" t="s">
        <v>625</v>
      </c>
      <c r="C28" s="885"/>
      <c r="E28" s="243"/>
      <c r="G28" s="83"/>
      <c r="H28" s="83"/>
      <c r="I28" s="83"/>
      <c r="J28" s="83"/>
      <c r="K28" s="83"/>
      <c r="L28" s="83"/>
      <c r="M28" s="83"/>
      <c r="N28" s="83"/>
      <c r="O28" s="83"/>
    </row>
    <row r="29" spans="1:15" ht="36" customHeight="1" x14ac:dyDescent="0.3">
      <c r="A29" s="83"/>
      <c r="B29" s="395" t="s">
        <v>457</v>
      </c>
      <c r="C29" s="439" t="str">
        <f>+'Plant Overview'!E9</f>
        <v>€</v>
      </c>
      <c r="D29" s="444" t="s">
        <v>489</v>
      </c>
      <c r="E29" s="245"/>
      <c r="F29" s="83"/>
      <c r="G29" s="83"/>
      <c r="H29" s="83"/>
      <c r="I29" s="83"/>
      <c r="J29" s="83"/>
      <c r="K29" s="83"/>
      <c r="L29" s="83"/>
      <c r="M29" s="83"/>
      <c r="N29" s="83"/>
      <c r="O29" s="83"/>
    </row>
    <row r="30" spans="1:15" ht="36" customHeight="1" x14ac:dyDescent="0.3">
      <c r="A30" s="83"/>
      <c r="B30" s="440" t="s">
        <v>315</v>
      </c>
      <c r="C30" s="441">
        <f>+'Plant Overview'!E8</f>
        <v>2024</v>
      </c>
      <c r="D30" s="386"/>
      <c r="E30" s="83"/>
      <c r="F30" s="83"/>
      <c r="G30" s="83"/>
      <c r="H30" s="83"/>
      <c r="I30" s="83"/>
      <c r="J30" s="83"/>
      <c r="K30" s="83"/>
      <c r="L30" s="83"/>
      <c r="M30" s="83"/>
      <c r="N30" s="83"/>
      <c r="O30" s="83"/>
    </row>
    <row r="31" spans="1:15" ht="36" customHeight="1" x14ac:dyDescent="0.3">
      <c r="A31" s="83"/>
      <c r="B31" s="442" t="s">
        <v>470</v>
      </c>
      <c r="C31" s="443"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586</v>
      </c>
      <c r="C33" s="410" t="str">
        <f>+"Total (M"&amp;C29&amp;")"</f>
        <v>Total (M€)</v>
      </c>
      <c r="D33" s="411" t="str">
        <f>+"Specific ("&amp;C29&amp;"/"&amp;'Plant Overview'!G32&amp;")"</f>
        <v>Specific (€/MJ)</v>
      </c>
      <c r="E33" s="83"/>
      <c r="F33" s="83"/>
      <c r="G33" s="83"/>
      <c r="H33" s="83"/>
      <c r="I33" s="83"/>
      <c r="J33" s="83"/>
      <c r="K33" s="83"/>
      <c r="L33" s="83"/>
      <c r="M33" s="83"/>
      <c r="N33" s="83"/>
      <c r="O33" s="83"/>
    </row>
    <row r="34" spans="1:15" ht="36" customHeight="1" x14ac:dyDescent="0.3">
      <c r="A34" s="83"/>
      <c r="B34" s="442" t="s">
        <v>584</v>
      </c>
      <c r="C34" s="445">
        <v>308.21331787109375</v>
      </c>
      <c r="D34" s="445">
        <f>+C34/'Plant Overview'!F32*1000</f>
        <v>1404.3528403476273</v>
      </c>
      <c r="E34" s="83"/>
      <c r="F34" s="83"/>
      <c r="G34" s="83"/>
      <c r="H34" s="83"/>
      <c r="I34" s="83"/>
      <c r="J34" s="83"/>
      <c r="K34" s="83"/>
      <c r="L34" s="83"/>
      <c r="M34" s="83"/>
      <c r="N34" s="83"/>
      <c r="O34" s="83"/>
    </row>
    <row r="35" spans="1:15" ht="36" customHeight="1" x14ac:dyDescent="0.3">
      <c r="A35" s="83"/>
      <c r="B35" s="442" t="s">
        <v>585</v>
      </c>
      <c r="C35" s="445">
        <v>342.11679077148438</v>
      </c>
      <c r="D35" s="446">
        <f>+C35/'Plant Overview'!F19*1000</f>
        <v>1558.8316889391915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587" t="s">
        <v>745</v>
      </c>
      <c r="C37" s="352" t="s">
        <v>588</v>
      </c>
      <c r="D37" s="219"/>
      <c r="E37" s="83"/>
      <c r="F37" s="83"/>
      <c r="G37" s="83"/>
      <c r="H37" s="83"/>
      <c r="I37" s="83"/>
      <c r="J37" s="83"/>
      <c r="K37" s="83"/>
      <c r="L37" s="83"/>
      <c r="M37" s="83"/>
      <c r="N37" s="83"/>
      <c r="O37" s="83"/>
    </row>
    <row r="38" spans="1:15" ht="36" customHeight="1" x14ac:dyDescent="0.3">
      <c r="A38" s="83"/>
      <c r="B38" s="588"/>
      <c r="C38" s="247" t="s">
        <v>589</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F4:F5 E7:E12 E14" calculatedColumn="1"/>
    <ignoredError sqref="E13" formula="1" calculatedColumn="1"/>
    <ignoredError sqref="D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topLeftCell="D1" zoomScale="85" zoomScaleNormal="85" workbookViewId="0">
      <selection activeCell="N23" sqref="N2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86" t="s">
        <v>568</v>
      </c>
      <c r="C2" s="886"/>
      <c r="D2" s="83"/>
      <c r="E2" s="83"/>
      <c r="F2" s="83"/>
      <c r="G2" s="83"/>
      <c r="I2" s="83"/>
      <c r="J2" s="83"/>
      <c r="K2" s="83"/>
      <c r="L2" s="83"/>
      <c r="M2" s="83"/>
      <c r="N2" s="83"/>
      <c r="O2" s="83"/>
      <c r="P2" s="83"/>
      <c r="Q2" s="83"/>
      <c r="R2" s="83"/>
      <c r="S2" s="804" t="s">
        <v>637</v>
      </c>
      <c r="T2" s="805"/>
      <c r="U2" s="805"/>
      <c r="V2" s="805"/>
      <c r="W2" s="805"/>
      <c r="X2" s="805"/>
      <c r="Y2" s="806"/>
    </row>
    <row r="3" spans="1:25" ht="21" customHeight="1" x14ac:dyDescent="0.3">
      <c r="A3" s="83"/>
      <c r="B3" s="886"/>
      <c r="C3" s="886"/>
      <c r="D3" s="83"/>
      <c r="E3" s="83"/>
      <c r="F3" s="83"/>
      <c r="G3" s="83"/>
      <c r="I3" s="83"/>
      <c r="J3" s="372"/>
      <c r="K3" s="372"/>
      <c r="L3" s="372"/>
      <c r="M3" s="83"/>
      <c r="N3" s="83"/>
      <c r="O3" s="83"/>
      <c r="P3" s="807" t="s">
        <v>267</v>
      </c>
      <c r="Q3" s="808"/>
      <c r="T3" s="83"/>
      <c r="U3" s="83"/>
      <c r="V3" s="83"/>
    </row>
    <row r="4" spans="1:25" ht="21" customHeight="1" x14ac:dyDescent="0.3">
      <c r="A4" s="83"/>
      <c r="B4" s="893" t="s">
        <v>489</v>
      </c>
      <c r="C4" s="894"/>
      <c r="D4" s="83"/>
      <c r="E4" s="83"/>
      <c r="F4" s="221" t="s">
        <v>571</v>
      </c>
      <c r="G4" s="222" t="s">
        <v>572</v>
      </c>
      <c r="I4" s="83"/>
      <c r="J4" s="83"/>
      <c r="K4" s="214"/>
      <c r="L4" s="212"/>
      <c r="M4" s="209"/>
      <c r="N4" s="83"/>
      <c r="O4" s="83"/>
      <c r="P4" s="358"/>
      <c r="Q4" s="314" t="s">
        <v>262</v>
      </c>
      <c r="S4" s="116" t="s">
        <v>678</v>
      </c>
      <c r="T4" s="117" t="s">
        <v>359</v>
      </c>
      <c r="U4" s="879" t="s">
        <v>573</v>
      </c>
      <c r="V4" s="810"/>
      <c r="W4" s="810"/>
      <c r="X4" s="810"/>
      <c r="Y4" s="811"/>
    </row>
    <row r="5" spans="1:25" ht="21" customHeight="1" x14ac:dyDescent="0.3">
      <c r="A5" s="83"/>
      <c r="B5" s="895"/>
      <c r="C5" s="896"/>
      <c r="D5" s="83"/>
      <c r="E5" s="220" t="s">
        <v>452</v>
      </c>
      <c r="F5" s="219"/>
      <c r="G5" s="219"/>
      <c r="I5" s="83"/>
      <c r="J5" s="83"/>
      <c r="K5" s="209"/>
      <c r="L5" s="212"/>
      <c r="M5" s="209"/>
      <c r="N5" s="83"/>
      <c r="O5" s="83"/>
      <c r="P5" s="399"/>
      <c r="Q5" s="314" t="s">
        <v>263</v>
      </c>
      <c r="S5" s="487"/>
      <c r="T5" s="110"/>
      <c r="U5" s="874"/>
      <c r="V5" s="875"/>
      <c r="W5" s="875"/>
      <c r="X5" s="875"/>
      <c r="Y5" s="876"/>
    </row>
    <row r="6" spans="1:25" ht="21" customHeight="1" x14ac:dyDescent="0.3">
      <c r="A6" s="83"/>
      <c r="B6" s="893"/>
      <c r="C6" s="894"/>
      <c r="D6" s="83"/>
      <c r="E6" s="220" t="s">
        <v>570</v>
      </c>
      <c r="F6" s="219"/>
      <c r="G6" s="219"/>
      <c r="I6" s="83"/>
      <c r="J6" s="83"/>
      <c r="K6" s="366"/>
      <c r="L6" s="212"/>
      <c r="M6" s="209"/>
      <c r="N6" s="83"/>
      <c r="O6" s="83"/>
      <c r="P6" s="400"/>
      <c r="Q6" s="98" t="s">
        <v>264</v>
      </c>
      <c r="S6" s="487"/>
      <c r="T6" s="110"/>
      <c r="U6" s="874"/>
      <c r="V6" s="875"/>
      <c r="W6" s="875"/>
      <c r="X6" s="875"/>
      <c r="Y6" s="876"/>
    </row>
    <row r="7" spans="1:25" s="83" customFormat="1" ht="21" customHeight="1" x14ac:dyDescent="0.3">
      <c r="B7" s="897"/>
      <c r="C7" s="898"/>
      <c r="E7" s="220" t="s">
        <v>453</v>
      </c>
      <c r="F7" s="219"/>
      <c r="G7" s="219"/>
      <c r="K7" s="209"/>
      <c r="L7" s="212"/>
      <c r="M7" s="209"/>
      <c r="P7" s="401"/>
      <c r="Q7" s="300" t="s">
        <v>268</v>
      </c>
      <c r="S7" s="487"/>
      <c r="T7" s="110"/>
      <c r="U7" s="874"/>
      <c r="V7" s="875"/>
      <c r="W7" s="875"/>
      <c r="X7" s="875"/>
      <c r="Y7" s="876"/>
    </row>
    <row r="8" spans="1:25" s="83" customFormat="1" ht="21" customHeight="1" x14ac:dyDescent="0.3">
      <c r="B8" s="897"/>
      <c r="C8" s="898"/>
      <c r="E8" s="893" t="s">
        <v>720</v>
      </c>
      <c r="F8" s="899"/>
      <c r="G8" s="894"/>
      <c r="K8" s="209"/>
      <c r="L8" s="212"/>
      <c r="M8" s="209"/>
      <c r="S8" s="487"/>
      <c r="T8" s="110"/>
      <c r="U8" s="874"/>
      <c r="V8" s="875"/>
      <c r="W8" s="875"/>
      <c r="X8" s="875"/>
      <c r="Y8" s="876"/>
    </row>
    <row r="9" spans="1:25" ht="21" customHeight="1" x14ac:dyDescent="0.3">
      <c r="A9" s="83"/>
      <c r="B9" s="895"/>
      <c r="C9" s="896"/>
      <c r="D9" s="369"/>
      <c r="E9" s="895"/>
      <c r="F9" s="900"/>
      <c r="G9" s="896"/>
      <c r="I9" s="83"/>
      <c r="J9" s="209"/>
      <c r="K9" s="209"/>
      <c r="L9" s="209"/>
      <c r="M9" s="209"/>
      <c r="N9" s="83"/>
      <c r="O9" s="83"/>
      <c r="P9" s="234" t="s">
        <v>672</v>
      </c>
      <c r="Q9" s="300">
        <f>+'Cost Conversion'!L2</f>
        <v>1.1000000000000001</v>
      </c>
      <c r="S9" s="487"/>
      <c r="T9" s="110"/>
      <c r="U9" s="874"/>
      <c r="V9" s="875"/>
      <c r="W9" s="875"/>
      <c r="X9" s="875"/>
      <c r="Y9" s="876"/>
    </row>
    <row r="10" spans="1:25" ht="21" customHeight="1" x14ac:dyDescent="0.3">
      <c r="A10" s="83"/>
      <c r="B10" s="83"/>
      <c r="C10" s="83"/>
      <c r="D10" s="369"/>
      <c r="E10" s="83"/>
      <c r="F10" s="211"/>
      <c r="G10" s="83"/>
      <c r="I10" s="83"/>
      <c r="J10" s="209"/>
      <c r="K10" s="209"/>
      <c r="L10" s="209"/>
      <c r="M10" s="209"/>
      <c r="N10" s="83"/>
      <c r="O10" s="83"/>
      <c r="P10" s="234" t="s">
        <v>744</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90" t="s">
        <v>445</v>
      </c>
      <c r="C14" s="891"/>
      <c r="D14" s="891"/>
      <c r="E14" s="891"/>
      <c r="F14" s="891"/>
      <c r="G14" s="892"/>
      <c r="H14" s="176"/>
      <c r="I14" s="890" t="s">
        <v>687</v>
      </c>
      <c r="J14" s="891"/>
      <c r="K14" s="891"/>
      <c r="L14" s="891"/>
      <c r="M14" s="891"/>
      <c r="N14" s="892"/>
      <c r="O14" s="83"/>
      <c r="P14" s="804" t="s">
        <v>447</v>
      </c>
      <c r="Q14" s="805"/>
      <c r="R14" s="805"/>
      <c r="S14" s="805"/>
      <c r="T14" s="805"/>
      <c r="U14" s="806"/>
      <c r="V14" s="209"/>
      <c r="W14" s="171" t="str">
        <f>+B19</f>
        <v>Total FOM</v>
      </c>
    </row>
    <row r="15" spans="1:25" ht="21" customHeight="1" x14ac:dyDescent="0.3">
      <c r="A15" s="83"/>
      <c r="B15" s="448" t="s">
        <v>666</v>
      </c>
      <c r="C15" s="449" t="s">
        <v>659</v>
      </c>
      <c r="D15" s="448" t="s">
        <v>664</v>
      </c>
      <c r="E15" s="449" t="s">
        <v>569</v>
      </c>
      <c r="F15" s="448" t="s">
        <v>665</v>
      </c>
      <c r="G15" s="514" t="s">
        <v>696</v>
      </c>
      <c r="H15" s="370"/>
      <c r="I15" s="448" t="s">
        <v>666</v>
      </c>
      <c r="J15" s="449" t="s">
        <v>659</v>
      </c>
      <c r="K15" s="448" t="s">
        <v>664</v>
      </c>
      <c r="L15" s="449" t="s">
        <v>569</v>
      </c>
      <c r="M15" s="448" t="s">
        <v>665</v>
      </c>
      <c r="N15" s="450" t="s">
        <v>697</v>
      </c>
      <c r="O15" s="371"/>
      <c r="P15" s="451" t="s">
        <v>666</v>
      </c>
      <c r="Q15" s="452" t="s">
        <v>659</v>
      </c>
      <c r="R15" s="453" t="s">
        <v>664</v>
      </c>
      <c r="S15" s="452" t="s">
        <v>569</v>
      </c>
      <c r="T15" s="453" t="s">
        <v>665</v>
      </c>
      <c r="U15" s="454" t="s">
        <v>697</v>
      </c>
      <c r="V15" s="209"/>
      <c r="W15" s="171" t="str">
        <f>+I16</f>
        <v>Natural Gas</v>
      </c>
    </row>
    <row r="16" spans="1:25" ht="21" customHeight="1" x14ac:dyDescent="0.3">
      <c r="A16" s="83"/>
      <c r="B16" s="96" t="s">
        <v>885</v>
      </c>
      <c r="C16" s="96">
        <v>6</v>
      </c>
      <c r="D16" s="96" t="s">
        <v>886</v>
      </c>
      <c r="E16" s="96">
        <v>60000</v>
      </c>
      <c r="F16" s="96" t="s">
        <v>887</v>
      </c>
      <c r="G16" s="149">
        <f>+C16*E16/10^6</f>
        <v>0.36</v>
      </c>
      <c r="H16" s="176"/>
      <c r="I16" s="96" t="str">
        <f>+'Plant Overview'!E71</f>
        <v>Natural Gas</v>
      </c>
      <c r="J16" s="156">
        <f>+'Plant Overview'!F56*'Plant Overview'!F57*3600*'Plant OPEX'!Q10/10^6</f>
        <v>12591630.512102088</v>
      </c>
      <c r="K16" s="96" t="s">
        <v>893</v>
      </c>
      <c r="L16" s="96">
        <v>6.5</v>
      </c>
      <c r="M16" s="218" t="s">
        <v>894</v>
      </c>
      <c r="N16" s="397">
        <f>+J16*L16/10^6</f>
        <v>81.84559832866357</v>
      </c>
      <c r="O16" s="83"/>
      <c r="P16" s="96" t="str">
        <f>'Plant Overview'!E52</f>
        <v>CO₂ Emissions</v>
      </c>
      <c r="Q16" s="156">
        <f>+'Plant Overview'!F52*3600/1000*Q10</f>
        <v>717146.46</v>
      </c>
      <c r="R16" s="96" t="s">
        <v>892</v>
      </c>
      <c r="S16" s="96">
        <v>50</v>
      </c>
      <c r="T16" s="218" t="s">
        <v>895</v>
      </c>
      <c r="U16" s="149">
        <f>+Q16*S16/10^6</f>
        <v>35.857323000000001</v>
      </c>
      <c r="V16" s="209"/>
      <c r="W16" s="171" t="str">
        <f>+I17</f>
        <v>Fuel 2</v>
      </c>
    </row>
    <row r="17" spans="1:23" ht="21" customHeight="1" x14ac:dyDescent="0.35">
      <c r="A17" s="83"/>
      <c r="B17" s="96" t="s">
        <v>888</v>
      </c>
      <c r="C17" s="156">
        <f>+'Plant CAPEX'!F13</f>
        <v>308.21331787109375</v>
      </c>
      <c r="D17" s="96" t="s">
        <v>889</v>
      </c>
      <c r="E17" s="96">
        <v>2.5000000000000001E-2</v>
      </c>
      <c r="F17" s="96" t="s">
        <v>789</v>
      </c>
      <c r="G17" s="149">
        <f>+C17*E17</f>
        <v>7.7053329467773439</v>
      </c>
      <c r="H17" s="215"/>
      <c r="I17" s="96" t="str">
        <f>+'Plant Overview'!E72</f>
        <v>Fuel 2</v>
      </c>
      <c r="J17" s="96"/>
      <c r="K17" s="96"/>
      <c r="L17" s="96"/>
      <c r="M17" s="96"/>
      <c r="N17" s="396">
        <f>+J17*L17/10^6</f>
        <v>0</v>
      </c>
      <c r="O17" s="83"/>
      <c r="P17" s="96" t="s">
        <v>891</v>
      </c>
      <c r="Q17" s="156">
        <f>43.97*3600*Q10/1000</f>
        <v>1387587.672</v>
      </c>
      <c r="R17" s="96" t="str">
        <f>+R16</f>
        <v>ton/year</v>
      </c>
      <c r="S17" s="96">
        <v>0.35</v>
      </c>
      <c r="T17" s="96" t="str">
        <f>+T16</f>
        <v>€/ton</v>
      </c>
      <c r="U17" s="149">
        <f>+Q17*S17/10^6</f>
        <v>0.48565568519999996</v>
      </c>
      <c r="V17" s="209"/>
      <c r="W17" s="171" t="str">
        <f>+P18</f>
        <v>Total VOM (exl. Fuel &amp; CO2 tax)</v>
      </c>
    </row>
    <row r="18" spans="1:23" ht="21" customHeight="1" x14ac:dyDescent="0.35">
      <c r="A18" s="83"/>
      <c r="B18" s="96" t="s">
        <v>890</v>
      </c>
      <c r="C18" s="156">
        <f>+'Plant CAPEX'!F13</f>
        <v>308.21331787109375</v>
      </c>
      <c r="D18" s="96" t="s">
        <v>889</v>
      </c>
      <c r="E18" s="96">
        <v>0.01</v>
      </c>
      <c r="F18" s="96" t="s">
        <v>789</v>
      </c>
      <c r="G18" s="149">
        <f>+C18*E18</f>
        <v>3.0821331787109374</v>
      </c>
      <c r="H18" s="215"/>
      <c r="I18" s="83"/>
      <c r="J18" s="83"/>
      <c r="K18" s="83"/>
      <c r="L18" s="209"/>
      <c r="M18" s="209"/>
      <c r="N18" s="209"/>
      <c r="O18" s="209"/>
      <c r="P18" s="887" t="s">
        <v>564</v>
      </c>
      <c r="Q18" s="888"/>
      <c r="R18" s="888"/>
      <c r="S18" s="888"/>
      <c r="T18" s="889"/>
      <c r="U18" s="398">
        <f>SUM(Tabla58[cost/year])-U16</f>
        <v>0.48565568520000113</v>
      </c>
      <c r="V18" s="209"/>
    </row>
    <row r="19" spans="1:23" ht="21" customHeight="1" x14ac:dyDescent="0.3">
      <c r="A19" s="83"/>
      <c r="B19" s="887" t="s">
        <v>446</v>
      </c>
      <c r="C19" s="888"/>
      <c r="D19" s="888"/>
      <c r="E19" s="888"/>
      <c r="F19" s="889"/>
      <c r="G19" s="396">
        <f>SUM(Tabla60[cost/year])</f>
        <v>11.147466125488283</v>
      </c>
      <c r="H19" s="176"/>
      <c r="I19" s="83"/>
      <c r="J19" s="83"/>
      <c r="K19" s="83"/>
      <c r="L19" s="209"/>
      <c r="M19" s="209"/>
      <c r="N19" s="209"/>
      <c r="O19" s="209"/>
      <c r="P19" s="887" t="s">
        <v>487</v>
      </c>
      <c r="Q19" s="888"/>
      <c r="R19" s="888"/>
      <c r="S19" s="888"/>
      <c r="T19" s="888"/>
      <c r="U19" s="396">
        <f>+U16</f>
        <v>35.857323000000001</v>
      </c>
      <c r="V19" s="209"/>
    </row>
    <row r="20" spans="1:23" ht="21" customHeight="1" x14ac:dyDescent="0.3">
      <c r="A20" s="83"/>
      <c r="B20" s="204"/>
      <c r="C20" s="204"/>
      <c r="D20" s="204"/>
      <c r="E20" s="204"/>
      <c r="F20" s="204"/>
      <c r="G20" s="146"/>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9:F19"/>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abSelected="1" zoomScale="70" zoomScaleNormal="70" workbookViewId="0">
      <selection activeCell="G33" sqref="G33"/>
    </sheetView>
  </sheetViews>
  <sheetFormatPr defaultColWidth="11.109375" defaultRowHeight="14.4" x14ac:dyDescent="0.3"/>
  <cols>
    <col min="1" max="1" width="5" customWidth="1"/>
    <col min="2" max="2" width="31.21875" customWidth="1"/>
    <col min="3" max="6" width="10.77734375" customWidth="1"/>
    <col min="7" max="46" width="12.21875" customWidth="1"/>
    <col min="70" max="70" width="0" hidden="1" customWidth="1"/>
  </cols>
  <sheetData>
    <row r="1" spans="1:70" ht="25.95" customHeight="1" x14ac:dyDescent="0.3">
      <c r="B1" s="917" t="s">
        <v>577</v>
      </c>
      <c r="C1" s="918"/>
      <c r="D1" s="918"/>
      <c r="E1" s="919"/>
      <c r="G1" s="915" t="s">
        <v>488</v>
      </c>
      <c r="H1" s="916"/>
      <c r="I1" s="915" t="s">
        <v>577</v>
      </c>
      <c r="J1" s="916"/>
    </row>
    <row r="2" spans="1:70" ht="20.399999999999999" customHeight="1" x14ac:dyDescent="0.3">
      <c r="G2" s="518"/>
      <c r="H2" s="519"/>
      <c r="I2" s="270"/>
      <c r="J2" s="522"/>
      <c r="S2" s="213"/>
      <c r="T2" s="213"/>
      <c r="V2" s="213"/>
      <c r="BR2" t="s">
        <v>703</v>
      </c>
    </row>
    <row r="3" spans="1:70" ht="20.399999999999999" customHeight="1" x14ac:dyDescent="0.3">
      <c r="A3" s="83"/>
      <c r="B3" s="798" t="s">
        <v>790</v>
      </c>
      <c r="C3" s="799"/>
      <c r="D3" s="799"/>
      <c r="E3" s="803"/>
      <c r="F3" s="83"/>
      <c r="G3" s="520"/>
      <c r="H3" s="521"/>
      <c r="I3" s="307"/>
      <c r="J3" s="523"/>
      <c r="K3" s="83"/>
      <c r="S3" s="157"/>
      <c r="T3" s="157"/>
      <c r="U3" s="213"/>
      <c r="V3" s="157"/>
      <c r="W3" s="83"/>
      <c r="X3" s="83"/>
      <c r="Y3" s="83"/>
      <c r="Z3" s="83"/>
      <c r="AA3" s="83"/>
      <c r="AB3" s="83"/>
      <c r="AC3" s="83"/>
      <c r="AD3" s="83"/>
      <c r="AE3" s="83"/>
      <c r="AF3" s="83"/>
      <c r="AG3" s="83"/>
      <c r="AH3" s="83"/>
      <c r="AI3" s="83"/>
      <c r="AJ3" s="83"/>
      <c r="AK3" s="83"/>
      <c r="BR3" t="s">
        <v>657</v>
      </c>
    </row>
    <row r="4" spans="1:70" ht="20.399999999999999" customHeight="1" x14ac:dyDescent="0.3">
      <c r="A4" s="83"/>
      <c r="B4" s="920" t="s">
        <v>584</v>
      </c>
      <c r="C4" s="921"/>
      <c r="D4" s="529">
        <f>+'Plant CAPEX'!F13</f>
        <v>308.21331787109375</v>
      </c>
      <c r="E4" s="413" t="str">
        <f>+J7</f>
        <v>M€</v>
      </c>
      <c r="F4" s="83"/>
      <c r="K4" s="83"/>
      <c r="U4" s="157"/>
      <c r="V4" s="157"/>
      <c r="W4" s="83"/>
      <c r="X4" s="83"/>
      <c r="Y4" s="83"/>
      <c r="Z4" s="83"/>
      <c r="AA4" s="83"/>
      <c r="AB4" s="83"/>
      <c r="AC4" s="83"/>
      <c r="AD4" s="83"/>
      <c r="AE4" s="83"/>
      <c r="AF4" s="83"/>
      <c r="AG4" s="83"/>
      <c r="AH4" s="83"/>
      <c r="AI4" s="83"/>
      <c r="AJ4" s="83"/>
      <c r="AK4" s="83"/>
      <c r="BR4" t="s">
        <v>702</v>
      </c>
    </row>
    <row r="5" spans="1:70" ht="20.399999999999999" customHeight="1" x14ac:dyDescent="0.3">
      <c r="A5" s="83"/>
      <c r="B5" s="922" t="s">
        <v>452</v>
      </c>
      <c r="C5" s="923"/>
      <c r="D5" s="529">
        <f>+'Plant OPEX'!G19</f>
        <v>11.147466125488283</v>
      </c>
      <c r="E5" s="413" t="str">
        <f>+"M"&amp;'Plant Overview'!$E$9&amp;"/y"</f>
        <v>M€/y</v>
      </c>
      <c r="F5" s="83"/>
      <c r="G5" s="926" t="s">
        <v>710</v>
      </c>
      <c r="H5" s="926"/>
      <c r="I5" s="808" t="s">
        <v>702</v>
      </c>
      <c r="J5" s="809"/>
      <c r="K5" s="83"/>
      <c r="S5" s="157"/>
      <c r="T5" s="157"/>
      <c r="U5" s="157"/>
      <c r="V5" s="157"/>
      <c r="W5" s="83"/>
      <c r="X5" s="83"/>
      <c r="Y5" s="83"/>
      <c r="Z5" s="83"/>
      <c r="AA5" s="83"/>
      <c r="AB5" s="83"/>
      <c r="AC5" s="83"/>
      <c r="AD5" s="83"/>
      <c r="AE5" s="83"/>
      <c r="AF5" s="83"/>
      <c r="AG5" s="83"/>
      <c r="AH5" s="83"/>
      <c r="AI5" s="83"/>
      <c r="AJ5" s="83"/>
      <c r="AK5" s="83"/>
      <c r="BR5" t="s">
        <v>701</v>
      </c>
    </row>
    <row r="6" spans="1:70" ht="20.399999999999999" customHeight="1" x14ac:dyDescent="0.3">
      <c r="A6" s="83"/>
      <c r="B6" s="920" t="s">
        <v>453</v>
      </c>
      <c r="C6" s="921"/>
      <c r="D6" s="529">
        <f>+'Plant OPEX'!U18</f>
        <v>0.48565568520000113</v>
      </c>
      <c r="E6" s="413" t="str">
        <f>+"M"&amp;'Plant Overview'!$E$9&amp;"/y"</f>
        <v>M€/y</v>
      </c>
      <c r="F6" s="83"/>
      <c r="G6" s="924" t="s">
        <v>657</v>
      </c>
      <c r="H6" s="925"/>
      <c r="I6" s="527" t="str">
        <f>+IF(I5="LCOP",D20,"-")</f>
        <v>-</v>
      </c>
      <c r="J6" s="524" t="str">
        <f>+'Plant Overview'!E9&amp;"/"&amp;'Plant Overview'!H32</f>
        <v>€/MWh</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920" t="str">
        <f>+'Plant OPEX'!I16</f>
        <v>Natural Gas</v>
      </c>
      <c r="C7" s="921"/>
      <c r="D7" s="529">
        <f>+'Plant OPEX'!N16</f>
        <v>81.84559832866357</v>
      </c>
      <c r="E7" s="413" t="str">
        <f>+"M"&amp;'Plant Overview'!$E$9&amp;"/y"</f>
        <v>M€/y</v>
      </c>
      <c r="F7" s="83"/>
      <c r="G7" s="924" t="s">
        <v>701</v>
      </c>
      <c r="H7" s="925"/>
      <c r="I7" s="726"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922" t="s">
        <v>793</v>
      </c>
      <c r="C8" s="921"/>
      <c r="D8" s="529">
        <f>+'Plant OPEX'!U19</f>
        <v>35.857323000000001</v>
      </c>
      <c r="E8" s="413" t="str">
        <f>+"M"&amp;'Plant Overview'!$E$9&amp;"/y"</f>
        <v>M€/y</v>
      </c>
      <c r="F8" s="83"/>
      <c r="G8" s="924" t="s">
        <v>702</v>
      </c>
      <c r="H8" s="925"/>
      <c r="I8" s="719">
        <f>+IF(I5="IRR",D21,"-")</f>
        <v>0.17372359731551398</v>
      </c>
      <c r="J8" s="462"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F9" s="83"/>
      <c r="G9" s="927" t="s">
        <v>707</v>
      </c>
      <c r="H9" s="928"/>
      <c r="I9" s="86" cm="1">
        <f t="array" ref="I9">+MATCH(TRUE,G38:AT38&gt;0,0)</f>
        <v>6</v>
      </c>
      <c r="J9" s="86" t="s">
        <v>448</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906" t="s">
        <v>629</v>
      </c>
      <c r="C10" s="907"/>
      <c r="D10" s="907"/>
      <c r="E10" s="908"/>
      <c r="F10" s="83"/>
      <c r="G10" s="927" t="s">
        <v>708</v>
      </c>
      <c r="H10" s="928"/>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902" t="s">
        <v>792</v>
      </c>
      <c r="C11" s="903"/>
      <c r="D11" s="96">
        <v>10</v>
      </c>
      <c r="E11" s="86" t="s">
        <v>448</v>
      </c>
      <c r="F11" s="83"/>
      <c r="G11" s="911" t="s">
        <v>668</v>
      </c>
      <c r="H11" s="912"/>
      <c r="I11" s="408" t="str">
        <f>+IF(I5="LCOP",IF(I15="","Ref.",((H16-H20)-(I16-I20))/(I15-H15)),"-")</f>
        <v>-</v>
      </c>
      <c r="J11" s="86" t="str">
        <f>+'Plant Overview'!E9&amp;"/"&amp;'Plant Overview'!H52</f>
        <v>€/kg/s</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B12" s="904" t="s">
        <v>794</v>
      </c>
      <c r="C12" s="905"/>
      <c r="D12" s="654">
        <v>0.35</v>
      </c>
      <c r="E12" s="413" t="s">
        <v>451</v>
      </c>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901" t="s">
        <v>791</v>
      </c>
      <c r="C13" s="901"/>
      <c r="D13" s="654">
        <v>0.05</v>
      </c>
      <c r="E13" s="413" t="s">
        <v>789</v>
      </c>
      <c r="F13" s="83"/>
      <c r="G13" s="906" t="s">
        <v>709</v>
      </c>
      <c r="H13" s="907"/>
      <c r="I13" s="907"/>
      <c r="J13" s="908"/>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901" t="s">
        <v>799</v>
      </c>
      <c r="C14" s="901"/>
      <c r="D14" s="654">
        <v>0.65</v>
      </c>
      <c r="E14" s="413" t="s">
        <v>451</v>
      </c>
      <c r="F14" s="83"/>
      <c r="G14" s="526"/>
      <c r="H14" s="528" t="str">
        <f>+'Plant Overview'!E6</f>
        <v>NGCC</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901" t="s">
        <v>454</v>
      </c>
      <c r="C15" s="901"/>
      <c r="D15" s="462">
        <v>0.9</v>
      </c>
      <c r="E15" s="86" t="s">
        <v>451</v>
      </c>
      <c r="F15" s="83"/>
      <c r="G15" s="87" t="s">
        <v>671</v>
      </c>
      <c r="H15" s="644">
        <f>+('Plant Overview'!F52/'Plant Overview'!I52)/('Plant Overview'!F32/'Plant Overview'!I32)</f>
        <v>372.76165307331303</v>
      </c>
      <c r="I15" s="525"/>
      <c r="J15" s="413" t="str">
        <f>+'Plant Overview'!H52&amp;"/"&amp;'Plant Overview'!H32</f>
        <v>kg/s/MWh</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914" t="s">
        <v>628</v>
      </c>
      <c r="C16" s="914"/>
      <c r="D16" s="463">
        <v>25</v>
      </c>
      <c r="E16" s="86" t="s">
        <v>448</v>
      </c>
      <c r="F16" s="83"/>
      <c r="G16" s="87" t="str">
        <f>+G6</f>
        <v>LCOP</v>
      </c>
      <c r="H16" s="412" t="str">
        <f>+IF(I5="LCOP",SUM(H17:H22),"-")</f>
        <v>-</v>
      </c>
      <c r="I16" s="412"/>
      <c r="J16" s="413" t="str">
        <f>+J6</f>
        <v>€/MWh</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914" t="s">
        <v>438</v>
      </c>
      <c r="C17" s="914"/>
      <c r="D17" s="86">
        <v>2</v>
      </c>
      <c r="E17" s="86" t="s">
        <v>448</v>
      </c>
      <c r="F17" s="83"/>
      <c r="G17" s="177" t="str">
        <f>+B29</f>
        <v>Capital</v>
      </c>
      <c r="H17" s="382" t="str">
        <f>+IF(I5="LCOP",SUMPRODUCT(C29:AT29,C35:AT35)/SUMPRODUCT(C27:AT27,C35:AT35)*I6,"-")</f>
        <v>-</v>
      </c>
      <c r="I17" s="382"/>
      <c r="J17" s="53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t="str">
        <f>+IF(I5="LCOP",SUMPRODUCT(C30:AT30,C35:AT35)/SUMPRODUCT(C27:AT27,C35:AT35)*I6,"-")</f>
        <v>-</v>
      </c>
      <c r="I18" s="383"/>
      <c r="J18" s="53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906" t="s">
        <v>706</v>
      </c>
      <c r="C19" s="907"/>
      <c r="D19" s="907"/>
      <c r="E19" s="908"/>
      <c r="F19" s="83"/>
      <c r="G19" s="99" t="str">
        <f>+B31</f>
        <v>VOM</v>
      </c>
      <c r="H19" s="383" t="str">
        <f>+IF(I5="LCOP",SUMPRODUCT(C31:AJ31,C35:AJ35)/SUMPRODUCT(C27:AJ27,C35:AJ35)*I6,"-")</f>
        <v>-</v>
      </c>
      <c r="I19" s="383"/>
      <c r="J19" s="53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913" t="s">
        <v>704</v>
      </c>
      <c r="C20" s="913"/>
      <c r="D20" s="644">
        <v>120</v>
      </c>
      <c r="E20" s="86" t="str">
        <f>+J6</f>
        <v>€/MWh</v>
      </c>
      <c r="F20" s="83"/>
      <c r="G20" s="99" t="str">
        <f>+B34</f>
        <v>CO₂ tax</v>
      </c>
      <c r="H20" s="383" t="str">
        <f>+IF(I5="LCOP",SUMPRODUCT(C34:AT34,C37:AT37)/SUMPRODUCT(C27:AT27,C37:AT37)*I6,"-")</f>
        <v>-</v>
      </c>
      <c r="I20" s="383"/>
      <c r="J20" s="53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901" t="s">
        <v>439</v>
      </c>
      <c r="C21" s="901"/>
      <c r="D21" s="724">
        <v>0.17372359731551398</v>
      </c>
      <c r="E21" s="98" t="s">
        <v>451</v>
      </c>
      <c r="F21" s="83"/>
      <c r="G21" s="99" t="str">
        <f>+B32</f>
        <v>Natural Gas</v>
      </c>
      <c r="H21" s="383" t="str">
        <f>+IF(I5="LCOP",SUMPRODUCT(C32:AJ32,C37:AJ37)/SUMPRODUCT(C27:AJ27,C37:AJ37)*I6,"-")</f>
        <v>-</v>
      </c>
      <c r="I21" s="383"/>
      <c r="J21" s="53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927" t="s">
        <v>705</v>
      </c>
      <c r="C22" s="928"/>
      <c r="D22" s="86">
        <f>HLOOKUP(D16,C24:AT39,16)</f>
        <v>1.7968759799646961E-5</v>
      </c>
      <c r="E22" s="86" t="str">
        <f>+E4</f>
        <v>M€</v>
      </c>
      <c r="F22" s="83"/>
      <c r="G22" s="170" t="str">
        <f>+B33</f>
        <v>Fuel 2</v>
      </c>
      <c r="H22" s="533" t="str">
        <f>+IF(I5="LCOP",SUMPRODUCT(C33:AT33,C37:AT37)/SUMPRODUCT(C27:AT27,C37:AT37)*I6,"-")</f>
        <v>-</v>
      </c>
      <c r="I22" s="533"/>
      <c r="J22" s="53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row>
    <row r="24" spans="1:48" ht="20.399999999999999" customHeight="1" x14ac:dyDescent="0.3">
      <c r="A24" s="83"/>
      <c r="B24" s="438" t="s">
        <v>315</v>
      </c>
      <c r="C24" s="477">
        <v>-4</v>
      </c>
      <c r="D24" s="478">
        <v>-3</v>
      </c>
      <c r="E24" s="478">
        <v>-2</v>
      </c>
      <c r="F24" s="479">
        <v>-1</v>
      </c>
      <c r="G24" s="478">
        <v>1</v>
      </c>
      <c r="H24" s="478">
        <v>2</v>
      </c>
      <c r="I24" s="478">
        <v>3</v>
      </c>
      <c r="J24" s="478">
        <v>4</v>
      </c>
      <c r="K24" s="478">
        <v>5</v>
      </c>
      <c r="L24" s="478">
        <v>6</v>
      </c>
      <c r="M24" s="478">
        <v>7</v>
      </c>
      <c r="N24" s="478">
        <v>8</v>
      </c>
      <c r="O24" s="478">
        <v>9</v>
      </c>
      <c r="P24" s="478">
        <v>10</v>
      </c>
      <c r="Q24" s="478">
        <v>11</v>
      </c>
      <c r="R24" s="478">
        <v>12</v>
      </c>
      <c r="S24" s="478">
        <v>13</v>
      </c>
      <c r="T24" s="478">
        <v>14</v>
      </c>
      <c r="U24" s="478">
        <v>15</v>
      </c>
      <c r="V24" s="478">
        <v>16</v>
      </c>
      <c r="W24" s="478">
        <v>17</v>
      </c>
      <c r="X24" s="478">
        <v>18</v>
      </c>
      <c r="Y24" s="478">
        <v>19</v>
      </c>
      <c r="Z24" s="478">
        <v>20</v>
      </c>
      <c r="AA24" s="478">
        <v>21</v>
      </c>
      <c r="AB24" s="478">
        <v>22</v>
      </c>
      <c r="AC24" s="478">
        <v>23</v>
      </c>
      <c r="AD24" s="478">
        <v>24</v>
      </c>
      <c r="AE24" s="478">
        <v>25</v>
      </c>
      <c r="AF24" s="478">
        <v>26</v>
      </c>
      <c r="AG24" s="478">
        <v>27</v>
      </c>
      <c r="AH24" s="478">
        <v>28</v>
      </c>
      <c r="AI24" s="478">
        <v>29</v>
      </c>
      <c r="AJ24" s="478">
        <v>30</v>
      </c>
      <c r="AK24" s="478">
        <v>31</v>
      </c>
      <c r="AL24" s="478">
        <v>32</v>
      </c>
      <c r="AM24" s="478">
        <v>33</v>
      </c>
      <c r="AN24" s="478">
        <v>34</v>
      </c>
      <c r="AO24" s="478">
        <v>35</v>
      </c>
      <c r="AP24" s="478">
        <v>36</v>
      </c>
      <c r="AQ24" s="478">
        <v>37</v>
      </c>
      <c r="AR24" s="478">
        <v>38</v>
      </c>
      <c r="AS24" s="478">
        <v>39</v>
      </c>
      <c r="AT24" s="479">
        <v>40</v>
      </c>
      <c r="AU24" s="380"/>
      <c r="AV24" s="380"/>
    </row>
    <row r="25" spans="1:48" ht="20.399999999999999" customHeight="1" x14ac:dyDescent="0.3">
      <c r="A25" s="83"/>
      <c r="B25" s="475" t="s">
        <v>442</v>
      </c>
      <c r="C25" s="667"/>
      <c r="D25" s="476"/>
      <c r="E25" s="476"/>
      <c r="F25" s="668"/>
      <c r="G25" s="669">
        <f>+D14</f>
        <v>0.65</v>
      </c>
      <c r="H25" s="670">
        <f t="shared" ref="H25:AT25" si="0">+IF(H24&lt;=$D$16,$D$15,0)</f>
        <v>0.9</v>
      </c>
      <c r="I25" s="670">
        <f t="shared" si="0"/>
        <v>0.9</v>
      </c>
      <c r="J25" s="670">
        <f t="shared" si="0"/>
        <v>0.9</v>
      </c>
      <c r="K25" s="670">
        <f t="shared" si="0"/>
        <v>0.9</v>
      </c>
      <c r="L25" s="670">
        <f t="shared" si="0"/>
        <v>0.9</v>
      </c>
      <c r="M25" s="670">
        <f t="shared" si="0"/>
        <v>0.9</v>
      </c>
      <c r="N25" s="670">
        <f t="shared" si="0"/>
        <v>0.9</v>
      </c>
      <c r="O25" s="670">
        <f t="shared" si="0"/>
        <v>0.9</v>
      </c>
      <c r="P25" s="670">
        <f t="shared" si="0"/>
        <v>0.9</v>
      </c>
      <c r="Q25" s="670">
        <f t="shared" si="0"/>
        <v>0.9</v>
      </c>
      <c r="R25" s="670">
        <f t="shared" si="0"/>
        <v>0.9</v>
      </c>
      <c r="S25" s="670">
        <f t="shared" si="0"/>
        <v>0.9</v>
      </c>
      <c r="T25" s="670">
        <f t="shared" si="0"/>
        <v>0.9</v>
      </c>
      <c r="U25" s="670">
        <f t="shared" si="0"/>
        <v>0.9</v>
      </c>
      <c r="V25" s="670">
        <f t="shared" si="0"/>
        <v>0.9</v>
      </c>
      <c r="W25" s="670">
        <f t="shared" si="0"/>
        <v>0.9</v>
      </c>
      <c r="X25" s="670">
        <f t="shared" si="0"/>
        <v>0.9</v>
      </c>
      <c r="Y25" s="670">
        <f t="shared" si="0"/>
        <v>0.9</v>
      </c>
      <c r="Z25" s="670">
        <f t="shared" si="0"/>
        <v>0.9</v>
      </c>
      <c r="AA25" s="670">
        <f t="shared" si="0"/>
        <v>0.9</v>
      </c>
      <c r="AB25" s="670">
        <f t="shared" si="0"/>
        <v>0.9</v>
      </c>
      <c r="AC25" s="670">
        <f t="shared" si="0"/>
        <v>0.9</v>
      </c>
      <c r="AD25" s="670">
        <f t="shared" si="0"/>
        <v>0.9</v>
      </c>
      <c r="AE25" s="670">
        <f t="shared" si="0"/>
        <v>0.9</v>
      </c>
      <c r="AF25" s="670">
        <f t="shared" si="0"/>
        <v>0</v>
      </c>
      <c r="AG25" s="670">
        <f t="shared" si="0"/>
        <v>0</v>
      </c>
      <c r="AH25" s="670">
        <f t="shared" si="0"/>
        <v>0</v>
      </c>
      <c r="AI25" s="670">
        <f t="shared" si="0"/>
        <v>0</v>
      </c>
      <c r="AJ25" s="670">
        <f t="shared" si="0"/>
        <v>0</v>
      </c>
      <c r="AK25" s="670">
        <f t="shared" si="0"/>
        <v>0</v>
      </c>
      <c r="AL25" s="670">
        <f t="shared" si="0"/>
        <v>0</v>
      </c>
      <c r="AM25" s="670">
        <f t="shared" si="0"/>
        <v>0</v>
      </c>
      <c r="AN25" s="670">
        <f t="shared" si="0"/>
        <v>0</v>
      </c>
      <c r="AO25" s="670">
        <f t="shared" si="0"/>
        <v>0</v>
      </c>
      <c r="AP25" s="670">
        <f t="shared" si="0"/>
        <v>0</v>
      </c>
      <c r="AQ25" s="670">
        <f t="shared" si="0"/>
        <v>0</v>
      </c>
      <c r="AR25" s="670">
        <f t="shared" si="0"/>
        <v>0</v>
      </c>
      <c r="AS25" s="670">
        <f t="shared" si="0"/>
        <v>0</v>
      </c>
      <c r="AT25" s="671">
        <f t="shared" si="0"/>
        <v>0</v>
      </c>
    </row>
    <row r="26" spans="1:48" ht="20.399999999999999" customHeight="1" x14ac:dyDescent="0.3">
      <c r="A26" s="83"/>
      <c r="B26" s="672" t="s">
        <v>441</v>
      </c>
      <c r="C26" s="91"/>
      <c r="F26" s="84"/>
      <c r="G26" s="91"/>
      <c r="AT26" s="84"/>
    </row>
    <row r="27" spans="1:48" ht="20.399999999999999" customHeight="1" x14ac:dyDescent="0.3">
      <c r="A27" s="83"/>
      <c r="B27" s="474" t="s">
        <v>658</v>
      </c>
      <c r="C27" s="435"/>
      <c r="D27" s="436"/>
      <c r="E27" s="436"/>
      <c r="F27" s="437"/>
      <c r="G27" s="480">
        <f>'Plant OPEX'!$Q$10*3600*G25*'Plant Overview'!$F$32/'Plant Overview'!$I$32*$D$20/10^6</f>
        <v>150.06217355999999</v>
      </c>
      <c r="H27" s="660">
        <f>'Plant OPEX'!$Q$10*3600*H25*'Plant Overview'!$F$32/'Plant Overview'!$I$32*$D$20/10^6</f>
        <v>207.77839416</v>
      </c>
      <c r="I27" s="660">
        <f>'Plant OPEX'!$Q$10*3600*I25*'Plant Overview'!$F$32/'Plant Overview'!$I$32*$D$20/10^6</f>
        <v>207.77839416</v>
      </c>
      <c r="J27" s="660">
        <f>'Plant OPEX'!$Q$10*3600*J25*'Plant Overview'!$F$32/'Plant Overview'!$I$32*$D$20/10^6</f>
        <v>207.77839416</v>
      </c>
      <c r="K27" s="660">
        <f>'Plant OPEX'!$Q$10*3600*K25*'Plant Overview'!$F$32/'Plant Overview'!$I$32*$D$20/10^6</f>
        <v>207.77839416</v>
      </c>
      <c r="L27" s="660">
        <f>'Plant OPEX'!$Q$10*3600*L25*'Plant Overview'!$F$32/'Plant Overview'!$I$32*$D$20/10^6</f>
        <v>207.77839416</v>
      </c>
      <c r="M27" s="660">
        <f>'Plant OPEX'!$Q$10*3600*M25*'Plant Overview'!$F$32/'Plant Overview'!$I$32*$D$20/10^6</f>
        <v>207.77839416</v>
      </c>
      <c r="N27" s="660">
        <f>'Plant OPEX'!$Q$10*3600*N25*'Plant Overview'!$F$32/'Plant Overview'!$I$32*$D$20/10^6</f>
        <v>207.77839416</v>
      </c>
      <c r="O27" s="660">
        <f>'Plant OPEX'!$Q$10*3600*O25*'Plant Overview'!$F$32/'Plant Overview'!$I$32*$D$20/10^6</f>
        <v>207.77839416</v>
      </c>
      <c r="P27" s="660">
        <f>'Plant OPEX'!$Q$10*3600*P25*'Plant Overview'!$F$32/'Plant Overview'!$I$32*$D$20/10^6</f>
        <v>207.77839416</v>
      </c>
      <c r="Q27" s="660">
        <f>'Plant OPEX'!$Q$10*3600*Q25*'Plant Overview'!$F$32/'Plant Overview'!$I$32*$D$20/10^6</f>
        <v>207.77839416</v>
      </c>
      <c r="R27" s="660">
        <f>'Plant OPEX'!$Q$10*3600*R25*'Plant Overview'!$F$32/'Plant Overview'!$I$32*$D$20/10^6</f>
        <v>207.77839416</v>
      </c>
      <c r="S27" s="660">
        <f>'Plant OPEX'!$Q$10*3600*S25*'Plant Overview'!$F$32/'Plant Overview'!$I$32*$D$20/10^6</f>
        <v>207.77839416</v>
      </c>
      <c r="T27" s="660">
        <f>'Plant OPEX'!$Q$10*3600*T25*'Plant Overview'!$F$32/'Plant Overview'!$I$32*$D$20/10^6</f>
        <v>207.77839416</v>
      </c>
      <c r="U27" s="660">
        <f>'Plant OPEX'!$Q$10*3600*U25*'Plant Overview'!$F$32/'Plant Overview'!$I$32*$D$20/10^6</f>
        <v>207.77839416</v>
      </c>
      <c r="V27" s="660">
        <f>'Plant OPEX'!$Q$10*3600*V25*'Plant Overview'!$F$32/'Plant Overview'!$I$32*$D$20/10^6</f>
        <v>207.77839416</v>
      </c>
      <c r="W27" s="660">
        <f>'Plant OPEX'!$Q$10*3600*W25*'Plant Overview'!$F$32/'Plant Overview'!$I$32*$D$20/10^6</f>
        <v>207.77839416</v>
      </c>
      <c r="X27" s="660">
        <f>'Plant OPEX'!$Q$10*3600*X25*'Plant Overview'!$F$32/'Plant Overview'!$I$32*$D$20/10^6</f>
        <v>207.77839416</v>
      </c>
      <c r="Y27" s="660">
        <f>'Plant OPEX'!$Q$10*3600*Y25*'Plant Overview'!$F$32/'Plant Overview'!$I$32*$D$20/10^6</f>
        <v>207.77839416</v>
      </c>
      <c r="Z27" s="660">
        <f>'Plant OPEX'!$Q$10*3600*Z25*'Plant Overview'!$F$32/'Plant Overview'!$I$32*$D$20/10^6</f>
        <v>207.77839416</v>
      </c>
      <c r="AA27" s="660">
        <f>'Plant OPEX'!$Q$10*3600*AA25*'Plant Overview'!$F$32/'Plant Overview'!$I$32*$D$20/10^6</f>
        <v>207.77839416</v>
      </c>
      <c r="AB27" s="660">
        <f>'Plant OPEX'!$Q$10*3600*AB25*'Plant Overview'!$F$32/'Plant Overview'!$I$32*$D$20/10^6</f>
        <v>207.77839416</v>
      </c>
      <c r="AC27" s="660">
        <f>'Plant OPEX'!$Q$10*3600*AC25*'Plant Overview'!$F$32/'Plant Overview'!$I$32*$D$20/10^6</f>
        <v>207.77839416</v>
      </c>
      <c r="AD27" s="660">
        <f>'Plant OPEX'!$Q$10*3600*AD25*'Plant Overview'!$F$32/'Plant Overview'!$I$32*$D$20/10^6</f>
        <v>207.77839416</v>
      </c>
      <c r="AE27" s="660">
        <f>'Plant OPEX'!$Q$10*3600*AE25*'Plant Overview'!$F$32/'Plant Overview'!$I$32*$D$20/10^6</f>
        <v>207.77839416</v>
      </c>
      <c r="AF27" s="660">
        <f>'Plant OPEX'!$Q$10*3600*AF25*'Plant Overview'!$F$32/'Plant Overview'!$I$32*$D$20/10^6</f>
        <v>0</v>
      </c>
      <c r="AG27" s="660">
        <f>'Plant OPEX'!$Q$10*3600*AG25*'Plant Overview'!$F$32/'Plant Overview'!$I$32*$D$20/10^6</f>
        <v>0</v>
      </c>
      <c r="AH27" s="660">
        <f>'Plant OPEX'!$Q$10*3600*AH25*'Plant Overview'!$F$32/'Plant Overview'!$I$32*$D$20/10^6</f>
        <v>0</v>
      </c>
      <c r="AI27" s="660">
        <f>'Plant OPEX'!$Q$10*3600*AI25*'Plant Overview'!$F$32/'Plant Overview'!$I$32*$D$20/10^6</f>
        <v>0</v>
      </c>
      <c r="AJ27" s="660">
        <f>'Plant OPEX'!$Q$10*3600*AJ25*'Plant Overview'!$F$32/'Plant Overview'!$I$32*$D$20/10^6</f>
        <v>0</v>
      </c>
      <c r="AK27" s="660">
        <f>'Plant OPEX'!$Q$10*3600*AK25*'Plant Overview'!$F$32/'Plant Overview'!$I$32*$D$20/10^6</f>
        <v>0</v>
      </c>
      <c r="AL27" s="660">
        <f>'Plant OPEX'!$Q$10*3600*AL25*'Plant Overview'!$F$32/'Plant Overview'!$I$32*$D$20/10^6</f>
        <v>0</v>
      </c>
      <c r="AM27" s="660">
        <f>'Plant OPEX'!$Q$10*3600*AM25*'Plant Overview'!$F$32/'Plant Overview'!$I$32*$D$20/10^6</f>
        <v>0</v>
      </c>
      <c r="AN27" s="660">
        <f>'Plant OPEX'!$Q$10*3600*AN25*'Plant Overview'!$F$32/'Plant Overview'!$I$32*$D$20/10^6</f>
        <v>0</v>
      </c>
      <c r="AO27" s="660">
        <f>'Plant OPEX'!$Q$10*3600*AO25*'Plant Overview'!$F$32/'Plant Overview'!$I$32*$D$20/10^6</f>
        <v>0</v>
      </c>
      <c r="AP27" s="660">
        <f>'Plant OPEX'!$Q$10*3600*AP25*'Plant Overview'!$F$32/'Plant Overview'!$I$32*$D$20/10^6</f>
        <v>0</v>
      </c>
      <c r="AQ27" s="660">
        <f>'Plant OPEX'!$Q$10*3600*AQ25*'Plant Overview'!$F$32/'Plant Overview'!$I$32*$D$20/10^6</f>
        <v>0</v>
      </c>
      <c r="AR27" s="660">
        <f>'Plant OPEX'!$Q$10*3600*AR25*'Plant Overview'!$F$32/'Plant Overview'!$I$32*$D$20/10^6</f>
        <v>0</v>
      </c>
      <c r="AS27" s="660">
        <f>'Plant OPEX'!$Q$10*3600*AS25*'Plant Overview'!$F$32/'Plant Overview'!$I$32*$D$20/10^6</f>
        <v>0</v>
      </c>
      <c r="AT27" s="481">
        <f>'Plant OPEX'!$Q$10*3600*AT25*'Plant Overview'!$F$32/'Plant Overview'!$I$32*$D$20/10^6</f>
        <v>0</v>
      </c>
    </row>
    <row r="28" spans="1:48" ht="20.399999999999999" customHeight="1" x14ac:dyDescent="0.3">
      <c r="A28" s="83"/>
      <c r="B28" s="513" t="s">
        <v>443</v>
      </c>
      <c r="C28" s="721"/>
      <c r="D28" s="432"/>
      <c r="E28" s="432"/>
      <c r="F28" s="666"/>
      <c r="G28" s="432"/>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656"/>
      <c r="AG28" s="656"/>
      <c r="AH28" s="656"/>
      <c r="AI28" s="656"/>
      <c r="AJ28" s="656"/>
      <c r="AK28" s="657"/>
      <c r="AL28" s="658"/>
      <c r="AM28" s="658"/>
      <c r="AN28" s="658"/>
      <c r="AO28" s="658"/>
      <c r="AP28" s="658"/>
      <c r="AQ28" s="658"/>
      <c r="AR28" s="658"/>
      <c r="AS28" s="658"/>
      <c r="AT28" s="659"/>
    </row>
    <row r="29" spans="1:48" ht="20.399999999999999" customHeight="1" x14ac:dyDescent="0.3">
      <c r="A29" s="83"/>
      <c r="B29" s="472" t="s">
        <v>437</v>
      </c>
      <c r="C29" s="722">
        <f>IF($D$17&gt;3,$D$4/$D$17,0)</f>
        <v>0</v>
      </c>
      <c r="D29" s="720">
        <f>IF($D$17&gt;2,$D$4/$D$17,0)</f>
        <v>0</v>
      </c>
      <c r="E29" s="720">
        <f>IF($D$17&gt;1,$D$4/$D$17,0)</f>
        <v>154.10665893554688</v>
      </c>
      <c r="F29" s="723">
        <f>$D$4/$D$17</f>
        <v>154.10665893554688</v>
      </c>
      <c r="G29" s="720">
        <f>+IF(G24&lt;&gt;$D$16,0,$D$13*$D$4)</f>
        <v>0</v>
      </c>
      <c r="H29" s="720">
        <f>+IF(H24&lt;&gt;$D$16,0,$D$13*$D$4)</f>
        <v>0</v>
      </c>
      <c r="I29" s="720">
        <f t="shared" ref="I29:AE29" si="1">+IF(I24&lt;&gt;$D$16,0,$D$13*$D$4)</f>
        <v>0</v>
      </c>
      <c r="J29" s="720">
        <f t="shared" si="1"/>
        <v>0</v>
      </c>
      <c r="K29" s="720">
        <f t="shared" si="1"/>
        <v>0</v>
      </c>
      <c r="L29" s="720">
        <f t="shared" si="1"/>
        <v>0</v>
      </c>
      <c r="M29" s="720">
        <f t="shared" si="1"/>
        <v>0</v>
      </c>
      <c r="N29" s="720">
        <f t="shared" si="1"/>
        <v>0</v>
      </c>
      <c r="O29" s="720">
        <f t="shared" si="1"/>
        <v>0</v>
      </c>
      <c r="P29" s="720">
        <f t="shared" si="1"/>
        <v>0</v>
      </c>
      <c r="Q29" s="720">
        <f t="shared" si="1"/>
        <v>0</v>
      </c>
      <c r="R29" s="720">
        <f t="shared" si="1"/>
        <v>0</v>
      </c>
      <c r="S29" s="720">
        <f t="shared" si="1"/>
        <v>0</v>
      </c>
      <c r="T29" s="720">
        <f t="shared" si="1"/>
        <v>0</v>
      </c>
      <c r="U29" s="720">
        <f t="shared" si="1"/>
        <v>0</v>
      </c>
      <c r="V29" s="720">
        <f t="shared" si="1"/>
        <v>0</v>
      </c>
      <c r="W29" s="720">
        <f t="shared" si="1"/>
        <v>0</v>
      </c>
      <c r="X29" s="720">
        <f t="shared" si="1"/>
        <v>0</v>
      </c>
      <c r="Y29" s="720">
        <f t="shared" si="1"/>
        <v>0</v>
      </c>
      <c r="Z29" s="720">
        <f t="shared" si="1"/>
        <v>0</v>
      </c>
      <c r="AA29" s="720">
        <f t="shared" si="1"/>
        <v>0</v>
      </c>
      <c r="AB29" s="720">
        <f t="shared" si="1"/>
        <v>0</v>
      </c>
      <c r="AC29" s="720">
        <f t="shared" si="1"/>
        <v>0</v>
      </c>
      <c r="AD29" s="720">
        <f t="shared" si="1"/>
        <v>0</v>
      </c>
      <c r="AE29" s="660">
        <f t="shared" si="1"/>
        <v>15.410665893554688</v>
      </c>
      <c r="AF29" s="655" t="str">
        <f t="shared" ref="AF29:AT29" si="2">+IF(AF24&lt;&gt;$D$16,"",$D$13*$D$4)</f>
        <v/>
      </c>
      <c r="AG29" s="655" t="str">
        <f t="shared" si="2"/>
        <v/>
      </c>
      <c r="AH29" s="655" t="str">
        <f t="shared" si="2"/>
        <v/>
      </c>
      <c r="AI29" s="655" t="str">
        <f t="shared" si="2"/>
        <v/>
      </c>
      <c r="AJ29" s="655" t="str">
        <f t="shared" si="2"/>
        <v/>
      </c>
      <c r="AK29" s="655" t="str">
        <f t="shared" si="2"/>
        <v/>
      </c>
      <c r="AL29" s="655" t="str">
        <f t="shared" si="2"/>
        <v/>
      </c>
      <c r="AM29" s="655" t="str">
        <f t="shared" si="2"/>
        <v/>
      </c>
      <c r="AN29" s="655" t="str">
        <f t="shared" si="2"/>
        <v/>
      </c>
      <c r="AO29" s="655" t="str">
        <f t="shared" si="2"/>
        <v/>
      </c>
      <c r="AP29" s="655" t="str">
        <f t="shared" si="2"/>
        <v/>
      </c>
      <c r="AQ29" s="655" t="str">
        <f t="shared" si="2"/>
        <v/>
      </c>
      <c r="AR29" s="655" t="str">
        <f t="shared" si="2"/>
        <v/>
      </c>
      <c r="AS29" s="655" t="str">
        <f t="shared" si="2"/>
        <v/>
      </c>
      <c r="AT29" s="434" t="str">
        <f t="shared" si="2"/>
        <v/>
      </c>
    </row>
    <row r="30" spans="1:48" ht="20.399999999999999" customHeight="1" x14ac:dyDescent="0.3">
      <c r="A30" s="83"/>
      <c r="B30" s="473" t="s">
        <v>452</v>
      </c>
      <c r="C30" s="433"/>
      <c r="D30" s="655"/>
      <c r="E30" s="655"/>
      <c r="F30" s="434"/>
      <c r="G30" s="660">
        <f>+$D$5</f>
        <v>11.147466125488283</v>
      </c>
      <c r="H30" s="660">
        <f t="shared" ref="H30:AT30" si="3">+IF(H24&lt;=$D$16,$D$5,0)</f>
        <v>11.147466125488283</v>
      </c>
      <c r="I30" s="660">
        <f t="shared" si="3"/>
        <v>11.147466125488283</v>
      </c>
      <c r="J30" s="660">
        <f t="shared" si="3"/>
        <v>11.147466125488283</v>
      </c>
      <c r="K30" s="660">
        <f t="shared" si="3"/>
        <v>11.147466125488283</v>
      </c>
      <c r="L30" s="660">
        <f t="shared" si="3"/>
        <v>11.147466125488283</v>
      </c>
      <c r="M30" s="660">
        <f t="shared" si="3"/>
        <v>11.147466125488283</v>
      </c>
      <c r="N30" s="660">
        <f t="shared" si="3"/>
        <v>11.147466125488283</v>
      </c>
      <c r="O30" s="660">
        <f t="shared" si="3"/>
        <v>11.147466125488283</v>
      </c>
      <c r="P30" s="660">
        <f t="shared" si="3"/>
        <v>11.147466125488283</v>
      </c>
      <c r="Q30" s="660">
        <f t="shared" si="3"/>
        <v>11.147466125488283</v>
      </c>
      <c r="R30" s="660">
        <f t="shared" si="3"/>
        <v>11.147466125488283</v>
      </c>
      <c r="S30" s="660">
        <f t="shared" si="3"/>
        <v>11.147466125488283</v>
      </c>
      <c r="T30" s="660">
        <f t="shared" si="3"/>
        <v>11.147466125488283</v>
      </c>
      <c r="U30" s="660">
        <f t="shared" si="3"/>
        <v>11.147466125488283</v>
      </c>
      <c r="V30" s="660">
        <f t="shared" si="3"/>
        <v>11.147466125488283</v>
      </c>
      <c r="W30" s="660">
        <f t="shared" si="3"/>
        <v>11.147466125488283</v>
      </c>
      <c r="X30" s="660">
        <f t="shared" si="3"/>
        <v>11.147466125488283</v>
      </c>
      <c r="Y30" s="660">
        <f t="shared" si="3"/>
        <v>11.147466125488283</v>
      </c>
      <c r="Z30" s="660">
        <f t="shared" si="3"/>
        <v>11.147466125488283</v>
      </c>
      <c r="AA30" s="660">
        <f t="shared" si="3"/>
        <v>11.147466125488283</v>
      </c>
      <c r="AB30" s="660">
        <f t="shared" si="3"/>
        <v>11.147466125488283</v>
      </c>
      <c r="AC30" s="660">
        <f t="shared" si="3"/>
        <v>11.147466125488283</v>
      </c>
      <c r="AD30" s="660">
        <f t="shared" si="3"/>
        <v>11.147466125488283</v>
      </c>
      <c r="AE30" s="660">
        <f t="shared" si="3"/>
        <v>11.147466125488283</v>
      </c>
      <c r="AF30" s="660">
        <f t="shared" si="3"/>
        <v>0</v>
      </c>
      <c r="AG30" s="660">
        <f t="shared" si="3"/>
        <v>0</v>
      </c>
      <c r="AH30" s="660">
        <f t="shared" si="3"/>
        <v>0</v>
      </c>
      <c r="AI30" s="660">
        <f t="shared" si="3"/>
        <v>0</v>
      </c>
      <c r="AJ30" s="660">
        <f t="shared" si="3"/>
        <v>0</v>
      </c>
      <c r="AK30" s="660">
        <f t="shared" si="3"/>
        <v>0</v>
      </c>
      <c r="AL30" s="660">
        <f t="shared" si="3"/>
        <v>0</v>
      </c>
      <c r="AM30" s="660">
        <f t="shared" si="3"/>
        <v>0</v>
      </c>
      <c r="AN30" s="660">
        <f t="shared" si="3"/>
        <v>0</v>
      </c>
      <c r="AO30" s="660">
        <f t="shared" si="3"/>
        <v>0</v>
      </c>
      <c r="AP30" s="660">
        <f t="shared" si="3"/>
        <v>0</v>
      </c>
      <c r="AQ30" s="660">
        <f t="shared" si="3"/>
        <v>0</v>
      </c>
      <c r="AR30" s="660">
        <f t="shared" si="3"/>
        <v>0</v>
      </c>
      <c r="AS30" s="660">
        <f t="shared" si="3"/>
        <v>0</v>
      </c>
      <c r="AT30" s="481">
        <f t="shared" si="3"/>
        <v>0</v>
      </c>
    </row>
    <row r="31" spans="1:48" ht="20.399999999999999" customHeight="1" x14ac:dyDescent="0.3">
      <c r="A31" s="83"/>
      <c r="B31" s="473" t="str">
        <f>+B6</f>
        <v>VOM</v>
      </c>
      <c r="C31" s="433"/>
      <c r="D31" s="655"/>
      <c r="E31" s="655"/>
      <c r="F31" s="434"/>
      <c r="G31" s="660">
        <f t="shared" ref="G31:AT31" si="4">+$D$6*G25</f>
        <v>0.31567619538000075</v>
      </c>
      <c r="H31" s="660">
        <f t="shared" si="4"/>
        <v>0.43709011668000103</v>
      </c>
      <c r="I31" s="660">
        <f t="shared" si="4"/>
        <v>0.43709011668000103</v>
      </c>
      <c r="J31" s="660">
        <f t="shared" si="4"/>
        <v>0.43709011668000103</v>
      </c>
      <c r="K31" s="660">
        <f t="shared" si="4"/>
        <v>0.43709011668000103</v>
      </c>
      <c r="L31" s="660">
        <f t="shared" si="4"/>
        <v>0.43709011668000103</v>
      </c>
      <c r="M31" s="660">
        <f t="shared" si="4"/>
        <v>0.43709011668000103</v>
      </c>
      <c r="N31" s="660">
        <f t="shared" si="4"/>
        <v>0.43709011668000103</v>
      </c>
      <c r="O31" s="660">
        <f t="shared" si="4"/>
        <v>0.43709011668000103</v>
      </c>
      <c r="P31" s="660">
        <f t="shared" si="4"/>
        <v>0.43709011668000103</v>
      </c>
      <c r="Q31" s="660">
        <f t="shared" si="4"/>
        <v>0.43709011668000103</v>
      </c>
      <c r="R31" s="660">
        <f t="shared" si="4"/>
        <v>0.43709011668000103</v>
      </c>
      <c r="S31" s="660">
        <f t="shared" si="4"/>
        <v>0.43709011668000103</v>
      </c>
      <c r="T31" s="660">
        <f t="shared" si="4"/>
        <v>0.43709011668000103</v>
      </c>
      <c r="U31" s="660">
        <f t="shared" si="4"/>
        <v>0.43709011668000103</v>
      </c>
      <c r="V31" s="660">
        <f t="shared" si="4"/>
        <v>0.43709011668000103</v>
      </c>
      <c r="W31" s="660">
        <f t="shared" si="4"/>
        <v>0.43709011668000103</v>
      </c>
      <c r="X31" s="660">
        <f t="shared" si="4"/>
        <v>0.43709011668000103</v>
      </c>
      <c r="Y31" s="660">
        <f t="shared" si="4"/>
        <v>0.43709011668000103</v>
      </c>
      <c r="Z31" s="660">
        <f t="shared" si="4"/>
        <v>0.43709011668000103</v>
      </c>
      <c r="AA31" s="660">
        <f t="shared" si="4"/>
        <v>0.43709011668000103</v>
      </c>
      <c r="AB31" s="660">
        <f t="shared" si="4"/>
        <v>0.43709011668000103</v>
      </c>
      <c r="AC31" s="660">
        <f t="shared" si="4"/>
        <v>0.43709011668000103</v>
      </c>
      <c r="AD31" s="660">
        <f t="shared" si="4"/>
        <v>0.43709011668000103</v>
      </c>
      <c r="AE31" s="660">
        <f t="shared" si="4"/>
        <v>0.43709011668000103</v>
      </c>
      <c r="AF31" s="660">
        <f t="shared" si="4"/>
        <v>0</v>
      </c>
      <c r="AG31" s="660">
        <f t="shared" si="4"/>
        <v>0</v>
      </c>
      <c r="AH31" s="660">
        <f t="shared" si="4"/>
        <v>0</v>
      </c>
      <c r="AI31" s="660">
        <f t="shared" si="4"/>
        <v>0</v>
      </c>
      <c r="AJ31" s="660">
        <f t="shared" si="4"/>
        <v>0</v>
      </c>
      <c r="AK31" s="660">
        <f t="shared" si="4"/>
        <v>0</v>
      </c>
      <c r="AL31" s="660">
        <f t="shared" si="4"/>
        <v>0</v>
      </c>
      <c r="AM31" s="660">
        <f t="shared" si="4"/>
        <v>0</v>
      </c>
      <c r="AN31" s="660">
        <f t="shared" si="4"/>
        <v>0</v>
      </c>
      <c r="AO31" s="660">
        <f t="shared" si="4"/>
        <v>0</v>
      </c>
      <c r="AP31" s="660">
        <f t="shared" si="4"/>
        <v>0</v>
      </c>
      <c r="AQ31" s="660">
        <f t="shared" si="4"/>
        <v>0</v>
      </c>
      <c r="AR31" s="660">
        <f t="shared" si="4"/>
        <v>0</v>
      </c>
      <c r="AS31" s="660">
        <f t="shared" si="4"/>
        <v>0</v>
      </c>
      <c r="AT31" s="481">
        <f t="shared" si="4"/>
        <v>0</v>
      </c>
    </row>
    <row r="32" spans="1:48" ht="20.399999999999999" customHeight="1" x14ac:dyDescent="0.3">
      <c r="A32" s="83"/>
      <c r="B32" s="472" t="str">
        <f>+B7</f>
        <v>Natural Gas</v>
      </c>
      <c r="C32" s="433"/>
      <c r="D32" s="655"/>
      <c r="E32" s="655"/>
      <c r="F32" s="434"/>
      <c r="G32" s="660">
        <f t="shared" ref="G32:AT32" si="5">+$D$7*G25</f>
        <v>53.199638913631325</v>
      </c>
      <c r="H32" s="660">
        <f t="shared" si="5"/>
        <v>73.661038495797214</v>
      </c>
      <c r="I32" s="660">
        <f t="shared" si="5"/>
        <v>73.661038495797214</v>
      </c>
      <c r="J32" s="660">
        <f t="shared" si="5"/>
        <v>73.661038495797214</v>
      </c>
      <c r="K32" s="660">
        <f t="shared" si="5"/>
        <v>73.661038495797214</v>
      </c>
      <c r="L32" s="660">
        <f t="shared" si="5"/>
        <v>73.661038495797214</v>
      </c>
      <c r="M32" s="660">
        <f t="shared" si="5"/>
        <v>73.661038495797214</v>
      </c>
      <c r="N32" s="660">
        <f t="shared" si="5"/>
        <v>73.661038495797214</v>
      </c>
      <c r="O32" s="660">
        <f t="shared" si="5"/>
        <v>73.661038495797214</v>
      </c>
      <c r="P32" s="660">
        <f t="shared" si="5"/>
        <v>73.661038495797214</v>
      </c>
      <c r="Q32" s="660">
        <f t="shared" si="5"/>
        <v>73.661038495797214</v>
      </c>
      <c r="R32" s="660">
        <f t="shared" si="5"/>
        <v>73.661038495797214</v>
      </c>
      <c r="S32" s="660">
        <f t="shared" si="5"/>
        <v>73.661038495797214</v>
      </c>
      <c r="T32" s="660">
        <f t="shared" si="5"/>
        <v>73.661038495797214</v>
      </c>
      <c r="U32" s="660">
        <f t="shared" si="5"/>
        <v>73.661038495797214</v>
      </c>
      <c r="V32" s="660">
        <f t="shared" si="5"/>
        <v>73.661038495797214</v>
      </c>
      <c r="W32" s="660">
        <f t="shared" si="5"/>
        <v>73.661038495797214</v>
      </c>
      <c r="X32" s="660">
        <f t="shared" si="5"/>
        <v>73.661038495797214</v>
      </c>
      <c r="Y32" s="660">
        <f t="shared" si="5"/>
        <v>73.661038495797214</v>
      </c>
      <c r="Z32" s="660">
        <f t="shared" si="5"/>
        <v>73.661038495797214</v>
      </c>
      <c r="AA32" s="660">
        <f t="shared" si="5"/>
        <v>73.661038495797214</v>
      </c>
      <c r="AB32" s="660">
        <f t="shared" si="5"/>
        <v>73.661038495797214</v>
      </c>
      <c r="AC32" s="660">
        <f t="shared" si="5"/>
        <v>73.661038495797214</v>
      </c>
      <c r="AD32" s="660">
        <f t="shared" si="5"/>
        <v>73.661038495797214</v>
      </c>
      <c r="AE32" s="660">
        <f t="shared" si="5"/>
        <v>73.661038495797214</v>
      </c>
      <c r="AF32" s="660">
        <f t="shared" si="5"/>
        <v>0</v>
      </c>
      <c r="AG32" s="660">
        <f t="shared" si="5"/>
        <v>0</v>
      </c>
      <c r="AH32" s="660">
        <f t="shared" si="5"/>
        <v>0</v>
      </c>
      <c r="AI32" s="660">
        <f t="shared" si="5"/>
        <v>0</v>
      </c>
      <c r="AJ32" s="660">
        <f t="shared" si="5"/>
        <v>0</v>
      </c>
      <c r="AK32" s="660">
        <f t="shared" si="5"/>
        <v>0</v>
      </c>
      <c r="AL32" s="660">
        <f t="shared" si="5"/>
        <v>0</v>
      </c>
      <c r="AM32" s="660">
        <f t="shared" si="5"/>
        <v>0</v>
      </c>
      <c r="AN32" s="660">
        <f t="shared" si="5"/>
        <v>0</v>
      </c>
      <c r="AO32" s="660">
        <f t="shared" si="5"/>
        <v>0</v>
      </c>
      <c r="AP32" s="660">
        <f t="shared" si="5"/>
        <v>0</v>
      </c>
      <c r="AQ32" s="660">
        <f t="shared" si="5"/>
        <v>0</v>
      </c>
      <c r="AR32" s="660">
        <f t="shared" si="5"/>
        <v>0</v>
      </c>
      <c r="AS32" s="660">
        <f t="shared" si="5"/>
        <v>0</v>
      </c>
      <c r="AT32" s="481">
        <f t="shared" si="5"/>
        <v>0</v>
      </c>
    </row>
    <row r="33" spans="1:46" ht="20.399999999999999" customHeight="1" x14ac:dyDescent="0.3">
      <c r="A33" s="83"/>
      <c r="B33" s="472" t="str">
        <f>+'Plant OPEX'!I17</f>
        <v>Fuel 2</v>
      </c>
      <c r="C33" s="433"/>
      <c r="D33" s="655"/>
      <c r="E33" s="655"/>
      <c r="F33" s="434"/>
      <c r="G33" s="660">
        <f>+'Plant OPEX'!$N$17*G25</f>
        <v>0</v>
      </c>
      <c r="H33" s="660">
        <f>+'Plant OPEX'!$N$17*H25</f>
        <v>0</v>
      </c>
      <c r="I33" s="660">
        <f>+'Plant OPEX'!$N$17*I25</f>
        <v>0</v>
      </c>
      <c r="J33" s="660">
        <f>+'Plant OPEX'!$N$17*J25</f>
        <v>0</v>
      </c>
      <c r="K33" s="660">
        <f>+'Plant OPEX'!$N$17*K25</f>
        <v>0</v>
      </c>
      <c r="L33" s="660">
        <f>+'Plant OPEX'!$N$17*L25</f>
        <v>0</v>
      </c>
      <c r="M33" s="660">
        <f>+'Plant OPEX'!$N$17*M25</f>
        <v>0</v>
      </c>
      <c r="N33" s="660">
        <f>+'Plant OPEX'!$N$17*N25</f>
        <v>0</v>
      </c>
      <c r="O33" s="660">
        <f>+'Plant OPEX'!$N$17*O25</f>
        <v>0</v>
      </c>
      <c r="P33" s="660">
        <f>+'Plant OPEX'!$N$17*P25</f>
        <v>0</v>
      </c>
      <c r="Q33" s="660">
        <f>+'Plant OPEX'!$N$17*Q25</f>
        <v>0</v>
      </c>
      <c r="R33" s="660">
        <f>+'Plant OPEX'!$N$17*R25</f>
        <v>0</v>
      </c>
      <c r="S33" s="660">
        <f>+'Plant OPEX'!$N$17*S25</f>
        <v>0</v>
      </c>
      <c r="T33" s="660">
        <f>+'Plant OPEX'!$N$17*T25</f>
        <v>0</v>
      </c>
      <c r="U33" s="660">
        <f>+'Plant OPEX'!$N$17*U25</f>
        <v>0</v>
      </c>
      <c r="V33" s="660">
        <f>+'Plant OPEX'!$N$17*V25</f>
        <v>0</v>
      </c>
      <c r="W33" s="660">
        <f>+'Plant OPEX'!$N$17*W25</f>
        <v>0</v>
      </c>
      <c r="X33" s="660">
        <f>+'Plant OPEX'!$N$17*X25</f>
        <v>0</v>
      </c>
      <c r="Y33" s="660">
        <f>+'Plant OPEX'!$N$17*Y25</f>
        <v>0</v>
      </c>
      <c r="Z33" s="660">
        <f>+'Plant OPEX'!$N$17*Z25</f>
        <v>0</v>
      </c>
      <c r="AA33" s="660">
        <f>+'Plant OPEX'!$N$17*AA25</f>
        <v>0</v>
      </c>
      <c r="AB33" s="660">
        <f>+'Plant OPEX'!$N$17*AB25</f>
        <v>0</v>
      </c>
      <c r="AC33" s="660">
        <f>+'Plant OPEX'!$N$17*AC25</f>
        <v>0</v>
      </c>
      <c r="AD33" s="660">
        <f>+'Plant OPEX'!$N$17*AD25</f>
        <v>0</v>
      </c>
      <c r="AE33" s="660">
        <f>+'Plant OPEX'!$N$17*AE25</f>
        <v>0</v>
      </c>
      <c r="AF33" s="660">
        <f>+'Plant OPEX'!$N$17*AF25</f>
        <v>0</v>
      </c>
      <c r="AG33" s="660">
        <f>+'Plant OPEX'!$N$17*AG25</f>
        <v>0</v>
      </c>
      <c r="AH33" s="660">
        <f>+'Plant OPEX'!$N$17*AH25</f>
        <v>0</v>
      </c>
      <c r="AI33" s="660">
        <f>+'Plant OPEX'!$N$17*AI25</f>
        <v>0</v>
      </c>
      <c r="AJ33" s="660">
        <f>+'Plant OPEX'!$N$17*AJ25</f>
        <v>0</v>
      </c>
      <c r="AK33" s="660">
        <f>+'Plant OPEX'!$N$17*AK25</f>
        <v>0</v>
      </c>
      <c r="AL33" s="660">
        <f>+'Plant OPEX'!$N$17*AL25</f>
        <v>0</v>
      </c>
      <c r="AM33" s="660">
        <f>+'Plant OPEX'!$N$17*AM25</f>
        <v>0</v>
      </c>
      <c r="AN33" s="660">
        <f>+'Plant OPEX'!$N$17*AN25</f>
        <v>0</v>
      </c>
      <c r="AO33" s="660">
        <f>+'Plant OPEX'!$N$17*AO25</f>
        <v>0</v>
      </c>
      <c r="AP33" s="660">
        <f>+'Plant OPEX'!$N$17*AP25</f>
        <v>0</v>
      </c>
      <c r="AQ33" s="660">
        <f>+'Plant OPEX'!$N$17*AQ25</f>
        <v>0</v>
      </c>
      <c r="AR33" s="660">
        <f>+'Plant OPEX'!$N$17*AR25</f>
        <v>0</v>
      </c>
      <c r="AS33" s="660">
        <f>+'Plant OPEX'!$N$17*AS25</f>
        <v>0</v>
      </c>
      <c r="AT33" s="481">
        <f>+'Plant OPEX'!N17*AT25</f>
        <v>0</v>
      </c>
    </row>
    <row r="34" spans="1:46" ht="20.399999999999999" customHeight="1" x14ac:dyDescent="0.3">
      <c r="A34" s="83"/>
      <c r="B34" s="473" t="s">
        <v>796</v>
      </c>
      <c r="C34" s="435"/>
      <c r="D34" s="436"/>
      <c r="E34" s="436"/>
      <c r="F34" s="437"/>
      <c r="G34" s="516">
        <f>'Plant OPEX'!$U$19*'Cash Flow Analysis'!G25</f>
        <v>23.307259950000002</v>
      </c>
      <c r="H34" s="516">
        <f>'Plant OPEX'!$U$19*'Cash Flow Analysis'!H25</f>
        <v>32.271590700000004</v>
      </c>
      <c r="I34" s="516">
        <f>'Plant OPEX'!$U$19*'Cash Flow Analysis'!I25</f>
        <v>32.271590700000004</v>
      </c>
      <c r="J34" s="516">
        <f>'Plant OPEX'!$U$19*'Cash Flow Analysis'!J25</f>
        <v>32.271590700000004</v>
      </c>
      <c r="K34" s="516">
        <f>'Plant OPEX'!$U$19*'Cash Flow Analysis'!K25</f>
        <v>32.271590700000004</v>
      </c>
      <c r="L34" s="516">
        <f>'Plant OPEX'!$U$19*'Cash Flow Analysis'!L25</f>
        <v>32.271590700000004</v>
      </c>
      <c r="M34" s="516">
        <f>'Plant OPEX'!$U$19*'Cash Flow Analysis'!M25</f>
        <v>32.271590700000004</v>
      </c>
      <c r="N34" s="516">
        <f>'Plant OPEX'!$U$19*'Cash Flow Analysis'!N25</f>
        <v>32.271590700000004</v>
      </c>
      <c r="O34" s="516">
        <f>'Plant OPEX'!$U$19*'Cash Flow Analysis'!O25</f>
        <v>32.271590700000004</v>
      </c>
      <c r="P34" s="516">
        <f>'Plant OPEX'!$U$19*'Cash Flow Analysis'!P25</f>
        <v>32.271590700000004</v>
      </c>
      <c r="Q34" s="516">
        <f>'Plant OPEX'!$U$19*'Cash Flow Analysis'!Q25</f>
        <v>32.271590700000004</v>
      </c>
      <c r="R34" s="516">
        <f>'Plant OPEX'!$U$19*'Cash Flow Analysis'!R25</f>
        <v>32.271590700000004</v>
      </c>
      <c r="S34" s="516">
        <f>'Plant OPEX'!$U$19*'Cash Flow Analysis'!S25</f>
        <v>32.271590700000004</v>
      </c>
      <c r="T34" s="516">
        <f>'Plant OPEX'!$U$19*'Cash Flow Analysis'!T25</f>
        <v>32.271590700000004</v>
      </c>
      <c r="U34" s="516">
        <f>'Plant OPEX'!$U$19*'Cash Flow Analysis'!U25</f>
        <v>32.271590700000004</v>
      </c>
      <c r="V34" s="516">
        <f>'Plant OPEX'!$U$19*'Cash Flow Analysis'!V25</f>
        <v>32.271590700000004</v>
      </c>
      <c r="W34" s="516">
        <f>'Plant OPEX'!$U$19*'Cash Flow Analysis'!W25</f>
        <v>32.271590700000004</v>
      </c>
      <c r="X34" s="516">
        <f>'Plant OPEX'!$U$19*'Cash Flow Analysis'!X25</f>
        <v>32.271590700000004</v>
      </c>
      <c r="Y34" s="516">
        <f>'Plant OPEX'!$U$19*'Cash Flow Analysis'!Y25</f>
        <v>32.271590700000004</v>
      </c>
      <c r="Z34" s="516">
        <f>'Plant OPEX'!$U$19*'Cash Flow Analysis'!Z25</f>
        <v>32.271590700000004</v>
      </c>
      <c r="AA34" s="516">
        <f>'Plant OPEX'!$U$19*'Cash Flow Analysis'!AA25</f>
        <v>32.271590700000004</v>
      </c>
      <c r="AB34" s="516">
        <f>'Plant OPEX'!$U$19*'Cash Flow Analysis'!AB25</f>
        <v>32.271590700000004</v>
      </c>
      <c r="AC34" s="516">
        <f>'Plant OPEX'!$U$19*'Cash Flow Analysis'!AC25</f>
        <v>32.271590700000004</v>
      </c>
      <c r="AD34" s="516">
        <f>'Plant OPEX'!$U$19*'Cash Flow Analysis'!AD25</f>
        <v>32.271590700000004</v>
      </c>
      <c r="AE34" s="516">
        <f>'Plant OPEX'!$U$19*'Cash Flow Analysis'!AE25</f>
        <v>32.271590700000004</v>
      </c>
      <c r="AF34" s="516">
        <f>'Plant OPEX'!$U$19*'Cash Flow Analysis'!AF25</f>
        <v>0</v>
      </c>
      <c r="AG34" s="516">
        <f>'Plant OPEX'!$U$19*'Cash Flow Analysis'!AG25</f>
        <v>0</v>
      </c>
      <c r="AH34" s="516">
        <f>'Plant OPEX'!$U$19*'Cash Flow Analysis'!AH25</f>
        <v>0</v>
      </c>
      <c r="AI34" s="516">
        <f>'Plant OPEX'!$U$19*'Cash Flow Analysis'!AI25</f>
        <v>0</v>
      </c>
      <c r="AJ34" s="516">
        <f>'Plant OPEX'!$U$19*'Cash Flow Analysis'!AJ25</f>
        <v>0</v>
      </c>
      <c r="AK34" s="516">
        <f>'Plant OPEX'!$U$19*'Cash Flow Analysis'!AK25</f>
        <v>0</v>
      </c>
      <c r="AL34" s="516">
        <f>'Plant OPEX'!$U$19*'Cash Flow Analysis'!AL25</f>
        <v>0</v>
      </c>
      <c r="AM34" s="516">
        <f>'Plant OPEX'!$U$19*'Cash Flow Analysis'!AM25</f>
        <v>0</v>
      </c>
      <c r="AN34" s="516">
        <f>'Plant OPEX'!$U$19*'Cash Flow Analysis'!AN25</f>
        <v>0</v>
      </c>
      <c r="AO34" s="516">
        <f>'Plant OPEX'!$U$19*'Cash Flow Analysis'!AO25</f>
        <v>0</v>
      </c>
      <c r="AP34" s="516">
        <f>'Plant OPEX'!$U$19*'Cash Flow Analysis'!AP25</f>
        <v>0</v>
      </c>
      <c r="AQ34" s="516">
        <f>'Plant OPEX'!$U$19*'Cash Flow Analysis'!AQ25</f>
        <v>0</v>
      </c>
      <c r="AR34" s="516">
        <f>'Plant OPEX'!$U$19*'Cash Flow Analysis'!AR25</f>
        <v>0</v>
      </c>
      <c r="AS34" s="516">
        <f>'Plant OPEX'!$U$19*'Cash Flow Analysis'!AS25</f>
        <v>0</v>
      </c>
      <c r="AT34" s="517">
        <f>'Plant OPEX'!$U$19*'Cash Flow Analysis'!AT25</f>
        <v>0</v>
      </c>
    </row>
    <row r="35" spans="1:46" ht="20.399999999999999" customHeight="1" x14ac:dyDescent="0.3">
      <c r="A35" s="83"/>
      <c r="B35" s="672" t="s">
        <v>444</v>
      </c>
      <c r="C35" s="662">
        <f>+IF(C24=-D17,1,0)</f>
        <v>0</v>
      </c>
      <c r="D35" s="661">
        <f>IF(D24=-$D$17,1,IF(C35=0,0,C35/(1+$D$21)))</f>
        <v>0</v>
      </c>
      <c r="E35" s="661">
        <f>IF(E24=-$D$17,1,IF(D35=0,0,D35/(1+$D$21)))</f>
        <v>1</v>
      </c>
      <c r="F35" s="661">
        <f>IF(F24=-$D$17,1,IF(E35=0,0,E35/(1+$D$21)))</f>
        <v>0.85198934594750708</v>
      </c>
      <c r="G35" s="662">
        <f>F35/(1+$D$21)</f>
        <v>0.72588584560806091</v>
      </c>
      <c r="H35" s="661">
        <f t="shared" ref="H35:AT35" si="6">IF(H24&lt;=$D$16,G35/(1+$D$21),0)</f>
        <v>0.61844700683216491</v>
      </c>
      <c r="I35" s="661">
        <f t="shared" si="6"/>
        <v>0.52691026085412962</v>
      </c>
      <c r="J35" s="661">
        <f t="shared" si="6"/>
        <v>0.44892192851814028</v>
      </c>
      <c r="K35" s="661">
        <f t="shared" si="6"/>
        <v>0.3824767002596639</v>
      </c>
      <c r="L35" s="661">
        <f t="shared" si="6"/>
        <v>0.3258660736943918</v>
      </c>
      <c r="M35" s="661">
        <f t="shared" si="6"/>
        <v>0.27763442299336705</v>
      </c>
      <c r="N35" s="661">
        <f t="shared" si="6"/>
        <v>0.23654157045863233</v>
      </c>
      <c r="O35" s="661">
        <f t="shared" si="6"/>
        <v>0.20153089790444634</v>
      </c>
      <c r="P35" s="661">
        <f t="shared" si="6"/>
        <v>0.17170217789382305</v>
      </c>
      <c r="Q35" s="661">
        <f t="shared" si="6"/>
        <v>0.14628842624152083</v>
      </c>
      <c r="R35" s="661">
        <f t="shared" si="6"/>
        <v>0.12463618059320347</v>
      </c>
      <c r="S35" s="661">
        <f t="shared" si="6"/>
        <v>0.1061886979849988</v>
      </c>
      <c r="T35" s="661">
        <f t="shared" si="6"/>
        <v>9.0471639343256499E-2</v>
      </c>
      <c r="U35" s="661">
        <f t="shared" si="6"/>
        <v>7.7080872830859862E-2</v>
      </c>
      <c r="V35" s="661">
        <f t="shared" si="6"/>
        <v>6.5672082428227266E-2</v>
      </c>
      <c r="W35" s="661">
        <f t="shared" si="6"/>
        <v>5.595191455503612E-2</v>
      </c>
      <c r="X35" s="661">
        <f t="shared" si="6"/>
        <v>4.7670435086256027E-2</v>
      </c>
      <c r="Y35" s="661">
        <f t="shared" si="6"/>
        <v>4.0614702810172369E-2</v>
      </c>
      <c r="Z35" s="661">
        <f t="shared" si="6"/>
        <v>3.4603294083091138E-2</v>
      </c>
      <c r="AA35" s="661">
        <f t="shared" si="6"/>
        <v>2.9481637893482061E-2</v>
      </c>
      <c r="AB35" s="661">
        <f t="shared" si="6"/>
        <v>2.5118041386329022E-2</v>
      </c>
      <c r="AC35" s="661">
        <f t="shared" si="6"/>
        <v>2.1400303652220877E-2</v>
      </c>
      <c r="AD35" s="661">
        <f t="shared" si="6"/>
        <v>1.8232830711733712E-2</v>
      </c>
      <c r="AE35" s="725">
        <f t="shared" si="6"/>
        <v>1.5534177512861626E-2</v>
      </c>
      <c r="AF35" s="661">
        <f t="shared" si="6"/>
        <v>0</v>
      </c>
      <c r="AG35" s="661">
        <f t="shared" si="6"/>
        <v>0</v>
      </c>
      <c r="AH35" s="661">
        <f t="shared" si="6"/>
        <v>0</v>
      </c>
      <c r="AI35" s="661">
        <f t="shared" si="6"/>
        <v>0</v>
      </c>
      <c r="AJ35" s="661">
        <f t="shared" si="6"/>
        <v>0</v>
      </c>
      <c r="AK35" s="661">
        <f t="shared" si="6"/>
        <v>0</v>
      </c>
      <c r="AL35" s="661">
        <f t="shared" si="6"/>
        <v>0</v>
      </c>
      <c r="AM35" s="661">
        <f t="shared" si="6"/>
        <v>0</v>
      </c>
      <c r="AN35" s="661">
        <f t="shared" si="6"/>
        <v>0</v>
      </c>
      <c r="AO35" s="661">
        <f t="shared" si="6"/>
        <v>0</v>
      </c>
      <c r="AP35" s="661">
        <f t="shared" si="6"/>
        <v>0</v>
      </c>
      <c r="AQ35" s="661">
        <f t="shared" si="6"/>
        <v>0</v>
      </c>
      <c r="AR35" s="661">
        <f t="shared" si="6"/>
        <v>0</v>
      </c>
      <c r="AS35" s="661">
        <f t="shared" si="6"/>
        <v>0</v>
      </c>
      <c r="AT35" s="663">
        <f t="shared" si="6"/>
        <v>0</v>
      </c>
    </row>
    <row r="36" spans="1:46" ht="20.399999999999999" customHeight="1" x14ac:dyDescent="0.3">
      <c r="A36" s="83"/>
      <c r="B36" s="664" t="s">
        <v>798</v>
      </c>
      <c r="C36" s="480">
        <f>C27-SUM(C29:C34)</f>
        <v>0</v>
      </c>
      <c r="D36" s="660">
        <f>D27-SUM(D29:D34)</f>
        <v>0</v>
      </c>
      <c r="E36" s="660">
        <f>E27-SUM(E29:E34)</f>
        <v>-154.10665893554688</v>
      </c>
      <c r="F36" s="660">
        <f>F27-SUM(F29:F34)</f>
        <v>-154.10665893554688</v>
      </c>
      <c r="G36" s="480">
        <f>+IF($I$5="LCOP",G27+G29-SUM(G30:G34),IF(G27+G29-SUM(G30:G34)-IF(G24&lt;=$D$11,1/$D$16*(1-$D$13)*$D$4,0)&gt;0,(G27+G29-SUM(G30:G34)-IF(G24&lt;=$D$11,1/$D$16*(1-$D$13)*$D$4,0))*(1-$D$12)+IF(G24&lt;=$D$11,1/$D$16*(1-$D$13)*$D$4,0),G27+G29-SUM(G30:G34)))</f>
        <v>44.459123171760794</v>
      </c>
      <c r="H36" s="660">
        <f>+IF($I$5="LCOP",H27+H29-SUM(H30:H34),IF(H27+H29-SUM(H30:H34)-IF(H24&lt;=$D$11,1/$D$16*(1-$D$13)*$D$4,0)&gt;0,(H27+H29-SUM(H30:H34)-IF(H24&lt;=$D$11,1/$D$16*(1-$D$13)*$D$4,0))*(1-$D$12)+IF(H24&lt;=$D$11,1/$D$16*(1-$D$13)*$D$4,0),H27+H29-SUM(H30:H34)))</f>
        <v>62.769022797007977</v>
      </c>
      <c r="I36" s="660">
        <f t="shared" ref="I36:AD36" si="7">+IF($I$5="LCOP",I27+I29-SUM(I30:I34),IF(I27+I29-SUM(I30:I34)-IF(I24&lt;=$D$11,1/$D$16*(1-$D$13)*$D$4,0)&gt;0,(I27+I29-SUM(I30:I34)-IF(I24&lt;=$D$11,1/$D$16*(1-$D$13)*$D$4,0))*(1-$D$12)+IF(I24&lt;=$D$11,1/$D$16*(1-$D$13)*$D$4,0),I27+I29-SUM(I30:I34)))</f>
        <v>62.769022797007977</v>
      </c>
      <c r="J36" s="660">
        <f t="shared" si="7"/>
        <v>62.769022797007977</v>
      </c>
      <c r="K36" s="660">
        <f t="shared" si="7"/>
        <v>62.769022797007977</v>
      </c>
      <c r="L36" s="660">
        <f t="shared" si="7"/>
        <v>62.769022797007977</v>
      </c>
      <c r="M36" s="660">
        <f t="shared" si="7"/>
        <v>62.769022797007977</v>
      </c>
      <c r="N36" s="660">
        <f t="shared" si="7"/>
        <v>62.769022797007977</v>
      </c>
      <c r="O36" s="660">
        <f t="shared" si="7"/>
        <v>62.769022797007977</v>
      </c>
      <c r="P36" s="660">
        <f t="shared" si="7"/>
        <v>62.769022797007977</v>
      </c>
      <c r="Q36" s="660">
        <f t="shared" si="7"/>
        <v>58.669785669322437</v>
      </c>
      <c r="R36" s="660">
        <f t="shared" si="7"/>
        <v>58.669785669322437</v>
      </c>
      <c r="S36" s="660">
        <f t="shared" si="7"/>
        <v>58.669785669322437</v>
      </c>
      <c r="T36" s="660">
        <f t="shared" si="7"/>
        <v>58.669785669322437</v>
      </c>
      <c r="U36" s="660">
        <f t="shared" si="7"/>
        <v>58.669785669322437</v>
      </c>
      <c r="V36" s="660">
        <f t="shared" si="7"/>
        <v>58.669785669322437</v>
      </c>
      <c r="W36" s="660">
        <f t="shared" si="7"/>
        <v>58.669785669322437</v>
      </c>
      <c r="X36" s="660">
        <f t="shared" si="7"/>
        <v>58.669785669322437</v>
      </c>
      <c r="Y36" s="660">
        <f t="shared" si="7"/>
        <v>58.669785669322437</v>
      </c>
      <c r="Z36" s="660">
        <f t="shared" si="7"/>
        <v>58.669785669322437</v>
      </c>
      <c r="AA36" s="660">
        <f t="shared" si="7"/>
        <v>58.669785669322437</v>
      </c>
      <c r="AB36" s="660">
        <f t="shared" si="7"/>
        <v>58.669785669322437</v>
      </c>
      <c r="AC36" s="660">
        <f t="shared" si="7"/>
        <v>58.669785669322437</v>
      </c>
      <c r="AD36" s="660">
        <f t="shared" si="7"/>
        <v>58.669785669322437</v>
      </c>
      <c r="AE36" s="660">
        <f>+IF($I$5="LCOP",AE27+AE29-SUM(AE30:AE34),IF(AE27+AE29-SUM(AE30:AE34)-IF(AE24&lt;=$D$11,1/$D$16*(1-$D$13)*$D$4,0)&gt;0,(AE27+AE29-SUM(AE30:AE34)-IF(AE24&lt;=$D$11,1/$D$16*(1-$D$13)*$D$4,0))*(1-$D$12)+IF(AE24&lt;=$D$11,1/$D$16*(1-$D$13)*$D$4,0),AE27+AE29-SUM(AE30:AE34)))</f>
        <v>68.686718500132983</v>
      </c>
      <c r="AF36" s="660">
        <f t="shared" ref="AF36:AT36" si="8">+IF($I$5="LCOP",AF27-SUM(AF29:AF34),IF(AF27-SUM(AF29:AF34)-IF(AF24&lt;=$D$11,1/$D$16*(1-$D$13)*$D$4,0)&gt;0,(AF27-SUM(AF29:AF34)-IF(AF24&lt;=$D$11,1/$D$16*(1-$D$13)*$D$4,0))*(1-$D$12)+IF(AF24&lt;=$D$11,1/$D$16*(1-$D$13)*$D$4,0),AF27-SUM(AF29:AF34)))</f>
        <v>0</v>
      </c>
      <c r="AG36" s="660">
        <f t="shared" si="8"/>
        <v>0</v>
      </c>
      <c r="AH36" s="660">
        <f t="shared" si="8"/>
        <v>0</v>
      </c>
      <c r="AI36" s="660">
        <f t="shared" si="8"/>
        <v>0</v>
      </c>
      <c r="AJ36" s="660">
        <f t="shared" si="8"/>
        <v>0</v>
      </c>
      <c r="AK36" s="660">
        <f t="shared" si="8"/>
        <v>0</v>
      </c>
      <c r="AL36" s="660">
        <f t="shared" si="8"/>
        <v>0</v>
      </c>
      <c r="AM36" s="660">
        <f t="shared" si="8"/>
        <v>0</v>
      </c>
      <c r="AN36" s="660">
        <f t="shared" si="8"/>
        <v>0</v>
      </c>
      <c r="AO36" s="660">
        <f t="shared" si="8"/>
        <v>0</v>
      </c>
      <c r="AP36" s="660">
        <f t="shared" si="8"/>
        <v>0</v>
      </c>
      <c r="AQ36" s="660">
        <f t="shared" si="8"/>
        <v>0</v>
      </c>
      <c r="AR36" s="660">
        <f t="shared" si="8"/>
        <v>0</v>
      </c>
      <c r="AS36" s="660">
        <f t="shared" si="8"/>
        <v>0</v>
      </c>
      <c r="AT36" s="481">
        <f t="shared" si="8"/>
        <v>0</v>
      </c>
    </row>
    <row r="37" spans="1:46" ht="20.399999999999999" customHeight="1" x14ac:dyDescent="0.3">
      <c r="A37" s="83"/>
      <c r="B37" s="664" t="s">
        <v>705</v>
      </c>
      <c r="C37" s="480">
        <f t="shared" ref="C37:AT37" si="9">C36*C35</f>
        <v>0</v>
      </c>
      <c r="D37" s="660">
        <f t="shared" si="9"/>
        <v>0</v>
      </c>
      <c r="E37" s="660">
        <f t="shared" si="9"/>
        <v>-154.10665893554688</v>
      </c>
      <c r="F37" s="660">
        <f t="shared" si="9"/>
        <v>-131.29723155265214</v>
      </c>
      <c r="G37" s="480">
        <f t="shared" si="9"/>
        <v>32.272248218526521</v>
      </c>
      <c r="H37" s="660">
        <f t="shared" si="9"/>
        <v>38.819314270589508</v>
      </c>
      <c r="I37" s="660">
        <f t="shared" si="9"/>
        <v>33.073642175530281</v>
      </c>
      <c r="J37" s="660">
        <f t="shared" si="9"/>
        <v>28.178390765231931</v>
      </c>
      <c r="K37" s="660">
        <f t="shared" si="9"/>
        <v>24.00768871792323</v>
      </c>
      <c r="L37" s="660">
        <f t="shared" si="9"/>
        <v>20.454295008494761</v>
      </c>
      <c r="M37" s="660">
        <f t="shared" si="9"/>
        <v>17.426841426104811</v>
      </c>
      <c r="N37" s="660">
        <f t="shared" si="9"/>
        <v>14.847483228557962</v>
      </c>
      <c r="O37" s="660">
        <f t="shared" si="9"/>
        <v>12.649897524865679</v>
      </c>
      <c r="P37" s="660">
        <f t="shared" si="9"/>
        <v>10.777577918513298</v>
      </c>
      <c r="Q37" s="660">
        <f t="shared" si="9"/>
        <v>8.5827106134925106</v>
      </c>
      <c r="R37" s="660">
        <f t="shared" si="9"/>
        <v>7.3123780020462119</v>
      </c>
      <c r="S37" s="660">
        <f t="shared" si="9"/>
        <v>6.230068151284291</v>
      </c>
      <c r="T37" s="660">
        <f t="shared" si="9"/>
        <v>5.3079516894210981</v>
      </c>
      <c r="U37" s="660">
        <f t="shared" si="9"/>
        <v>4.5223182881908475</v>
      </c>
      <c r="V37" s="660">
        <f t="shared" si="9"/>
        <v>3.8529670005221699</v>
      </c>
      <c r="W37" s="660">
        <f t="shared" si="9"/>
        <v>3.2826868347322118</v>
      </c>
      <c r="X37" s="660">
        <f t="shared" si="9"/>
        <v>2.7968142092739892</v>
      </c>
      <c r="Y37" s="660">
        <f t="shared" si="9"/>
        <v>2.3828559088960404</v>
      </c>
      <c r="Z37" s="660">
        <f t="shared" si="9"/>
        <v>2.0301678473074904</v>
      </c>
      <c r="AA37" s="660">
        <f t="shared" si="9"/>
        <v>1.7296813763911671</v>
      </c>
      <c r="AB37" s="660">
        <f t="shared" si="9"/>
        <v>1.4736701045690943</v>
      </c>
      <c r="AC37" s="660">
        <f t="shared" si="9"/>
        <v>1.255551228534217</v>
      </c>
      <c r="AD37" s="660">
        <f t="shared" si="9"/>
        <v>1.0697162700024565</v>
      </c>
      <c r="AE37" s="660">
        <f t="shared" si="9"/>
        <v>1.0669916779570223</v>
      </c>
      <c r="AF37" s="655">
        <f t="shared" si="9"/>
        <v>0</v>
      </c>
      <c r="AG37" s="655">
        <f t="shared" si="9"/>
        <v>0</v>
      </c>
      <c r="AH37" s="655">
        <f t="shared" si="9"/>
        <v>0</v>
      </c>
      <c r="AI37" s="655">
        <f t="shared" si="9"/>
        <v>0</v>
      </c>
      <c r="AJ37" s="655">
        <f t="shared" si="9"/>
        <v>0</v>
      </c>
      <c r="AK37" s="655">
        <f t="shared" si="9"/>
        <v>0</v>
      </c>
      <c r="AL37" s="655">
        <f t="shared" si="9"/>
        <v>0</v>
      </c>
      <c r="AM37" s="655">
        <f t="shared" si="9"/>
        <v>0</v>
      </c>
      <c r="AN37" s="655">
        <f t="shared" si="9"/>
        <v>0</v>
      </c>
      <c r="AO37" s="655">
        <f t="shared" si="9"/>
        <v>0</v>
      </c>
      <c r="AP37" s="655">
        <f t="shared" si="9"/>
        <v>0</v>
      </c>
      <c r="AQ37" s="655">
        <f t="shared" si="9"/>
        <v>0</v>
      </c>
      <c r="AR37" s="655">
        <f t="shared" si="9"/>
        <v>0</v>
      </c>
      <c r="AS37" s="655">
        <f t="shared" si="9"/>
        <v>0</v>
      </c>
      <c r="AT37" s="434">
        <f t="shared" si="9"/>
        <v>0</v>
      </c>
    </row>
    <row r="38" spans="1:46" ht="20.399999999999999" customHeight="1" x14ac:dyDescent="0.3">
      <c r="A38" s="83"/>
      <c r="B38" s="664" t="s">
        <v>795</v>
      </c>
      <c r="C38" s="480">
        <f>+C36</f>
        <v>0</v>
      </c>
      <c r="D38" s="660">
        <f t="shared" ref="D38:G39" si="10">D36+C38</f>
        <v>0</v>
      </c>
      <c r="E38" s="660">
        <f t="shared" si="10"/>
        <v>-154.10665893554688</v>
      </c>
      <c r="F38" s="660">
        <f t="shared" si="10"/>
        <v>-308.21331787109375</v>
      </c>
      <c r="G38" s="480">
        <f t="shared" si="10"/>
        <v>-263.75419469933297</v>
      </c>
      <c r="H38" s="660">
        <f t="shared" ref="H38:AT38" si="11">IF(H24&lt;=$D$16,H36+G38,0)</f>
        <v>-200.98517190232499</v>
      </c>
      <c r="I38" s="660">
        <f t="shared" si="11"/>
        <v>-138.21614910531702</v>
      </c>
      <c r="J38" s="660">
        <f t="shared" si="11"/>
        <v>-75.447126308309038</v>
      </c>
      <c r="K38" s="660">
        <f t="shared" si="11"/>
        <v>-12.67810351130106</v>
      </c>
      <c r="L38" s="660">
        <f t="shared" si="11"/>
        <v>50.090919285706917</v>
      </c>
      <c r="M38" s="660">
        <f t="shared" si="11"/>
        <v>112.85994208271489</v>
      </c>
      <c r="N38" s="660">
        <f t="shared" si="11"/>
        <v>175.62896487972287</v>
      </c>
      <c r="O38" s="660">
        <f t="shared" si="11"/>
        <v>238.39798767673085</v>
      </c>
      <c r="P38" s="660">
        <f t="shared" si="11"/>
        <v>301.16701047373886</v>
      </c>
      <c r="Q38" s="660">
        <f t="shared" si="11"/>
        <v>359.83679614306129</v>
      </c>
      <c r="R38" s="660">
        <f t="shared" si="11"/>
        <v>418.50658181238373</v>
      </c>
      <c r="S38" s="660">
        <f t="shared" si="11"/>
        <v>477.17636748170617</v>
      </c>
      <c r="T38" s="660">
        <f t="shared" si="11"/>
        <v>535.8461531510286</v>
      </c>
      <c r="U38" s="660">
        <f t="shared" si="11"/>
        <v>594.51593882035104</v>
      </c>
      <c r="V38" s="660">
        <f t="shared" si="11"/>
        <v>653.18572448967348</v>
      </c>
      <c r="W38" s="660">
        <f t="shared" si="11"/>
        <v>711.85551015899591</v>
      </c>
      <c r="X38" s="660">
        <f t="shared" si="11"/>
        <v>770.52529582831835</v>
      </c>
      <c r="Y38" s="660">
        <f t="shared" si="11"/>
        <v>829.19508149764079</v>
      </c>
      <c r="Z38" s="660">
        <f t="shared" si="11"/>
        <v>887.86486716696322</v>
      </c>
      <c r="AA38" s="660">
        <f t="shared" si="11"/>
        <v>946.53465283628566</v>
      </c>
      <c r="AB38" s="660">
        <f t="shared" si="11"/>
        <v>1005.2044385056081</v>
      </c>
      <c r="AC38" s="660">
        <f t="shared" si="11"/>
        <v>1063.8742241749305</v>
      </c>
      <c r="AD38" s="660">
        <f t="shared" si="11"/>
        <v>1122.544009844253</v>
      </c>
      <c r="AE38" s="660">
        <f t="shared" si="11"/>
        <v>1191.2307283443859</v>
      </c>
      <c r="AF38" s="655">
        <f t="shared" si="11"/>
        <v>0</v>
      </c>
      <c r="AG38" s="655">
        <f t="shared" si="11"/>
        <v>0</v>
      </c>
      <c r="AH38" s="655">
        <f t="shared" si="11"/>
        <v>0</v>
      </c>
      <c r="AI38" s="655">
        <f t="shared" si="11"/>
        <v>0</v>
      </c>
      <c r="AJ38" s="655">
        <f t="shared" si="11"/>
        <v>0</v>
      </c>
      <c r="AK38" s="655">
        <f t="shared" si="11"/>
        <v>0</v>
      </c>
      <c r="AL38" s="655">
        <f t="shared" si="11"/>
        <v>0</v>
      </c>
      <c r="AM38" s="655">
        <f t="shared" si="11"/>
        <v>0</v>
      </c>
      <c r="AN38" s="655">
        <f t="shared" si="11"/>
        <v>0</v>
      </c>
      <c r="AO38" s="655">
        <f t="shared" si="11"/>
        <v>0</v>
      </c>
      <c r="AP38" s="655">
        <f t="shared" si="11"/>
        <v>0</v>
      </c>
      <c r="AQ38" s="655">
        <f t="shared" si="11"/>
        <v>0</v>
      </c>
      <c r="AR38" s="655">
        <f t="shared" si="11"/>
        <v>0</v>
      </c>
      <c r="AS38" s="655">
        <f t="shared" si="11"/>
        <v>0</v>
      </c>
      <c r="AT38" s="434">
        <f t="shared" si="11"/>
        <v>0</v>
      </c>
    </row>
    <row r="39" spans="1:46" ht="20.399999999999999" customHeight="1" x14ac:dyDescent="0.3">
      <c r="A39" s="83"/>
      <c r="B39" s="665" t="s">
        <v>797</v>
      </c>
      <c r="C39" s="515">
        <f>+C38</f>
        <v>0</v>
      </c>
      <c r="D39" s="516">
        <f t="shared" si="10"/>
        <v>0</v>
      </c>
      <c r="E39" s="516">
        <f t="shared" si="10"/>
        <v>-154.10665893554688</v>
      </c>
      <c r="F39" s="516">
        <f t="shared" si="10"/>
        <v>-285.40389048819901</v>
      </c>
      <c r="G39" s="515">
        <f t="shared" si="10"/>
        <v>-253.13164226967248</v>
      </c>
      <c r="H39" s="516">
        <f t="shared" ref="H39:AT39" si="12">IF(H24&lt;=$D$16,H37+G39,0)</f>
        <v>-214.31232799908298</v>
      </c>
      <c r="I39" s="516">
        <f t="shared" si="12"/>
        <v>-181.23868582355271</v>
      </c>
      <c r="J39" s="516">
        <f t="shared" si="12"/>
        <v>-153.06029505832078</v>
      </c>
      <c r="K39" s="516">
        <f t="shared" si="12"/>
        <v>-129.05260634039755</v>
      </c>
      <c r="L39" s="516">
        <f t="shared" si="12"/>
        <v>-108.59831133190278</v>
      </c>
      <c r="M39" s="516">
        <f t="shared" si="12"/>
        <v>-91.171469905797963</v>
      </c>
      <c r="N39" s="516">
        <f t="shared" si="12"/>
        <v>-76.323986677240001</v>
      </c>
      <c r="O39" s="516">
        <f t="shared" si="12"/>
        <v>-63.674089152374322</v>
      </c>
      <c r="P39" s="516">
        <f t="shared" si="12"/>
        <v>-52.89651123386102</v>
      </c>
      <c r="Q39" s="516">
        <f t="shared" si="12"/>
        <v>-44.313800620368511</v>
      </c>
      <c r="R39" s="516">
        <f t="shared" si="12"/>
        <v>-37.001422618322302</v>
      </c>
      <c r="S39" s="516">
        <f t="shared" si="12"/>
        <v>-30.771354467038009</v>
      </c>
      <c r="T39" s="516">
        <f t="shared" si="12"/>
        <v>-25.46340277761691</v>
      </c>
      <c r="U39" s="516">
        <f t="shared" si="12"/>
        <v>-20.941084489426061</v>
      </c>
      <c r="V39" s="516">
        <f t="shared" si="12"/>
        <v>-17.08811748890389</v>
      </c>
      <c r="W39" s="516">
        <f t="shared" si="12"/>
        <v>-13.805430654171678</v>
      </c>
      <c r="X39" s="516">
        <f t="shared" si="12"/>
        <v>-11.008616444897688</v>
      </c>
      <c r="Y39" s="516">
        <f t="shared" si="12"/>
        <v>-8.625760536001648</v>
      </c>
      <c r="Z39" s="516">
        <f t="shared" si="12"/>
        <v>-6.5955926886941576</v>
      </c>
      <c r="AA39" s="516">
        <f t="shared" si="12"/>
        <v>-4.8659113123029902</v>
      </c>
      <c r="AB39" s="516">
        <f t="shared" si="12"/>
        <v>-3.3922412077338961</v>
      </c>
      <c r="AC39" s="516">
        <f t="shared" si="12"/>
        <v>-2.1366899791996792</v>
      </c>
      <c r="AD39" s="516">
        <f t="shared" si="12"/>
        <v>-1.0669737091972227</v>
      </c>
      <c r="AE39" s="516">
        <f t="shared" si="12"/>
        <v>1.7968759799646961E-5</v>
      </c>
      <c r="AF39" s="436">
        <f t="shared" si="12"/>
        <v>0</v>
      </c>
      <c r="AG39" s="436">
        <f t="shared" si="12"/>
        <v>0</v>
      </c>
      <c r="AH39" s="436">
        <f t="shared" si="12"/>
        <v>0</v>
      </c>
      <c r="AI39" s="436">
        <f t="shared" si="12"/>
        <v>0</v>
      </c>
      <c r="AJ39" s="436">
        <f t="shared" si="12"/>
        <v>0</v>
      </c>
      <c r="AK39" s="436">
        <f t="shared" si="12"/>
        <v>0</v>
      </c>
      <c r="AL39" s="436">
        <f t="shared" si="12"/>
        <v>0</v>
      </c>
      <c r="AM39" s="436">
        <f t="shared" si="12"/>
        <v>0</v>
      </c>
      <c r="AN39" s="436">
        <f t="shared" si="12"/>
        <v>0</v>
      </c>
      <c r="AO39" s="436">
        <f t="shared" si="12"/>
        <v>0</v>
      </c>
      <c r="AP39" s="436">
        <f t="shared" si="12"/>
        <v>0</v>
      </c>
      <c r="AQ39" s="436">
        <f t="shared" si="12"/>
        <v>0</v>
      </c>
      <c r="AR39" s="436">
        <f t="shared" si="12"/>
        <v>0</v>
      </c>
      <c r="AS39" s="436">
        <f t="shared" si="12"/>
        <v>0</v>
      </c>
      <c r="AT39" s="437">
        <f t="shared" si="12"/>
        <v>0</v>
      </c>
    </row>
    <row r="40" spans="1:46" ht="20.399999999999999" customHeight="1" x14ac:dyDescent="0.3">
      <c r="A40" s="83"/>
      <c r="B40" s="83"/>
      <c r="C40" s="155">
        <f>+C24</f>
        <v>-4</v>
      </c>
      <c r="D40" s="155">
        <f t="shared" ref="D40:AT40" si="13">+D24</f>
        <v>-3</v>
      </c>
      <c r="E40" s="155">
        <f t="shared" si="13"/>
        <v>-2</v>
      </c>
      <c r="F40" s="155">
        <f t="shared" si="13"/>
        <v>-1</v>
      </c>
      <c r="G40" s="155">
        <f t="shared" si="13"/>
        <v>1</v>
      </c>
      <c r="H40" s="155">
        <f t="shared" si="13"/>
        <v>2</v>
      </c>
      <c r="I40" s="155">
        <f t="shared" si="13"/>
        <v>3</v>
      </c>
      <c r="J40" s="155">
        <f t="shared" si="13"/>
        <v>4</v>
      </c>
      <c r="K40" s="155">
        <f t="shared" si="13"/>
        <v>5</v>
      </c>
      <c r="L40" s="155">
        <f t="shared" si="13"/>
        <v>6</v>
      </c>
      <c r="M40" s="155">
        <f t="shared" si="13"/>
        <v>7</v>
      </c>
      <c r="N40" s="155">
        <f t="shared" si="13"/>
        <v>8</v>
      </c>
      <c r="O40" s="155">
        <f t="shared" si="13"/>
        <v>9</v>
      </c>
      <c r="P40" s="155">
        <f t="shared" si="13"/>
        <v>10</v>
      </c>
      <c r="Q40" s="155">
        <f t="shared" si="13"/>
        <v>11</v>
      </c>
      <c r="R40" s="155">
        <f t="shared" si="13"/>
        <v>12</v>
      </c>
      <c r="S40" s="155">
        <f t="shared" si="13"/>
        <v>13</v>
      </c>
      <c r="T40" s="155">
        <f t="shared" si="13"/>
        <v>14</v>
      </c>
      <c r="U40" s="155">
        <f t="shared" si="13"/>
        <v>15</v>
      </c>
      <c r="V40" s="155">
        <f t="shared" si="13"/>
        <v>16</v>
      </c>
      <c r="W40" s="155">
        <f t="shared" si="13"/>
        <v>17</v>
      </c>
      <c r="X40" s="155">
        <f t="shared" si="13"/>
        <v>18</v>
      </c>
      <c r="Y40" s="155">
        <f t="shared" si="13"/>
        <v>19</v>
      </c>
      <c r="Z40" s="155">
        <f t="shared" si="13"/>
        <v>20</v>
      </c>
      <c r="AA40" s="155">
        <f t="shared" si="13"/>
        <v>21</v>
      </c>
      <c r="AB40" s="155">
        <f t="shared" si="13"/>
        <v>22</v>
      </c>
      <c r="AC40" s="155">
        <f t="shared" si="13"/>
        <v>23</v>
      </c>
      <c r="AD40" s="155">
        <f t="shared" si="13"/>
        <v>24</v>
      </c>
      <c r="AE40" s="155">
        <f t="shared" si="13"/>
        <v>25</v>
      </c>
      <c r="AF40" s="155">
        <f t="shared" si="13"/>
        <v>26</v>
      </c>
      <c r="AG40" s="155">
        <f t="shared" si="13"/>
        <v>27</v>
      </c>
      <c r="AH40" s="155">
        <f t="shared" si="13"/>
        <v>28</v>
      </c>
      <c r="AI40" s="155">
        <f t="shared" si="13"/>
        <v>29</v>
      </c>
      <c r="AJ40" s="155">
        <f t="shared" si="13"/>
        <v>30</v>
      </c>
      <c r="AK40" s="155">
        <f t="shared" si="13"/>
        <v>31</v>
      </c>
      <c r="AL40" s="155">
        <f t="shared" si="13"/>
        <v>32</v>
      </c>
      <c r="AM40" s="155">
        <f t="shared" si="13"/>
        <v>33</v>
      </c>
      <c r="AN40" s="155">
        <f t="shared" si="13"/>
        <v>34</v>
      </c>
      <c r="AO40" s="155">
        <f t="shared" si="13"/>
        <v>35</v>
      </c>
      <c r="AP40" s="155">
        <f t="shared" si="13"/>
        <v>36</v>
      </c>
      <c r="AQ40" s="155">
        <f t="shared" si="13"/>
        <v>37</v>
      </c>
      <c r="AR40" s="155">
        <f t="shared" si="13"/>
        <v>38</v>
      </c>
      <c r="AS40" s="155">
        <f t="shared" si="13"/>
        <v>39</v>
      </c>
      <c r="AT40" s="155">
        <f t="shared" si="13"/>
        <v>40</v>
      </c>
    </row>
    <row r="41" spans="1:46" ht="20.399999999999999" customHeight="1" x14ac:dyDescent="0.3">
      <c r="A41" s="83"/>
      <c r="B41" s="933" t="s">
        <v>747</v>
      </c>
      <c r="C41" s="933"/>
      <c r="D41" s="933"/>
      <c r="E41" s="933"/>
      <c r="F41" s="933"/>
      <c r="G41" s="933"/>
      <c r="H41" s="933"/>
      <c r="I41" s="933"/>
      <c r="J41" s="933"/>
      <c r="K41" s="933"/>
      <c r="M41" s="605" t="s">
        <v>571</v>
      </c>
      <c r="N41" s="606" t="s">
        <v>572</v>
      </c>
      <c r="O41" s="83"/>
      <c r="P41" s="906" t="str">
        <f>"Sensitivity Results: "&amp;H14</f>
        <v>Sensitivity Results: NGCC</v>
      </c>
      <c r="Q41" s="907"/>
      <c r="R41" s="907"/>
      <c r="S41" s="908"/>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10" t="s">
        <v>751</v>
      </c>
      <c r="C42" s="610" t="s">
        <v>755</v>
      </c>
      <c r="D42" s="611" t="s">
        <v>752</v>
      </c>
      <c r="E42" s="611" t="s">
        <v>756</v>
      </c>
      <c r="F42" s="612" t="s">
        <v>753</v>
      </c>
      <c r="G42" s="612" t="s">
        <v>754</v>
      </c>
      <c r="H42" s="613" t="s">
        <v>748</v>
      </c>
      <c r="I42" s="613" t="s">
        <v>749</v>
      </c>
      <c r="J42" s="604" t="s">
        <v>757</v>
      </c>
      <c r="K42" s="614" t="s">
        <v>758</v>
      </c>
      <c r="M42" s="931"/>
      <c r="N42" s="821"/>
      <c r="O42" s="83"/>
      <c r="P42" s="909">
        <f>+D43</f>
        <v>0</v>
      </c>
      <c r="Q42" s="910"/>
      <c r="R42" s="909">
        <f>+D44</f>
        <v>0</v>
      </c>
      <c r="S42" s="910"/>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15"/>
      <c r="C43" s="616"/>
      <c r="D43" s="310"/>
      <c r="E43" s="617"/>
      <c r="F43" s="618"/>
      <c r="G43" s="310"/>
      <c r="H43" s="310"/>
      <c r="I43" s="310"/>
      <c r="J43" s="310"/>
      <c r="K43" s="310"/>
      <c r="M43" s="932"/>
      <c r="N43" s="822"/>
      <c r="O43" s="83"/>
      <c r="P43" s="234" t="s">
        <v>752</v>
      </c>
      <c r="Q43" s="234" t="s">
        <v>751</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15"/>
      <c r="C44" s="616"/>
      <c r="D44" s="310"/>
      <c r="E44" s="617"/>
      <c r="F44" s="618"/>
      <c r="G44" s="310"/>
      <c r="H44" s="310"/>
      <c r="I44" s="310"/>
      <c r="J44" s="310"/>
      <c r="K44" s="310"/>
      <c r="M44" s="929" t="s">
        <v>750</v>
      </c>
      <c r="N44" s="930"/>
      <c r="O44" s="83"/>
      <c r="P44" s="298"/>
      <c r="Q44" s="619"/>
      <c r="R44" s="620"/>
      <c r="S44" s="619"/>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07"/>
      <c r="N45" s="608"/>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09"/>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I5:J5"/>
    <mergeCell ref="B10:E10"/>
    <mergeCell ref="B5:C5"/>
    <mergeCell ref="B6:C6"/>
    <mergeCell ref="G6:H6"/>
    <mergeCell ref="G5:H5"/>
    <mergeCell ref="G7:H7"/>
    <mergeCell ref="B7:C7"/>
    <mergeCell ref="B8:C8"/>
    <mergeCell ref="G10:H10"/>
    <mergeCell ref="G9:H9"/>
    <mergeCell ref="G8:H8"/>
    <mergeCell ref="G1:H1"/>
    <mergeCell ref="I1:J1"/>
    <mergeCell ref="B1:E1"/>
    <mergeCell ref="B3:E3"/>
    <mergeCell ref="B4:C4"/>
    <mergeCell ref="B14:C14"/>
    <mergeCell ref="B11:C11"/>
    <mergeCell ref="B12:C12"/>
    <mergeCell ref="P41:S41"/>
    <mergeCell ref="P42:Q42"/>
    <mergeCell ref="R42:S42"/>
    <mergeCell ref="B13:C13"/>
    <mergeCell ref="G11:H11"/>
    <mergeCell ref="G13:J13"/>
    <mergeCell ref="B20:C20"/>
    <mergeCell ref="B16:C16"/>
    <mergeCell ref="B17:C17"/>
    <mergeCell ref="B21:C21"/>
    <mergeCell ref="B15:C15"/>
    <mergeCell ref="B19:E19"/>
  </mergeCells>
  <dataValidations count="3">
    <dataValidation type="list" allowBlank="1" showInputMessage="1" showErrorMessage="1" sqref="D17" xr:uid="{D25094CD-3A56-408D-BF27-4487B617C610}">
      <formula1>Construction</formula1>
    </dataValidation>
    <dataValidation type="list" allowBlank="1" showInputMessage="1" showErrorMessage="1" sqref="D16 D11"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G13" sqref="G13"/>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38"/>
  </cols>
  <sheetData>
    <row r="2" spans="2:32" ht="18" x14ac:dyDescent="0.3">
      <c r="B2" s="798" t="str">
        <f>+'Plant Overview'!E6&amp;": Uncertainty Quantification"</f>
        <v>NGCC: Uncertainty Quantification</v>
      </c>
      <c r="C2" s="799"/>
      <c r="D2" s="799"/>
      <c r="E2" s="799"/>
      <c r="F2" s="799"/>
      <c r="G2" s="799"/>
      <c r="H2" s="799"/>
      <c r="I2" s="799"/>
      <c r="J2" s="799"/>
      <c r="K2" s="799"/>
      <c r="L2" s="799"/>
      <c r="M2" s="799"/>
      <c r="N2" s="799"/>
      <c r="O2" s="799"/>
      <c r="P2" s="800"/>
    </row>
    <row r="4" spans="2:32" ht="17.399999999999999" customHeight="1" x14ac:dyDescent="0.3">
      <c r="B4" s="621" t="s">
        <v>764</v>
      </c>
      <c r="C4" s="621" t="s">
        <v>235</v>
      </c>
      <c r="D4" s="639" t="s">
        <v>778</v>
      </c>
      <c r="E4" s="623" t="s">
        <v>765</v>
      </c>
      <c r="F4" s="623" t="s">
        <v>773</v>
      </c>
      <c r="G4" s="640" t="s">
        <v>774</v>
      </c>
      <c r="H4" s="622" t="s">
        <v>766</v>
      </c>
      <c r="I4" s="624" t="s">
        <v>767</v>
      </c>
      <c r="K4" s="116" t="s">
        <v>769</v>
      </c>
      <c r="L4" s="166"/>
      <c r="M4" s="641" t="s">
        <v>657</v>
      </c>
      <c r="N4" s="934" t="s">
        <v>489</v>
      </c>
      <c r="O4" s="935"/>
      <c r="P4" s="582"/>
      <c r="R4" s="150"/>
      <c r="S4" s="156"/>
    </row>
    <row r="5" spans="2:32" ht="17.399999999999999" customHeight="1" x14ac:dyDescent="0.3">
      <c r="C5" s="625"/>
      <c r="D5" s="625"/>
      <c r="E5" s="99"/>
      <c r="F5" s="99"/>
      <c r="H5" s="626"/>
      <c r="I5" s="149"/>
      <c r="K5" s="234" t="s">
        <v>78</v>
      </c>
      <c r="L5" s="627"/>
      <c r="M5" s="642" t="s">
        <v>702</v>
      </c>
      <c r="N5" s="936" t="s">
        <v>784</v>
      </c>
      <c r="O5" s="628" t="s">
        <v>571</v>
      </c>
      <c r="P5" s="222" t="s">
        <v>572</v>
      </c>
      <c r="S5" s="156"/>
      <c r="AF5" s="574"/>
    </row>
    <row r="6" spans="2:32" ht="17.399999999999999" customHeight="1" x14ac:dyDescent="0.3">
      <c r="C6" s="629"/>
      <c r="D6" s="629"/>
      <c r="E6" s="172"/>
      <c r="F6" s="172"/>
      <c r="G6" s="156"/>
      <c r="H6" s="626"/>
      <c r="I6" s="646"/>
      <c r="J6" s="96"/>
      <c r="K6" s="630" t="s">
        <v>703</v>
      </c>
      <c r="L6" s="166" t="s">
        <v>657</v>
      </c>
      <c r="M6" s="171" t="s">
        <v>701</v>
      </c>
      <c r="N6" s="937"/>
      <c r="O6" s="821"/>
      <c r="P6" s="939"/>
      <c r="S6" s="156"/>
      <c r="AF6" s="574"/>
    </row>
    <row r="7" spans="2:32" ht="17.399999999999999" customHeight="1" x14ac:dyDescent="0.3">
      <c r="I7" s="537"/>
      <c r="J7" s="96"/>
      <c r="K7" s="234" t="s">
        <v>770</v>
      </c>
      <c r="L7" s="627"/>
      <c r="M7" s="171" t="s">
        <v>584</v>
      </c>
      <c r="N7" s="938"/>
      <c r="O7" s="822"/>
      <c r="P7" s="939"/>
      <c r="S7" s="156"/>
    </row>
    <row r="8" spans="2:32" ht="17.399999999999999" customHeight="1" x14ac:dyDescent="0.3">
      <c r="I8" s="394"/>
      <c r="S8" s="156"/>
    </row>
    <row r="9" spans="2:32" ht="17.399999999999999" customHeight="1" x14ac:dyDescent="0.3">
      <c r="H9" s="96"/>
      <c r="I9" s="394"/>
      <c r="J9" s="537"/>
      <c r="L9" s="798" t="s">
        <v>785</v>
      </c>
      <c r="M9" s="799"/>
      <c r="N9" s="799"/>
      <c r="O9" s="799"/>
      <c r="P9" s="800"/>
      <c r="S9" s="156"/>
    </row>
    <row r="10" spans="2:32" ht="17.399999999999999" customHeight="1" x14ac:dyDescent="0.3">
      <c r="C10" s="632"/>
      <c r="D10" s="632"/>
      <c r="E10" s="156"/>
      <c r="F10" s="156"/>
      <c r="G10" s="156"/>
      <c r="I10" s="394"/>
      <c r="J10" s="394"/>
      <c r="K10" s="234" t="s">
        <v>779</v>
      </c>
      <c r="L10" s="940" t="s">
        <v>771</v>
      </c>
      <c r="M10" s="941"/>
      <c r="N10" s="941"/>
      <c r="O10" s="942"/>
      <c r="P10" s="631">
        <v>0.9</v>
      </c>
      <c r="S10" s="156"/>
    </row>
    <row r="11" spans="2:32" ht="17.399999999999999" customHeight="1" x14ac:dyDescent="0.3">
      <c r="G11" s="156"/>
      <c r="J11" s="394"/>
      <c r="K11" s="177"/>
      <c r="L11" s="927" t="s">
        <v>772</v>
      </c>
      <c r="M11" s="928"/>
      <c r="N11" s="633"/>
      <c r="O11" s="643" t="s">
        <v>773</v>
      </c>
      <c r="P11" s="644"/>
      <c r="S11" s="156"/>
    </row>
    <row r="12" spans="2:32" ht="17.399999999999999" customHeight="1" x14ac:dyDescent="0.3">
      <c r="J12" s="394"/>
      <c r="K12" s="645" t="s">
        <v>780</v>
      </c>
      <c r="L12" s="766"/>
      <c r="M12" s="767"/>
      <c r="N12" s="768"/>
      <c r="O12" s="635" t="s">
        <v>774</v>
      </c>
      <c r="P12" s="644"/>
      <c r="S12" s="156"/>
    </row>
    <row r="13" spans="2:32" ht="17.399999999999999" customHeight="1" x14ac:dyDescent="0.3">
      <c r="K13" s="99"/>
      <c r="L13" s="943" t="s">
        <v>781</v>
      </c>
      <c r="M13" s="944"/>
      <c r="N13" s="636"/>
      <c r="O13" s="643" t="s">
        <v>775</v>
      </c>
      <c r="P13" s="644"/>
      <c r="S13" s="156"/>
    </row>
    <row r="14" spans="2:32" ht="17.399999999999999" customHeight="1" x14ac:dyDescent="0.3">
      <c r="K14" s="645" t="s">
        <v>782</v>
      </c>
      <c r="L14" s="945"/>
      <c r="M14" s="946"/>
      <c r="N14" s="947"/>
      <c r="O14" s="634" t="s">
        <v>776</v>
      </c>
      <c r="P14" s="644"/>
      <c r="S14" s="156"/>
    </row>
    <row r="15" spans="2:32" ht="17.399999999999999" customHeight="1" x14ac:dyDescent="0.3">
      <c r="K15" s="87"/>
      <c r="L15" s="927" t="s">
        <v>768</v>
      </c>
      <c r="M15" s="928"/>
      <c r="N15" s="633"/>
      <c r="O15" s="637" t="s">
        <v>235</v>
      </c>
      <c r="P15" s="170" t="s">
        <v>783</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40" zoomScaleNormal="40"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hidden="1"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508</v>
      </c>
      <c r="Z2" t="s">
        <v>261</v>
      </c>
      <c r="AA2" t="s">
        <v>243</v>
      </c>
      <c r="AB2" t="s">
        <v>511</v>
      </c>
      <c r="AC2" t="s">
        <v>245</v>
      </c>
      <c r="AD2" t="s">
        <v>246</v>
      </c>
      <c r="AE2" t="s">
        <v>515</v>
      </c>
      <c r="AF2" t="s">
        <v>248</v>
      </c>
      <c r="AG2" t="s">
        <v>516</v>
      </c>
      <c r="AH2" t="s">
        <v>250</v>
      </c>
      <c r="AI2" t="s">
        <v>251</v>
      </c>
      <c r="AJ2" t="s">
        <v>252</v>
      </c>
      <c r="AK2" t="s">
        <v>253</v>
      </c>
      <c r="AL2" t="s">
        <v>254</v>
      </c>
      <c r="AM2" t="s">
        <v>255</v>
      </c>
      <c r="AN2" t="s">
        <v>521</v>
      </c>
      <c r="AO2" t="s">
        <v>257</v>
      </c>
      <c r="AP2" t="s">
        <v>148</v>
      </c>
      <c r="AQ2" t="s">
        <v>259</v>
      </c>
      <c r="AR2" t="s">
        <v>260</v>
      </c>
      <c r="AS2" t="s">
        <v>210</v>
      </c>
      <c r="AT2" t="s">
        <v>529</v>
      </c>
      <c r="AV2" s="205" t="s">
        <v>531</v>
      </c>
      <c r="AW2" s="206" t="s">
        <v>532</v>
      </c>
      <c r="AX2" s="207" t="s">
        <v>533</v>
      </c>
      <c r="AY2" s="207" t="s">
        <v>534</v>
      </c>
      <c r="AZ2" s="207" t="s">
        <v>535</v>
      </c>
      <c r="BA2" s="207" t="s">
        <v>536</v>
      </c>
      <c r="BB2" s="207" t="s">
        <v>537</v>
      </c>
      <c r="BC2" s="207" t="s">
        <v>538</v>
      </c>
      <c r="BD2" s="207" t="s">
        <v>539</v>
      </c>
      <c r="BE2" s="207" t="s">
        <v>540</v>
      </c>
      <c r="BF2" s="207" t="s">
        <v>541</v>
      </c>
      <c r="BG2" s="207" t="s">
        <v>542</v>
      </c>
      <c r="BH2" s="207" t="s">
        <v>543</v>
      </c>
      <c r="BI2" s="207" t="s">
        <v>544</v>
      </c>
      <c r="BJ2" s="207" t="s">
        <v>545</v>
      </c>
      <c r="BK2" s="207" t="s">
        <v>546</v>
      </c>
      <c r="BL2" s="207" t="s">
        <v>547</v>
      </c>
      <c r="BM2" s="207" t="s">
        <v>548</v>
      </c>
      <c r="BN2" s="207" t="s">
        <v>549</v>
      </c>
      <c r="BO2" s="207" t="s">
        <v>550</v>
      </c>
      <c r="BP2" s="207" t="s">
        <v>551</v>
      </c>
      <c r="BQ2" s="207" t="s">
        <v>552</v>
      </c>
      <c r="BR2" s="207" t="s">
        <v>553</v>
      </c>
      <c r="BT2" s="274" t="s">
        <v>606</v>
      </c>
      <c r="BU2" s="274" t="s">
        <v>607</v>
      </c>
      <c r="BV2" s="274" t="s">
        <v>617</v>
      </c>
      <c r="BW2" s="274" t="s">
        <v>608</v>
      </c>
      <c r="BX2" s="274" t="s">
        <v>609</v>
      </c>
      <c r="BY2" s="274" t="s">
        <v>610</v>
      </c>
      <c r="BZ2" s="274" t="s">
        <v>611</v>
      </c>
      <c r="CA2" s="274" t="s">
        <v>612</v>
      </c>
      <c r="CB2" s="274" t="s">
        <v>613</v>
      </c>
      <c r="CC2" s="274" t="s">
        <v>614</v>
      </c>
      <c r="CD2" s="274" t="s">
        <v>615</v>
      </c>
      <c r="CE2" s="274" t="s">
        <v>616</v>
      </c>
      <c r="CI2" s="83"/>
      <c r="CJ2" s="83"/>
      <c r="CK2" s="83"/>
      <c r="CL2" s="83"/>
      <c r="CM2" s="83"/>
      <c r="CN2" s="83"/>
      <c r="CO2" s="83"/>
    </row>
    <row r="3" spans="1:93" ht="18" x14ac:dyDescent="0.3">
      <c r="A3" s="83"/>
      <c r="B3" s="103"/>
      <c r="C3" s="804" t="s">
        <v>270</v>
      </c>
      <c r="D3" s="805"/>
      <c r="E3" s="805"/>
      <c r="F3" s="805"/>
      <c r="G3" s="805"/>
      <c r="H3" s="954" t="s">
        <v>229</v>
      </c>
      <c r="I3" s="954"/>
      <c r="J3" s="83"/>
      <c r="K3" s="804" t="s">
        <v>268</v>
      </c>
      <c r="L3" s="805"/>
      <c r="M3" s="805"/>
      <c r="N3" s="805"/>
      <c r="O3" s="805"/>
      <c r="P3" s="805"/>
      <c r="Q3" s="805"/>
      <c r="R3" s="805"/>
      <c r="S3" s="806"/>
      <c r="T3" s="104"/>
      <c r="U3" s="103"/>
      <c r="V3" s="83"/>
      <c r="W3" t="s">
        <v>506</v>
      </c>
      <c r="X3" s="1" t="s">
        <v>7</v>
      </c>
      <c r="Y3" s="1" t="s">
        <v>509</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662</v>
      </c>
      <c r="AV3" s="83" t="s">
        <v>563</v>
      </c>
      <c r="AW3" s="83" t="s">
        <v>563</v>
      </c>
      <c r="AX3" s="1" t="s">
        <v>85</v>
      </c>
      <c r="AY3" s="1" t="s">
        <v>563</v>
      </c>
      <c r="AZ3" s="1" t="s">
        <v>563</v>
      </c>
      <c r="BA3" s="1" t="s">
        <v>563</v>
      </c>
      <c r="BB3" s="1" t="s">
        <v>563</v>
      </c>
      <c r="BC3" s="1" t="s">
        <v>563</v>
      </c>
      <c r="BD3" s="83" t="s">
        <v>85</v>
      </c>
      <c r="BE3" s="83" t="str">
        <f>+BC3</f>
        <v>N/A</v>
      </c>
      <c r="BF3" s="83" t="s">
        <v>85</v>
      </c>
      <c r="BG3" s="83" t="s">
        <v>85</v>
      </c>
      <c r="BH3" s="83" t="s">
        <v>524</v>
      </c>
      <c r="BI3" s="83" t="str">
        <f>+BE3</f>
        <v>N/A</v>
      </c>
      <c r="BJ3" s="83" t="s">
        <v>558</v>
      </c>
      <c r="BK3" s="83" t="s">
        <v>563</v>
      </c>
      <c r="BL3" s="83" t="str">
        <f>+BI3</f>
        <v>N/A</v>
      </c>
      <c r="BM3" s="83" t="s">
        <v>563</v>
      </c>
      <c r="BN3" s="83" t="s">
        <v>558</v>
      </c>
      <c r="BO3" s="13" t="s">
        <v>85</v>
      </c>
      <c r="BP3" s="83" t="s">
        <v>85</v>
      </c>
      <c r="BQ3" s="83" t="s">
        <v>85</v>
      </c>
      <c r="BR3" s="83" t="s">
        <v>226</v>
      </c>
      <c r="BT3" s="83" t="s">
        <v>524</v>
      </c>
      <c r="BU3" s="83" t="s">
        <v>524</v>
      </c>
      <c r="BV3" s="83" t="s">
        <v>524</v>
      </c>
      <c r="BW3" s="83" t="s">
        <v>524</v>
      </c>
      <c r="BX3" s="83" t="s">
        <v>524</v>
      </c>
      <c r="BY3" s="83" t="s">
        <v>524</v>
      </c>
      <c r="BZ3" s="83" t="s">
        <v>524</v>
      </c>
      <c r="CA3" s="83" t="s">
        <v>524</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955"/>
      <c r="L4" s="955"/>
      <c r="M4" s="955"/>
      <c r="N4" s="955"/>
      <c r="O4" s="955"/>
      <c r="P4" s="955"/>
      <c r="Q4" s="955"/>
      <c r="R4" s="955"/>
      <c r="S4" s="955"/>
      <c r="T4" s="104"/>
      <c r="U4" s="103"/>
      <c r="V4" s="83"/>
      <c r="W4" s="83" t="s">
        <v>508</v>
      </c>
      <c r="X4" s="1" t="s">
        <v>8</v>
      </c>
      <c r="Y4" s="1" t="s">
        <v>510</v>
      </c>
      <c r="Z4" s="1" t="s">
        <v>24</v>
      </c>
      <c r="AA4" s="1" t="s">
        <v>30</v>
      </c>
      <c r="AB4" s="1"/>
      <c r="AC4" s="83" t="s">
        <v>37</v>
      </c>
      <c r="AD4" s="83" t="str">
        <f>+'Equipment Data'!B53</f>
        <v>Rotary, Gas Fired</v>
      </c>
      <c r="AE4" s="83" t="s">
        <v>514</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522</v>
      </c>
      <c r="BF4" s="83" t="s">
        <v>86</v>
      </c>
      <c r="BG4" s="83" t="s">
        <v>192</v>
      </c>
      <c r="BH4" s="83" t="s">
        <v>556</v>
      </c>
      <c r="BJ4" s="83" t="s">
        <v>85</v>
      </c>
      <c r="BN4" s="83" t="s">
        <v>85</v>
      </c>
      <c r="BO4" s="13" t="s">
        <v>132</v>
      </c>
      <c r="BP4" s="83" t="s">
        <v>188</v>
      </c>
      <c r="BQ4" s="83" t="s">
        <v>87</v>
      </c>
      <c r="BR4" s="83" t="s">
        <v>227</v>
      </c>
      <c r="BT4" s="83" t="s">
        <v>556</v>
      </c>
      <c r="BU4" s="83" t="s">
        <v>556</v>
      </c>
      <c r="BV4" s="83" t="s">
        <v>556</v>
      </c>
      <c r="BW4" s="83" t="s">
        <v>556</v>
      </c>
      <c r="BX4" s="83" t="s">
        <v>556</v>
      </c>
      <c r="BY4" s="83" t="s">
        <v>556</v>
      </c>
      <c r="BZ4" s="83" t="s">
        <v>556</v>
      </c>
      <c r="CA4" s="83" t="s">
        <v>556</v>
      </c>
      <c r="CB4" s="83" t="s">
        <v>132</v>
      </c>
      <c r="CC4" s="83" t="s">
        <v>132</v>
      </c>
      <c r="CD4" s="83" t="s">
        <v>132</v>
      </c>
      <c r="CE4" s="83" t="s">
        <v>142</v>
      </c>
      <c r="CI4" s="83"/>
      <c r="CJ4" s="83"/>
      <c r="CK4" s="83"/>
      <c r="CL4" s="83"/>
      <c r="CM4" s="83"/>
      <c r="CN4" s="83"/>
      <c r="CO4" s="83"/>
    </row>
    <row r="5" spans="1:93" ht="18" x14ac:dyDescent="0.35">
      <c r="A5" s="83"/>
      <c r="B5" s="103"/>
      <c r="C5" s="83"/>
      <c r="D5" s="956" t="s">
        <v>685</v>
      </c>
      <c r="E5" s="957"/>
      <c r="F5" s="83"/>
      <c r="G5" s="83"/>
      <c r="H5" s="956" t="s">
        <v>267</v>
      </c>
      <c r="I5" s="957"/>
      <c r="J5" s="83"/>
      <c r="K5" s="958" t="s">
        <v>700</v>
      </c>
      <c r="L5" s="959"/>
      <c r="M5" s="959"/>
      <c r="N5" s="959"/>
      <c r="O5" s="959"/>
      <c r="P5" s="959"/>
      <c r="Q5" s="959"/>
      <c r="R5" s="959"/>
      <c r="S5" s="960"/>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526</v>
      </c>
      <c r="BJ5" s="83" t="s">
        <v>132</v>
      </c>
      <c r="BN5" s="83" t="s">
        <v>132</v>
      </c>
      <c r="BO5" s="13" t="s">
        <v>186</v>
      </c>
      <c r="BP5" s="83" t="s">
        <v>87</v>
      </c>
      <c r="BQ5" s="83" t="s">
        <v>561</v>
      </c>
      <c r="BR5" s="83" t="s">
        <v>228</v>
      </c>
      <c r="BT5" s="83" t="s">
        <v>526</v>
      </c>
      <c r="BU5" s="83" t="s">
        <v>526</v>
      </c>
      <c r="BV5" s="83" t="s">
        <v>526</v>
      </c>
      <c r="BW5" s="83" t="s">
        <v>526</v>
      </c>
      <c r="BX5" s="83" t="s">
        <v>526</v>
      </c>
      <c r="BY5" s="83" t="s">
        <v>526</v>
      </c>
      <c r="BZ5" s="83" t="s">
        <v>526</v>
      </c>
      <c r="CA5" s="83" t="s">
        <v>526</v>
      </c>
      <c r="CB5" s="83" t="s">
        <v>87</v>
      </c>
      <c r="CC5" s="83" t="s">
        <v>87</v>
      </c>
      <c r="CD5" s="83" t="s">
        <v>87</v>
      </c>
      <c r="CE5" s="83" t="s">
        <v>87</v>
      </c>
      <c r="CI5" s="83"/>
      <c r="CJ5" s="83"/>
      <c r="CK5" s="83"/>
      <c r="CL5" s="83"/>
      <c r="CM5" s="83"/>
      <c r="CN5" s="83"/>
      <c r="CO5" s="83"/>
    </row>
    <row r="6" spans="1:93" ht="15.6" x14ac:dyDescent="0.3">
      <c r="A6" s="83"/>
      <c r="B6" s="103"/>
      <c r="C6" s="850" t="s">
        <v>489</v>
      </c>
      <c r="D6" s="496" t="s">
        <v>699</v>
      </c>
      <c r="E6" s="507" t="s">
        <v>684</v>
      </c>
      <c r="F6" s="83"/>
      <c r="G6" s="83"/>
      <c r="H6" s="85"/>
      <c r="I6" s="110" t="s">
        <v>262</v>
      </c>
      <c r="J6" s="83"/>
      <c r="K6" s="961"/>
      <c r="L6" s="962"/>
      <c r="M6" s="962"/>
      <c r="N6" s="962"/>
      <c r="O6" s="962"/>
      <c r="P6" s="962"/>
      <c r="Q6" s="962"/>
      <c r="R6" s="962"/>
      <c r="S6" s="963"/>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468</v>
      </c>
      <c r="BJ6" s="83" t="s">
        <v>87</v>
      </c>
      <c r="BN6" s="83" t="s">
        <v>87</v>
      </c>
      <c r="BO6" s="13" t="s">
        <v>187</v>
      </c>
      <c r="BP6" s="83" t="s">
        <v>559</v>
      </c>
      <c r="BQ6" s="83" t="s">
        <v>562</v>
      </c>
      <c r="BT6" s="83" t="s">
        <v>554</v>
      </c>
      <c r="BU6" s="83" t="s">
        <v>554</v>
      </c>
      <c r="BV6" s="83" t="s">
        <v>554</v>
      </c>
      <c r="BW6" s="83" t="s">
        <v>554</v>
      </c>
      <c r="BX6" s="83" t="s">
        <v>554</v>
      </c>
      <c r="BY6" s="83" t="s">
        <v>554</v>
      </c>
      <c r="BZ6" s="83" t="s">
        <v>554</v>
      </c>
      <c r="CA6" s="83" t="s">
        <v>554</v>
      </c>
      <c r="CB6" s="83" t="s">
        <v>133</v>
      </c>
      <c r="CC6" s="83" t="s">
        <v>133</v>
      </c>
      <c r="CD6" s="83" t="s">
        <v>133</v>
      </c>
      <c r="CI6" s="83"/>
      <c r="CJ6" s="83"/>
      <c r="CK6" s="83"/>
      <c r="CL6" s="83"/>
      <c r="CM6" s="83"/>
      <c r="CN6" s="83"/>
      <c r="CO6" s="83"/>
    </row>
    <row r="7" spans="1:93" ht="15.6" x14ac:dyDescent="0.3">
      <c r="A7" s="83"/>
      <c r="B7" s="103"/>
      <c r="C7" s="851"/>
      <c r="D7" s="91"/>
      <c r="E7" s="504"/>
      <c r="F7" s="83"/>
      <c r="G7" s="83"/>
      <c r="H7" s="95"/>
      <c r="I7" s="110" t="s">
        <v>263</v>
      </c>
      <c r="J7" s="83"/>
      <c r="K7" s="961"/>
      <c r="L7" s="962"/>
      <c r="M7" s="962"/>
      <c r="N7" s="962"/>
      <c r="O7" s="962"/>
      <c r="P7" s="962"/>
      <c r="Q7" s="962"/>
      <c r="R7" s="962"/>
      <c r="S7" s="963"/>
      <c r="T7" s="104"/>
      <c r="U7" s="103"/>
      <c r="V7" s="83"/>
      <c r="W7" s="83" t="s">
        <v>511</v>
      </c>
      <c r="X7" s="1"/>
      <c r="Y7" s="1"/>
      <c r="Z7" s="1"/>
      <c r="AA7" s="1"/>
      <c r="AB7" s="1"/>
      <c r="AC7" s="83" t="s">
        <v>41</v>
      </c>
      <c r="AG7" s="83" t="s">
        <v>75</v>
      </c>
      <c r="AH7" s="83" t="s">
        <v>99</v>
      </c>
      <c r="AI7" s="83" t="s">
        <v>109</v>
      </c>
      <c r="AJ7" s="83" t="s">
        <v>121</v>
      </c>
      <c r="AK7" s="1"/>
      <c r="AL7" s="1"/>
      <c r="AM7" s="83" t="s">
        <v>165</v>
      </c>
      <c r="AY7" s="1"/>
      <c r="AZ7" s="1"/>
      <c r="BA7" s="1"/>
      <c r="BG7" s="83" t="s">
        <v>134</v>
      </c>
      <c r="BH7" s="83" t="s">
        <v>554</v>
      </c>
      <c r="BJ7" s="83" t="s">
        <v>133</v>
      </c>
      <c r="BN7" s="83" t="s">
        <v>133</v>
      </c>
      <c r="BO7" s="13" t="s">
        <v>87</v>
      </c>
      <c r="BP7" s="83" t="s">
        <v>133</v>
      </c>
      <c r="BT7" s="83" t="s">
        <v>479</v>
      </c>
      <c r="BU7" s="83" t="s">
        <v>479</v>
      </c>
      <c r="BV7" s="83" t="s">
        <v>479</v>
      </c>
      <c r="BW7" s="83" t="s">
        <v>479</v>
      </c>
      <c r="BX7" s="83" t="s">
        <v>479</v>
      </c>
      <c r="BY7" s="83" t="s">
        <v>479</v>
      </c>
      <c r="BZ7" s="83" t="s">
        <v>479</v>
      </c>
      <c r="CA7" s="83" t="s">
        <v>479</v>
      </c>
      <c r="CB7" s="83" t="s">
        <v>134</v>
      </c>
      <c r="CC7" s="83" t="s">
        <v>134</v>
      </c>
      <c r="CD7" s="83" t="s">
        <v>134</v>
      </c>
      <c r="CI7" s="83"/>
      <c r="CJ7" s="83"/>
      <c r="CK7" s="83"/>
      <c r="CL7" s="83"/>
      <c r="CM7" s="83"/>
      <c r="CN7" s="83"/>
      <c r="CO7" s="83"/>
    </row>
    <row r="8" spans="1:93" ht="15.6" x14ac:dyDescent="0.3">
      <c r="A8" s="83"/>
      <c r="B8" s="103"/>
      <c r="C8" s="818"/>
      <c r="D8" s="503"/>
      <c r="E8" s="504"/>
      <c r="F8" s="83"/>
      <c r="G8" s="83"/>
      <c r="H8" s="94"/>
      <c r="I8" s="111" t="s">
        <v>264</v>
      </c>
      <c r="J8" s="83"/>
      <c r="K8" s="961"/>
      <c r="L8" s="962"/>
      <c r="M8" s="962"/>
      <c r="N8" s="962"/>
      <c r="O8" s="962"/>
      <c r="P8" s="962"/>
      <c r="Q8" s="962"/>
      <c r="R8" s="962"/>
      <c r="S8" s="963"/>
      <c r="T8" s="104"/>
      <c r="U8" s="103"/>
      <c r="V8" s="83"/>
      <c r="W8" s="83" t="s">
        <v>512</v>
      </c>
      <c r="X8" s="1"/>
      <c r="Y8" s="1"/>
      <c r="Z8" s="1"/>
      <c r="AA8" s="1"/>
      <c r="AB8" s="1"/>
      <c r="AC8" s="83" t="s">
        <v>42</v>
      </c>
      <c r="AG8" s="83" t="s">
        <v>76</v>
      </c>
      <c r="AH8" s="83" t="s">
        <v>100</v>
      </c>
      <c r="AJ8" s="83" t="s">
        <v>122</v>
      </c>
      <c r="AK8" s="1"/>
      <c r="AL8" s="1"/>
      <c r="AM8" s="83" t="s">
        <v>166</v>
      </c>
      <c r="AY8" s="1"/>
      <c r="AZ8" s="1"/>
      <c r="BA8" s="1"/>
      <c r="BH8" s="83" t="s">
        <v>479</v>
      </c>
      <c r="BJ8" s="83" t="s">
        <v>134</v>
      </c>
      <c r="BN8" s="83" t="s">
        <v>134</v>
      </c>
      <c r="BO8" s="13" t="s">
        <v>188</v>
      </c>
      <c r="BP8" s="83" t="s">
        <v>191</v>
      </c>
      <c r="BT8" s="83" t="s">
        <v>555</v>
      </c>
      <c r="BU8" s="83" t="s">
        <v>555</v>
      </c>
      <c r="BV8" s="83" t="s">
        <v>555</v>
      </c>
      <c r="BW8" s="83" t="s">
        <v>555</v>
      </c>
      <c r="BX8" s="83" t="s">
        <v>555</v>
      </c>
      <c r="BY8" s="83" t="s">
        <v>555</v>
      </c>
      <c r="BZ8" s="83" t="s">
        <v>555</v>
      </c>
      <c r="CA8" s="83" t="s">
        <v>555</v>
      </c>
      <c r="CH8" s="823" t="s">
        <v>661</v>
      </c>
      <c r="CI8" s="824"/>
      <c r="CJ8" s="824"/>
      <c r="CK8" s="824"/>
      <c r="CL8" s="824"/>
      <c r="CM8" s="825"/>
      <c r="CN8" s="83"/>
      <c r="CO8" s="83"/>
    </row>
    <row r="9" spans="1:93" ht="15.6" x14ac:dyDescent="0.3">
      <c r="A9" s="83"/>
      <c r="B9" s="103"/>
      <c r="C9" s="819"/>
      <c r="D9" s="505"/>
      <c r="E9" s="506"/>
      <c r="F9" s="83"/>
      <c r="G9" s="83"/>
      <c r="H9" s="108"/>
      <c r="I9" s="109" t="s">
        <v>268</v>
      </c>
      <c r="J9" s="83"/>
      <c r="K9" s="964"/>
      <c r="L9" s="965"/>
      <c r="M9" s="965"/>
      <c r="N9" s="965"/>
      <c r="O9" s="965"/>
      <c r="P9" s="965"/>
      <c r="Q9" s="965"/>
      <c r="R9" s="965"/>
      <c r="S9" s="966"/>
      <c r="T9" s="104"/>
      <c r="U9" s="103"/>
      <c r="V9" s="83"/>
      <c r="W9" s="83" t="s">
        <v>246</v>
      </c>
      <c r="X9" s="1"/>
      <c r="Y9" s="1"/>
      <c r="Z9" s="1"/>
      <c r="AA9" s="1"/>
      <c r="AB9" s="1"/>
      <c r="AG9" s="83" t="s">
        <v>77</v>
      </c>
      <c r="AH9" s="83" t="s">
        <v>101</v>
      </c>
      <c r="AJ9" s="83" t="s">
        <v>123</v>
      </c>
      <c r="AK9" s="1"/>
      <c r="AL9" s="1"/>
      <c r="AP9" s="83" t="str">
        <f>+""</f>
        <v/>
      </c>
      <c r="AW9"/>
      <c r="AY9" s="1"/>
      <c r="AZ9" s="1"/>
      <c r="BA9" s="1"/>
      <c r="BH9" s="83" t="s">
        <v>555</v>
      </c>
      <c r="BO9" s="13" t="s">
        <v>189</v>
      </c>
      <c r="BP9" s="83" t="s">
        <v>560</v>
      </c>
      <c r="BT9" s="83" t="s">
        <v>557</v>
      </c>
      <c r="BU9" s="83" t="s">
        <v>557</v>
      </c>
      <c r="BV9" s="83" t="s">
        <v>557</v>
      </c>
      <c r="BW9" s="83" t="s">
        <v>557</v>
      </c>
      <c r="BX9" s="83" t="s">
        <v>557</v>
      </c>
      <c r="BY9" s="83" t="s">
        <v>557</v>
      </c>
      <c r="BZ9" s="83" t="s">
        <v>557</v>
      </c>
      <c r="CA9" s="83" t="s">
        <v>557</v>
      </c>
      <c r="CH9" s="826"/>
      <c r="CI9" s="827"/>
      <c r="CJ9" s="827"/>
      <c r="CK9" s="827"/>
      <c r="CL9" s="827"/>
      <c r="CM9" s="828"/>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515</v>
      </c>
      <c r="X10" s="1"/>
      <c r="Y10" s="1"/>
      <c r="Z10" s="1"/>
      <c r="AA10" s="1"/>
      <c r="AB10" s="1"/>
      <c r="AG10" s="83" t="s">
        <v>78</v>
      </c>
      <c r="AJ10" s="83" t="s">
        <v>124</v>
      </c>
      <c r="AK10" s="1"/>
      <c r="AL10" s="1"/>
      <c r="AW10" s="1"/>
      <c r="BH10" s="83" t="s">
        <v>557</v>
      </c>
      <c r="BO10" s="13" t="s">
        <v>190</v>
      </c>
      <c r="BT10" s="83" t="s">
        <v>525</v>
      </c>
      <c r="BU10" s="83" t="s">
        <v>525</v>
      </c>
      <c r="BV10" s="83" t="s">
        <v>525</v>
      </c>
      <c r="BW10" s="83" t="s">
        <v>525</v>
      </c>
      <c r="BX10" s="83" t="s">
        <v>525</v>
      </c>
      <c r="BY10" s="83" t="s">
        <v>525</v>
      </c>
      <c r="BZ10" s="83" t="s">
        <v>525</v>
      </c>
      <c r="CA10" s="83" t="s">
        <v>525</v>
      </c>
      <c r="CI10" s="83"/>
      <c r="CJ10" s="83"/>
      <c r="CK10" s="83"/>
      <c r="CL10" s="83"/>
      <c r="CM10" s="83"/>
      <c r="CN10" s="83"/>
      <c r="CO10" s="83"/>
    </row>
    <row r="11" spans="1:93" ht="18" x14ac:dyDescent="0.3">
      <c r="A11" s="83"/>
      <c r="B11" s="103"/>
      <c r="C11" s="83"/>
      <c r="D11" s="804" t="s">
        <v>504</v>
      </c>
      <c r="E11" s="805"/>
      <c r="F11" s="805"/>
      <c r="G11" s="805"/>
      <c r="H11" s="805"/>
      <c r="I11" s="805"/>
      <c r="J11" s="805"/>
      <c r="K11" s="805"/>
      <c r="L11" s="806"/>
      <c r="M11" s="804" t="s">
        <v>505</v>
      </c>
      <c r="N11" s="805"/>
      <c r="O11" s="805"/>
      <c r="P11" s="805"/>
      <c r="Q11" s="806"/>
      <c r="R11" s="83"/>
      <c r="S11" s="83"/>
      <c r="T11" s="104"/>
      <c r="U11" s="103"/>
      <c r="V11" s="83"/>
      <c r="W11" s="83" t="s">
        <v>248</v>
      </c>
      <c r="X11" s="1"/>
      <c r="Y11" s="1"/>
      <c r="Z11" s="1"/>
      <c r="AA11" s="1"/>
      <c r="AB11" s="1"/>
      <c r="AG11" s="83" t="s">
        <v>79</v>
      </c>
      <c r="AJ11" s="83" t="s">
        <v>125</v>
      </c>
      <c r="AK11" s="1"/>
      <c r="AL11" s="1"/>
      <c r="AW11" s="1"/>
      <c r="BH11" s="83" t="s">
        <v>525</v>
      </c>
      <c r="BO11" s="13" t="s">
        <v>134</v>
      </c>
      <c r="BT11" s="83" t="s">
        <v>468</v>
      </c>
      <c r="BU11" s="83" t="s">
        <v>468</v>
      </c>
      <c r="BV11" s="83" t="s">
        <v>468</v>
      </c>
      <c r="BW11" s="83" t="s">
        <v>468</v>
      </c>
      <c r="BX11" s="83" t="s">
        <v>468</v>
      </c>
      <c r="BY11" s="83" t="s">
        <v>468</v>
      </c>
      <c r="BZ11" s="83" t="s">
        <v>468</v>
      </c>
      <c r="CA11" s="83" t="s">
        <v>468</v>
      </c>
      <c r="CI11" s="83"/>
      <c r="CJ11" s="83"/>
      <c r="CK11" s="83"/>
      <c r="CL11" s="83"/>
      <c r="CM11" s="83"/>
      <c r="CN11" s="83"/>
      <c r="CO11" s="83"/>
    </row>
    <row r="12" spans="1:93" ht="18" x14ac:dyDescent="0.3">
      <c r="A12" s="83"/>
      <c r="B12" s="103"/>
      <c r="C12" s="88" t="s">
        <v>239</v>
      </c>
      <c r="D12" s="250" t="s">
        <v>229</v>
      </c>
      <c r="E12" s="250" t="s">
        <v>348</v>
      </c>
      <c r="F12" s="224" t="s">
        <v>234</v>
      </c>
      <c r="G12" s="224" t="s">
        <v>469</v>
      </c>
      <c r="H12" s="226" t="s">
        <v>235</v>
      </c>
      <c r="I12" s="250" t="s">
        <v>236</v>
      </c>
      <c r="J12" s="225" t="s">
        <v>341</v>
      </c>
      <c r="K12" s="224" t="s">
        <v>340</v>
      </c>
      <c r="L12" s="224" t="s">
        <v>528</v>
      </c>
      <c r="M12" s="226" t="s">
        <v>230</v>
      </c>
      <c r="N12" s="226" t="s">
        <v>231</v>
      </c>
      <c r="O12" s="226" t="s">
        <v>527</v>
      </c>
      <c r="P12" s="226" t="s">
        <v>225</v>
      </c>
      <c r="Q12" s="225" t="s">
        <v>233</v>
      </c>
      <c r="R12" s="90" t="s">
        <v>266</v>
      </c>
      <c r="S12" s="90" t="s">
        <v>237</v>
      </c>
      <c r="T12" s="104"/>
      <c r="U12" s="103"/>
      <c r="V12" s="83"/>
      <c r="W12" s="83" t="s">
        <v>516</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506</v>
      </c>
      <c r="E13" s="203" t="s">
        <v>7</v>
      </c>
      <c r="F13" s="96">
        <v>1</v>
      </c>
      <c r="G13" s="96" t="s">
        <v>354</v>
      </c>
      <c r="H13" s="96" t="s">
        <v>465</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517</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506</v>
      </c>
      <c r="E14" s="203" t="s">
        <v>8</v>
      </c>
      <c r="F14" s="96">
        <v>1</v>
      </c>
      <c r="G14" s="96" t="s">
        <v>354</v>
      </c>
      <c r="H14" s="96" t="s">
        <v>465</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466</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506</v>
      </c>
      <c r="E15" s="203" t="s">
        <v>507</v>
      </c>
      <c r="F15" s="96">
        <v>1</v>
      </c>
      <c r="G15" s="96" t="s">
        <v>354</v>
      </c>
      <c r="H15" s="96" t="s">
        <v>465</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508</v>
      </c>
      <c r="E16" s="203" t="s">
        <v>509</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519</v>
      </c>
      <c r="X16" s="83"/>
      <c r="AW16" s="1"/>
      <c r="BH16" s="83" t="s">
        <v>134</v>
      </c>
      <c r="CI16" s="83"/>
      <c r="CJ16" s="83"/>
      <c r="CK16" s="83"/>
      <c r="CL16" s="83"/>
      <c r="CM16" s="83"/>
      <c r="CN16" s="83"/>
      <c r="CO16" s="83"/>
    </row>
    <row r="17" spans="1:93" x14ac:dyDescent="0.3">
      <c r="A17" s="83"/>
      <c r="B17" s="103"/>
      <c r="C17" s="187"/>
      <c r="D17" s="203" t="s">
        <v>508</v>
      </c>
      <c r="E17" s="203" t="s">
        <v>510</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508</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520</v>
      </c>
      <c r="X18" s="83"/>
      <c r="AW18" s="1"/>
      <c r="CI18" s="83"/>
      <c r="CJ18" s="83"/>
      <c r="CK18" s="83"/>
      <c r="CL18" s="83"/>
      <c r="CM18" s="83"/>
      <c r="CN18" s="83"/>
      <c r="CO18" s="83"/>
    </row>
    <row r="19" spans="1:93" x14ac:dyDescent="0.3">
      <c r="A19" s="83"/>
      <c r="B19" s="103"/>
      <c r="C19" s="187"/>
      <c r="D19" s="203" t="s">
        <v>508</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521</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467</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467</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467</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467</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529</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511</v>
      </c>
      <c r="E28" s="203" t="s">
        <v>34</v>
      </c>
      <c r="F28" s="96">
        <v>1</v>
      </c>
      <c r="G28" s="96" t="s">
        <v>354</v>
      </c>
      <c r="H28" s="96" t="s">
        <v>465</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512</v>
      </c>
      <c r="E29" s="203" t="s">
        <v>36</v>
      </c>
      <c r="F29" s="96">
        <v>1</v>
      </c>
      <c r="G29" s="96" t="s">
        <v>354</v>
      </c>
      <c r="H29" s="96" t="s">
        <v>467</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512</v>
      </c>
      <c r="E30" s="203" t="s">
        <v>37</v>
      </c>
      <c r="F30" s="96">
        <v>1</v>
      </c>
      <c r="G30" s="96" t="s">
        <v>354</v>
      </c>
      <c r="H30" s="96" t="s">
        <v>467</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512</v>
      </c>
      <c r="E31" s="203" t="s">
        <v>38</v>
      </c>
      <c r="F31" s="96">
        <v>1</v>
      </c>
      <c r="G31" s="96" t="s">
        <v>354</v>
      </c>
      <c r="H31" s="96" t="s">
        <v>467</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512</v>
      </c>
      <c r="E32" s="203" t="s">
        <v>40</v>
      </c>
      <c r="F32" s="96">
        <v>1</v>
      </c>
      <c r="G32" s="96" t="s">
        <v>354</v>
      </c>
      <c r="H32" s="96" t="s">
        <v>467</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512</v>
      </c>
      <c r="E33" s="203" t="s">
        <v>41</v>
      </c>
      <c r="F33" s="96">
        <v>1</v>
      </c>
      <c r="G33" s="96" t="s">
        <v>354</v>
      </c>
      <c r="H33" s="96" t="s">
        <v>467</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512</v>
      </c>
      <c r="E34" s="203" t="s">
        <v>42</v>
      </c>
      <c r="F34" s="96">
        <v>1</v>
      </c>
      <c r="G34" s="96" t="s">
        <v>354</v>
      </c>
      <c r="H34" s="96" t="s">
        <v>467</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513</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515</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515</v>
      </c>
      <c r="E39" s="203" t="s">
        <v>514</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515</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515</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467</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467</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467</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467</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516</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516</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516</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516</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516</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516</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516</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516</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516</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517</v>
      </c>
      <c r="E55" s="203" t="s">
        <v>88</v>
      </c>
      <c r="F55" s="96">
        <v>1</v>
      </c>
      <c r="G55" s="96">
        <v>1</v>
      </c>
      <c r="H55" s="96" t="s">
        <v>467</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517</v>
      </c>
      <c r="E56" s="203" t="s">
        <v>518</v>
      </c>
      <c r="F56" s="96">
        <v>1</v>
      </c>
      <c r="G56" s="96">
        <v>1</v>
      </c>
      <c r="H56" s="96" t="s">
        <v>467</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517</v>
      </c>
      <c r="E57" s="203" t="s">
        <v>91</v>
      </c>
      <c r="F57" s="96">
        <v>1</v>
      </c>
      <c r="G57" s="96">
        <v>1</v>
      </c>
      <c r="H57" s="96" t="s">
        <v>467</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517</v>
      </c>
      <c r="E58" s="203" t="s">
        <v>98</v>
      </c>
      <c r="F58" s="96">
        <v>1</v>
      </c>
      <c r="G58" s="96">
        <v>1</v>
      </c>
      <c r="H58" s="96" t="s">
        <v>467</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517</v>
      </c>
      <c r="E59" s="203" t="s">
        <v>99</v>
      </c>
      <c r="F59" s="96">
        <v>1</v>
      </c>
      <c r="G59" s="96">
        <v>1</v>
      </c>
      <c r="H59" s="96" t="s">
        <v>467</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517</v>
      </c>
      <c r="E60" s="203" t="s">
        <v>100</v>
      </c>
      <c r="F60" s="96">
        <v>1</v>
      </c>
      <c r="G60" s="96">
        <v>1</v>
      </c>
      <c r="H60" s="96" t="s">
        <v>467</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517</v>
      </c>
      <c r="E61" s="203" t="s">
        <v>101</v>
      </c>
      <c r="F61" s="96">
        <v>1</v>
      </c>
      <c r="G61" s="96">
        <v>1</v>
      </c>
      <c r="H61" s="96" t="s">
        <v>467</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466</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466</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466</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466</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466</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524</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524</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524</v>
      </c>
      <c r="J69" s="96" t="str">
        <f>+IF(F69&gt;'Equipment Data'!$L$126,"yes","No")</f>
        <v>No</v>
      </c>
      <c r="K69" s="96">
        <v>0.67</v>
      </c>
      <c r="L69" s="96" t="s">
        <v>523</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524</v>
      </c>
      <c r="J70" s="96" t="str">
        <f>+IF(F70&gt;'Equipment Data'!$L$128,"yes","No")</f>
        <v>No</v>
      </c>
      <c r="K70" s="96">
        <v>0.67</v>
      </c>
      <c r="L70" s="96" t="s">
        <v>523</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524</v>
      </c>
      <c r="J71" s="96" t="str">
        <f>+IF(F71&gt;'Equipment Data'!$L$130,"yes","No")</f>
        <v>No</v>
      </c>
      <c r="K71" s="96">
        <v>0.67</v>
      </c>
      <c r="L71" s="96" t="s">
        <v>523</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524</v>
      </c>
      <c r="J72" s="96" t="str">
        <f>+IF(F72&gt;'Equipment Data'!$L$132,"yes","No")</f>
        <v>No</v>
      </c>
      <c r="K72" s="96">
        <v>0.67</v>
      </c>
      <c r="L72" s="96" t="s">
        <v>523</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524</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524</v>
      </c>
      <c r="J76" s="96" t="str">
        <f>+IF(F76&gt;'Equipment Data'!$L$139,"yes","No")</f>
        <v>No</v>
      </c>
      <c r="K76" s="96">
        <v>0.67</v>
      </c>
      <c r="L76" s="96" t="s">
        <v>523</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519</v>
      </c>
      <c r="E79" s="203" t="s">
        <v>146</v>
      </c>
      <c r="F79" s="96">
        <v>1</v>
      </c>
      <c r="G79" s="96" t="s">
        <v>354</v>
      </c>
      <c r="H79" s="96" t="s">
        <v>467</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519</v>
      </c>
      <c r="E80" s="203" t="s">
        <v>147</v>
      </c>
      <c r="F80" s="96">
        <v>1</v>
      </c>
      <c r="G80" s="96" t="s">
        <v>354</v>
      </c>
      <c r="H80" s="96" t="s">
        <v>467</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519</v>
      </c>
      <c r="E81" s="203" t="s">
        <v>148</v>
      </c>
      <c r="F81" s="96">
        <v>1</v>
      </c>
      <c r="G81" s="96" t="s">
        <v>354</v>
      </c>
      <c r="H81" s="96" t="s">
        <v>467</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467</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467</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467</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520</v>
      </c>
      <c r="E85" s="203" t="s">
        <v>161</v>
      </c>
      <c r="F85" s="96">
        <v>1</v>
      </c>
      <c r="G85" s="96" t="s">
        <v>354</v>
      </c>
      <c r="H85" s="96" t="s">
        <v>465</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520</v>
      </c>
      <c r="E86" s="203" t="s">
        <v>162</v>
      </c>
      <c r="F86" s="96">
        <v>1</v>
      </c>
      <c r="G86" s="96" t="s">
        <v>354</v>
      </c>
      <c r="H86" s="96" t="s">
        <v>465</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520</v>
      </c>
      <c r="E87" s="203" t="s">
        <v>163</v>
      </c>
      <c r="F87" s="96">
        <v>1</v>
      </c>
      <c r="G87" s="96" t="s">
        <v>354</v>
      </c>
      <c r="H87" s="96" t="s">
        <v>465</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520</v>
      </c>
      <c r="E88" s="203" t="s">
        <v>164</v>
      </c>
      <c r="F88" s="96">
        <v>1</v>
      </c>
      <c r="G88" s="96" t="s">
        <v>354</v>
      </c>
      <c r="H88" s="96" t="s">
        <v>465</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520</v>
      </c>
      <c r="E89" s="203" t="s">
        <v>165</v>
      </c>
      <c r="F89" s="96">
        <v>1</v>
      </c>
      <c r="G89" s="96" t="s">
        <v>354</v>
      </c>
      <c r="H89" s="96" t="s">
        <v>465</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520</v>
      </c>
      <c r="E90" s="203" t="s">
        <v>166</v>
      </c>
      <c r="F90" s="96">
        <v>1</v>
      </c>
      <c r="G90" s="96" t="s">
        <v>354</v>
      </c>
      <c r="H90" s="96" t="s">
        <v>465</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521</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521</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521</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521</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465</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465</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467</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467</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465</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465</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465</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465</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465</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529</v>
      </c>
      <c r="E107" s="203" t="s">
        <v>662</v>
      </c>
      <c r="F107" s="96">
        <v>1</v>
      </c>
      <c r="G107" s="96" t="s">
        <v>354</v>
      </c>
      <c r="H107" s="96" t="s">
        <v>465</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948"/>
      <c r="D108" s="949"/>
      <c r="E108" s="949"/>
      <c r="F108" s="949"/>
      <c r="G108" s="949"/>
      <c r="H108" s="949"/>
      <c r="I108" s="949"/>
      <c r="J108" s="949"/>
      <c r="K108" s="949"/>
      <c r="L108" s="949"/>
      <c r="M108" s="949"/>
      <c r="N108" s="949"/>
      <c r="O108" s="949"/>
      <c r="P108" s="949"/>
      <c r="Q108" s="949"/>
      <c r="R108" s="950"/>
      <c r="S108" s="951"/>
      <c r="T108" s="104"/>
      <c r="U108" s="83"/>
      <c r="V108" s="83"/>
      <c r="W108" s="83"/>
      <c r="X108" s="1"/>
      <c r="CI108" s="83"/>
      <c r="CJ108" s="83"/>
      <c r="CK108" s="83"/>
      <c r="CL108" s="83"/>
      <c r="CM108" s="83"/>
      <c r="CN108" s="83"/>
      <c r="CO108" s="83"/>
    </row>
    <row r="109" spans="1:93" ht="14.4" customHeight="1" x14ac:dyDescent="0.3">
      <c r="A109" s="83"/>
      <c r="B109" s="103"/>
      <c r="C109" s="772"/>
      <c r="D109" s="773"/>
      <c r="E109" s="773"/>
      <c r="F109" s="773"/>
      <c r="G109" s="773"/>
      <c r="H109" s="773"/>
      <c r="I109" s="773"/>
      <c r="J109" s="773"/>
      <c r="K109" s="773"/>
      <c r="L109" s="773"/>
      <c r="M109" s="773"/>
      <c r="N109" s="773"/>
      <c r="O109" s="773"/>
      <c r="P109" s="773"/>
      <c r="Q109" s="773"/>
      <c r="R109" s="774"/>
      <c r="S109" s="952"/>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953"/>
      <c r="C112" s="953"/>
      <c r="D112" s="953"/>
      <c r="E112" s="953"/>
      <c r="F112" s="953"/>
      <c r="G112" s="953"/>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98" t="str">
        <f>+'Plant Overview'!E6&amp;": Input to SSM"</f>
        <v>NGCC: Input to SSM</v>
      </c>
      <c r="C2" s="799"/>
      <c r="D2" s="799"/>
      <c r="E2" s="799"/>
      <c r="F2" s="799"/>
      <c r="G2" s="799"/>
      <c r="H2" s="799"/>
      <c r="I2" s="799"/>
      <c r="J2" s="799"/>
      <c r="K2" s="800"/>
    </row>
    <row r="4" spans="2:14" ht="17.399999999999999" customHeight="1" x14ac:dyDescent="0.3">
      <c r="B4" s="579" t="s">
        <v>455</v>
      </c>
      <c r="C4" s="580" t="s">
        <v>659</v>
      </c>
      <c r="D4" s="581" t="s">
        <v>235</v>
      </c>
      <c r="F4" s="968" t="str">
        <f>+'Plant Overview'!D5</f>
        <v>Cost Estimate Details</v>
      </c>
      <c r="G4" s="969"/>
      <c r="I4" s="934" t="s">
        <v>489</v>
      </c>
      <c r="J4" s="935"/>
      <c r="K4" s="582"/>
    </row>
    <row r="5" spans="2:14" ht="17.399999999999999" customHeight="1" x14ac:dyDescent="0.3">
      <c r="C5" s="583"/>
      <c r="F5" s="99" t="str">
        <f>+'Plant Overview'!D7</f>
        <v>Location</v>
      </c>
      <c r="G5" s="177" t="str">
        <f>+'Plant Overview'!E7</f>
        <v>Western Europe</v>
      </c>
      <c r="I5" s="584"/>
      <c r="J5" s="204"/>
      <c r="K5" s="204"/>
    </row>
    <row r="6" spans="2:14" ht="17.399999999999999" customHeight="1" x14ac:dyDescent="0.3">
      <c r="F6" s="99" t="str">
        <f>+'Plant Overview'!D8</f>
        <v>Year</v>
      </c>
      <c r="G6" s="99">
        <f>+'Plant Overview'!E8</f>
        <v>2024</v>
      </c>
      <c r="I6" s="936" t="s">
        <v>738</v>
      </c>
      <c r="J6" s="221" t="s">
        <v>571</v>
      </c>
      <c r="K6" s="222" t="s">
        <v>572</v>
      </c>
      <c r="N6" s="967"/>
    </row>
    <row r="7" spans="2:14" ht="17.399999999999999" customHeight="1" x14ac:dyDescent="0.3">
      <c r="F7" s="170" t="str">
        <f>+'Plant Overview'!D9</f>
        <v xml:space="preserve"> Currency</v>
      </c>
      <c r="G7" s="170" t="str">
        <f>+'Plant Overview'!E9</f>
        <v>€</v>
      </c>
      <c r="I7" s="938"/>
      <c r="J7" s="86"/>
      <c r="K7" s="86"/>
      <c r="N7" s="967"/>
    </row>
    <row r="8" spans="2:14" ht="17.399999999999999" customHeight="1" x14ac:dyDescent="0.3">
      <c r="I8" s="357"/>
    </row>
    <row r="9" spans="2:14" ht="17.399999999999999" customHeight="1" x14ac:dyDescent="0.3">
      <c r="F9" s="728" t="s">
        <v>573</v>
      </c>
      <c r="G9" s="729"/>
      <c r="H9" s="729"/>
      <c r="I9" s="729"/>
      <c r="J9" s="729"/>
      <c r="K9" s="730"/>
    </row>
    <row r="10" spans="2:14" ht="17.399999999999999" customHeight="1" x14ac:dyDescent="0.3">
      <c r="F10" s="731"/>
      <c r="G10" s="783"/>
      <c r="H10" s="783"/>
      <c r="I10" s="783"/>
      <c r="J10" s="783"/>
      <c r="K10" s="784"/>
    </row>
    <row r="11" spans="2:14" ht="17.399999999999999" customHeight="1" x14ac:dyDescent="0.3">
      <c r="F11" s="785"/>
      <c r="G11" s="786"/>
      <c r="H11" s="786"/>
      <c r="I11" s="786"/>
      <c r="J11" s="786"/>
      <c r="K11" s="787"/>
    </row>
    <row r="12" spans="2:14" ht="17.399999999999999" customHeight="1" x14ac:dyDescent="0.3">
      <c r="F12" s="788"/>
      <c r="G12" s="789"/>
      <c r="H12" s="789"/>
      <c r="I12" s="789"/>
      <c r="J12" s="789"/>
      <c r="K12" s="79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642</v>
      </c>
      <c r="C2" s="178"/>
      <c r="D2" s="178"/>
      <c r="E2" s="178"/>
      <c r="F2" s="178"/>
      <c r="G2" s="178"/>
      <c r="H2" s="178"/>
      <c r="I2" s="178"/>
      <c r="J2" s="178"/>
      <c r="K2" s="178"/>
      <c r="L2" s="180"/>
      <c r="M2" s="180"/>
      <c r="O2" s="807" t="s">
        <v>493</v>
      </c>
      <c r="P2" s="970"/>
      <c r="Q2" s="970"/>
      <c r="R2" s="808"/>
      <c r="T2" s="807" t="s">
        <v>267</v>
      </c>
      <c r="U2" s="808"/>
    </row>
    <row r="3" spans="2:21" ht="19.95" customHeight="1" x14ac:dyDescent="0.3">
      <c r="B3" s="954" t="s">
        <v>677</v>
      </c>
      <c r="C3" s="954"/>
      <c r="D3" s="954"/>
      <c r="E3" s="971"/>
      <c r="F3" s="971"/>
      <c r="G3" s="971"/>
      <c r="H3" s="971"/>
      <c r="I3" s="971"/>
      <c r="J3" s="971"/>
      <c r="K3" s="178"/>
      <c r="L3" s="929" t="s">
        <v>647</v>
      </c>
      <c r="M3" s="930"/>
      <c r="N3" s="178"/>
      <c r="O3" s="268"/>
      <c r="P3" s="148"/>
      <c r="Q3" s="185" t="s">
        <v>463</v>
      </c>
      <c r="R3" s="186" t="s">
        <v>497</v>
      </c>
      <c r="T3" s="85"/>
      <c r="U3" s="314" t="s">
        <v>262</v>
      </c>
    </row>
    <row r="4" spans="2:21" ht="19.95" customHeight="1" x14ac:dyDescent="0.3">
      <c r="B4" s="342" t="s">
        <v>489</v>
      </c>
      <c r="C4" s="423" t="s">
        <v>676</v>
      </c>
      <c r="D4" s="461"/>
      <c r="E4" s="373"/>
      <c r="F4" s="346"/>
      <c r="G4" s="346"/>
      <c r="H4" s="346"/>
      <c r="I4" s="346"/>
      <c r="J4" s="347"/>
      <c r="K4" s="330"/>
      <c r="L4" s="344" t="s">
        <v>571</v>
      </c>
      <c r="M4" s="343"/>
      <c r="N4" s="330"/>
      <c r="O4" s="265"/>
      <c r="P4" s="97"/>
      <c r="Q4" s="166" t="s">
        <v>464</v>
      </c>
      <c r="R4" s="86" t="s">
        <v>498</v>
      </c>
      <c r="T4" s="179"/>
      <c r="U4" s="314" t="s">
        <v>263</v>
      </c>
    </row>
    <row r="5" spans="2:21" ht="19.95" customHeight="1" x14ac:dyDescent="0.3">
      <c r="B5" s="850"/>
      <c r="C5" s="416" t="s">
        <v>359</v>
      </c>
      <c r="D5" s="461"/>
      <c r="E5" s="374"/>
      <c r="F5" s="335"/>
      <c r="G5" s="335"/>
      <c r="H5" s="335"/>
      <c r="I5" s="335"/>
      <c r="J5" s="348"/>
      <c r="K5" s="330"/>
      <c r="L5" s="345" t="s">
        <v>572</v>
      </c>
      <c r="M5" s="343"/>
      <c r="N5" s="330"/>
      <c r="O5" s="265"/>
      <c r="P5" s="97"/>
      <c r="Q5" s="185" t="s">
        <v>458</v>
      </c>
      <c r="R5" s="186" t="s">
        <v>496</v>
      </c>
      <c r="T5" s="94"/>
      <c r="U5" s="98" t="s">
        <v>264</v>
      </c>
    </row>
    <row r="6" spans="2:21" ht="19.95" customHeight="1" x14ac:dyDescent="0.3">
      <c r="B6" s="972"/>
      <c r="C6" s="423" t="s">
        <v>582</v>
      </c>
      <c r="D6" s="461"/>
      <c r="E6" s="374"/>
      <c r="F6" s="335"/>
      <c r="G6" s="335"/>
      <c r="H6" s="335"/>
      <c r="I6" s="335"/>
      <c r="J6" s="348"/>
      <c r="K6" s="330"/>
      <c r="L6" s="330"/>
      <c r="M6" s="330"/>
      <c r="N6" s="330"/>
      <c r="O6" s="265"/>
      <c r="P6" s="97"/>
      <c r="Q6" s="185" t="s">
        <v>459</v>
      </c>
      <c r="R6" s="186" t="s">
        <v>494</v>
      </c>
      <c r="T6" s="108"/>
      <c r="U6" s="300" t="s">
        <v>268</v>
      </c>
    </row>
    <row r="7" spans="2:21" ht="19.95" customHeight="1" x14ac:dyDescent="0.3">
      <c r="B7" s="851"/>
      <c r="C7" s="460" t="s">
        <v>312</v>
      </c>
      <c r="D7" s="461"/>
      <c r="E7" s="375"/>
      <c r="F7" s="349"/>
      <c r="G7" s="349"/>
      <c r="H7" s="349"/>
      <c r="I7" s="349"/>
      <c r="J7" s="350"/>
      <c r="K7" s="330"/>
      <c r="L7" s="330"/>
      <c r="M7" s="330"/>
      <c r="N7" s="330"/>
      <c r="O7" s="266"/>
      <c r="P7" s="98"/>
      <c r="Q7" s="185" t="s">
        <v>460</v>
      </c>
      <c r="R7" s="186" t="s">
        <v>495</v>
      </c>
    </row>
    <row r="8" spans="2:21" ht="19.95" customHeight="1" x14ac:dyDescent="0.3">
      <c r="B8" s="171">
        <v>1</v>
      </c>
      <c r="S8" s="332"/>
      <c r="T8" s="331"/>
    </row>
    <row r="9" spans="2:21" ht="19.95" customHeight="1" x14ac:dyDescent="0.3">
      <c r="B9" s="166" t="s">
        <v>646</v>
      </c>
      <c r="C9" s="807"/>
      <c r="D9" s="970"/>
      <c r="E9" s="970"/>
      <c r="F9" s="970"/>
      <c r="G9" s="970"/>
      <c r="H9" s="970"/>
      <c r="I9" s="970"/>
      <c r="J9" s="970"/>
      <c r="K9" s="970"/>
      <c r="L9" s="970"/>
      <c r="M9" s="970"/>
      <c r="N9" s="970"/>
      <c r="O9" s="970"/>
      <c r="P9" s="970"/>
      <c r="Q9" s="970"/>
      <c r="R9" s="970"/>
      <c r="S9" s="970"/>
      <c r="T9" s="970"/>
      <c r="U9" s="808"/>
    </row>
    <row r="10" spans="2:21" ht="19.95" customHeight="1" x14ac:dyDescent="0.3">
      <c r="B10" s="804" t="s">
        <v>673</v>
      </c>
      <c r="C10" s="805"/>
      <c r="D10" s="805"/>
      <c r="E10" s="805"/>
      <c r="F10" s="805"/>
      <c r="G10" s="805"/>
      <c r="H10" s="805"/>
      <c r="I10" s="806"/>
      <c r="J10" s="804" t="s">
        <v>674</v>
      </c>
      <c r="K10" s="805"/>
      <c r="L10" s="805"/>
      <c r="M10" s="805"/>
      <c r="N10" s="805"/>
      <c r="O10" s="805"/>
      <c r="P10" s="805"/>
      <c r="Q10" s="805"/>
      <c r="R10" s="806"/>
      <c r="S10" s="804" t="s">
        <v>637</v>
      </c>
      <c r="T10" s="805"/>
      <c r="U10" s="806"/>
    </row>
    <row r="11" spans="2:21" ht="19.95" customHeight="1" x14ac:dyDescent="0.3">
      <c r="B11" s="423" t="s">
        <v>356</v>
      </c>
      <c r="C11" s="402" t="s">
        <v>639</v>
      </c>
      <c r="D11" s="423" t="s">
        <v>491</v>
      </c>
      <c r="E11" s="428" t="s">
        <v>457</v>
      </c>
      <c r="F11" s="428" t="s">
        <v>315</v>
      </c>
      <c r="G11" s="428" t="s">
        <v>502</v>
      </c>
      <c r="H11" s="423" t="s">
        <v>499</v>
      </c>
      <c r="I11" s="415" t="s">
        <v>235</v>
      </c>
      <c r="J11" s="414" t="s">
        <v>459</v>
      </c>
      <c r="K11" s="414" t="s">
        <v>460</v>
      </c>
      <c r="L11" s="421" t="s">
        <v>579</v>
      </c>
      <c r="M11" s="422" t="s">
        <v>462</v>
      </c>
      <c r="N11" s="418" t="s">
        <v>461</v>
      </c>
      <c r="O11" s="491" t="s">
        <v>643</v>
      </c>
      <c r="P11" s="491" t="s">
        <v>644</v>
      </c>
      <c r="Q11" s="422" t="s">
        <v>458</v>
      </c>
      <c r="R11" s="419" t="s">
        <v>632</v>
      </c>
      <c r="S11" s="491" t="s">
        <v>640</v>
      </c>
      <c r="T11" s="423" t="s">
        <v>359</v>
      </c>
      <c r="U11" s="459" t="s">
        <v>573</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87" t="str">
        <f>+B9&amp;" "&amp;D6</f>
        <v xml:space="preserve">BENCHMARK  </v>
      </c>
      <c r="K21" s="888"/>
      <c r="L21" s="888"/>
      <c r="M21" s="888"/>
      <c r="N21" s="888"/>
      <c r="O21" s="888"/>
      <c r="P21" s="888"/>
      <c r="Q21" s="888"/>
      <c r="R21" s="888"/>
      <c r="S21" s="888"/>
      <c r="T21" s="889"/>
      <c r="U21" s="84"/>
    </row>
    <row r="22" spans="2:21" ht="19.95" customHeight="1" x14ac:dyDescent="0.3">
      <c r="B22" s="265"/>
      <c r="C22" s="96"/>
      <c r="D22" s="96"/>
      <c r="E22" s="96"/>
      <c r="F22" s="96"/>
      <c r="G22" s="96"/>
      <c r="H22" s="96"/>
      <c r="I22" s="96"/>
      <c r="J22" s="336" t="s">
        <v>641</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569</v>
      </c>
      <c r="K30" s="177" t="s">
        <v>645</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75"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76" t="e">
        <f t="shared" ca="1" si="2"/>
        <v>#VALUE!</v>
      </c>
      <c r="L32" s="96"/>
      <c r="M32" s="96"/>
      <c r="N32" s="96"/>
      <c r="O32" s="96"/>
      <c r="P32" s="96"/>
      <c r="Q32" s="96"/>
      <c r="R32" s="96"/>
      <c r="S32" s="96"/>
      <c r="U32" s="84"/>
    </row>
    <row r="33" spans="2:21" ht="19.95" customHeight="1" x14ac:dyDescent="0.3">
      <c r="B33" s="91"/>
      <c r="F33" s="96"/>
      <c r="G33" s="96"/>
      <c r="J33" s="265" t="str">
        <f t="shared" si="1"/>
        <v/>
      </c>
      <c r="K33" s="576" t="e">
        <f t="shared" ca="1" si="2"/>
        <v>#VALUE!</v>
      </c>
      <c r="U33" s="84"/>
    </row>
    <row r="34" spans="2:21" ht="19.95" customHeight="1" x14ac:dyDescent="0.3">
      <c r="B34" s="91"/>
      <c r="F34" s="96"/>
      <c r="G34" s="96"/>
      <c r="J34" s="265" t="str">
        <f t="shared" si="1"/>
        <v/>
      </c>
      <c r="K34" s="576" t="e">
        <f t="shared" ca="1" si="2"/>
        <v>#VALUE!</v>
      </c>
      <c r="U34" s="84"/>
    </row>
    <row r="35" spans="2:21" ht="19.95" customHeight="1" x14ac:dyDescent="0.3">
      <c r="B35" s="91"/>
      <c r="F35" s="96"/>
      <c r="G35" s="96"/>
      <c r="J35" s="265" t="str">
        <f t="shared" si="1"/>
        <v/>
      </c>
      <c r="K35" s="576" t="e">
        <f t="shared" ca="1" si="2"/>
        <v>#VALUE!</v>
      </c>
      <c r="U35" s="84"/>
    </row>
    <row r="36" spans="2:21" ht="19.95" customHeight="1" x14ac:dyDescent="0.3">
      <c r="B36" s="91"/>
      <c r="F36" s="96"/>
      <c r="G36" s="96"/>
      <c r="J36" s="266" t="str">
        <f t="shared" si="1"/>
        <v/>
      </c>
      <c r="K36" s="577"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804" t="s">
        <v>357</v>
      </c>
      <c r="C2" s="805"/>
      <c r="D2" s="805"/>
      <c r="E2" s="806"/>
    </row>
    <row r="3" spans="2:11" ht="27" customHeight="1" x14ac:dyDescent="0.3">
      <c r="B3" s="423" t="s">
        <v>678</v>
      </c>
      <c r="C3" s="493" t="s">
        <v>359</v>
      </c>
      <c r="D3" s="494" t="s">
        <v>573</v>
      </c>
      <c r="E3" s="495" t="s">
        <v>679</v>
      </c>
    </row>
    <row r="4" spans="2:11" ht="27" customHeight="1" x14ac:dyDescent="0.3">
      <c r="B4" s="492"/>
      <c r="C4" s="492"/>
      <c r="D4" s="492"/>
      <c r="E4" s="490"/>
      <c r="G4" s="115"/>
      <c r="H4" s="115"/>
      <c r="I4" s="115"/>
      <c r="J4" s="115"/>
      <c r="K4" s="115"/>
    </row>
    <row r="5" spans="2:11" ht="27" customHeight="1" x14ac:dyDescent="0.3">
      <c r="B5" s="492"/>
      <c r="C5" s="492"/>
      <c r="D5" s="492"/>
      <c r="E5" s="490"/>
      <c r="G5" s="114"/>
      <c r="H5" s="114"/>
      <c r="I5" s="114"/>
      <c r="J5" s="114"/>
      <c r="K5" s="114"/>
    </row>
    <row r="6" spans="2:11" ht="27" customHeight="1" x14ac:dyDescent="0.3">
      <c r="B6" s="492"/>
      <c r="C6" s="492"/>
      <c r="D6" s="492"/>
      <c r="E6" s="490"/>
      <c r="G6" s="114"/>
      <c r="H6" s="114"/>
      <c r="I6" s="114"/>
      <c r="J6" s="114"/>
      <c r="K6" s="114"/>
    </row>
    <row r="7" spans="2:11" ht="27" customHeight="1" x14ac:dyDescent="0.3">
      <c r="B7" s="492"/>
      <c r="C7" s="492"/>
      <c r="D7" s="492"/>
      <c r="E7" s="490"/>
      <c r="G7" s="114"/>
      <c r="H7" s="114"/>
      <c r="I7" s="114"/>
      <c r="J7" s="114"/>
      <c r="K7" s="114"/>
    </row>
    <row r="8" spans="2:11" ht="27" customHeight="1" x14ac:dyDescent="0.3">
      <c r="B8" s="492"/>
      <c r="C8" s="492"/>
      <c r="D8" s="492"/>
      <c r="E8" s="490"/>
      <c r="G8" s="114"/>
      <c r="H8" s="114"/>
      <c r="I8" s="114"/>
      <c r="J8" s="114"/>
      <c r="K8" s="114"/>
    </row>
    <row r="9" spans="2:11" ht="27" customHeight="1" x14ac:dyDescent="0.3">
      <c r="B9" s="492"/>
      <c r="C9" s="492"/>
      <c r="D9" s="492"/>
      <c r="E9" s="490"/>
      <c r="G9" s="114"/>
      <c r="H9" s="114"/>
      <c r="I9" s="114"/>
      <c r="J9" s="114"/>
      <c r="K9" s="114"/>
    </row>
    <row r="10" spans="2:11" ht="27" customHeight="1" x14ac:dyDescent="0.3">
      <c r="B10" s="492"/>
      <c r="C10" s="492"/>
      <c r="D10" s="492"/>
      <c r="E10" s="490"/>
      <c r="G10" s="114"/>
      <c r="H10" s="114"/>
      <c r="I10" s="114"/>
      <c r="J10" s="114"/>
      <c r="K10" s="114"/>
    </row>
    <row r="11" spans="2:11" ht="27" customHeight="1" x14ac:dyDescent="0.3">
      <c r="B11" s="492"/>
      <c r="C11" s="492"/>
      <c r="D11" s="492"/>
      <c r="E11" s="490"/>
      <c r="G11" s="114"/>
      <c r="H11" s="114"/>
      <c r="I11" s="114"/>
      <c r="J11" s="114"/>
      <c r="K11" s="114"/>
    </row>
    <row r="12" spans="2:11" ht="27" customHeight="1" x14ac:dyDescent="0.3">
      <c r="B12" s="492"/>
      <c r="C12" s="492"/>
      <c r="D12" s="492"/>
      <c r="E12" s="490"/>
      <c r="G12" s="114"/>
      <c r="H12" s="114"/>
      <c r="I12" s="114"/>
      <c r="J12" s="114"/>
      <c r="K12" s="114"/>
    </row>
    <row r="13" spans="2:11" ht="27" customHeight="1" x14ac:dyDescent="0.3">
      <c r="B13" s="492"/>
      <c r="C13" s="492"/>
      <c r="D13" s="492"/>
      <c r="E13" s="490"/>
      <c r="G13" s="114"/>
      <c r="H13" s="114"/>
      <c r="I13" s="114"/>
      <c r="J13" s="114"/>
      <c r="K13" s="114"/>
    </row>
    <row r="14" spans="2:11" ht="27" customHeight="1" x14ac:dyDescent="0.3">
      <c r="B14" s="492"/>
      <c r="C14" s="492"/>
      <c r="D14" s="492"/>
      <c r="E14" s="490"/>
      <c r="G14" s="114"/>
      <c r="H14" s="114"/>
      <c r="I14" s="114"/>
      <c r="J14" s="114"/>
      <c r="K14" s="114"/>
    </row>
    <row r="15" spans="2:11" ht="27" customHeight="1" x14ac:dyDescent="0.3">
      <c r="B15" s="492"/>
      <c r="C15" s="492"/>
      <c r="D15" s="492"/>
      <c r="E15" s="490"/>
      <c r="G15" s="114"/>
      <c r="H15" s="114"/>
      <c r="I15" s="114"/>
      <c r="J15" s="114"/>
      <c r="K15" s="114"/>
    </row>
    <row r="16" spans="2:11" ht="27" customHeight="1" x14ac:dyDescent="0.3">
      <c r="B16" s="492"/>
      <c r="C16" s="492"/>
      <c r="D16" s="492"/>
      <c r="E16" s="490"/>
      <c r="G16" s="114"/>
      <c r="H16" s="114"/>
      <c r="I16" s="114"/>
      <c r="J16" s="114"/>
      <c r="K16" s="114"/>
    </row>
    <row r="17" spans="2:11" ht="27" customHeight="1" x14ac:dyDescent="0.3">
      <c r="B17" s="492"/>
      <c r="C17" s="492"/>
      <c r="D17" s="492"/>
      <c r="E17" s="490"/>
      <c r="G17" s="114"/>
      <c r="H17" s="114"/>
      <c r="I17" s="114"/>
      <c r="J17" s="114"/>
      <c r="K17" s="114"/>
    </row>
    <row r="18" spans="2:11" ht="27" customHeight="1" x14ac:dyDescent="0.3">
      <c r="B18" s="492"/>
      <c r="C18" s="492"/>
      <c r="D18" s="492"/>
      <c r="E18" s="490"/>
      <c r="G18" s="114"/>
      <c r="H18" s="114"/>
      <c r="I18" s="114"/>
      <c r="J18" s="114"/>
      <c r="K18" s="114"/>
    </row>
    <row r="19" spans="2:11" ht="27" customHeight="1" x14ac:dyDescent="0.3">
      <c r="B19" s="492"/>
      <c r="C19" s="492"/>
      <c r="D19" s="492"/>
      <c r="E19" s="490"/>
      <c r="G19" s="114"/>
      <c r="H19" s="114"/>
      <c r="I19" s="114"/>
      <c r="J19" s="114"/>
      <c r="K19" s="114"/>
    </row>
    <row r="20" spans="2:11" ht="27" customHeight="1" x14ac:dyDescent="0.3">
      <c r="B20" s="492"/>
      <c r="C20" s="492"/>
      <c r="D20" s="492"/>
      <c r="E20" s="490"/>
      <c r="G20" s="114"/>
      <c r="H20" s="114"/>
      <c r="I20" s="114"/>
      <c r="J20" s="114"/>
      <c r="K20" s="114"/>
    </row>
    <row r="21" spans="2:11" ht="27" customHeight="1" x14ac:dyDescent="0.3">
      <c r="B21" s="492"/>
      <c r="C21" s="492"/>
      <c r="D21" s="492"/>
      <c r="E21" s="490"/>
      <c r="G21" s="114"/>
      <c r="H21" s="114"/>
      <c r="I21" s="114"/>
      <c r="J21" s="114"/>
      <c r="K21" s="114"/>
    </row>
    <row r="22" spans="2:11" ht="27" customHeight="1" x14ac:dyDescent="0.3">
      <c r="B22" s="492"/>
      <c r="C22" s="492"/>
      <c r="D22" s="492"/>
      <c r="E22" s="490"/>
      <c r="G22" s="114"/>
      <c r="H22" s="114"/>
      <c r="I22" s="114"/>
      <c r="J22" s="114"/>
      <c r="K22" s="114"/>
    </row>
    <row r="23" spans="2:11" ht="27" customHeight="1" x14ac:dyDescent="0.3">
      <c r="B23" s="492"/>
      <c r="C23" s="492"/>
      <c r="D23" s="492"/>
      <c r="E23" s="490"/>
      <c r="G23" s="114"/>
      <c r="H23" s="114"/>
      <c r="I23" s="114"/>
      <c r="J23" s="114"/>
      <c r="K23" s="114"/>
    </row>
    <row r="24" spans="2:11" ht="27" customHeight="1" x14ac:dyDescent="0.3">
      <c r="B24" s="492"/>
      <c r="C24" s="492"/>
      <c r="D24" s="492"/>
      <c r="E24" s="490"/>
      <c r="G24" s="114"/>
      <c r="H24" s="114"/>
      <c r="I24" s="114"/>
      <c r="J24" s="114"/>
      <c r="K24" s="114"/>
    </row>
    <row r="25" spans="2:11" ht="27" customHeight="1" x14ac:dyDescent="0.3">
      <c r="B25" s="492"/>
      <c r="C25" s="492"/>
      <c r="D25" s="492"/>
      <c r="E25" s="490"/>
      <c r="G25" s="114"/>
      <c r="H25" s="114"/>
      <c r="I25" s="114"/>
      <c r="J25" s="114"/>
      <c r="K25" s="114"/>
    </row>
    <row r="26" spans="2:11" ht="27" customHeight="1" x14ac:dyDescent="0.3">
      <c r="B26" s="492"/>
      <c r="C26" s="492"/>
      <c r="D26" s="492"/>
      <c r="E26" s="490"/>
      <c r="G26" s="114"/>
      <c r="H26" s="114"/>
      <c r="I26" s="114"/>
      <c r="J26" s="114"/>
      <c r="K26" s="114"/>
    </row>
    <row r="27" spans="2:11" ht="27" customHeight="1" x14ac:dyDescent="0.3">
      <c r="B27" s="492"/>
      <c r="C27" s="492"/>
      <c r="D27" s="492"/>
      <c r="E27" s="490"/>
      <c r="G27" s="114"/>
      <c r="H27" s="114"/>
      <c r="I27" s="114"/>
      <c r="J27" s="114"/>
      <c r="K27" s="114"/>
    </row>
    <row r="28" spans="2:11" ht="27" customHeight="1" x14ac:dyDescent="0.3">
      <c r="B28" s="492"/>
      <c r="C28" s="492"/>
      <c r="D28" s="492"/>
      <c r="E28" s="490"/>
      <c r="G28" s="114"/>
      <c r="H28" s="114"/>
      <c r="I28" s="114"/>
      <c r="J28" s="114"/>
      <c r="K28" s="114"/>
    </row>
    <row r="29" spans="2:11" ht="27" customHeight="1" x14ac:dyDescent="0.3">
      <c r="B29" s="492"/>
      <c r="C29" s="492"/>
      <c r="D29" s="492"/>
      <c r="E29" s="490"/>
      <c r="G29" s="114"/>
      <c r="H29" s="114"/>
      <c r="I29" s="114"/>
      <c r="J29" s="114"/>
      <c r="K29" s="114"/>
    </row>
    <row r="30" spans="2:11" ht="27" customHeight="1" x14ac:dyDescent="0.3">
      <c r="B30" s="492"/>
      <c r="C30" s="492"/>
      <c r="D30" s="492"/>
      <c r="E30" s="490"/>
      <c r="G30" s="114"/>
      <c r="H30" s="114"/>
      <c r="I30" s="114"/>
      <c r="J30" s="114"/>
      <c r="K30" s="114"/>
    </row>
    <row r="31" spans="2:11" ht="27" customHeight="1" x14ac:dyDescent="0.3">
      <c r="B31" s="492"/>
      <c r="C31" s="492"/>
      <c r="D31" s="492"/>
      <c r="E31" s="490"/>
      <c r="G31" s="114"/>
      <c r="H31" s="114"/>
      <c r="I31" s="114"/>
      <c r="J31" s="114"/>
      <c r="K31" s="114"/>
    </row>
    <row r="32" spans="2:11" ht="27" customHeight="1" x14ac:dyDescent="0.3">
      <c r="B32" s="492"/>
      <c r="C32" s="492"/>
      <c r="D32" s="492"/>
      <c r="E32" s="490"/>
      <c r="G32" s="114"/>
      <c r="H32" s="114"/>
      <c r="I32" s="114"/>
      <c r="J32" s="114"/>
      <c r="K32" s="114"/>
    </row>
    <row r="33" spans="2:11" ht="27" customHeight="1" x14ac:dyDescent="0.3">
      <c r="B33" s="492"/>
      <c r="C33" s="492"/>
      <c r="D33" s="492"/>
      <c r="E33" s="490"/>
      <c r="G33" s="114"/>
      <c r="H33" s="114"/>
      <c r="I33" s="114"/>
      <c r="J33" s="114"/>
      <c r="K33" s="114"/>
    </row>
    <row r="34" spans="2:11" ht="27" customHeight="1" x14ac:dyDescent="0.3">
      <c r="B34" s="492"/>
      <c r="C34" s="492"/>
      <c r="D34" s="492"/>
      <c r="E34" s="490"/>
      <c r="G34" s="114"/>
      <c r="H34" s="114"/>
      <c r="I34" s="114"/>
      <c r="J34" s="114"/>
      <c r="K34" s="114"/>
    </row>
    <row r="35" spans="2:11" ht="27" customHeight="1" x14ac:dyDescent="0.3">
      <c r="B35" s="492"/>
      <c r="C35" s="492"/>
      <c r="D35" s="492"/>
      <c r="E35" s="490"/>
      <c r="G35" s="114"/>
      <c r="H35" s="114"/>
      <c r="I35" s="114"/>
      <c r="J35" s="114"/>
      <c r="K35" s="114"/>
    </row>
    <row r="36" spans="2:11" ht="27" customHeight="1" x14ac:dyDescent="0.3">
      <c r="B36" s="492"/>
      <c r="C36" s="492"/>
      <c r="D36" s="492"/>
      <c r="E36" s="490"/>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D11" sqref="D11"/>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483</v>
      </c>
      <c r="C2" s="164" t="s">
        <v>314</v>
      </c>
      <c r="D2" s="305" t="s">
        <v>484</v>
      </c>
      <c r="E2" s="83"/>
      <c r="F2" s="308" t="s">
        <v>470</v>
      </c>
      <c r="G2" s="297" t="s">
        <v>596</v>
      </c>
      <c r="H2" s="248" t="s">
        <v>485</v>
      </c>
      <c r="I2" s="83"/>
      <c r="J2" s="872" t="s">
        <v>486</v>
      </c>
      <c r="K2" s="873"/>
      <c r="L2" s="306">
        <v>1.1000000000000001</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2.0960377853581735</v>
      </c>
      <c r="E3" s="83"/>
      <c r="F3" s="163" t="s">
        <v>471</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2.0927429918784384</v>
      </c>
      <c r="E4" s="83"/>
      <c r="F4" s="147" t="s">
        <v>472</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2.0667529107373865</v>
      </c>
      <c r="E5" s="83"/>
      <c r="F5" s="147" t="s">
        <v>473</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2.0508344030808727</v>
      </c>
      <c r="E6" s="83"/>
      <c r="F6" s="147" t="s">
        <v>474</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2.045058883768561</v>
      </c>
      <c r="E7" s="83"/>
      <c r="F7" s="147" t="s">
        <v>475</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2.0268967267191065</v>
      </c>
      <c r="E8" s="83"/>
      <c r="F8" s="147" t="s">
        <v>481</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2.0258686279482627</v>
      </c>
      <c r="E9" s="83"/>
      <c r="F9" s="147" t="s">
        <v>593</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2.0192113245702727</v>
      </c>
      <c r="E10" s="83"/>
      <c r="F10" s="147" t="s">
        <v>476</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1.9870646766169153</v>
      </c>
      <c r="E11" s="83"/>
      <c r="F11" s="147" t="s">
        <v>595</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1.7982890589824403</v>
      </c>
      <c r="E12" s="83"/>
      <c r="F12" s="147" t="s">
        <v>477</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1.7061085006407517</v>
      </c>
      <c r="E13" s="83"/>
      <c r="F13" s="147" t="s">
        <v>594</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1.5988791032826259</v>
      </c>
      <c r="E14" s="83"/>
      <c r="F14" s="147" t="s">
        <v>478</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1.5203654358583936</v>
      </c>
      <c r="E15" s="83"/>
      <c r="F15" s="147" t="s">
        <v>590</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1.3882516510253737</v>
      </c>
      <c r="E16" s="83"/>
      <c r="F16" s="147" t="s">
        <v>591</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1.5305614102318452</v>
      </c>
      <c r="E17" s="83"/>
      <c r="F17" s="147" t="s">
        <v>592</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1.4502541757443719</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1.3638381423937167</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1.3664043790626068</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1.4080733298078618</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1.3865648324943585</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1.4341113105924594</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1.4738007380073801</v>
      </c>
      <c r="E24" s="83"/>
      <c r="G24" s="973" t="s">
        <v>604</v>
      </c>
      <c r="H24" s="973"/>
      <c r="I24" s="973"/>
      <c r="J24" s="304" t="s">
        <v>603</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1.4075770925110132</v>
      </c>
      <c r="E25" s="83"/>
      <c r="F25" s="299" t="s">
        <v>470</v>
      </c>
      <c r="G25" s="299" t="s">
        <v>229</v>
      </c>
      <c r="H25" s="304"/>
      <c r="I25" s="300"/>
      <c r="J25" s="306" t="s">
        <v>619</v>
      </c>
      <c r="K25" s="300" t="s">
        <v>605</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1.3244901343060851</v>
      </c>
      <c r="E26" s="83"/>
      <c r="F26" s="301" t="s">
        <v>597</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1.3148971193415637</v>
      </c>
      <c r="E27" s="83"/>
      <c r="F27" s="301" t="s">
        <v>598</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112">
        <v>596.20000000000005</v>
      </c>
      <c r="D28" s="230" cm="1">
        <f t="array" aca="1" ref="D28" ca="1">INDIRECT(ADDRESS(MATCH('Plant Overview'!$E$8,'Cost Conversion'!$B$3:$B$48,0)+2,3))/C28</f>
        <v>1.3398188527339816</v>
      </c>
      <c r="E28" s="83"/>
      <c r="F28" s="301" t="s">
        <v>599</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112">
        <v>708.8</v>
      </c>
      <c r="D29" s="230" cm="1">
        <f t="array" aca="1" ref="D29" ca="1">INDIRECT(ADDRESS(MATCH('Plant Overview'!$E$8,'Cost Conversion'!$B$3:$B$48,0)+2,3))/C29</f>
        <v>1.1269751693002257</v>
      </c>
      <c r="E29" s="83"/>
      <c r="F29" s="301" t="s">
        <v>600</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112">
        <v>816</v>
      </c>
      <c r="D30" s="230" cm="1">
        <f t="array" aca="1" ref="D30" ca="1">INDIRECT(ADDRESS(MATCH('Plant Overview'!$E$8,'Cost Conversion'!$B$3:$B$48,0)+2,3))/C30</f>
        <v>0.97892156862745094</v>
      </c>
      <c r="E30" s="83"/>
      <c r="F30" s="301" t="s">
        <v>590</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112">
        <v>797.9</v>
      </c>
      <c r="D31" s="230" cm="1">
        <f t="array" aca="1" ref="D31" ca="1">INDIRECT(ADDRESS(MATCH('Plant Overview'!$E$8,'Cost Conversion'!$B$3:$B$48,0)+2,3))/C31</f>
        <v>1.0011279608973556</v>
      </c>
      <c r="E31" s="83"/>
      <c r="F31" s="301" t="s">
        <v>593</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112">
        <v>798.8</v>
      </c>
      <c r="D32" s="230" cm="1">
        <f t="array" aca="1" ref="D32" ca="1">INDIRECT(ADDRESS(MATCH('Plant Overview'!$E$8,'Cost Conversion'!$B$3:$B$48,0)+2,3))/C32</f>
        <v>1</v>
      </c>
      <c r="E32" s="83"/>
      <c r="F32" s="301" t="s">
        <v>601</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1.187100609303015</v>
      </c>
      <c r="E33" s="83"/>
      <c r="F33" s="301" t="s">
        <v>478</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1.1717764412498148</v>
      </c>
      <c r="E34" s="83"/>
      <c r="F34" s="301" t="s">
        <v>477</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1.1568428674873263</v>
      </c>
      <c r="E35" s="83"/>
      <c r="F35" s="301" t="s">
        <v>592</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1.1422851422851406</v>
      </c>
      <c r="E36" s="83"/>
      <c r="F36" s="301" t="s">
        <v>602</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1.1280892529303754</v>
      </c>
      <c r="E37" s="83"/>
      <c r="F37" s="301" t="s">
        <v>595</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1.1142418747384557</v>
      </c>
      <c r="E38" s="83"/>
      <c r="F38" s="302" t="s">
        <v>591</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1.1007303293371902</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1.087542545949624</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1.0746670254271478</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1.0620928068076039</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1.049809436193978</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1.0378069377679588</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1.0260757867694257</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1.0146068842880704</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1.0033915337269161</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0.99242141880978751</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51"/>
  </cols>
  <sheetData>
    <row r="2" spans="2:11" ht="25.95" customHeight="1" x14ac:dyDescent="0.3">
      <c r="B2" s="974" t="s">
        <v>330</v>
      </c>
      <c r="C2" s="975"/>
      <c r="D2" s="975"/>
      <c r="E2" s="975"/>
      <c r="F2" s="976"/>
    </row>
    <row r="3" spans="2:11" x14ac:dyDescent="0.3">
      <c r="B3" s="96"/>
      <c r="J3" s="282"/>
      <c r="K3" s="86" t="s">
        <v>622</v>
      </c>
    </row>
    <row r="4" spans="2:11" x14ac:dyDescent="0.3">
      <c r="B4" s="96"/>
      <c r="J4" s="283"/>
      <c r="K4" s="86" t="s">
        <v>623</v>
      </c>
    </row>
    <row r="5" spans="2:11" ht="18" x14ac:dyDescent="0.3">
      <c r="B5" s="87" t="s">
        <v>342</v>
      </c>
      <c r="C5" s="119" t="s">
        <v>312</v>
      </c>
      <c r="D5" s="120" t="s">
        <v>350</v>
      </c>
      <c r="E5" s="120" t="s">
        <v>286</v>
      </c>
      <c r="F5" s="121" t="s">
        <v>375</v>
      </c>
      <c r="G5" s="122" t="s">
        <v>621</v>
      </c>
      <c r="H5" s="120" t="s">
        <v>620</v>
      </c>
    </row>
    <row r="6" spans="2:11" ht="15.6" x14ac:dyDescent="0.3">
      <c r="B6" s="981">
        <v>1</v>
      </c>
      <c r="C6" s="978" t="s">
        <v>313</v>
      </c>
      <c r="D6" s="123" t="s">
        <v>238</v>
      </c>
      <c r="E6" s="123"/>
      <c r="F6" s="124"/>
      <c r="G6" s="268"/>
      <c r="H6" s="177"/>
    </row>
    <row r="7" spans="2:11" ht="15.6" x14ac:dyDescent="0.3">
      <c r="B7" s="982"/>
      <c r="C7" s="979"/>
      <c r="D7" s="125"/>
      <c r="E7" s="125" t="s">
        <v>290</v>
      </c>
      <c r="F7" s="126" t="s">
        <v>288</v>
      </c>
      <c r="G7" s="265"/>
      <c r="H7" s="92"/>
    </row>
    <row r="8" spans="2:11" ht="15.6" x14ac:dyDescent="0.3">
      <c r="B8" s="982"/>
      <c r="C8" s="979"/>
      <c r="D8" s="125"/>
      <c r="E8" s="125"/>
      <c r="F8" s="126" t="s">
        <v>294</v>
      </c>
      <c r="G8" s="265"/>
      <c r="H8" s="99"/>
    </row>
    <row r="9" spans="2:11" ht="15.6" x14ac:dyDescent="0.3">
      <c r="B9" s="982"/>
      <c r="C9" s="979"/>
      <c r="D9" s="125"/>
      <c r="E9" s="125"/>
      <c r="F9" s="126" t="s">
        <v>287</v>
      </c>
      <c r="G9" s="265"/>
      <c r="H9" s="99"/>
    </row>
    <row r="10" spans="2:11" ht="15.6" x14ac:dyDescent="0.3">
      <c r="B10" s="982"/>
      <c r="C10" s="979"/>
      <c r="D10" s="125"/>
      <c r="E10" s="125"/>
      <c r="F10" s="126" t="s">
        <v>289</v>
      </c>
      <c r="G10" s="284"/>
      <c r="H10" s="99" t="s">
        <v>229</v>
      </c>
    </row>
    <row r="11" spans="2:11" ht="15.6" x14ac:dyDescent="0.3">
      <c r="B11" s="982"/>
      <c r="C11" s="979"/>
      <c r="D11" s="125"/>
      <c r="E11" s="125" t="s">
        <v>397</v>
      </c>
      <c r="F11" s="126"/>
      <c r="G11" s="265"/>
      <c r="H11" s="99"/>
    </row>
    <row r="12" spans="2:11" ht="15.6" x14ac:dyDescent="0.3">
      <c r="B12" s="983"/>
      <c r="C12" s="980"/>
      <c r="D12" s="127"/>
      <c r="E12" s="127" t="s">
        <v>291</v>
      </c>
      <c r="F12" s="133"/>
      <c r="G12" s="266"/>
      <c r="H12" s="170"/>
    </row>
    <row r="13" spans="2:11" ht="15.6" x14ac:dyDescent="0.3">
      <c r="B13" s="982">
        <v>2</v>
      </c>
      <c r="C13" s="978" t="s">
        <v>418</v>
      </c>
      <c r="D13" s="128" t="s">
        <v>285</v>
      </c>
      <c r="E13" s="128"/>
      <c r="F13" s="123" t="s">
        <v>295</v>
      </c>
      <c r="G13" s="269"/>
      <c r="H13" s="177"/>
    </row>
    <row r="14" spans="2:11" ht="15.6" x14ac:dyDescent="0.3">
      <c r="B14" s="982"/>
      <c r="C14" s="979"/>
      <c r="D14" s="129"/>
      <c r="E14" s="129" t="s">
        <v>292</v>
      </c>
      <c r="F14" s="125" t="s">
        <v>296</v>
      </c>
      <c r="G14" s="96"/>
      <c r="H14" s="99"/>
    </row>
    <row r="15" spans="2:11" ht="15.6" x14ac:dyDescent="0.3">
      <c r="B15" s="982"/>
      <c r="C15" s="979"/>
      <c r="D15" s="129"/>
      <c r="E15" s="129" t="s">
        <v>338</v>
      </c>
      <c r="F15" s="125" t="s">
        <v>323</v>
      </c>
      <c r="G15" s="285"/>
      <c r="H15" s="99"/>
    </row>
    <row r="16" spans="2:11" ht="15.6" x14ac:dyDescent="0.3">
      <c r="B16" s="982"/>
      <c r="C16" s="979"/>
      <c r="D16" s="129"/>
      <c r="E16" s="129" t="s">
        <v>293</v>
      </c>
      <c r="F16" s="125" t="s">
        <v>324</v>
      </c>
      <c r="G16" s="96"/>
      <c r="H16" s="99"/>
    </row>
    <row r="17" spans="2:8" ht="15.6" x14ac:dyDescent="0.3">
      <c r="B17" s="982"/>
      <c r="C17" s="979"/>
      <c r="D17" s="129"/>
      <c r="E17" s="129" t="s">
        <v>297</v>
      </c>
      <c r="F17" s="125" t="s">
        <v>336</v>
      </c>
      <c r="G17" s="96"/>
      <c r="H17" s="99"/>
    </row>
    <row r="18" spans="2:8" ht="15.6" x14ac:dyDescent="0.3">
      <c r="B18" s="982"/>
      <c r="C18" s="979"/>
      <c r="D18" s="129"/>
      <c r="E18" s="129" t="s">
        <v>335</v>
      </c>
      <c r="F18" s="125" t="s">
        <v>337</v>
      </c>
      <c r="G18" s="96"/>
      <c r="H18" s="99"/>
    </row>
    <row r="19" spans="2:8" ht="15.6" x14ac:dyDescent="0.3">
      <c r="B19" s="982"/>
      <c r="C19" s="979"/>
      <c r="D19" s="129"/>
      <c r="E19" s="129" t="s">
        <v>339</v>
      </c>
      <c r="F19" s="125" t="s">
        <v>345</v>
      </c>
      <c r="G19" s="96"/>
      <c r="H19" s="99"/>
    </row>
    <row r="20" spans="2:8" ht="15.6" x14ac:dyDescent="0.3">
      <c r="B20" s="982"/>
      <c r="C20" s="979"/>
      <c r="D20" s="129"/>
      <c r="E20" s="129"/>
      <c r="F20" s="125" t="s">
        <v>346</v>
      </c>
      <c r="G20" s="96"/>
      <c r="H20" s="99"/>
    </row>
    <row r="21" spans="2:8" ht="15.6" x14ac:dyDescent="0.3">
      <c r="B21" s="982"/>
      <c r="C21" s="979"/>
      <c r="D21" s="129"/>
      <c r="E21" s="129"/>
      <c r="F21" s="125" t="s">
        <v>347</v>
      </c>
      <c r="G21" s="96"/>
      <c r="H21" s="99"/>
    </row>
    <row r="22" spans="2:8" ht="15.6" x14ac:dyDescent="0.3">
      <c r="B22" s="982"/>
      <c r="C22" s="979"/>
      <c r="D22" s="129" t="s">
        <v>317</v>
      </c>
      <c r="E22" s="129"/>
      <c r="F22" s="125"/>
      <c r="G22" s="96"/>
      <c r="H22" s="99"/>
    </row>
    <row r="23" spans="2:8" ht="15.6" x14ac:dyDescent="0.3">
      <c r="B23" s="982"/>
      <c r="C23" s="979"/>
      <c r="D23" s="129"/>
      <c r="E23" s="129" t="s">
        <v>318</v>
      </c>
      <c r="F23" s="125"/>
      <c r="G23" s="96"/>
      <c r="H23" s="99"/>
    </row>
    <row r="24" spans="2:8" ht="15.6" x14ac:dyDescent="0.3">
      <c r="B24" s="982"/>
      <c r="C24" s="979"/>
      <c r="D24" s="129"/>
      <c r="E24" s="129" t="s">
        <v>319</v>
      </c>
      <c r="F24" s="125"/>
      <c r="G24" s="96"/>
      <c r="H24" s="99"/>
    </row>
    <row r="25" spans="2:8" ht="15.6" x14ac:dyDescent="0.3">
      <c r="B25" s="982"/>
      <c r="C25" s="979"/>
      <c r="D25" s="129"/>
      <c r="E25" s="129" t="s">
        <v>389</v>
      </c>
      <c r="F25" s="125" t="s">
        <v>390</v>
      </c>
      <c r="G25" s="96"/>
      <c r="H25" s="99"/>
    </row>
    <row r="26" spans="2:8" ht="15.6" x14ac:dyDescent="0.3">
      <c r="B26" s="982"/>
      <c r="C26" s="979"/>
      <c r="D26" s="129"/>
      <c r="E26" s="129"/>
      <c r="F26" s="125" t="s">
        <v>391</v>
      </c>
      <c r="G26" s="96"/>
      <c r="H26" s="99"/>
    </row>
    <row r="27" spans="2:8" ht="15.6" x14ac:dyDescent="0.3">
      <c r="B27" s="983"/>
      <c r="C27" s="980"/>
      <c r="D27" s="130"/>
      <c r="E27" s="130" t="s">
        <v>433</v>
      </c>
      <c r="F27" s="127"/>
      <c r="G27" s="267"/>
      <c r="H27" s="170"/>
    </row>
    <row r="28" spans="2:8" ht="15.6" x14ac:dyDescent="0.3">
      <c r="B28" s="981">
        <v>3</v>
      </c>
      <c r="C28" s="829" t="s">
        <v>316</v>
      </c>
      <c r="D28" s="123" t="s">
        <v>40</v>
      </c>
      <c r="E28" s="123"/>
      <c r="F28" s="124"/>
      <c r="G28" s="268"/>
      <c r="H28" s="177"/>
    </row>
    <row r="29" spans="2:8" ht="15.6" x14ac:dyDescent="0.3">
      <c r="B29" s="982"/>
      <c r="C29" s="977"/>
      <c r="D29" s="125"/>
      <c r="E29" s="125" t="s">
        <v>298</v>
      </c>
      <c r="F29" s="126" t="s">
        <v>301</v>
      </c>
      <c r="G29" s="265"/>
      <c r="H29" s="99"/>
    </row>
    <row r="30" spans="2:8" ht="15.6" x14ac:dyDescent="0.3">
      <c r="B30" s="982"/>
      <c r="C30" s="977"/>
      <c r="D30" s="125"/>
      <c r="E30" s="125" t="s">
        <v>299</v>
      </c>
      <c r="F30" s="126" t="s">
        <v>302</v>
      </c>
      <c r="G30" s="265"/>
      <c r="H30" s="99"/>
    </row>
    <row r="31" spans="2:8" ht="15.6" x14ac:dyDescent="0.3">
      <c r="B31" s="982"/>
      <c r="C31" s="977"/>
      <c r="D31" s="125"/>
      <c r="E31" s="125" t="s">
        <v>300</v>
      </c>
      <c r="F31" s="126" t="s">
        <v>303</v>
      </c>
      <c r="G31" s="265"/>
      <c r="H31" s="99"/>
    </row>
    <row r="32" spans="2:8" ht="15.6" x14ac:dyDescent="0.3">
      <c r="B32" s="982"/>
      <c r="C32" s="977"/>
      <c r="D32" s="125"/>
      <c r="E32" s="125" t="s">
        <v>362</v>
      </c>
      <c r="F32" s="126"/>
      <c r="G32" s="265"/>
      <c r="H32" s="99"/>
    </row>
    <row r="33" spans="2:8" ht="15.6" x14ac:dyDescent="0.3">
      <c r="B33" s="982"/>
      <c r="C33" s="977"/>
      <c r="D33" s="125" t="s">
        <v>404</v>
      </c>
      <c r="E33" s="125" t="s">
        <v>41</v>
      </c>
      <c r="F33" s="126"/>
      <c r="G33" s="265"/>
      <c r="H33" s="99"/>
    </row>
    <row r="34" spans="2:8" ht="15.6" x14ac:dyDescent="0.3">
      <c r="B34" s="982"/>
      <c r="C34" s="977"/>
      <c r="D34" s="125"/>
      <c r="E34" s="125" t="s">
        <v>331</v>
      </c>
      <c r="F34" s="126" t="s">
        <v>409</v>
      </c>
      <c r="G34" s="265"/>
      <c r="H34" s="99"/>
    </row>
    <row r="35" spans="2:8" ht="15.6" x14ac:dyDescent="0.3">
      <c r="B35" s="982"/>
      <c r="C35" s="977"/>
      <c r="D35" s="125"/>
      <c r="E35" s="125"/>
      <c r="F35" s="126" t="s">
        <v>410</v>
      </c>
      <c r="G35" s="265"/>
      <c r="H35" s="99"/>
    </row>
    <row r="36" spans="2:8" ht="15.6" x14ac:dyDescent="0.3">
      <c r="B36" s="982"/>
      <c r="C36" s="977"/>
      <c r="D36" s="125"/>
      <c r="E36" s="125" t="s">
        <v>405</v>
      </c>
      <c r="F36" s="126" t="s">
        <v>408</v>
      </c>
      <c r="G36" s="265"/>
      <c r="H36" s="99"/>
    </row>
    <row r="37" spans="2:8" ht="15.6" x14ac:dyDescent="0.3">
      <c r="B37" s="982"/>
      <c r="C37" s="977"/>
      <c r="D37" s="125" t="s">
        <v>413</v>
      </c>
      <c r="E37" s="125" t="s">
        <v>332</v>
      </c>
      <c r="F37" s="126"/>
      <c r="G37" s="265"/>
      <c r="H37" s="99"/>
    </row>
    <row r="38" spans="2:8" ht="15.6" x14ac:dyDescent="0.3">
      <c r="B38" s="982"/>
      <c r="C38" s="977"/>
      <c r="D38" s="125"/>
      <c r="E38" s="125" t="s">
        <v>349</v>
      </c>
      <c r="F38" s="126"/>
      <c r="G38" s="265"/>
      <c r="H38" s="99"/>
    </row>
    <row r="39" spans="2:8" ht="15.6" x14ac:dyDescent="0.3">
      <c r="B39" s="982"/>
      <c r="C39" s="977"/>
      <c r="D39" s="125" t="s">
        <v>407</v>
      </c>
      <c r="E39" s="125" t="s">
        <v>435</v>
      </c>
      <c r="F39" s="126"/>
      <c r="G39" s="265"/>
      <c r="H39" s="99"/>
    </row>
    <row r="40" spans="2:8" ht="15.6" x14ac:dyDescent="0.3">
      <c r="B40" s="982"/>
      <c r="C40" s="977"/>
      <c r="D40" s="125" t="s">
        <v>436</v>
      </c>
      <c r="E40" s="125"/>
      <c r="F40" s="126"/>
      <c r="G40" s="265"/>
      <c r="H40" s="99"/>
    </row>
    <row r="41" spans="2:8" ht="15.6" x14ac:dyDescent="0.3">
      <c r="B41" s="982"/>
      <c r="C41" s="977"/>
      <c r="D41" s="125"/>
      <c r="E41" s="125" t="s">
        <v>403</v>
      </c>
      <c r="F41" s="126"/>
      <c r="G41" s="265"/>
      <c r="H41" s="99"/>
    </row>
    <row r="42" spans="2:8" ht="15.6" x14ac:dyDescent="0.3">
      <c r="B42" s="982"/>
      <c r="C42" s="977"/>
      <c r="D42" s="125"/>
      <c r="E42" s="125" t="s">
        <v>406</v>
      </c>
      <c r="F42" s="126"/>
      <c r="G42" s="265"/>
      <c r="H42" s="99"/>
    </row>
    <row r="43" spans="2:8" ht="15.6" x14ac:dyDescent="0.3">
      <c r="B43" s="982"/>
      <c r="C43" s="977"/>
      <c r="D43" s="125" t="s">
        <v>374</v>
      </c>
      <c r="E43" s="125"/>
      <c r="F43" s="126"/>
      <c r="G43" s="265"/>
      <c r="H43" s="99"/>
    </row>
    <row r="44" spans="2:8" ht="15.6" x14ac:dyDescent="0.3">
      <c r="B44" s="982"/>
      <c r="C44" s="977"/>
      <c r="D44" s="125" t="s">
        <v>401</v>
      </c>
      <c r="E44" s="125"/>
      <c r="F44" s="126"/>
      <c r="G44" s="265"/>
      <c r="H44" s="99"/>
    </row>
    <row r="45" spans="2:8" ht="15.6" x14ac:dyDescent="0.3">
      <c r="B45" s="982"/>
      <c r="C45" s="977"/>
      <c r="D45" s="125" t="s">
        <v>402</v>
      </c>
      <c r="E45" s="125"/>
      <c r="F45" s="126"/>
      <c r="G45" s="265"/>
      <c r="H45" s="99"/>
    </row>
    <row r="46" spans="2:8" ht="15.6" x14ac:dyDescent="0.3">
      <c r="B46" s="982"/>
      <c r="C46" s="977"/>
      <c r="D46" s="125"/>
      <c r="E46" s="125" t="s">
        <v>399</v>
      </c>
      <c r="F46" s="126"/>
      <c r="G46" s="265"/>
      <c r="H46" s="99"/>
    </row>
    <row r="47" spans="2:8" ht="15.6" x14ac:dyDescent="0.3">
      <c r="B47" s="982"/>
      <c r="C47" s="977"/>
      <c r="D47" s="125"/>
      <c r="E47" s="125" t="s">
        <v>411</v>
      </c>
      <c r="F47" s="126"/>
      <c r="G47" s="265"/>
      <c r="H47" s="99"/>
    </row>
    <row r="48" spans="2:8" ht="15.6" x14ac:dyDescent="0.3">
      <c r="B48" s="982"/>
      <c r="C48" s="977"/>
      <c r="D48" s="125" t="s">
        <v>355</v>
      </c>
      <c r="E48" s="125"/>
      <c r="F48" s="126"/>
      <c r="G48" s="265"/>
      <c r="H48" s="99"/>
    </row>
    <row r="49" spans="2:8" ht="15.6" x14ac:dyDescent="0.3">
      <c r="B49" s="982"/>
      <c r="C49" s="977"/>
      <c r="D49" s="131"/>
      <c r="E49" s="125" t="s">
        <v>412</v>
      </c>
      <c r="F49" s="126"/>
      <c r="G49" s="265"/>
      <c r="H49" s="99"/>
    </row>
    <row r="50" spans="2:8" ht="15.6" x14ac:dyDescent="0.3">
      <c r="B50" s="982"/>
      <c r="C50" s="977"/>
      <c r="D50" s="131"/>
      <c r="E50" s="125" t="s">
        <v>400</v>
      </c>
      <c r="F50" s="126"/>
      <c r="G50" s="265"/>
      <c r="H50" s="99"/>
    </row>
    <row r="51" spans="2:8" ht="15.6" x14ac:dyDescent="0.3">
      <c r="B51" s="983"/>
      <c r="C51" s="830"/>
      <c r="D51" s="280"/>
      <c r="E51" s="127" t="s">
        <v>363</v>
      </c>
      <c r="F51" s="133"/>
      <c r="G51" s="266"/>
      <c r="H51" s="170"/>
    </row>
    <row r="52" spans="2:8" ht="15.6" x14ac:dyDescent="0.3">
      <c r="B52" s="981">
        <v>4</v>
      </c>
      <c r="C52" s="984" t="s">
        <v>434</v>
      </c>
      <c r="D52" s="123" t="s">
        <v>344</v>
      </c>
      <c r="E52" s="128"/>
      <c r="F52" s="123"/>
      <c r="G52" s="268"/>
      <c r="H52" s="177"/>
    </row>
    <row r="53" spans="2:8" ht="15.6" x14ac:dyDescent="0.3">
      <c r="B53" s="982"/>
      <c r="C53" s="985"/>
      <c r="D53" s="125"/>
      <c r="E53" s="129" t="s">
        <v>307</v>
      </c>
      <c r="F53" s="125" t="s">
        <v>304</v>
      </c>
      <c r="G53" s="265"/>
      <c r="H53" s="99"/>
    </row>
    <row r="54" spans="2:8" ht="15.6" x14ac:dyDescent="0.3">
      <c r="B54" s="982"/>
      <c r="C54" s="985"/>
      <c r="D54" s="125"/>
      <c r="E54" s="129" t="s">
        <v>306</v>
      </c>
      <c r="F54" s="125" t="s">
        <v>305</v>
      </c>
      <c r="G54" s="265"/>
      <c r="H54" s="99"/>
    </row>
    <row r="55" spans="2:8" ht="15.6" x14ac:dyDescent="0.3">
      <c r="B55" s="982"/>
      <c r="C55" s="985"/>
      <c r="D55" s="125"/>
      <c r="E55" s="129" t="s">
        <v>428</v>
      </c>
      <c r="F55" s="125"/>
      <c r="G55" s="265"/>
      <c r="H55" s="99"/>
    </row>
    <row r="56" spans="2:8" ht="15.6" x14ac:dyDescent="0.3">
      <c r="B56" s="982"/>
      <c r="C56" s="985"/>
      <c r="D56" s="125" t="s">
        <v>343</v>
      </c>
      <c r="E56" s="129"/>
      <c r="F56" s="125"/>
      <c r="G56" s="265"/>
      <c r="H56" s="99"/>
    </row>
    <row r="57" spans="2:8" ht="15.6" x14ac:dyDescent="0.3">
      <c r="B57" s="982"/>
      <c r="C57" s="985"/>
      <c r="D57" s="125"/>
      <c r="E57" s="129" t="s">
        <v>307</v>
      </c>
      <c r="F57" s="125"/>
      <c r="G57" s="265"/>
      <c r="H57" s="99"/>
    </row>
    <row r="58" spans="2:8" ht="15.6" x14ac:dyDescent="0.3">
      <c r="B58" s="982"/>
      <c r="C58" s="985"/>
      <c r="D58" s="125" t="s">
        <v>429</v>
      </c>
      <c r="E58" s="281"/>
      <c r="F58" s="125"/>
      <c r="G58" s="265"/>
      <c r="H58" s="99"/>
    </row>
    <row r="59" spans="2:8" ht="15.6" x14ac:dyDescent="0.3">
      <c r="B59" s="982"/>
      <c r="C59" s="985"/>
      <c r="D59" s="125"/>
      <c r="E59" s="129" t="s">
        <v>422</v>
      </c>
      <c r="F59" s="125" t="s">
        <v>426</v>
      </c>
      <c r="G59" s="265"/>
      <c r="H59" s="99"/>
    </row>
    <row r="60" spans="2:8" ht="15.6" x14ac:dyDescent="0.3">
      <c r="B60" s="982"/>
      <c r="C60" s="985"/>
      <c r="D60" s="125"/>
      <c r="E60" s="129" t="s">
        <v>424</v>
      </c>
      <c r="F60" s="125" t="s">
        <v>200</v>
      </c>
      <c r="G60" s="265"/>
      <c r="H60" s="99"/>
    </row>
    <row r="61" spans="2:8" ht="15.6" x14ac:dyDescent="0.3">
      <c r="B61" s="982"/>
      <c r="C61" s="985"/>
      <c r="D61" s="125"/>
      <c r="E61" s="129" t="s">
        <v>423</v>
      </c>
      <c r="F61" s="125" t="s">
        <v>427</v>
      </c>
      <c r="G61" s="265"/>
      <c r="H61" s="99"/>
    </row>
    <row r="62" spans="2:8" ht="15.6" x14ac:dyDescent="0.3">
      <c r="B62" s="982"/>
      <c r="C62" s="985"/>
      <c r="D62" s="125" t="s">
        <v>624</v>
      </c>
      <c r="E62" s="129"/>
      <c r="F62" s="125"/>
      <c r="G62" s="265"/>
      <c r="H62" s="99"/>
    </row>
    <row r="63" spans="2:8" ht="15.6" x14ac:dyDescent="0.3">
      <c r="B63" s="983"/>
      <c r="C63" s="986"/>
      <c r="D63" s="127"/>
      <c r="E63" s="130"/>
      <c r="F63" s="127"/>
      <c r="G63" s="266"/>
      <c r="H63" s="170"/>
    </row>
    <row r="64" spans="2:8" ht="15.6" x14ac:dyDescent="0.3">
      <c r="B64" s="981">
        <v>5</v>
      </c>
      <c r="C64" s="978" t="s">
        <v>419</v>
      </c>
      <c r="D64" s="123" t="s">
        <v>328</v>
      </c>
      <c r="E64" s="123"/>
      <c r="F64" s="124"/>
      <c r="G64" s="268"/>
      <c r="H64" s="177"/>
    </row>
    <row r="65" spans="2:8" ht="15.6" x14ac:dyDescent="0.3">
      <c r="B65" s="982"/>
      <c r="C65" s="979"/>
      <c r="D65" s="125"/>
      <c r="E65" s="125" t="s">
        <v>308</v>
      </c>
      <c r="F65" s="126" t="s">
        <v>305</v>
      </c>
      <c r="G65" s="265"/>
      <c r="H65" s="99"/>
    </row>
    <row r="66" spans="2:8" ht="15.6" x14ac:dyDescent="0.3">
      <c r="B66" s="982"/>
      <c r="C66" s="979"/>
      <c r="D66" s="125"/>
      <c r="E66" s="125"/>
      <c r="F66" s="126" t="s">
        <v>310</v>
      </c>
      <c r="G66" s="265"/>
      <c r="H66" s="99"/>
    </row>
    <row r="67" spans="2:8" ht="15.6" x14ac:dyDescent="0.3">
      <c r="B67" s="982"/>
      <c r="C67" s="979"/>
      <c r="D67" s="125"/>
      <c r="E67" s="125" t="s">
        <v>309</v>
      </c>
      <c r="F67" s="131" t="s">
        <v>311</v>
      </c>
      <c r="G67" s="265"/>
      <c r="H67" s="99"/>
    </row>
    <row r="68" spans="2:8" ht="15.6" x14ac:dyDescent="0.3">
      <c r="B68" s="982"/>
      <c r="C68" s="979"/>
      <c r="D68" s="125"/>
      <c r="E68" s="125"/>
      <c r="F68" s="126" t="s">
        <v>260</v>
      </c>
      <c r="G68" s="265"/>
      <c r="H68" s="99"/>
    </row>
    <row r="69" spans="2:8" ht="15.6" x14ac:dyDescent="0.3">
      <c r="B69" s="982"/>
      <c r="C69" s="979"/>
      <c r="D69" s="125"/>
      <c r="E69" s="125" t="s">
        <v>334</v>
      </c>
      <c r="F69" s="126"/>
      <c r="G69" s="265"/>
      <c r="H69" s="99"/>
    </row>
    <row r="70" spans="2:8" ht="15.6" x14ac:dyDescent="0.3">
      <c r="B70" s="982"/>
      <c r="C70" s="979"/>
      <c r="D70" s="125" t="s">
        <v>417</v>
      </c>
      <c r="E70" s="125"/>
      <c r="F70" s="126"/>
      <c r="G70" s="265"/>
      <c r="H70" s="99"/>
    </row>
    <row r="71" spans="2:8" ht="15.6" x14ac:dyDescent="0.3">
      <c r="B71" s="982"/>
      <c r="C71" s="979"/>
      <c r="D71" s="125"/>
      <c r="E71" s="125" t="s">
        <v>291</v>
      </c>
      <c r="F71" s="126"/>
      <c r="G71" s="265"/>
      <c r="H71" s="99"/>
    </row>
    <row r="72" spans="2:8" ht="15.6" x14ac:dyDescent="0.3">
      <c r="B72" s="982"/>
      <c r="C72" s="979"/>
      <c r="D72" s="125" t="s">
        <v>392</v>
      </c>
      <c r="E72" s="125"/>
      <c r="F72" s="126"/>
      <c r="G72" s="265"/>
      <c r="H72" s="99"/>
    </row>
    <row r="73" spans="2:8" ht="15.6" x14ac:dyDescent="0.3">
      <c r="B73" s="982"/>
      <c r="C73" s="979"/>
      <c r="D73" s="125"/>
      <c r="E73" s="125" t="s">
        <v>393</v>
      </c>
      <c r="F73" s="126" t="s">
        <v>390</v>
      </c>
      <c r="G73" s="265"/>
      <c r="H73" s="99"/>
    </row>
    <row r="74" spans="2:8" ht="15.6" x14ac:dyDescent="0.3">
      <c r="B74" s="982"/>
      <c r="C74" s="979"/>
      <c r="D74" s="125"/>
      <c r="E74" s="125" t="s">
        <v>394</v>
      </c>
      <c r="F74" s="126" t="s">
        <v>395</v>
      </c>
      <c r="G74" s="265"/>
      <c r="H74" s="99"/>
    </row>
    <row r="75" spans="2:8" ht="15.6" x14ac:dyDescent="0.3">
      <c r="B75" s="982"/>
      <c r="C75" s="979"/>
      <c r="D75" s="125" t="s">
        <v>425</v>
      </c>
      <c r="E75" s="125"/>
      <c r="F75" s="126"/>
      <c r="G75" s="265"/>
      <c r="H75" s="99"/>
    </row>
    <row r="76" spans="2:8" ht="15.6" x14ac:dyDescent="0.3">
      <c r="B76" s="982"/>
      <c r="C76" s="979"/>
      <c r="D76" s="125"/>
      <c r="E76" s="125" t="s">
        <v>420</v>
      </c>
      <c r="F76" s="126"/>
      <c r="G76" s="265"/>
      <c r="H76" s="99"/>
    </row>
    <row r="77" spans="2:8" ht="15.6" x14ac:dyDescent="0.3">
      <c r="B77" s="982"/>
      <c r="C77" s="979"/>
      <c r="D77" s="125"/>
      <c r="E77" s="132"/>
      <c r="F77" s="126" t="s">
        <v>333</v>
      </c>
      <c r="G77" s="265"/>
      <c r="H77" s="99"/>
    </row>
    <row r="78" spans="2:8" ht="15.6" x14ac:dyDescent="0.3">
      <c r="B78" s="982"/>
      <c r="C78" s="979"/>
      <c r="D78" s="125"/>
      <c r="E78" s="132"/>
      <c r="F78" s="126" t="s">
        <v>432</v>
      </c>
      <c r="G78" s="265"/>
      <c r="H78" s="99"/>
    </row>
    <row r="79" spans="2:8" ht="15.6" x14ac:dyDescent="0.3">
      <c r="B79" s="982"/>
      <c r="C79" s="979"/>
      <c r="D79" s="125"/>
      <c r="E79" s="125" t="s">
        <v>421</v>
      </c>
      <c r="F79" s="126"/>
      <c r="G79" s="265"/>
      <c r="H79" s="99"/>
    </row>
    <row r="80" spans="2:8" ht="15.6" x14ac:dyDescent="0.3">
      <c r="B80" s="982"/>
      <c r="C80" s="979"/>
      <c r="D80" s="125"/>
      <c r="E80" s="125"/>
      <c r="F80" s="126"/>
      <c r="G80" s="265"/>
      <c r="H80" s="99"/>
    </row>
    <row r="81" spans="2:8" ht="15.6" x14ac:dyDescent="0.3">
      <c r="B81" s="982"/>
      <c r="C81" s="979"/>
      <c r="D81" s="125"/>
      <c r="E81" s="125"/>
      <c r="F81" s="126"/>
      <c r="G81" s="265"/>
      <c r="H81" s="99"/>
    </row>
    <row r="82" spans="2:8" ht="15.6" x14ac:dyDescent="0.3">
      <c r="B82" s="982"/>
      <c r="C82" s="979"/>
      <c r="D82" s="125"/>
      <c r="E82" s="125"/>
      <c r="F82" s="126"/>
      <c r="G82" s="265"/>
      <c r="H82" s="99"/>
    </row>
    <row r="83" spans="2:8" ht="15.6" x14ac:dyDescent="0.3">
      <c r="B83" s="983"/>
      <c r="C83" s="980"/>
      <c r="D83" s="127"/>
      <c r="E83" s="127"/>
      <c r="F83" s="133"/>
      <c r="G83" s="266"/>
      <c r="H83" s="170"/>
    </row>
    <row r="84" spans="2:8" ht="15.6" x14ac:dyDescent="0.3">
      <c r="B84" s="981">
        <v>6</v>
      </c>
      <c r="C84" s="829" t="s">
        <v>430</v>
      </c>
      <c r="D84" s="123" t="s">
        <v>326</v>
      </c>
      <c r="E84" s="123"/>
      <c r="F84" s="124"/>
      <c r="G84" s="268"/>
      <c r="H84" s="177"/>
    </row>
    <row r="85" spans="2:8" ht="15.6" x14ac:dyDescent="0.3">
      <c r="B85" s="982"/>
      <c r="C85" s="977"/>
      <c r="D85" s="125"/>
      <c r="E85" s="125" t="s">
        <v>320</v>
      </c>
      <c r="F85" s="126" t="s">
        <v>321</v>
      </c>
      <c r="G85" s="265"/>
      <c r="H85" s="99"/>
    </row>
    <row r="86" spans="2:8" ht="15.6" x14ac:dyDescent="0.3">
      <c r="B86" s="982"/>
      <c r="C86" s="977"/>
      <c r="D86" s="125"/>
      <c r="E86" s="125"/>
      <c r="F86" s="126" t="s">
        <v>325</v>
      </c>
      <c r="G86" s="265"/>
      <c r="H86" s="99"/>
    </row>
    <row r="87" spans="2:8" ht="15.6" x14ac:dyDescent="0.3">
      <c r="B87" s="982"/>
      <c r="C87" s="977"/>
      <c r="D87" s="125" t="s">
        <v>327</v>
      </c>
      <c r="E87" s="125"/>
      <c r="F87" s="126"/>
      <c r="G87" s="265"/>
      <c r="H87" s="99"/>
    </row>
    <row r="88" spans="2:8" ht="15.6" x14ac:dyDescent="0.3">
      <c r="B88" s="982"/>
      <c r="C88" s="977"/>
      <c r="D88" s="125"/>
      <c r="E88" s="125" t="s">
        <v>322</v>
      </c>
      <c r="F88" s="126"/>
      <c r="G88" s="265"/>
      <c r="H88" s="99"/>
    </row>
    <row r="89" spans="2:8" ht="15.6" x14ac:dyDescent="0.3">
      <c r="B89" s="982"/>
      <c r="C89" s="977"/>
      <c r="D89" s="125"/>
      <c r="E89" s="125" t="s">
        <v>329</v>
      </c>
      <c r="F89" s="126"/>
      <c r="G89" s="265"/>
      <c r="H89" s="99"/>
    </row>
    <row r="90" spans="2:8" ht="15.6" x14ac:dyDescent="0.3">
      <c r="B90" s="982"/>
      <c r="C90" s="977"/>
      <c r="D90" s="125"/>
      <c r="E90" s="125" t="s">
        <v>388</v>
      </c>
      <c r="F90" s="126"/>
      <c r="G90" s="265"/>
      <c r="H90" s="99"/>
    </row>
    <row r="91" spans="2:8" ht="15.6" x14ac:dyDescent="0.3">
      <c r="B91" s="982"/>
      <c r="C91" s="977"/>
      <c r="D91" s="125"/>
      <c r="E91" s="125"/>
      <c r="F91" s="126" t="s">
        <v>431</v>
      </c>
      <c r="G91" s="265"/>
      <c r="H91" s="99"/>
    </row>
    <row r="92" spans="2:8" ht="15.6" x14ac:dyDescent="0.3">
      <c r="B92" s="982"/>
      <c r="C92" s="977"/>
      <c r="D92" s="125" t="s">
        <v>360</v>
      </c>
      <c r="E92" s="125"/>
      <c r="F92" s="126"/>
      <c r="G92" s="265"/>
      <c r="H92" s="99"/>
    </row>
    <row r="93" spans="2:8" ht="15.6" x14ac:dyDescent="0.3">
      <c r="B93" s="982"/>
      <c r="C93" s="977"/>
      <c r="D93" s="125"/>
      <c r="E93" s="125" t="s">
        <v>361</v>
      </c>
      <c r="F93" s="126" t="s">
        <v>365</v>
      </c>
      <c r="G93" s="265"/>
      <c r="H93" s="99"/>
    </row>
    <row r="94" spans="2:8" ht="15.6" x14ac:dyDescent="0.3">
      <c r="B94" s="982"/>
      <c r="C94" s="977"/>
      <c r="D94" s="125"/>
      <c r="E94" s="125"/>
      <c r="F94" s="126" t="s">
        <v>366</v>
      </c>
      <c r="G94" s="265"/>
      <c r="H94" s="99"/>
    </row>
    <row r="95" spans="2:8" ht="15.6" x14ac:dyDescent="0.3">
      <c r="B95" s="982"/>
      <c r="C95" s="977"/>
      <c r="D95" s="125" t="s">
        <v>367</v>
      </c>
      <c r="E95" s="125"/>
      <c r="F95" s="126"/>
      <c r="G95" s="265"/>
      <c r="H95" s="99"/>
    </row>
    <row r="96" spans="2:8" ht="15.6" x14ac:dyDescent="0.3">
      <c r="B96" s="982"/>
      <c r="C96" s="977"/>
      <c r="D96" s="125"/>
      <c r="E96" s="125" t="s">
        <v>368</v>
      </c>
      <c r="F96" s="126" t="s">
        <v>370</v>
      </c>
      <c r="G96" s="265"/>
      <c r="H96" s="99"/>
    </row>
    <row r="97" spans="2:8" ht="15.6" x14ac:dyDescent="0.3">
      <c r="B97" s="982"/>
      <c r="C97" s="977"/>
      <c r="D97" s="125"/>
      <c r="E97" s="125" t="s">
        <v>369</v>
      </c>
      <c r="F97" s="126" t="s">
        <v>371</v>
      </c>
      <c r="G97" s="265"/>
      <c r="H97" s="99"/>
    </row>
    <row r="98" spans="2:8" ht="15.6" x14ac:dyDescent="0.3">
      <c r="B98" s="982"/>
      <c r="C98" s="977"/>
      <c r="D98" s="125"/>
      <c r="E98" s="125"/>
      <c r="F98" s="126" t="s">
        <v>372</v>
      </c>
      <c r="G98" s="265"/>
      <c r="H98" s="99"/>
    </row>
    <row r="99" spans="2:8" ht="15.6" x14ac:dyDescent="0.3">
      <c r="B99" s="983"/>
      <c r="C99" s="830"/>
      <c r="D99" s="127"/>
      <c r="E99" s="127" t="s">
        <v>373</v>
      </c>
      <c r="F99" s="133"/>
      <c r="G99" s="266"/>
      <c r="H99" s="170"/>
    </row>
    <row r="100" spans="2:8" ht="15.6" x14ac:dyDescent="0.3">
      <c r="B100" s="769">
        <v>7</v>
      </c>
      <c r="C100" s="977" t="s">
        <v>414</v>
      </c>
      <c r="D100" s="125"/>
      <c r="E100" s="125"/>
      <c r="F100" s="126"/>
      <c r="G100" s="265"/>
      <c r="H100" s="99"/>
    </row>
    <row r="101" spans="2:8" ht="15.6" x14ac:dyDescent="0.3">
      <c r="B101" s="948"/>
      <c r="C101" s="977"/>
      <c r="D101" s="125" t="s">
        <v>376</v>
      </c>
      <c r="E101" s="125" t="s">
        <v>377</v>
      </c>
      <c r="F101" s="126"/>
      <c r="G101" s="265"/>
      <c r="H101" s="99"/>
    </row>
    <row r="102" spans="2:8" ht="15.6" x14ac:dyDescent="0.3">
      <c r="B102" s="948"/>
      <c r="C102" s="977"/>
      <c r="D102" s="125"/>
      <c r="E102" s="125" t="s">
        <v>396</v>
      </c>
      <c r="F102" s="126" t="s">
        <v>380</v>
      </c>
      <c r="G102" s="265"/>
      <c r="H102" s="99"/>
    </row>
    <row r="103" spans="2:8" ht="15.6" x14ac:dyDescent="0.3">
      <c r="B103" s="948"/>
      <c r="C103" s="977"/>
      <c r="D103" s="125" t="s">
        <v>381</v>
      </c>
      <c r="E103" s="125"/>
      <c r="F103" s="126"/>
      <c r="G103" s="265"/>
      <c r="H103" s="99"/>
    </row>
    <row r="104" spans="2:8" ht="15.6" x14ac:dyDescent="0.3">
      <c r="B104" s="948"/>
      <c r="C104" s="977"/>
      <c r="D104" s="125"/>
      <c r="E104" s="125" t="s">
        <v>378</v>
      </c>
      <c r="F104" s="126" t="s">
        <v>415</v>
      </c>
      <c r="G104" s="265"/>
      <c r="H104" s="99"/>
    </row>
    <row r="105" spans="2:8" ht="15.6" x14ac:dyDescent="0.3">
      <c r="B105" s="948"/>
      <c r="C105" s="977"/>
      <c r="D105" s="125"/>
      <c r="E105" s="125" t="s">
        <v>382</v>
      </c>
      <c r="F105" s="126" t="s">
        <v>416</v>
      </c>
      <c r="G105" s="265"/>
      <c r="H105" s="99"/>
    </row>
    <row r="106" spans="2:8" ht="15.6" x14ac:dyDescent="0.3">
      <c r="B106" s="948"/>
      <c r="C106" s="977"/>
      <c r="D106" s="125"/>
      <c r="E106" s="125" t="s">
        <v>364</v>
      </c>
      <c r="F106" s="126"/>
      <c r="G106" s="265"/>
      <c r="H106" s="99"/>
    </row>
    <row r="107" spans="2:8" ht="15.6" x14ac:dyDescent="0.3">
      <c r="B107" s="948"/>
      <c r="C107" s="977"/>
      <c r="D107" s="125" t="s">
        <v>379</v>
      </c>
      <c r="E107" s="125"/>
      <c r="F107" s="126"/>
      <c r="G107" s="265"/>
      <c r="H107" s="99"/>
    </row>
    <row r="108" spans="2:8" ht="15.6" x14ac:dyDescent="0.3">
      <c r="B108" s="948"/>
      <c r="C108" s="977"/>
      <c r="D108" s="125"/>
      <c r="E108" s="125" t="s">
        <v>386</v>
      </c>
      <c r="F108" s="126"/>
      <c r="G108" s="265"/>
      <c r="H108" s="99"/>
    </row>
    <row r="109" spans="2:8" ht="15.6" x14ac:dyDescent="0.3">
      <c r="B109" s="948"/>
      <c r="C109" s="977"/>
      <c r="D109" s="125"/>
      <c r="E109" s="125" t="s">
        <v>398</v>
      </c>
      <c r="F109" s="126"/>
      <c r="G109" s="265"/>
      <c r="H109" s="99"/>
    </row>
    <row r="110" spans="2:8" ht="15.6" x14ac:dyDescent="0.3">
      <c r="B110" s="948"/>
      <c r="C110" s="977"/>
      <c r="D110" s="125" t="s">
        <v>384</v>
      </c>
      <c r="E110" s="132"/>
      <c r="F110" s="126"/>
      <c r="G110" s="265"/>
      <c r="H110" s="99"/>
    </row>
    <row r="111" spans="2:8" ht="15.6" x14ac:dyDescent="0.3">
      <c r="B111" s="948"/>
      <c r="C111" s="977"/>
      <c r="D111" s="125"/>
      <c r="E111" s="125" t="s">
        <v>383</v>
      </c>
      <c r="F111" s="126"/>
      <c r="G111" s="265"/>
      <c r="H111" s="99"/>
    </row>
    <row r="112" spans="2:8" ht="15.6" x14ac:dyDescent="0.3">
      <c r="B112" s="948"/>
      <c r="C112" s="977"/>
      <c r="D112" s="125"/>
      <c r="E112" s="125" t="s">
        <v>385</v>
      </c>
      <c r="F112" s="126"/>
      <c r="G112" s="265"/>
      <c r="H112" s="99"/>
    </row>
    <row r="113" spans="2:8" ht="15.6" x14ac:dyDescent="0.3">
      <c r="B113" s="772"/>
      <c r="C113" s="830"/>
      <c r="D113" s="127"/>
      <c r="E113" s="127" t="s">
        <v>387</v>
      </c>
      <c r="F113" s="133"/>
      <c r="G113" s="266"/>
      <c r="H113" s="170"/>
    </row>
    <row r="117" spans="2:8" x14ac:dyDescent="0.3">
      <c r="C117" t="s">
        <v>312</v>
      </c>
      <c r="D117" t="s">
        <v>457</v>
      </c>
      <c r="E117" s="217" t="s">
        <v>470</v>
      </c>
      <c r="F117" s="118" t="s">
        <v>315</v>
      </c>
      <c r="G117" s="96" t="s">
        <v>630</v>
      </c>
      <c r="H117" s="96" t="s">
        <v>631</v>
      </c>
    </row>
    <row r="118" spans="2:8" x14ac:dyDescent="0.3">
      <c r="C118" s="96" t="str">
        <f>+C6</f>
        <v>Oxidant Stream</v>
      </c>
      <c r="D118" s="96" t="s">
        <v>480</v>
      </c>
      <c r="E118" s="96" t="s">
        <v>471</v>
      </c>
      <c r="F118" s="270">
        <v>1995</v>
      </c>
      <c r="G118" s="96">
        <v>1</v>
      </c>
      <c r="H118" s="96">
        <v>1</v>
      </c>
    </row>
    <row r="119" spans="2:8" x14ac:dyDescent="0.3">
      <c r="C119" s="96" t="str">
        <f>+C13</f>
        <v>Primary Conversion</v>
      </c>
      <c r="D119" s="218" t="s">
        <v>450</v>
      </c>
      <c r="E119" s="96" t="s">
        <v>472</v>
      </c>
      <c r="F119" s="112">
        <v>1996</v>
      </c>
      <c r="G119" s="96">
        <v>2</v>
      </c>
      <c r="H119" s="96">
        <v>2</v>
      </c>
    </row>
    <row r="120" spans="2:8" x14ac:dyDescent="0.3">
      <c r="C120" s="96" t="str">
        <f>+C28</f>
        <v>Power Generation</v>
      </c>
      <c r="D120" s="96"/>
      <c r="E120" s="96" t="s">
        <v>473</v>
      </c>
      <c r="F120" s="112">
        <v>1997</v>
      </c>
      <c r="G120" s="96">
        <v>3</v>
      </c>
      <c r="H120" s="96">
        <v>3</v>
      </c>
    </row>
    <row r="121" spans="2:8" x14ac:dyDescent="0.3">
      <c r="C121" s="96" t="str">
        <f>+C64</f>
        <v>Secondary Conversion</v>
      </c>
      <c r="D121" s="96"/>
      <c r="E121" s="96" t="s">
        <v>474</v>
      </c>
      <c r="F121" s="112">
        <v>1998</v>
      </c>
      <c r="G121" s="96">
        <v>4</v>
      </c>
      <c r="H121" s="96">
        <v>4</v>
      </c>
    </row>
    <row r="122" spans="2:8" x14ac:dyDescent="0.3">
      <c r="C122" s="96" t="str">
        <f>+C84</f>
        <v>Contaminant Removal</v>
      </c>
      <c r="D122" s="96"/>
      <c r="E122" s="96" t="s">
        <v>475</v>
      </c>
      <c r="F122" s="112">
        <v>1999</v>
      </c>
      <c r="G122" s="96"/>
      <c r="H122" s="96">
        <v>5</v>
      </c>
    </row>
    <row r="123" spans="2:8" x14ac:dyDescent="0.3">
      <c r="C123" s="96" t="str">
        <f>+C100</f>
        <v>Energy Storage</v>
      </c>
      <c r="D123" s="96"/>
      <c r="E123" s="96" t="s">
        <v>481</v>
      </c>
      <c r="F123" s="112">
        <v>2000</v>
      </c>
      <c r="G123" s="96"/>
      <c r="H123" s="96">
        <v>6</v>
      </c>
    </row>
    <row r="124" spans="2:8" x14ac:dyDescent="0.3">
      <c r="C124" s="96" t="s">
        <v>434</v>
      </c>
      <c r="D124" s="96"/>
      <c r="E124" s="96" t="s">
        <v>593</v>
      </c>
      <c r="F124" s="112">
        <v>2001</v>
      </c>
      <c r="G124" s="96"/>
      <c r="H124" s="96">
        <v>7</v>
      </c>
    </row>
    <row r="125" spans="2:8" x14ac:dyDescent="0.3">
      <c r="C125" s="96"/>
      <c r="D125" s="96"/>
      <c r="E125" s="96" t="s">
        <v>476</v>
      </c>
      <c r="F125" s="112">
        <v>2002</v>
      </c>
      <c r="G125" s="96"/>
      <c r="H125" s="96">
        <v>8</v>
      </c>
    </row>
    <row r="126" spans="2:8" x14ac:dyDescent="0.3">
      <c r="C126" s="96"/>
      <c r="D126" s="96"/>
      <c r="E126" s="96" t="s">
        <v>595</v>
      </c>
      <c r="F126" s="112">
        <v>2003</v>
      </c>
      <c r="G126" s="96"/>
      <c r="H126" s="96">
        <v>9</v>
      </c>
    </row>
    <row r="127" spans="2:8" x14ac:dyDescent="0.3">
      <c r="C127" s="96"/>
      <c r="D127" s="96"/>
      <c r="E127" s="96" t="s">
        <v>477</v>
      </c>
      <c r="F127" s="112">
        <v>2004</v>
      </c>
      <c r="G127" s="96"/>
      <c r="H127" s="96">
        <v>10</v>
      </c>
    </row>
    <row r="128" spans="2:8" x14ac:dyDescent="0.3">
      <c r="E128" s="96" t="s">
        <v>594</v>
      </c>
      <c r="F128" s="112">
        <v>2005</v>
      </c>
      <c r="G128" s="96"/>
      <c r="H128" s="96">
        <v>11</v>
      </c>
    </row>
    <row r="129" spans="5:8" x14ac:dyDescent="0.3">
      <c r="E129" s="96" t="s">
        <v>618</v>
      </c>
      <c r="F129" s="112">
        <v>2006</v>
      </c>
      <c r="G129" s="96"/>
      <c r="H129" s="96">
        <v>12</v>
      </c>
    </row>
    <row r="130" spans="5:8" x14ac:dyDescent="0.3">
      <c r="E130" s="96" t="s">
        <v>590</v>
      </c>
      <c r="F130" s="112">
        <v>2007</v>
      </c>
      <c r="G130" s="96"/>
      <c r="H130" s="96">
        <v>13</v>
      </c>
    </row>
    <row r="131" spans="5:8" x14ac:dyDescent="0.3">
      <c r="E131" s="96" t="s">
        <v>591</v>
      </c>
      <c r="F131" s="112">
        <v>2008</v>
      </c>
      <c r="G131" s="96"/>
      <c r="H131" s="96">
        <v>14</v>
      </c>
    </row>
    <row r="132" spans="5:8" x14ac:dyDescent="0.3">
      <c r="E132" s="96" t="s">
        <v>592</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529</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646</v>
      </c>
      <c r="C2" s="807"/>
      <c r="D2" s="970"/>
      <c r="E2" s="970"/>
      <c r="F2" s="970"/>
      <c r="G2" s="970"/>
      <c r="H2" s="970"/>
      <c r="I2" s="970"/>
      <c r="J2" s="970"/>
      <c r="K2" s="970"/>
      <c r="L2" s="970"/>
      <c r="M2" s="970"/>
      <c r="N2" s="970"/>
      <c r="O2" s="970"/>
      <c r="P2" s="970"/>
      <c r="Q2" s="970"/>
      <c r="R2" s="970"/>
      <c r="S2" s="970"/>
      <c r="T2" s="970"/>
      <c r="U2" s="808"/>
    </row>
    <row r="3" spans="2:21" ht="18" x14ac:dyDescent="0.3">
      <c r="B3" s="804" t="s">
        <v>635</v>
      </c>
      <c r="C3" s="805"/>
      <c r="D3" s="805"/>
      <c r="E3" s="805"/>
      <c r="F3" s="805"/>
      <c r="G3" s="805"/>
      <c r="H3" s="805"/>
      <c r="I3" s="806"/>
      <c r="J3" s="804" t="s">
        <v>636</v>
      </c>
      <c r="K3" s="805"/>
      <c r="L3" s="805"/>
      <c r="M3" s="805"/>
      <c r="N3" s="805"/>
      <c r="O3" s="805"/>
      <c r="P3" s="805"/>
      <c r="Q3" s="805"/>
      <c r="R3" s="806"/>
      <c r="S3" s="804" t="s">
        <v>637</v>
      </c>
      <c r="T3" s="805"/>
      <c r="U3" s="806"/>
    </row>
    <row r="4" spans="2:21" ht="18" x14ac:dyDescent="0.3">
      <c r="B4" s="88" t="s">
        <v>356</v>
      </c>
      <c r="C4" s="88" t="s">
        <v>639</v>
      </c>
      <c r="D4" s="88" t="s">
        <v>491</v>
      </c>
      <c r="E4" s="89" t="s">
        <v>457</v>
      </c>
      <c r="F4" s="89" t="s">
        <v>315</v>
      </c>
      <c r="G4" s="89" t="s">
        <v>502</v>
      </c>
      <c r="H4" s="88" t="s">
        <v>499</v>
      </c>
      <c r="I4" s="312" t="s">
        <v>235</v>
      </c>
      <c r="J4" s="224" t="s">
        <v>459</v>
      </c>
      <c r="K4" s="224" t="s">
        <v>460</v>
      </c>
      <c r="L4" s="223" t="s">
        <v>579</v>
      </c>
      <c r="M4" s="225" t="s">
        <v>462</v>
      </c>
      <c r="N4" s="226" t="s">
        <v>461</v>
      </c>
      <c r="O4" s="225" t="s">
        <v>643</v>
      </c>
      <c r="P4" s="225" t="s">
        <v>644</v>
      </c>
      <c r="Q4" s="225" t="s">
        <v>458</v>
      </c>
      <c r="R4" s="90" t="s">
        <v>632</v>
      </c>
      <c r="S4" s="313" t="s">
        <v>640</v>
      </c>
      <c r="T4" s="987" t="s">
        <v>638</v>
      </c>
      <c r="U4" s="988"/>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87" t="str">
        <f>TEXT(C2,0)</f>
        <v>0</v>
      </c>
      <c r="K14" s="888"/>
      <c r="L14" s="888"/>
      <c r="M14" s="888"/>
      <c r="N14" s="888"/>
      <c r="O14" s="888"/>
      <c r="P14" s="888"/>
      <c r="Q14" s="888"/>
      <c r="R14" s="888"/>
      <c r="S14" s="888"/>
      <c r="T14" s="889"/>
      <c r="U14" s="84"/>
    </row>
    <row r="15" spans="2:21" x14ac:dyDescent="0.3">
      <c r="B15" s="265"/>
      <c r="C15" s="96"/>
      <c r="D15" s="96"/>
      <c r="E15" s="96"/>
      <c r="F15" s="96"/>
      <c r="G15" s="96"/>
      <c r="H15" s="96"/>
      <c r="I15" s="96"/>
      <c r="J15" s="336" t="s">
        <v>641</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569</v>
      </c>
      <c r="K23" s="86" t="s">
        <v>645</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 GT</vt:lpstr>
      <vt:lpstr>Unit-200 Steam Cycle</vt:lpstr>
      <vt:lpstr>Unit-200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 GT'!Axial</vt:lpstr>
      <vt:lpstr>'Unit-200'!Axial</vt:lpstr>
      <vt:lpstr>'Unit-200 Steam Cycle'!Axial</vt:lpstr>
      <vt:lpstr>'Unit-400'!Axial</vt:lpstr>
      <vt:lpstr>'Unit-100 GT'!Blender</vt:lpstr>
      <vt:lpstr>'Unit-200'!Blender</vt:lpstr>
      <vt:lpstr>'Unit-200 Steam Cycle'!Blender</vt:lpstr>
      <vt:lpstr>'Unit-400'!Blender</vt:lpstr>
      <vt:lpstr>'Unit-100 GT'!Blender_Material</vt:lpstr>
      <vt:lpstr>'Unit-200'!Blender_Material</vt:lpstr>
      <vt:lpstr>'Unit-200 Steam Cycle'!Blender_Material</vt:lpstr>
      <vt:lpstr>'Unit-400'!Blender_Material</vt:lpstr>
      <vt:lpstr>'Cash Flow Analysis'!Case</vt:lpstr>
      <vt:lpstr>'Estimate Benchmark'!Case</vt:lpstr>
      <vt:lpstr>'Plant Overview'!Case</vt:lpstr>
      <vt:lpstr>'Unit-100 GT'!Case</vt:lpstr>
      <vt:lpstr>'Unit-200'!Case</vt:lpstr>
      <vt:lpstr>'Unit-200 Steam Cycle'!Case</vt:lpstr>
      <vt:lpstr>'Unit-400'!Case</vt:lpstr>
      <vt:lpstr>'Unit-100 GT'!Centrifuge</vt:lpstr>
      <vt:lpstr>'Unit-200'!Centrifuge</vt:lpstr>
      <vt:lpstr>'Unit-200 Steam Cycle'!Centrifuge</vt:lpstr>
      <vt:lpstr>'Unit-400'!Centrifuge</vt:lpstr>
      <vt:lpstr>'Unit-100 GT'!Centrifuge_Material</vt:lpstr>
      <vt:lpstr>'Unit-200'!Centrifuge_Material</vt:lpstr>
      <vt:lpstr>'Unit-200 Steam Cycle'!Centrifuge_Material</vt:lpstr>
      <vt:lpstr>'Unit-400'!Centrifuge_Material</vt:lpstr>
      <vt:lpstr>'Unit-100 GT'!Compressor</vt:lpstr>
      <vt:lpstr>'Unit-200'!Compressor</vt:lpstr>
      <vt:lpstr>'Unit-200 Steam Cycle'!Compressor</vt:lpstr>
      <vt:lpstr>'Unit-400'!Compressor</vt:lpstr>
      <vt:lpstr>'Unit-100 GT'!Compressor_Material</vt:lpstr>
      <vt:lpstr>'Unit-200'!Compressor_Material</vt:lpstr>
      <vt:lpstr>'Unit-200 Steam Cycle'!Compressor_Material</vt:lpstr>
      <vt:lpstr>'Unit-400'!Compressor_Material</vt:lpstr>
      <vt:lpstr>'Cash Flow Analysis'!Construction</vt:lpstr>
      <vt:lpstr>'Estimate Benchmark'!Construction</vt:lpstr>
      <vt:lpstr>'Plant Overview'!Construction</vt:lpstr>
      <vt:lpstr>'Unit-100 GT'!Construction</vt:lpstr>
      <vt:lpstr>'Unit-200'!Construction</vt:lpstr>
      <vt:lpstr>'Unit-200 Steam Cycle'!Construction</vt:lpstr>
      <vt:lpstr>'Unit-400'!Construction</vt:lpstr>
      <vt:lpstr>'Unit-100 GT'!Conveyor</vt:lpstr>
      <vt:lpstr>'Unit-200'!Conveyor</vt:lpstr>
      <vt:lpstr>'Unit-200 Steam Cycle'!Conveyor</vt:lpstr>
      <vt:lpstr>'Unit-400'!Conveyor</vt:lpstr>
      <vt:lpstr>'Unit-100 GT'!Conveyor_Material</vt:lpstr>
      <vt:lpstr>'Unit-200'!Conveyor_Material</vt:lpstr>
      <vt:lpstr>'Unit-200 Steam Cycle'!Conveyor_Material</vt:lpstr>
      <vt:lpstr>'Unit-400'!Conveyor_Material</vt:lpstr>
      <vt:lpstr>'Unit-200'!Crystallizer</vt:lpstr>
      <vt:lpstr>'Unit-200 Steam Cycle'!Crystallizer</vt:lpstr>
      <vt:lpstr>'Unit-100 GT'!Crystallizer_Material</vt:lpstr>
      <vt:lpstr>'Unit-200'!Crystallizer_Material</vt:lpstr>
      <vt:lpstr>'Unit-200 Steam Cycle'!Crystallizer_Material</vt:lpstr>
      <vt:lpstr>'Unit-400'!Crystallizer_Material</vt:lpstr>
      <vt:lpstr>'Cash Flow Analysis'!Currency</vt:lpstr>
      <vt:lpstr>'Estimate Benchmark'!Currency</vt:lpstr>
      <vt:lpstr>'Plant Overview'!Currency</vt:lpstr>
      <vt:lpstr>'Unit-100 GT'!Currency</vt:lpstr>
      <vt:lpstr>'Unit-200'!Currency</vt:lpstr>
      <vt:lpstr>'Unit-200 Steam Cycle'!Currency</vt:lpstr>
      <vt:lpstr>'Unit-400'!Currency</vt:lpstr>
      <vt:lpstr>'Unit-100 GT'!Dirve_Material</vt:lpstr>
      <vt:lpstr>'Unit-200'!Dirve_Material</vt:lpstr>
      <vt:lpstr>'Unit-200 Steam Cycle'!Dirve_Material</vt:lpstr>
      <vt:lpstr>'Unit-400'!Dirve_Material</vt:lpstr>
      <vt:lpstr>'Unit-100 GT'!Drive</vt:lpstr>
      <vt:lpstr>'Unit-200'!Drive</vt:lpstr>
      <vt:lpstr>'Unit-200 Steam Cycle'!Drive</vt:lpstr>
      <vt:lpstr>'Unit-400'!Drive</vt:lpstr>
      <vt:lpstr>'Unit-100 GT'!Drive_Material</vt:lpstr>
      <vt:lpstr>'Unit-200'!Drive_Material</vt:lpstr>
      <vt:lpstr>'Unit-200 Steam Cycle'!Drive_Material</vt:lpstr>
      <vt:lpstr>'Unit-400'!Drive_Material</vt:lpstr>
      <vt:lpstr>'Unit-100 GT'!Dryer</vt:lpstr>
      <vt:lpstr>'Unit-200'!Dryer</vt:lpstr>
      <vt:lpstr>'Unit-200 Steam Cycle'!Dryer</vt:lpstr>
      <vt:lpstr>'Unit-400'!Dryer</vt:lpstr>
      <vt:lpstr>'Unit-100 GT'!Dryer_Material</vt:lpstr>
      <vt:lpstr>'Unit-200'!Dryer_Material</vt:lpstr>
      <vt:lpstr>'Unit-200 Steam Cycle'!Dryer_Material</vt:lpstr>
      <vt:lpstr>'Unit-400'!Dryer_Material</vt:lpstr>
      <vt:lpstr>'Unit-200'!DustCollectors</vt:lpstr>
      <vt:lpstr>'Unit-200 Steam Cycle'!DustCollectors</vt:lpstr>
      <vt:lpstr>'Unit-100 GT'!DustCollectors_Material</vt:lpstr>
      <vt:lpstr>'Unit-200'!DustCollectors_Material</vt:lpstr>
      <vt:lpstr>'Unit-200 Steam Cycle'!DustCollectors_Material</vt:lpstr>
      <vt:lpstr>'Unit-400'!DustCollectors_Material</vt:lpstr>
      <vt:lpstr>'Unit-100 GT'!Equipment</vt:lpstr>
      <vt:lpstr>'Unit-200'!Equipment</vt:lpstr>
      <vt:lpstr>'Unit-200 Steam Cycle'!Equipment</vt:lpstr>
      <vt:lpstr>'Unit-400'!Equipment</vt:lpstr>
      <vt:lpstr>'Unit-100 GT'!Evaporator</vt:lpstr>
      <vt:lpstr>'Unit-200'!Evaporator</vt:lpstr>
      <vt:lpstr>'Unit-200 Steam Cycle'!Evaporator</vt:lpstr>
      <vt:lpstr>'Unit-400'!Evaporator</vt:lpstr>
      <vt:lpstr>'Unit-100 GT'!Evaporator_Material</vt:lpstr>
      <vt:lpstr>'Unit-200'!Evaporator_Material</vt:lpstr>
      <vt:lpstr>'Unit-200 Steam Cycle'!Evaporator_Material</vt:lpstr>
      <vt:lpstr>'Unit-400'!Evaporator_Material</vt:lpstr>
      <vt:lpstr>'Uncertainty Quantification'!ExpRuns</vt:lpstr>
      <vt:lpstr>'Unit-100 GT'!Fan</vt:lpstr>
      <vt:lpstr>'Unit-200'!Fan</vt:lpstr>
      <vt:lpstr>'Unit-200 Steam Cycle'!Fan</vt:lpstr>
      <vt:lpstr>'Unit-400'!Fan</vt:lpstr>
      <vt:lpstr>'Unit-100 GT'!Fan_Material</vt:lpstr>
      <vt:lpstr>'Unit-200'!Fan_Material</vt:lpstr>
      <vt:lpstr>'Unit-200 Steam Cycle'!Fan_Material</vt:lpstr>
      <vt:lpstr>'Unit-400'!Fan_Material</vt:lpstr>
      <vt:lpstr>'Unit-200'!Filter</vt:lpstr>
      <vt:lpstr>'Unit-200 Steam Cycle'!Filter</vt:lpstr>
      <vt:lpstr>'Unit-100 GT'!Filter_Material</vt:lpstr>
      <vt:lpstr>'Unit-200'!Filter_Material</vt:lpstr>
      <vt:lpstr>'Unit-200 Steam Cycle'!Filter_Material</vt:lpstr>
      <vt:lpstr>'Unit-400'!Filter_Material</vt:lpstr>
      <vt:lpstr>'Unit-100 GT'!FiredHeater</vt:lpstr>
      <vt:lpstr>'Unit-200'!FiredHeater</vt:lpstr>
      <vt:lpstr>'Unit-200 Steam Cycle'!FiredHeater</vt:lpstr>
      <vt:lpstr>'Unit-400'!FiredHeater</vt:lpstr>
      <vt:lpstr>'Unit-100 GT'!FiredHeater_Material</vt:lpstr>
      <vt:lpstr>'Unit-200'!FiredHeater_Material</vt:lpstr>
      <vt:lpstr>'Unit-200 Steam Cycle'!FiredHeater_Material</vt:lpstr>
      <vt:lpstr>'Unit-400'!FiredHeater_Material</vt:lpstr>
      <vt:lpstr>'Unit-100 GT'!HeatExchanger</vt:lpstr>
      <vt:lpstr>'Unit-200'!HeatExchanger</vt:lpstr>
      <vt:lpstr>'Unit-200 Steam Cycle'!HeatExchanger</vt:lpstr>
      <vt:lpstr>'Unit-400'!HeatExchanger</vt:lpstr>
      <vt:lpstr>'Unit-200'!HeatExchanger_AirCooler_Material</vt:lpstr>
      <vt:lpstr>'Unit-200 Steam Cycle'!HeatExchanger_AirCooler_Material</vt:lpstr>
      <vt:lpstr>'Unit-200'!HeatExchanger_Bayonet_Material</vt:lpstr>
      <vt:lpstr>'Unit-200 Steam Cycle'!HeatExchanger_Bayonet_Material</vt:lpstr>
      <vt:lpstr>'Unit-200'!HeatExchanger_DoublePipe_Material</vt:lpstr>
      <vt:lpstr>'Unit-200 Steam Cycle'!HeatExchanger_DoublePipe_Material</vt:lpstr>
      <vt:lpstr>'Unit-200'!HeatExchanger_FixedtubesheetorUtube_Material</vt:lpstr>
      <vt:lpstr>'Unit-200 Steam Cycle'!HeatExchanger_FixedtubesheetorUtube_Material</vt:lpstr>
      <vt:lpstr>'Unit-200'!HeatExchanger_FlatPlate_Material</vt:lpstr>
      <vt:lpstr>'Unit-200 Steam Cycle'!HeatExchanger_FlatPlate_Material</vt:lpstr>
      <vt:lpstr>'Unit-200'!HeatExchanger_FloatingHead_Material</vt:lpstr>
      <vt:lpstr>'Unit-200 Steam Cycle'!HeatExchanger_FloatingHead_Material</vt:lpstr>
      <vt:lpstr>'Unit-200'!HeatExchanger_KettleReboiler_Material</vt:lpstr>
      <vt:lpstr>'Unit-200 Steam Cycle'!HeatExchanger_KettleReboiler_Material</vt:lpstr>
      <vt:lpstr>'Unit-100 GT'!HeatExchanger_Material</vt:lpstr>
      <vt:lpstr>'Unit-200'!HeatExchanger_Material</vt:lpstr>
      <vt:lpstr>'Unit-200 Steam Cycle'!HeatExchanger_Material</vt:lpstr>
      <vt:lpstr>'Unit-400'!HeatExchanger_Material</vt:lpstr>
      <vt:lpstr>'Unit-200'!HeatExchanger_MultiplePipe_Material</vt:lpstr>
      <vt:lpstr>'Unit-200 Steam Cycle'!HeatExchanger_MultiplePipe_Material</vt:lpstr>
      <vt:lpstr>'Unit-200'!HeatExchanger_ScrapedWall_Material</vt:lpstr>
      <vt:lpstr>'Unit-200 Steam Cycle'!HeatExchanger_ScrapedWall_Material</vt:lpstr>
      <vt:lpstr>'Unit-200'!HeatExchanger_SpiralPlate_Material</vt:lpstr>
      <vt:lpstr>'Unit-200 Steam Cycle'!HeatExchanger_SpiralPlate_Material</vt:lpstr>
      <vt:lpstr>'Unit-200'!HeatExchanger_SpiralTube_Material</vt:lpstr>
      <vt:lpstr>'Unit-200 Steam Cycle'!HeatExchanger_SpiralTube_Material</vt:lpstr>
      <vt:lpstr>'Unit-200'!HeatExchanger_TeflonTubeExchanger_Material</vt:lpstr>
      <vt:lpstr>'Unit-200 Steam Cycle'!HeatExchanger_TeflonTubeExchanger_Material</vt:lpstr>
      <vt:lpstr>'Cash Flow Analysis'!Indicator</vt:lpstr>
      <vt:lpstr>'Cash Flow Analysis'!Lifetime</vt:lpstr>
      <vt:lpstr>'Estimate Benchmark'!Lifetime</vt:lpstr>
      <vt:lpstr>'Plant Overview'!Lifetime</vt:lpstr>
      <vt:lpstr>'Unit-100 GT'!Lifetime</vt:lpstr>
      <vt:lpstr>'Unit-200'!Lifetime</vt:lpstr>
      <vt:lpstr>'Unit-200 Steam Cycle'!Lifetime</vt:lpstr>
      <vt:lpstr>'Unit-400'!Lifetime</vt:lpstr>
      <vt:lpstr>'Cash Flow Analysis'!Location</vt:lpstr>
      <vt:lpstr>'Estimate Benchmark'!Location</vt:lpstr>
      <vt:lpstr>'Plant Overview'!Location</vt:lpstr>
      <vt:lpstr>'Unit-100 GT'!Location</vt:lpstr>
      <vt:lpstr>'Unit-200'!Location</vt:lpstr>
      <vt:lpstr>'Unit-200 Steam Cycle'!Location</vt:lpstr>
      <vt:lpstr>'Unit-400'!Location</vt:lpstr>
      <vt:lpstr>'Unit-100 GT'!Mixer</vt:lpstr>
      <vt:lpstr>'Unit-200'!Mixer</vt:lpstr>
      <vt:lpstr>'Unit-200 Steam Cycle'!Mixer</vt:lpstr>
      <vt:lpstr>'Unit-400'!Mixer</vt:lpstr>
      <vt:lpstr>'Unit-100 GT'!Mixer_Material</vt:lpstr>
      <vt:lpstr>'Unit-200'!Mixer_Material</vt:lpstr>
      <vt:lpstr>'Unit-200 Steam Cycle'!Mixer_Material</vt:lpstr>
      <vt:lpstr>'Unit-400'!Mixer_Material</vt:lpstr>
      <vt:lpstr>'Unit-100 GT'!Pump</vt:lpstr>
      <vt:lpstr>'Unit-200'!Pump</vt:lpstr>
      <vt:lpstr>'Unit-200 Steam Cycle'!Pump</vt:lpstr>
      <vt:lpstr>'Unit-400'!Pump</vt:lpstr>
      <vt:lpstr>'Unit-100 GT'!Pump_Material</vt:lpstr>
      <vt:lpstr>'Unit-200'!Pump_Material</vt:lpstr>
      <vt:lpstr>'Unit-200 Steam Cycle'!Pump_Material</vt:lpstr>
      <vt:lpstr>'Unit-400'!Pump_Material</vt:lpstr>
      <vt:lpstr>'Unit-100 GT'!Reactor</vt:lpstr>
      <vt:lpstr>'Unit-200'!Reactor</vt:lpstr>
      <vt:lpstr>'Unit-200 Steam Cycle'!Reactor</vt:lpstr>
      <vt:lpstr>'Unit-400'!Reactor</vt:lpstr>
      <vt:lpstr>'Unit-100 GT'!Reactor_Material</vt:lpstr>
      <vt:lpstr>'Unit-200'!Reactor_Material</vt:lpstr>
      <vt:lpstr>'Unit-200 Steam Cycle'!Reactor_Material</vt:lpstr>
      <vt:lpstr>'Unit-400'!Reactor_Material</vt:lpstr>
      <vt:lpstr>'Unit-200'!Screen</vt:lpstr>
      <vt:lpstr>'Unit-200 Steam Cycle'!Screen</vt:lpstr>
      <vt:lpstr>'Unit-100 GT'!Screen_Material</vt:lpstr>
      <vt:lpstr>'Unit-200'!Screen_Material</vt:lpstr>
      <vt:lpstr>'Unit-200 Steam Cycle'!Screen_Material</vt:lpstr>
      <vt:lpstr>'Unit-400'!Screen_Material</vt:lpstr>
      <vt:lpstr>sel_i</vt:lpstr>
      <vt:lpstr>sel_p</vt:lpstr>
      <vt:lpstr>sel_t</vt:lpstr>
      <vt:lpstr>'Unit-100 GT'!Tank</vt:lpstr>
      <vt:lpstr>'Unit-200'!Tank</vt:lpstr>
      <vt:lpstr>'Unit-200 Steam Cycle'!Tank</vt:lpstr>
      <vt:lpstr>'Unit-400'!Tank</vt:lpstr>
      <vt:lpstr>'Unit-100 GT'!Tank_Material</vt:lpstr>
      <vt:lpstr>'Unit-200'!Tank_Material</vt:lpstr>
      <vt:lpstr>'Unit-200 Steam Cycle'!Tank_Material</vt:lpstr>
      <vt:lpstr>'Unit-400'!Tank_Material</vt:lpstr>
      <vt:lpstr>'Unit-200'!test</vt:lpstr>
      <vt:lpstr>'Unit-200 Steam Cycle'!test</vt:lpstr>
      <vt:lpstr>'Unit-100 GT'!TowerPacking</vt:lpstr>
      <vt:lpstr>'Unit-200'!TowerPacking</vt:lpstr>
      <vt:lpstr>'Unit-200 Steam Cycle'!TowerPacking</vt:lpstr>
      <vt:lpstr>'Unit-400'!TowerPacking</vt:lpstr>
      <vt:lpstr>'Unit-100 GT'!TowerPacking_Material</vt:lpstr>
      <vt:lpstr>'Unit-200'!TowerPacking_Material</vt:lpstr>
      <vt:lpstr>'Unit-200 Steam Cycle'!TowerPacking_Material</vt:lpstr>
      <vt:lpstr>'Unit-400'!TowerPacking_Material</vt:lpstr>
      <vt:lpstr>'Unit-100 GT'!TowerTrays</vt:lpstr>
      <vt:lpstr>'Unit-200'!TowerTrays</vt:lpstr>
      <vt:lpstr>'Unit-200 Steam Cycle'!TowerTrays</vt:lpstr>
      <vt:lpstr>'Unit-400'!TowerTrays</vt:lpstr>
      <vt:lpstr>'Unit-100 GT'!TowerTrays_Material</vt:lpstr>
      <vt:lpstr>'Unit-200'!TowerTrays_Material</vt:lpstr>
      <vt:lpstr>'Unit-200 Steam Cycle'!TowerTrays_Material</vt:lpstr>
      <vt:lpstr>'Unit-400'!TowerTrays_Material</vt:lpstr>
      <vt:lpstr>'Unit-100 GT'!Turbine</vt:lpstr>
      <vt:lpstr>'Unit-200'!Turbine</vt:lpstr>
      <vt:lpstr>'Unit-200 Steam Cycle'!Turbine</vt:lpstr>
      <vt:lpstr>'Unit-400'!Turbine</vt:lpstr>
      <vt:lpstr>'Unit-100 GT'!Turbine_Material</vt:lpstr>
      <vt:lpstr>'Unit-200'!Turbine_Material</vt:lpstr>
      <vt:lpstr>'Unit-200 Steam Cycle'!Turbine_Material</vt:lpstr>
      <vt:lpstr>'Unit-400'!Turbine_Material</vt:lpstr>
      <vt:lpstr>'Unit-100 GT'!Vaporizer</vt:lpstr>
      <vt:lpstr>'Unit-200'!Vaporizer</vt:lpstr>
      <vt:lpstr>'Unit-200 Steam Cycle'!Vaporizer</vt:lpstr>
      <vt:lpstr>'Unit-400'!Vaporizer</vt:lpstr>
      <vt:lpstr>'Unit-100 GT'!Vaporizer_Material</vt:lpstr>
      <vt:lpstr>'Unit-200'!Vaporizer_Material</vt:lpstr>
      <vt:lpstr>'Unit-200 Steam Cycle'!Vaporizer_Material</vt:lpstr>
      <vt:lpstr>'Unit-400'!Vaporizer_Material</vt:lpstr>
      <vt:lpstr>'Unit-100 GT'!Vessel</vt:lpstr>
      <vt:lpstr>'Unit-200'!Vessel</vt:lpstr>
      <vt:lpstr>'Unit-200 Steam Cycle'!Vessel</vt:lpstr>
      <vt:lpstr>'Unit-400'!Vessel</vt:lpstr>
      <vt:lpstr>'Unit-100 GT'!Vessel_Material</vt:lpstr>
      <vt:lpstr>'Unit-200'!Vessel_Material</vt:lpstr>
      <vt:lpstr>'Unit-200 Steam Cycle'!Vessel_Material</vt:lpstr>
      <vt:lpstr>'Unit-400'!Vessel_Material</vt:lpstr>
      <vt:lpstr>'Cash Flow Analysis'!Year</vt:lpstr>
      <vt:lpstr>'Estimate Benchmark'!Year</vt:lpstr>
      <vt:lpstr>'Plant Overview'!Year</vt:lpstr>
      <vt:lpstr>'Unit-100 GT'!Year</vt:lpstr>
      <vt:lpstr>'Unit-200'!Year</vt:lpstr>
      <vt:lpstr>'Unit-200 Steam Cycle'!Year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2025-04-22T14:11:47Z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