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9.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20.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tables/table17.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ctrlProps/ctrlProp46.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77.xml" ContentType="application/vnd.openxmlformats-officedocument.spreadsheetml.table+xml"/>
  <Override PartName="/xl/drawings/drawing12.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omments6.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7.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D668DAE2-8BC9-4C3E-80B8-CFCFC05525E9}" xr6:coauthVersionLast="47" xr6:coauthVersionMax="47" xr10:uidLastSave="{00000000-0000-0000-0000-000000000000}"/>
  <bookViews>
    <workbookView xWindow="-108" yWindow="-108" windowWidth="23256" windowHeight="12456" tabRatio="825" activeTab="8" xr2:uid="{00000000-000D-0000-FFFF-FFFF00000000}"/>
  </bookViews>
  <sheets>
    <sheet name="SEA Tool" sheetId="94" r:id="rId1"/>
    <sheet name="Plant Overview" sheetId="81" r:id="rId2"/>
    <sheet name="Unit-100" sheetId="80" r:id="rId3"/>
    <sheet name="Unit-200" sheetId="98" r:id="rId4"/>
    <sheet name="Unit-300" sheetId="101" r:id="rId5"/>
    <sheet name="Unit-400" sheetId="102" r:id="rId6"/>
    <sheet name="Plant CAPEX" sheetId="5" r:id="rId7"/>
    <sheet name="Plant OPEX" sheetId="16" r:id="rId8"/>
    <sheet name="Cash Flow Analysis" sheetId="84" r:id="rId9"/>
    <sheet name="Uncertainty Quantification" sheetId="97" r:id="rId10"/>
    <sheet name="Unit-X00 Equipment" sheetId="18" r:id="rId11"/>
    <sheet name="Input to SSM" sheetId="95" r:id="rId12"/>
    <sheet name="Estimate Benchmark" sheetId="83" r:id="rId13"/>
    <sheet name="Bibliography" sheetId="4" r:id="rId14"/>
    <sheet name="Cost Conversion" sheetId="30" r:id="rId15"/>
    <sheet name="Technology Block Data" sheetId="3" state="hidden" r:id="rId16"/>
    <sheet name="Equipment Data" sheetId="28" r:id="rId17"/>
    <sheet name="Unit X00 - Benchmark" sheetId="32" state="hidden" r:id="rId18"/>
  </sheets>
  <externalReferences>
    <externalReference r:id="rId19"/>
  </externalReference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2">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definedName>
    <definedName name="Centrifuge" localSheetId="3">Tabla3[Centrifuge]</definedName>
    <definedName name="Centrifuge" localSheetId="4">Tabla3[Centrifuge]</definedName>
    <definedName name="Centrifuge" localSheetId="5">Tabla3[Centrifuge]</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2">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definedName>
    <definedName name="Crystallizer" localSheetId="3">Tabla6[Crystallizer]</definedName>
    <definedName name="Crystallizer" localSheetId="4">[1]!Tabla6[[Crystallizer ]]</definedName>
    <definedName name="Crystallizer" localSheetId="5">[1]!Tabla6[[Crystallizer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2">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definedName>
    <definedName name="DustCollectors" localSheetId="3">Tabla9[Dust Collectors]</definedName>
    <definedName name="DustCollectors" localSheetId="4">[1]!Tabla9[[Dust Collectors ]]</definedName>
    <definedName name="DustCollectors" localSheetId="5">[1]!Tabla9[[Dust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definedName>
    <definedName name="Filter" localSheetId="3">Tabla11[Filter]</definedName>
    <definedName name="Filter" localSheetId="4">[1]!Tabla11[[Filter ]]</definedName>
    <definedName name="Filter" localSheetId="5">[1]!Tabla11[[Filter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2">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2">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definedName>
    <definedName name="Screen" localSheetId="3">Tabla18[Screen]</definedName>
    <definedName name="Screen" localSheetId="4">[1]!Tabla18[[Screen ]]</definedName>
    <definedName name="Screen" localSheetId="5">[1]!Tabla18[[Screen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2">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9" i="84" l="1"/>
  <c r="J29" i="84"/>
  <c r="K29" i="84"/>
  <c r="L29" i="84"/>
  <c r="M29" i="84"/>
  <c r="N29" i="84"/>
  <c r="O29" i="84"/>
  <c r="P29" i="84"/>
  <c r="Q29" i="84"/>
  <c r="R29" i="84"/>
  <c r="S29" i="84"/>
  <c r="T29" i="84"/>
  <c r="U29" i="84"/>
  <c r="V29" i="84"/>
  <c r="W29" i="84"/>
  <c r="X29" i="84"/>
  <c r="Y29" i="84"/>
  <c r="Z29" i="84"/>
  <c r="AA29" i="84"/>
  <c r="AB29" i="84"/>
  <c r="AC29" i="84"/>
  <c r="AD29" i="84"/>
  <c r="G29" i="84"/>
  <c r="H29" i="84"/>
  <c r="E14" i="84"/>
  <c r="G25" i="84"/>
  <c r="AF29" i="84" l="1"/>
  <c r="AG29" i="84"/>
  <c r="AH29" i="84"/>
  <c r="AI29" i="84"/>
  <c r="AJ29" i="84"/>
  <c r="AK29" i="84"/>
  <c r="AL29" i="84"/>
  <c r="AM29" i="84"/>
  <c r="AN29" i="84"/>
  <c r="AO29" i="84"/>
  <c r="AP29" i="84"/>
  <c r="AQ29" i="84"/>
  <c r="AR29" i="84"/>
  <c r="AS29" i="84"/>
  <c r="AT29" i="84"/>
  <c r="E7" i="102" l="1"/>
  <c r="G5" i="5" s="1"/>
  <c r="E6" i="102"/>
  <c r="G4" i="5" s="1"/>
  <c r="K47" i="102"/>
  <c r="K41" i="102"/>
  <c r="R34" i="102"/>
  <c r="S34" i="102" s="1" a="1"/>
  <c r="S34" i="102" s="1"/>
  <c r="R33" i="102"/>
  <c r="S33" i="102" s="1" a="1"/>
  <c r="S33" i="102" s="1"/>
  <c r="R32" i="102"/>
  <c r="S32" i="102" s="1" a="1"/>
  <c r="S32" i="102" s="1"/>
  <c r="R31" i="102"/>
  <c r="S31" i="102" s="1" a="1"/>
  <c r="S31" i="102" s="1"/>
  <c r="R30" i="102"/>
  <c r="S30" i="102" s="1" a="1"/>
  <c r="S30" i="102" s="1"/>
  <c r="R29" i="102"/>
  <c r="S29" i="102" s="1" a="1"/>
  <c r="S29" i="102" s="1"/>
  <c r="R28" i="102"/>
  <c r="S28" i="102" s="1" a="1"/>
  <c r="S28" i="102" s="1"/>
  <c r="R27" i="102"/>
  <c r="S27" i="102" s="1" a="1"/>
  <c r="S27" i="102" s="1"/>
  <c r="R26" i="102"/>
  <c r="S26" i="102" s="1" a="1"/>
  <c r="S26" i="102" s="1"/>
  <c r="R25" i="102"/>
  <c r="S25" i="102" s="1" a="1"/>
  <c r="S25" i="102" s="1"/>
  <c r="R24" i="102"/>
  <c r="S24" i="102" s="1" a="1"/>
  <c r="S24" i="102" s="1"/>
  <c r="R23" i="102"/>
  <c r="S23" i="102" s="1" a="1"/>
  <c r="S23" i="102" s="1"/>
  <c r="R22" i="102"/>
  <c r="S22" i="102" s="1" a="1"/>
  <c r="S22" i="102" s="1"/>
  <c r="R21" i="102"/>
  <c r="S21" i="102" s="1" a="1"/>
  <c r="S21" i="102" s="1"/>
  <c r="R20" i="102"/>
  <c r="S20" i="102" s="1" a="1"/>
  <c r="S20" i="102" s="1"/>
  <c r="R19" i="102"/>
  <c r="S19" i="102" s="1" a="1"/>
  <c r="S19" i="102" s="1"/>
  <c r="R18" i="102"/>
  <c r="S18" i="102" s="1" a="1"/>
  <c r="S18" i="102" s="1"/>
  <c r="R17" i="102"/>
  <c r="S17" i="102" s="1" a="1"/>
  <c r="S17" i="102" s="1"/>
  <c r="R16" i="102"/>
  <c r="S16" i="102" s="1" a="1"/>
  <c r="S16" i="102" s="1"/>
  <c r="R15" i="102"/>
  <c r="S15" i="102" s="1" a="1"/>
  <c r="S15" i="102" s="1"/>
  <c r="R14" i="102"/>
  <c r="S14" i="102" s="1" a="1"/>
  <c r="S14" i="102" s="1"/>
  <c r="R13" i="102"/>
  <c r="S13" i="102" s="1" a="1"/>
  <c r="S13" i="102" s="1"/>
  <c r="E7" i="101"/>
  <c r="F5" i="5" s="1"/>
  <c r="E6" i="101"/>
  <c r="G39" i="101" s="1"/>
  <c r="K47" i="101"/>
  <c r="K41" i="101"/>
  <c r="R34" i="101"/>
  <c r="S34" i="101" s="1" a="1"/>
  <c r="S34" i="101" s="1"/>
  <c r="R33" i="101"/>
  <c r="S33" i="101" s="1" a="1"/>
  <c r="S33" i="101" s="1"/>
  <c r="R32" i="101"/>
  <c r="S32" i="101" s="1" a="1"/>
  <c r="S32" i="101" s="1"/>
  <c r="R31" i="101"/>
  <c r="S31" i="101" s="1" a="1"/>
  <c r="S31" i="101" s="1"/>
  <c r="R30" i="101"/>
  <c r="S30" i="101" s="1" a="1"/>
  <c r="S30" i="101" s="1"/>
  <c r="R29" i="101"/>
  <c r="S29" i="101" s="1" a="1"/>
  <c r="S29" i="101" s="1"/>
  <c r="R28" i="101"/>
  <c r="S28" i="101" s="1" a="1"/>
  <c r="S28" i="101" s="1"/>
  <c r="R27" i="101"/>
  <c r="S27" i="101" s="1" a="1"/>
  <c r="S27" i="101" s="1"/>
  <c r="R26" i="101"/>
  <c r="S26" i="101" s="1" a="1"/>
  <c r="S26" i="101" s="1"/>
  <c r="R25" i="101"/>
  <c r="S25" i="101" s="1" a="1"/>
  <c r="S25" i="101" s="1"/>
  <c r="R24" i="101"/>
  <c r="S24" i="101" s="1" a="1"/>
  <c r="S24" i="101" s="1"/>
  <c r="R23" i="101"/>
  <c r="S23" i="101" s="1" a="1"/>
  <c r="S23" i="101" s="1"/>
  <c r="R22" i="101"/>
  <c r="S22" i="101" s="1" a="1"/>
  <c r="S22" i="101" s="1"/>
  <c r="R21" i="101"/>
  <c r="S21" i="101" s="1" a="1"/>
  <c r="S21" i="101" s="1"/>
  <c r="R20" i="101"/>
  <c r="S20" i="101" s="1" a="1"/>
  <c r="S20" i="101" s="1"/>
  <c r="R19" i="101"/>
  <c r="S19" i="101" s="1" a="1"/>
  <c r="S19" i="101" s="1"/>
  <c r="R18" i="101"/>
  <c r="S18" i="101" s="1" a="1"/>
  <c r="S18" i="101" s="1"/>
  <c r="R17" i="101"/>
  <c r="S17" i="101" s="1" a="1"/>
  <c r="S17" i="101" s="1"/>
  <c r="R16" i="101"/>
  <c r="S16" i="101" s="1" a="1"/>
  <c r="S16" i="101" s="1"/>
  <c r="R15" i="101"/>
  <c r="S15" i="101" s="1" a="1"/>
  <c r="S15" i="101" s="1"/>
  <c r="R14" i="101"/>
  <c r="S14" i="101" s="1" a="1"/>
  <c r="S14" i="101" s="1"/>
  <c r="R13" i="101"/>
  <c r="S13" i="101" s="1" a="1"/>
  <c r="S13" i="101" s="1"/>
  <c r="B39" i="101"/>
  <c r="W3" i="102" l="1"/>
  <c r="F4" i="5"/>
  <c r="S36" i="102"/>
  <c r="G6" i="5" s="1"/>
  <c r="B39" i="102"/>
  <c r="O3" i="102"/>
  <c r="G39" i="102"/>
  <c r="O3" i="101"/>
  <c r="W3" i="101"/>
  <c r="S36" i="101"/>
  <c r="F6" i="5" s="1"/>
  <c r="M22" i="18" l="1"/>
  <c r="S14" i="98"/>
  <c r="E7" i="98"/>
  <c r="E5" i="5" s="1"/>
  <c r="E6" i="98"/>
  <c r="E4" i="5" s="1"/>
  <c r="S50" i="98" a="1"/>
  <c r="S50" i="98" s="1"/>
  <c r="T50" i="98" s="1"/>
  <c r="R50" i="98"/>
  <c r="S49" i="98" a="1"/>
  <c r="S49" i="98" s="1"/>
  <c r="T49" i="98" s="1"/>
  <c r="R49" i="98"/>
  <c r="S48" i="98" a="1"/>
  <c r="S48" i="98" s="1"/>
  <c r="T48" i="98" s="1"/>
  <c r="R48" i="98"/>
  <c r="S47" i="98" a="1"/>
  <c r="S47" i="98" s="1"/>
  <c r="T47" i="98" s="1"/>
  <c r="R47" i="98"/>
  <c r="S46" i="98" a="1"/>
  <c r="S46" i="98" s="1"/>
  <c r="R46" i="98"/>
  <c r="S43" i="98"/>
  <c r="S42" i="98"/>
  <c r="S41" i="98"/>
  <c r="S40" i="98"/>
  <c r="S39" i="98"/>
  <c r="S38" i="98"/>
  <c r="S37" i="98"/>
  <c r="S36" i="98"/>
  <c r="S35" i="98"/>
  <c r="S34" i="98"/>
  <c r="S33" i="98"/>
  <c r="S32" i="98"/>
  <c r="S31" i="98"/>
  <c r="S30" i="98"/>
  <c r="S29" i="98"/>
  <c r="S28" i="98"/>
  <c r="S27" i="98"/>
  <c r="S26" i="98"/>
  <c r="S25" i="98"/>
  <c r="S24" i="98"/>
  <c r="S23" i="98"/>
  <c r="S22" i="98"/>
  <c r="S21" i="98"/>
  <c r="S20" i="98"/>
  <c r="S19" i="98"/>
  <c r="S18" i="98"/>
  <c r="S17" i="98"/>
  <c r="S16" i="98"/>
  <c r="S15" i="98"/>
  <c r="W3" i="98"/>
  <c r="AE3" i="18"/>
  <c r="AE6" i="18"/>
  <c r="AE5" i="18"/>
  <c r="S13" i="98" l="1"/>
  <c r="R52" i="98" s="1"/>
  <c r="S52" i="98" s="1" a="1"/>
  <c r="S52" i="98" s="1"/>
  <c r="T46" i="98"/>
  <c r="S53" i="98"/>
  <c r="B56" i="98"/>
  <c r="H56" i="98"/>
  <c r="O3" i="98"/>
  <c r="W34" i="98"/>
  <c r="S22" i="80"/>
  <c r="S18" i="80"/>
  <c r="C35" i="84"/>
  <c r="D35" i="84" l="1"/>
  <c r="E35" i="84" s="1"/>
  <c r="F35" i="84" s="1"/>
  <c r="T27" i="98"/>
  <c r="E6" i="5"/>
  <c r="T41" i="98"/>
  <c r="T36" i="98"/>
  <c r="T14" i="98"/>
  <c r="T43" i="98"/>
  <c r="T39" i="98"/>
  <c r="T21" i="98"/>
  <c r="T42" i="98"/>
  <c r="T28" i="98"/>
  <c r="T30" i="98"/>
  <c r="T13" i="98"/>
  <c r="T22" i="98"/>
  <c r="T33" i="98"/>
  <c r="T31" i="98"/>
  <c r="T24" i="98"/>
  <c r="T35" i="98"/>
  <c r="T17" i="98"/>
  <c r="T40" i="98"/>
  <c r="T38" i="98"/>
  <c r="T25" i="98"/>
  <c r="T18" i="98"/>
  <c r="T19" i="98"/>
  <c r="T16" i="98"/>
  <c r="T20" i="98"/>
  <c r="T29" i="98"/>
  <c r="T26" i="98"/>
  <c r="T23" i="98"/>
  <c r="T32" i="98"/>
  <c r="T37" i="98"/>
  <c r="T34" i="98"/>
  <c r="T15" i="98"/>
  <c r="S21" i="80"/>
  <c r="S20" i="80"/>
  <c r="S16" i="80"/>
  <c r="S15" i="80"/>
  <c r="S14" i="80"/>
  <c r="S13" i="80"/>
  <c r="S19" i="80"/>
  <c r="S17" i="80"/>
  <c r="S47" i="80" a="1"/>
  <c r="S47" i="80" s="1"/>
  <c r="S48" i="80" a="1"/>
  <c r="S48" i="80" s="1"/>
  <c r="S49" i="80" a="1"/>
  <c r="S49" i="80" s="1"/>
  <c r="S50" i="80" a="1"/>
  <c r="S50" i="80" s="1"/>
  <c r="S46" i="80" a="1"/>
  <c r="S46" i="80" s="1"/>
  <c r="B2" i="97"/>
  <c r="H15" i="84"/>
  <c r="I11" i="84"/>
  <c r="J11" i="84"/>
  <c r="P16" i="16" l="1"/>
  <c r="J15" i="84" l="1"/>
  <c r="J6"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E20" i="84" l="1"/>
  <c r="J16" i="84"/>
  <c r="G17" i="16"/>
  <c r="C34" i="81"/>
  <c r="C12" i="81"/>
  <c r="Y62" i="81"/>
  <c r="Y66" i="81" s="1"/>
  <c r="W62" i="81"/>
  <c r="W66" i="81" s="1"/>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7" i="84"/>
  <c r="E8" i="84"/>
  <c r="E6" i="84"/>
  <c r="E5" i="84"/>
  <c r="J7" i="84"/>
  <c r="E4" i="84" s="1"/>
  <c r="E22" i="84" s="1"/>
  <c r="I17" i="16"/>
  <c r="I16" i="16"/>
  <c r="C54" i="81"/>
  <c r="W17" i="16"/>
  <c r="W14" i="16"/>
  <c r="W15" i="16" l="1"/>
  <c r="B7" i="84"/>
  <c r="W16" i="16"/>
  <c r="B33" i="84"/>
  <c r="AE3" i="81"/>
  <c r="O3" i="81"/>
  <c r="E7" i="80"/>
  <c r="E6" i="80"/>
  <c r="O34" i="81"/>
  <c r="H4" i="5"/>
  <c r="Q9" i="16"/>
  <c r="H14" i="84"/>
  <c r="P41" i="84" s="1"/>
  <c r="G16" i="16"/>
  <c r="P106" i="18"/>
  <c r="O106" i="18"/>
  <c r="P107" i="18"/>
  <c r="M107" i="18"/>
  <c r="J103" i="18"/>
  <c r="O104" i="18"/>
  <c r="B31" i="84"/>
  <c r="G19" i="84" s="1"/>
  <c r="G20" i="84"/>
  <c r="G18" i="84"/>
  <c r="G17" i="84"/>
  <c r="O3" i="80" l="1"/>
  <c r="B56" i="80"/>
  <c r="H56" i="80"/>
  <c r="D4" i="5"/>
  <c r="W3" i="80"/>
  <c r="W34" i="80"/>
  <c r="E7" i="5" l="1"/>
  <c r="G7" i="5"/>
  <c r="G8" i="5"/>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5" i="84"/>
  <c r="AS35" i="84"/>
  <c r="AR35" i="84"/>
  <c r="AQ35" i="84"/>
  <c r="AP35" i="84"/>
  <c r="AO35" i="84"/>
  <c r="AN35" i="84"/>
  <c r="AM35" i="84"/>
  <c r="AL35" i="84"/>
  <c r="AK35" i="84"/>
  <c r="AJ35" i="84"/>
  <c r="AI35" i="84"/>
  <c r="AH35" i="84"/>
  <c r="AG35" i="84"/>
  <c r="AF35" i="84"/>
  <c r="G35" i="84"/>
  <c r="H35" i="84" s="1"/>
  <c r="I35" i="84" s="1"/>
  <c r="J35" i="84" s="1"/>
  <c r="K35" i="84" s="1"/>
  <c r="L35" i="84" s="1"/>
  <c r="M35" i="84" s="1"/>
  <c r="N35" i="84" s="1"/>
  <c r="O35" i="84" s="1"/>
  <c r="P35" i="84" s="1"/>
  <c r="Q35" i="84" s="1"/>
  <c r="R35" i="84" s="1"/>
  <c r="S35" i="84" s="1"/>
  <c r="T35" i="84" s="1"/>
  <c r="U35" i="84" s="1"/>
  <c r="V35" i="84" s="1"/>
  <c r="W35" i="84" s="1"/>
  <c r="X35" i="84" s="1"/>
  <c r="Y35" i="84" s="1"/>
  <c r="Z35" i="84" s="1"/>
  <c r="AA35" i="84" s="1"/>
  <c r="AB35" i="84" s="1"/>
  <c r="AC35" i="84" s="1"/>
  <c r="AD35" i="84" s="1"/>
  <c r="AE35"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7" i="84"/>
  <c r="G22" i="84"/>
  <c r="B32" i="84"/>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T50" i="80"/>
  <c r="R50" i="80"/>
  <c r="T49" i="80"/>
  <c r="R49" i="80"/>
  <c r="T48" i="80"/>
  <c r="R48" i="80"/>
  <c r="T47" i="80"/>
  <c r="R47" i="80"/>
  <c r="R46" i="80"/>
  <c r="S43" i="80"/>
  <c r="S42" i="80"/>
  <c r="S41" i="80"/>
  <c r="S40" i="80"/>
  <c r="S39" i="80"/>
  <c r="S38" i="80"/>
  <c r="S37" i="80"/>
  <c r="S36" i="80"/>
  <c r="S35" i="80"/>
  <c r="S34" i="80"/>
  <c r="S33" i="80"/>
  <c r="S32" i="80"/>
  <c r="S31" i="80"/>
  <c r="S30" i="80"/>
  <c r="S29" i="80"/>
  <c r="S28" i="80"/>
  <c r="S27" i="80"/>
  <c r="S26" i="80"/>
  <c r="S25" i="80"/>
  <c r="S24" i="80"/>
  <c r="S23" i="80"/>
  <c r="H7" i="30" a="1"/>
  <c r="H11" i="30" a="1"/>
  <c r="D6" i="30" a="1"/>
  <c r="H3" i="30" a="1"/>
  <c r="D23" i="30" a="1"/>
  <c r="D28" i="30" a="1"/>
  <c r="D14" i="30" a="1"/>
  <c r="D26" i="30" a="1"/>
  <c r="D27" i="30" a="1"/>
  <c r="D11" i="30" a="1"/>
  <c r="H9" i="30" a="1"/>
  <c r="H17" i="30" a="1"/>
  <c r="D38" i="30" a="1"/>
  <c r="D3" i="30" a="1"/>
  <c r="D22" i="30" a="1"/>
  <c r="H18" i="30" a="1"/>
  <c r="H20" i="30" a="1"/>
  <c r="D47" i="30" a="1"/>
  <c r="H21" i="30" a="1"/>
  <c r="D9" i="30" a="1"/>
  <c r="D40" i="30" a="1"/>
  <c r="D29" i="30" a="1"/>
  <c r="D18" i="30" a="1"/>
  <c r="D32" i="30" a="1"/>
  <c r="D19" i="30" a="1"/>
  <c r="D36" i="30" a="1"/>
  <c r="D10" i="30" a="1"/>
  <c r="D41" i="30" a="1"/>
  <c r="D5" i="30" a="1"/>
  <c r="H12" i="30" a="1"/>
  <c r="D13" i="30" a="1"/>
  <c r="H8" i="30" a="1"/>
  <c r="D4" i="30" a="1"/>
  <c r="D25" i="30" a="1"/>
  <c r="H5" i="30" a="1"/>
  <c r="D20" i="30" a="1"/>
  <c r="H10" i="30" a="1"/>
  <c r="H22" i="30" a="1"/>
  <c r="H6" i="30" a="1"/>
  <c r="D12" i="30" a="1"/>
  <c r="D48" i="30" a="1"/>
  <c r="D46" i="30" a="1"/>
  <c r="D35" i="30" a="1"/>
  <c r="D17" i="30" a="1"/>
  <c r="D42" i="30" a="1"/>
  <c r="D30" i="30" a="1"/>
  <c r="D16" i="30" a="1"/>
  <c r="D44" i="30" a="1"/>
  <c r="D31" i="30" a="1"/>
  <c r="D43" i="30" a="1"/>
  <c r="D7" i="30" a="1"/>
  <c r="D39" i="30" a="1"/>
  <c r="H4" i="30" a="1"/>
  <c r="H14" i="30" a="1"/>
  <c r="H16" i="30" a="1"/>
  <c r="H13" i="30" a="1"/>
  <c r="H15" i="30" a="1"/>
  <c r="D15" i="30" a="1"/>
  <c r="H19" i="30" a="1"/>
  <c r="D34" i="30" a="1"/>
  <c r="D33" i="30" a="1"/>
  <c r="D24" i="30" a="1"/>
  <c r="D8" i="30" a="1"/>
  <c r="D45" i="30" a="1"/>
  <c r="D37" i="30" a="1"/>
  <c r="D21" i="30" a="1"/>
  <c r="T46" i="80" l="1"/>
  <c r="S53" i="80"/>
  <c r="C33" i="5"/>
  <c r="D33" i="5"/>
  <c r="E8" i="5"/>
  <c r="E9" i="5" s="1"/>
  <c r="E10" i="5" s="1"/>
  <c r="E11" i="5" s="1"/>
  <c r="G9" i="5"/>
  <c r="G10" i="5" s="1"/>
  <c r="G11" i="5" s="1"/>
  <c r="R52" i="80"/>
  <c r="S52" i="80" s="1" a="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2" i="80" l="1"/>
  <c r="T13" i="80" s="1"/>
  <c r="E12" i="5"/>
  <c r="E13" i="5" s="1"/>
  <c r="E14" i="5" s="1"/>
  <c r="G12" i="5"/>
  <c r="G13" i="5" s="1"/>
  <c r="G14" i="5" s="1"/>
  <c r="F8" i="5"/>
  <c r="F7"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T19" i="80" l="1"/>
  <c r="T41" i="80"/>
  <c r="T21" i="80"/>
  <c r="T39" i="80"/>
  <c r="T36" i="80"/>
  <c r="T42" i="80"/>
  <c r="T33" i="80"/>
  <c r="T31" i="80"/>
  <c r="T28" i="80"/>
  <c r="T34" i="80"/>
  <c r="T17" i="80"/>
  <c r="T38" i="80"/>
  <c r="T20" i="80"/>
  <c r="T26" i="80"/>
  <c r="T40" i="80"/>
  <c r="D6" i="5"/>
  <c r="T32" i="80"/>
  <c r="T14" i="80"/>
  <c r="T43" i="80"/>
  <c r="T25" i="80"/>
  <c r="T24" i="80"/>
  <c r="T22" i="80"/>
  <c r="T15" i="80"/>
  <c r="T37" i="80"/>
  <c r="T35" i="80"/>
  <c r="T23" i="80"/>
  <c r="T16" i="80"/>
  <c r="T18" i="80"/>
  <c r="T29" i="80"/>
  <c r="T27" i="80"/>
  <c r="T30" i="80"/>
  <c r="F9" i="5"/>
  <c r="F10" i="5" s="1"/>
  <c r="F11" i="5" s="1"/>
  <c r="P82" i="18"/>
  <c r="P84" i="18"/>
  <c r="P76" i="18"/>
  <c r="P68" i="18"/>
  <c r="P72" i="18"/>
  <c r="P75" i="18"/>
  <c r="P71" i="18"/>
  <c r="P73" i="18"/>
  <c r="P83" i="18"/>
  <c r="P67" i="18"/>
  <c r="P69" i="18"/>
  <c r="P70" i="18"/>
  <c r="D8" i="5" l="1"/>
  <c r="H8" i="5" s="1"/>
  <c r="H6" i="5"/>
  <c r="D7" i="5"/>
  <c r="F12" i="5"/>
  <c r="F13" i="5" s="1"/>
  <c r="F14" i="5" s="1"/>
  <c r="D9" i="5" l="1"/>
  <c r="H7" i="5"/>
  <c r="D10" i="5" l="1"/>
  <c r="H9" i="5"/>
  <c r="U17" i="16"/>
  <c r="U16" i="16"/>
  <c r="N16" i="16"/>
  <c r="D7" i="84" s="1"/>
  <c r="G32" i="84" s="1"/>
  <c r="N17" i="16"/>
  <c r="J27" i="32"/>
  <c r="J26" i="32"/>
  <c r="J25" i="32"/>
  <c r="J24" i="32"/>
  <c r="J22" i="32"/>
  <c r="J21" i="32"/>
  <c r="J20" i="32"/>
  <c r="J19" i="32"/>
  <c r="J18" i="32"/>
  <c r="J17" i="32"/>
  <c r="K16" i="32"/>
  <c r="L16" i="32" s="1"/>
  <c r="M16" i="32" s="1"/>
  <c r="N16" i="32" s="1"/>
  <c r="O16" i="32" s="1"/>
  <c r="P16" i="32" s="1"/>
  <c r="Q16" i="32" s="1"/>
  <c r="R16" i="32" s="1"/>
  <c r="S16" i="32" s="1"/>
  <c r="T16" i="32" s="1"/>
  <c r="J16" i="32"/>
  <c r="J14" i="32"/>
  <c r="I33" i="84" l="1"/>
  <c r="Q33" i="84"/>
  <c r="Y33" i="84"/>
  <c r="AG33" i="84"/>
  <c r="AO33" i="84"/>
  <c r="T33" i="84"/>
  <c r="AC33" i="84"/>
  <c r="N33" i="84"/>
  <c r="AT33" i="84"/>
  <c r="O33" i="84"/>
  <c r="AE33" i="84"/>
  <c r="AM33" i="84"/>
  <c r="J33" i="84"/>
  <c r="R33" i="84"/>
  <c r="Z33" i="84"/>
  <c r="AH33" i="84"/>
  <c r="AP33" i="84"/>
  <c r="AB33" i="84"/>
  <c r="AJ33" i="84"/>
  <c r="AK33" i="84"/>
  <c r="W33" i="84"/>
  <c r="K33" i="84"/>
  <c r="S33" i="84"/>
  <c r="AA33" i="84"/>
  <c r="AI33" i="84"/>
  <c r="AQ33" i="84"/>
  <c r="AR33" i="84"/>
  <c r="U33" i="84"/>
  <c r="AS33" i="84"/>
  <c r="V33" i="84"/>
  <c r="AD33" i="84"/>
  <c r="AL33" i="84"/>
  <c r="H33" i="84"/>
  <c r="L33" i="84"/>
  <c r="M33" i="84"/>
  <c r="P33" i="84"/>
  <c r="X33" i="84"/>
  <c r="AF33" i="84"/>
  <c r="AN33" i="84"/>
  <c r="G33" i="84"/>
  <c r="D11" i="5"/>
  <c r="H10" i="5"/>
  <c r="U18" i="16"/>
  <c r="D6" i="84" s="1"/>
  <c r="U19" i="16"/>
  <c r="AO32" i="84"/>
  <c r="AQ32" i="84"/>
  <c r="R32" i="84"/>
  <c r="AC32" i="84"/>
  <c r="AN32" i="84"/>
  <c r="Y32" i="84"/>
  <c r="L32" i="84"/>
  <c r="O32" i="84"/>
  <c r="AK32" i="84"/>
  <c r="AG32" i="84"/>
  <c r="T32" i="84"/>
  <c r="AS32" i="84"/>
  <c r="W32" i="84"/>
  <c r="Z32" i="84"/>
  <c r="AB32" i="84"/>
  <c r="N32" i="84"/>
  <c r="AE32" i="84"/>
  <c r="AI32" i="84"/>
  <c r="AT32" i="84"/>
  <c r="K32" i="84"/>
  <c r="AJ32" i="84"/>
  <c r="V32" i="84"/>
  <c r="AM32" i="84"/>
  <c r="H32" i="84"/>
  <c r="AF32" i="84"/>
  <c r="S32" i="84"/>
  <c r="AR32" i="84"/>
  <c r="J32" i="84"/>
  <c r="AD32" i="84"/>
  <c r="P32" i="84"/>
  <c r="Q32" i="84"/>
  <c r="AA32" i="84"/>
  <c r="M32" i="84"/>
  <c r="AP32" i="84"/>
  <c r="AL32" i="84"/>
  <c r="X32" i="84"/>
  <c r="I32" i="84"/>
  <c r="U32" i="84"/>
  <c r="AH32" i="84"/>
  <c r="G18" i="16"/>
  <c r="D5"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G34" i="84" l="1"/>
  <c r="D8" i="84"/>
  <c r="H11" i="5"/>
  <c r="D12" i="5"/>
  <c r="AH34" i="84"/>
  <c r="AR34" i="84"/>
  <c r="I34" i="84"/>
  <c r="Y34" i="84"/>
  <c r="AO34" i="84"/>
  <c r="Q34" i="84"/>
  <c r="S34" i="84"/>
  <c r="AT34" i="84"/>
  <c r="AS34" i="84"/>
  <c r="AJ34" i="84"/>
  <c r="AB34" i="84"/>
  <c r="K34" i="84"/>
  <c r="AE34" i="84"/>
  <c r="AI34" i="84"/>
  <c r="AP34" i="84"/>
  <c r="X34" i="84"/>
  <c r="AQ34" i="84"/>
  <c r="L34" i="84"/>
  <c r="AM34" i="84"/>
  <c r="AG34" i="84"/>
  <c r="O34" i="84"/>
  <c r="W34" i="84"/>
  <c r="AC34" i="84"/>
  <c r="AL34" i="84"/>
  <c r="J34" i="84"/>
  <c r="N34" i="84"/>
  <c r="H34" i="84"/>
  <c r="AA34" i="84"/>
  <c r="M34" i="84"/>
  <c r="R34" i="84"/>
  <c r="AF34" i="84"/>
  <c r="AK34" i="84"/>
  <c r="T34" i="84"/>
  <c r="AN34" i="84"/>
  <c r="Z34" i="84"/>
  <c r="P34" i="84"/>
  <c r="V34" i="84"/>
  <c r="U34" i="84"/>
  <c r="AD34" i="84"/>
  <c r="Y30" i="84"/>
  <c r="Z30" i="84"/>
  <c r="Z36" i="84" s="1"/>
  <c r="R30" i="84"/>
  <c r="J30" i="84"/>
  <c r="AB30" i="84"/>
  <c r="N30" i="84"/>
  <c r="K30" i="84"/>
  <c r="H30" i="84"/>
  <c r="H36" i="84" s="1"/>
  <c r="V30" i="84"/>
  <c r="V36" i="84" s="1"/>
  <c r="S30" i="84"/>
  <c r="S36" i="84" s="1"/>
  <c r="AD30" i="84"/>
  <c r="P30" i="84"/>
  <c r="AA30" i="84"/>
  <c r="M30" i="84"/>
  <c r="X30" i="84"/>
  <c r="T30" i="84"/>
  <c r="AE30" i="84"/>
  <c r="U30" i="84"/>
  <c r="U36" i="84" s="1"/>
  <c r="G30" i="84"/>
  <c r="I30" i="84"/>
  <c r="AC30" i="84"/>
  <c r="O30" i="84"/>
  <c r="Q30" i="84"/>
  <c r="L30" i="84"/>
  <c r="W30" i="84"/>
  <c r="W36" i="84" s="1"/>
  <c r="AO31" i="84"/>
  <c r="AO36" i="84" s="1"/>
  <c r="R31" i="84"/>
  <c r="AP31" i="84"/>
  <c r="AH31" i="84"/>
  <c r="Z31" i="84"/>
  <c r="J31" i="84"/>
  <c r="AA31" i="84"/>
  <c r="M31" i="84"/>
  <c r="AD31" i="84"/>
  <c r="X31" i="84"/>
  <c r="Y31" i="84"/>
  <c r="U31" i="84"/>
  <c r="AL31" i="84"/>
  <c r="AG31" i="84"/>
  <c r="AG36" i="84" s="1"/>
  <c r="AI31" i="84"/>
  <c r="AI36" i="84" s="1"/>
  <c r="AQ31" i="84"/>
  <c r="AC31" i="84"/>
  <c r="AT31" i="84"/>
  <c r="G31" i="84"/>
  <c r="AN31" i="84"/>
  <c r="L31" i="84"/>
  <c r="AK31" i="84"/>
  <c r="O31" i="84"/>
  <c r="P31" i="84"/>
  <c r="T31" i="84"/>
  <c r="AS31" i="84"/>
  <c r="W31" i="84"/>
  <c r="AR31" i="84"/>
  <c r="V31" i="84"/>
  <c r="AF31" i="84"/>
  <c r="AF36" i="84" s="1"/>
  <c r="AB31" i="84"/>
  <c r="AE31" i="84"/>
  <c r="K31" i="84"/>
  <c r="AJ31" i="84"/>
  <c r="AJ36" i="84" s="1"/>
  <c r="N31" i="84"/>
  <c r="AM31" i="84"/>
  <c r="AM36" i="84" s="1"/>
  <c r="H31" i="84"/>
  <c r="I31" i="84"/>
  <c r="S31" i="84"/>
  <c r="Q31" i="84"/>
  <c r="S22" i="32"/>
  <c r="R22" i="32"/>
  <c r="S18" i="32"/>
  <c r="T21" i="32"/>
  <c r="T18" i="32"/>
  <c r="S19" i="32"/>
  <c r="S17" i="32"/>
  <c r="T22" i="32"/>
  <c r="T20" i="32"/>
  <c r="S21" i="32"/>
  <c r="R18" i="32"/>
  <c r="T19" i="32"/>
  <c r="R17" i="32"/>
  <c r="R19" i="32"/>
  <c r="R20" i="32"/>
  <c r="R21" i="32"/>
  <c r="S20" i="32"/>
  <c r="AR36" i="84" l="1"/>
  <c r="AN36" i="84"/>
  <c r="Y36" i="84"/>
  <c r="L36" i="84"/>
  <c r="T36" i="84"/>
  <c r="T37" i="84" s="1"/>
  <c r="AK36" i="84"/>
  <c r="AK37" i="84" s="1"/>
  <c r="Q36" i="84"/>
  <c r="Q37" i="84" s="1"/>
  <c r="X36" i="84"/>
  <c r="K36" i="84"/>
  <c r="AL36" i="84"/>
  <c r="AL37" i="84" s="1"/>
  <c r="O36" i="84"/>
  <c r="O37" i="84" s="1"/>
  <c r="M36" i="84"/>
  <c r="M37" i="84" s="1"/>
  <c r="N36" i="84"/>
  <c r="N37" i="84" s="1"/>
  <c r="AH36" i="84"/>
  <c r="AH37" i="84" s="1"/>
  <c r="AC36" i="84"/>
  <c r="AC37" i="84" s="1"/>
  <c r="AA36" i="84"/>
  <c r="AB36" i="84"/>
  <c r="AP36" i="84"/>
  <c r="AP37" i="84" s="1"/>
  <c r="I36" i="84"/>
  <c r="I37" i="84" s="1"/>
  <c r="P36" i="84"/>
  <c r="P37" i="84" s="1"/>
  <c r="J36" i="84"/>
  <c r="J37" i="84" s="1"/>
  <c r="AQ36" i="84"/>
  <c r="AQ37" i="84" s="1"/>
  <c r="AS36" i="84"/>
  <c r="AT36" i="84"/>
  <c r="AT37" i="84" s="1"/>
  <c r="G36" i="84"/>
  <c r="G37" i="84" s="1"/>
  <c r="AD36" i="84"/>
  <c r="AD37" i="84" s="1"/>
  <c r="R36" i="84"/>
  <c r="R37" i="84" s="1"/>
  <c r="H18" i="84"/>
  <c r="H19" i="84"/>
  <c r="AS37" i="84"/>
  <c r="L37" i="84"/>
  <c r="Z37" i="84"/>
  <c r="AM37" i="84"/>
  <c r="Y37" i="84"/>
  <c r="AB37" i="84"/>
  <c r="S37" i="84"/>
  <c r="X37" i="84"/>
  <c r="AR37" i="84"/>
  <c r="U37" i="84"/>
  <c r="AI37" i="84"/>
  <c r="AN37" i="84"/>
  <c r="AG37" i="84"/>
  <c r="V37" i="84"/>
  <c r="AA37" i="84"/>
  <c r="W37" i="84"/>
  <c r="AJ37" i="84"/>
  <c r="AO37" i="84"/>
  <c r="D13" i="5"/>
  <c r="H12" i="5"/>
  <c r="AF37" i="84"/>
  <c r="H37" i="84"/>
  <c r="O105" i="18"/>
  <c r="O61" i="18"/>
  <c r="Q61" i="18" s="1"/>
  <c r="N103" i="18"/>
  <c r="P103" i="18" s="1"/>
  <c r="N102" i="18"/>
  <c r="P102" i="18" s="1"/>
  <c r="D14" i="5" l="1"/>
  <c r="H14" i="5" s="1"/>
  <c r="H13" i="5"/>
  <c r="J38" i="30"/>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P9" i="18" l="1"/>
  <c r="Q77" i="18"/>
  <c r="Q75" i="18"/>
  <c r="Q67" i="18"/>
  <c r="Q72" i="18" l="1"/>
  <c r="Q69" i="18"/>
  <c r="Q76" i="18"/>
  <c r="Q73" i="18"/>
  <c r="Q66" i="18"/>
  <c r="Q74" i="18"/>
  <c r="Q68" i="18"/>
  <c r="Q70" i="18"/>
  <c r="Q78" i="18"/>
  <c r="Q71" i="18"/>
  <c r="Q102" i="18"/>
  <c r="BE3" i="18" l="1"/>
  <c r="BI3" i="18" s="1"/>
  <c r="BL3" i="18" s="1"/>
  <c r="C123" i="3"/>
  <c r="C122" i="3"/>
  <c r="C121" i="3"/>
  <c r="C120" i="3"/>
  <c r="C119" i="3"/>
  <c r="C118" i="3"/>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D5" i="18"/>
  <c r="AD4" i="18"/>
  <c r="AD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4" i="84" l="1"/>
  <c r="AE29" i="84" s="1"/>
  <c r="AE36" i="84" s="1"/>
  <c r="C34" i="5"/>
  <c r="F29" i="84" l="1"/>
  <c r="F36" i="84" s="1"/>
  <c r="F37" i="84" s="1"/>
  <c r="E29" i="84"/>
  <c r="E36" i="84" s="1"/>
  <c r="E37" i="84" s="1"/>
  <c r="C29" i="84"/>
  <c r="D29" i="84"/>
  <c r="D36" i="84" s="1"/>
  <c r="H17" i="84" l="1"/>
  <c r="AE37" i="84"/>
  <c r="D37" i="84"/>
  <c r="C36" i="84"/>
  <c r="C38" i="84" s="1"/>
  <c r="C37" i="84" l="1"/>
  <c r="H20" i="84" l="1"/>
  <c r="H21" i="84"/>
  <c r="H22" i="84"/>
  <c r="D34" i="5"/>
  <c r="C39" i="84" l="1"/>
  <c r="D39" i="84" s="1"/>
  <c r="E39" i="84" s="1"/>
  <c r="F39" i="84" s="1"/>
  <c r="G39" i="84" s="1"/>
  <c r="D38" i="84"/>
  <c r="E38" i="84" s="1"/>
  <c r="H39" i="84" l="1"/>
  <c r="I39" i="84" s="1"/>
  <c r="J39" i="84" s="1"/>
  <c r="F38" i="84"/>
  <c r="G38" i="84" s="1"/>
  <c r="H38" i="84" l="1"/>
  <c r="I38" i="84" s="1"/>
  <c r="J38" i="84" s="1"/>
  <c r="I7" i="84"/>
  <c r="I10" i="84" a="1"/>
  <c r="I10" i="84" s="1"/>
  <c r="H16" i="84"/>
  <c r="K37" i="84"/>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K38" i="84" l="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<sst xmlns="http://schemas.openxmlformats.org/spreadsheetml/2006/main" count="2454" uniqueCount="820">
  <si>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</si>
  <si>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</si>
  <si>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</si>
  <si>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</si>
  <si>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</si>
  <si>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</si>
  <si>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</si>
  <si>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</si>
  <si>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</si>
  <si>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</si>
  <si>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</si>
  <si>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</si>
  <si>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</si>
  <si>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</si>
  <si>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</si>
  <si>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</si>
  <si>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</si>
  <si>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</si>
  <si>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</si>
  <si>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</si>
  <si>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</si>
  <si>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</si>
  <si>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</si>
  <si>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</si>
  <si>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</si>
  <si>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</si>
  <si>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</si>
  <si>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</si>
  <si>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</si>
  <si>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</si>
  <si>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</si>
  <si>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</si>
  <si>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</si>
  <si>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</si>
  <si>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</si>
  <si>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</si>
  <si>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</si>
  <si>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</si>
  <si>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</si>
  <si>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</si>
  <si>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</si>
  <si>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</si>
  <si>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</si>
  <si>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</si>
  <si>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</si>
  <si>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</si>
  <si>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</si>
  <si>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</si>
  <si>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</si>
  <si>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</si>
  <si>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</si>
  <si>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</si>
  <si>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</si>
  <si>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</si>
  <si>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</si>
  <si>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</si>
  <si>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</si>
  <si>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</si>
  <si>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</si>
  <si>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</si>
  <si>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</si>
  <si>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</si>
  <si>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</si>
  <si>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</si>
  <si>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</si>
  <si>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</si>
  <si>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</si>
  <si>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</si>
  <si>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</si>
  <si>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</si>
  <si>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</si>
  <si>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</si>
  <si>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</si>
  <si>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</si>
  <si>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</si>
  <si>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</si>
  <si>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</si>
  <si>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</si>
  <si>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</si>
  <si>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</si>
  <si>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</si>
  <si>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</si>
  <si>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</si>
  <si>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</si>
  <si>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</si>
  <si>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</si>
  <si>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</si>
  <si>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</si>
  <si>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</si>
  <si>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</si>
  <si>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</si>
  <si>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</si>
  <si>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</si>
  <si>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</si>
  <si>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</si>
  <si>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</si>
  <si>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</si>
  <si>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</si>
  <si>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</si>
  <si>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</si>
  <si>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</si>
  <si>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</si>
  <si>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</si>
  <si>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</si>
  <si>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</si>
  <si>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</si>
  <si>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</si>
  <si>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</si>
  <si>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</si>
  <si>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</si>
  <si>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</si>
  <si>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</si>
  <si>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</si>
  <si>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</si>
  <si>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</si>
  <si>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</si>
  <si>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</si>
  <si>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</si>
  <si>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</si>
  <si>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</si>
  <si>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</si>
  <si>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</si>
  <si>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</si>
  <si>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</si>
  <si>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</si>
  <si>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</si>
  <si>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</si>
  <si>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</si>
  <si>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</si>
  <si>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</si>
  <si>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</si>
  <si>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</si>
  <si>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</si>
  <si>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</si>
  <si>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</si>
  <si>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</si>
  <si>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</si>
  <si>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</si>
  <si>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</si>
  <si>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</si>
  <si>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</si>
  <si>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</si>
  <si>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</si>
  <si>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</si>
  <si>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</si>
  <si>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</si>
  <si>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</si>
  <si>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</si>
  <si>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</si>
  <si>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</si>
  <si>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</si>
  <si>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</si>
  <si>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</si>
  <si>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</si>
  <si>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</si>
  <si>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</si>
  <si>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</si>
  <si>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</si>
  <si>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</si>
  <si>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</si>
  <si>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</si>
  <si>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</si>
  <si>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</si>
  <si>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</si>
  <si>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</si>
  <si>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</si>
  <si>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</si>
  <si>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</si>
  <si>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</si>
  <si>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</si>
  <si>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</si>
  <si>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</si>
  <si>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</si>
  <si>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</si>
  <si>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</si>
  <si>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</si>
  <si>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</si>
  <si>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</si>
  <si>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</si>
  <si>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</si>
  <si>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</si>
  <si>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</si>
  <si>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</si>
  <si>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</si>
  <si>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</si>
  <si>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</si>
  <si>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</si>
  <si>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</si>
  <si>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</si>
  <si>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</si>
  <si>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</si>
  <si>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</si>
  <si>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</si>
  <si>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</si>
  <si>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</si>
  <si>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</si>
  <si>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</si>
  <si>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</si>
  <si>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</si>
  <si>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</si>
  <si>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</si>
  <si>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</si>
  <si>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</si>
  <si>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</si>
  <si>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</si>
  <si>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</si>
  <si>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</si>
  <si>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</si>
  <si>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</si>
  <si>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</si>
  <si>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</si>
  <si>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</si>
  <si>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</si>
  <si>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</si>
  <si>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</si>
  <si>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</si>
  <si>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</si>
  <si>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</si>
  <si>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</si>
  <si>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</si>
  <si>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</si>
  <si>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</si>
  <si>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</si>
  <si>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</si>
  <si>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</si>
  <si>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</si>
  <si>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</si>
  <si>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</si>
  <si>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</si>
  <si>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</si>
  <si>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</si>
  <si>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</si>
  <si>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</si>
  <si>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</si>
  <si>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</si>
  <si>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</si>
  <si>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</si>
  <si>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</si>
  <si>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</si>
  <si>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</si>
  <si>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</si>
  <si>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</si>
  <si>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</si>
  <si>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</si>
  <si>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</si>
  <si>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</si>
  <si>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</si>
  <si>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</si>
  <si>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</si>
  <si>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</si>
  <si>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</si>
  <si>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</si>
  <si>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</si>
  <si>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</si>
  <si>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</si>
  <si>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</si>
  <si>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</si>
  <si>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</si>
  <si>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</si>
  <si>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</si>
  <si>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</si>
  <si>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</si>
  <si>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</si>
  <si>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</si>
  <si>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</si>
  <si>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</si>
  <si>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</si>
  <si>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</si>
  <si>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</si>
  <si>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</si>
  <si>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</si>
  <si>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</si>
  <si>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</si>
  <si>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</si>
  <si>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</si>
  <si>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</si>
  <si>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</si>
  <si>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</si>
  <si>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</si>
  <si>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</si>
  <si>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</si>
  <si>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</si>
  <si>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</si>
  <si>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</si>
  <si>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</si>
  <si>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</si>
  <si>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</si>
  <si>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</si>
  <si>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</si>
  <si>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</si>
  <si>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</si>
  <si>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</si>
  <si>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</si>
  <si>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</si>
  <si>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</si>
  <si>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</si>
  <si>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</si>
  <si>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</si>
  <si>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</si>
  <si>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</si>
  <si>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</si>
  <si>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</si>
  <si>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</si>
  <si>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</si>
  <si>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</si>
  <si>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</si>
  <si>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</si>
  <si>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</si>
  <si>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</si>
  <si>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</si>
  <si>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</si>
  <si>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</si>
  <si>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</si>
  <si>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</si>
  <si>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</si>
  <si>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</si>
  <si>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</si>
  <si>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</si>
  <si>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</si>
  <si>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</si>
  <si>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</si>
  <si>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</si>
  <si>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</si>
  <si>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</si>
  <si>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</si>
  <si>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</si>
  <si>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</si>
  <si>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</si>
  <si>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</si>
  <si>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</si>
  <si>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</si>
  <si>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</si>
  <si>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</si>
  <si>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</si>
  <si>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</si>
  <si>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</si>
  <si>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</si>
  <si>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</si>
  <si>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</si>
  <si>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</si>
  <si>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</si>
  <si>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</si>
  <si>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</si>
  <si>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</si>
  <si>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</si>
  <si>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</si>
  <si>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</si>
  <si>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</si>
  <si>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</si>
  <si>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</si>
  <si>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</si>
  <si>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</si>
  <si>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</si>
  <si>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</si>
  <si>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</si>
  <si>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</si>
  <si>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</si>
  <si>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</si>
  <si>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</si>
  <si>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</si>
  <si>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</si>
  <si>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</si>
  <si>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</si>
  <si>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</si>
  <si>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</si>
  <si>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</si>
  <si>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</si>
  <si>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</si>
  <si>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</si>
  <si>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</si>
  <si>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</si>
  <si>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</si>
  <si>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</si>
  <si>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</si>
  <si>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</si>
  <si>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</si>
  <si>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</si>
  <si>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</si>
  <si>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</si>
  <si>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</si>
  <si>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</si>
  <si>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</si>
  <si>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</si>
  <si>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</si>
  <si>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</si>
  <si>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</si>
  <si>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</si>
  <si>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</si>
  <si>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</si>
  <si>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</si>
  <si>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</si>
  <si>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</si>
  <si>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</si>
  <si>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</si>
  <si>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</si>
  <si>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</si>
  <si>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</si>
  <si>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</si>
  <si>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</si>
  <si>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</si>
  <si>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</si>
  <si>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</si>
  <si>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</si>
  <si>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</si>
  <si>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</si>
  <si>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</si>
  <si>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</si>
  <si>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</si>
  <si>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</si>
  <si>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</si>
  <si>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</si>
  <si>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</si>
  <si>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</si>
  <si>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</si>
  <si>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</si>
  <si>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</si>
  <si>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</si>
  <si>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</si>
  <si>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</si>
  <si>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</si>
  <si>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</si>
  <si>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</si>
  <si>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</si>
  <si>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</si>
  <si>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</si>
  <si>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</si>
  <si>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</si>
  <si>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</si>
  <si>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</si>
  <si>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</si>
  <si>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</si>
  <si>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</si>
  <si>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</si>
  <si>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</si>
  <si>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</si>
  <si>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</si>
  <si>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</si>
  <si>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</si>
  <si>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</si>
  <si>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</si>
  <si>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</si>
  <si>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</si>
  <si>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</si>
  <si>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</si>
  <si>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</si>
  <si>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Fixed Operating and Maintenance Costs (FOM)</t>
  </si>
  <si>
    <t>Total FOM</t>
  </si>
  <si>
    <t>Variable Operation and Maintenance Costs (VOM)</t>
  </si>
  <si>
    <t>years</t>
  </si>
  <si>
    <t>U-200</t>
  </si>
  <si>
    <t>U-300</t>
  </si>
  <si>
    <t>U-400</t>
  </si>
  <si>
    <t>€</t>
  </si>
  <si>
    <t>%</t>
  </si>
  <si>
    <t>FOM</t>
  </si>
  <si>
    <t>VOM</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</si>
  <si>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</si>
  <si>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</si>
  <si>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</si>
  <si>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</si>
  <si>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</si>
  <si>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</si>
  <si>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</si>
  <si>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</si>
  <si>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</si>
  <si>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</si>
  <si>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</si>
  <si>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</si>
  <si>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</si>
  <si>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</si>
  <si>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</si>
  <si>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</si>
  <si>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</si>
  <si>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</si>
  <si>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</si>
  <si>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</si>
  <si>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</si>
  <si>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</si>
  <si>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</si>
  <si>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</si>
  <si>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</si>
  <si>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</si>
  <si>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</si>
  <si>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</si>
  <si>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</si>
  <si>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</si>
  <si>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</si>
  <si>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</si>
  <si>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</si>
  <si>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</si>
  <si>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</si>
  <si>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</si>
  <si>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</si>
  <si>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</si>
  <si>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</si>
  <si>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</si>
  <si>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</si>
  <si>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</si>
  <si>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</si>
  <si>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</si>
  <si>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</si>
  <si>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</si>
  <si>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</si>
  <si>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</si>
  <si>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</si>
  <si>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</si>
  <si>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</si>
  <si>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</si>
  <si>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</si>
  <si>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</si>
  <si>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</si>
  <si>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</si>
  <si>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</si>
  <si>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</si>
  <si>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</si>
  <si>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</si>
  <si>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</si>
  <si>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</si>
  <si>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</si>
  <si>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</si>
  <si>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</si>
  <si>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</si>
  <si>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</si>
  <si>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</si>
  <si>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</si>
  <si>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</si>
  <si>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</si>
  <si>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</si>
  <si>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</si>
  <si>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</si>
  <si>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</si>
  <si>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</si>
  <si>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</si>
  <si>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</si>
  <si>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</si>
  <si>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</si>
  <si>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</si>
  <si>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</si>
  <si>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</si>
  <si>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</si>
  <si>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</si>
  <si>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</si>
  <si>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</si>
  <si>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</si>
  <si>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</si>
  <si>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</si>
  <si>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</si>
  <si>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</si>
  <si>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</si>
  <si>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</si>
  <si>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</si>
  <si>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</si>
  <si>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</si>
  <si>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</si>
  <si>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</si>
  <si>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</si>
  <si>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</si>
  <si>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</si>
  <si>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</si>
  <si>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</si>
  <si>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</si>
  <si>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</si>
  <si>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</si>
  <si>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</si>
  <si>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</si>
  <si>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</si>
  <si>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</si>
  <si>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</si>
  <si>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</si>
  <si>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</si>
  <si>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</si>
  <si>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</si>
  <si>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</si>
  <si>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</si>
  <si>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</si>
  <si>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</si>
  <si>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</si>
  <si>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</si>
  <si>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</si>
  <si>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</si>
  <si>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</si>
  <si>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</si>
  <si>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</si>
  <si>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</si>
  <si>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</si>
  <si>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</si>
  <si>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</si>
  <si>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</si>
  <si>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</si>
  <si>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</si>
  <si>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</si>
  <si>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</si>
  <si>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</si>
  <si>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</si>
  <si>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</si>
  <si>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</si>
  <si>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</si>
  <si>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</si>
  <si>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</si>
  <si>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</si>
  <si>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</si>
  <si>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</si>
  <si>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</si>
  <si>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</si>
  <si>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</si>
  <si>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</si>
  <si>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</si>
  <si>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</si>
  <si>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</si>
  <si>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</si>
  <si>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</si>
  <si>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</si>
  <si>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</si>
  <si>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</si>
  <si>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</si>
  <si>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</si>
  <si>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</si>
  <si>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</si>
  <si>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</si>
  <si>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</si>
  <si>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</si>
  <si>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</si>
  <si>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</si>
  <si>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</si>
  <si>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</si>
  <si>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</si>
  <si>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</si>
  <si>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</si>
  <si>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</si>
  <si>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</si>
  <si>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</si>
  <si>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</si>
  <si>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</si>
  <si>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</si>
  <si>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</si>
  <si>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</si>
  <si>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</si>
  <si>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</si>
  <si>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</si>
  <si>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</si>
  <si>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</si>
  <si>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</si>
  <si>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</si>
  <si>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</si>
  <si>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</si>
  <si>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</si>
  <si>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</si>
  <si>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</si>
  <si>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</si>
  <si>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</si>
  <si>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</si>
  <si>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</si>
  <si>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</si>
  <si>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</si>
  <si>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</si>
  <si>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</si>
  <si>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</si>
  <si>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</si>
  <si>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</si>
  <si>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</si>
  <si>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</si>
  <si>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</si>
  <si>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</si>
  <si>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</si>
  <si>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</si>
  <si>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</si>
  <si>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</si>
  <si>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</si>
  <si>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</si>
  <si>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</si>
  <si>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</si>
  <si>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</si>
  <si>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</si>
  <si>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</si>
  <si>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</si>
  <si>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</si>
  <si>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</si>
  <si>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</si>
  <si>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</si>
  <si>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</si>
  <si>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</si>
  <si>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</si>
  <si>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</si>
  <si>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</si>
  <si>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</si>
  <si>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</si>
  <si>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</si>
  <si>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</si>
  <si>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</si>
  <si>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</si>
  <si>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</si>
  <si>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</si>
  <si>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</si>
  <si>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</si>
  <si>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</si>
  <si>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</si>
  <si>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</si>
  <si>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</si>
  <si>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</si>
  <si>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</si>
  <si>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</si>
  <si>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</si>
  <si>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</si>
  <si>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</si>
  <si>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</si>
  <si>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</si>
  <si>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</si>
  <si>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</si>
  <si>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</si>
  <si>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</si>
  <si>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</si>
  <si>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</si>
  <si>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</si>
  <si>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</si>
  <si>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</si>
  <si>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</si>
  <si>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</si>
  <si>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</si>
  <si>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</si>
  <si>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</si>
  <si>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</si>
  <si>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</si>
  <si>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</si>
  <si>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</si>
  <si>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</si>
  <si>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</si>
  <si>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</si>
  <si>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</si>
  <si>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</si>
  <si>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</si>
  <si>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</si>
  <si>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</si>
  <si>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</si>
  <si>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</si>
  <si>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</si>
  <si>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</si>
  <si>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</si>
  <si>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</si>
  <si>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</si>
  <si>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</si>
  <si>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</si>
  <si>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</si>
  <si>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</si>
  <si>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</si>
  <si>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</si>
  <si>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</si>
  <si>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</si>
  <si>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t>GPL v3</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</si>
  <si>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</si>
  <si>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</si>
  <si>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</si>
  <si>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</si>
  <si>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</si>
  <si>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</si>
  <si>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</si>
  <si>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</si>
  <si>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</si>
  <si>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</si>
  <si>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</si>
  <si>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</si>
  <si>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</si>
  <si>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</si>
  <si>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</si>
  <si>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</si>
  <si>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</si>
  <si>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</si>
  <si>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</si>
  <si>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</si>
  <si>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</si>
  <si>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</si>
  <si>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</si>
  <si>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</si>
  <si>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</si>
  <si>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</si>
  <si>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</si>
  <si>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</si>
  <si>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</si>
  <si>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</si>
  <si>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</si>
  <si>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</si>
  <si>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</si>
  <si>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</si>
  <si>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</si>
  <si>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</si>
  <si>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</si>
  <si>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</si>
  <si>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</si>
  <si>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</si>
  <si>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</si>
  <si>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</si>
  <si>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</si>
  <si>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</si>
  <si>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</si>
  <si>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</si>
  <si>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</si>
  <si>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</si>
  <si>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</si>
  <si>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</si>
  <si>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</si>
  <si>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</si>
  <si>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</si>
  <si>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</si>
  <si>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UQ</t>
  </si>
  <si>
    <t>Results Summary</t>
  </si>
  <si>
    <t>Cost Estimation Type</t>
  </si>
  <si>
    <t>4. When doing an analysis with the Equipment unit sheets, select the equipment and subtype from the drop-down menus and add/remove them to/from the sheet. Then, fill in the appropriate capacity and pressure, and select the material.</t>
  </si>
  <si>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after selecting an economic indicator</t>
    </r>
  </si>
  <si>
    <t>%TOC</t>
  </si>
  <si>
    <t>Economic Summary</t>
  </si>
  <si>
    <t>Salvage Value</t>
  </si>
  <si>
    <t>Depreciation Period</t>
  </si>
  <si>
    <r>
      <t>CO</t>
    </r>
    <r>
      <rPr>
        <vertAlign val="subscript"/>
        <sz val="11"/>
        <color theme="1"/>
        <rFont val="Calibri"/>
        <family val="2"/>
        <scheme val="minor"/>
      </rPr>
      <t>2</t>
    </r>
    <r>
      <rPr>
        <sz val="11"/>
        <color theme="1"/>
        <rFont val="Calibri"/>
        <family val="2"/>
        <scheme val="minor"/>
      </rPr>
      <t xml:space="preserve"> tax</t>
    </r>
  </si>
  <si>
    <t>Tax Rate</t>
  </si>
  <si>
    <t>Cumulative Cash Flow</t>
  </si>
  <si>
    <r>
      <t>CO</t>
    </r>
    <r>
      <rPr>
        <sz val="11"/>
        <color theme="1"/>
        <rFont val="Calibri"/>
        <family val="2"/>
      </rPr>
      <t>₂</t>
    </r>
    <r>
      <rPr>
        <sz val="11"/>
        <color theme="1"/>
        <rFont val="Calibri"/>
        <family val="2"/>
        <scheme val="minor"/>
      </rPr>
      <t xml:space="preserve"> tax</t>
    </r>
  </si>
  <si>
    <t>Cumulative Discounted Cash Flow</t>
  </si>
  <si>
    <t>Net Cash Flow</t>
  </si>
  <si>
    <t>Capacity Factor (1st year)</t>
  </si>
  <si>
    <t>Apr. 2025</t>
  </si>
  <si>
    <t>SEA Tool v1.7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</si>
</sst>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000000"/>
  </numFmts>
  <fonts count="83"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
      <b/>
      <sz val="28"/>
      <color rgb="FF000000"/>
      <name val="Calibri"/>
      <family val="2"/>
    </font>
    <font>
      <vertAlign val="subscript"/>
      <sz val="11"/>
      <color theme="1"/>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thin">
        <color rgb="FF000000"/>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28">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1" fontId="2" fillId="2" borderId="6" xfId="1" applyNumberFormat="1" applyFill="1" applyBorder="1" applyAlignment="1">
      <alignment horizontal="center"/>
    </xf>
    <xf numFmtId="171"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Alignment="1">
      <alignment horizontal="center" vertical="center"/>
    </xf>
    <xf numFmtId="0" fontId="22" fillId="0" borderId="10" xfId="6" applyFont="1" applyBorder="1" applyAlignment="1">
      <alignment horizontal="center"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9" fontId="0" fillId="0" borderId="4" xfId="8" applyFont="1" applyFill="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9" fillId="0" borderId="14" xfId="0" applyFont="1" applyBorder="1" applyAlignment="1">
      <alignment horizontal="center" vertical="center"/>
    </xf>
    <xf numFmtId="170" fontId="42"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7"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166" fontId="0" fillId="0" borderId="14" xfId="0" applyNumberFormat="1" applyBorder="1" applyAlignment="1">
      <alignment horizontal="center" vertical="center"/>
    </xf>
    <xf numFmtId="0" fontId="10" fillId="4" borderId="38" xfId="0" applyFont="1" applyFill="1" applyBorder="1" applyAlignment="1">
      <alignment horizontal="center" vertical="center"/>
    </xf>
    <xf numFmtId="0" fontId="33" fillId="0" borderId="4" xfId="0" applyFont="1" applyBorder="1" applyAlignment="1">
      <alignment horizontal="center" vertical="center"/>
    </xf>
    <xf numFmtId="0" fontId="34" fillId="0" borderId="0" xfId="0" applyFont="1" applyAlignment="1">
      <alignment horizontal="center" vertical="center"/>
    </xf>
    <xf numFmtId="0" fontId="44" fillId="0" borderId="0" xfId="0" applyFont="1"/>
    <xf numFmtId="9" fontId="22" fillId="0" borderId="4" xfId="8" applyFont="1" applyBorder="1" applyAlignment="1">
      <alignment horizontal="center" vertical="center"/>
    </xf>
    <xf numFmtId="0" fontId="22" fillId="0" borderId="5" xfId="6" applyFont="1" applyBorder="1" applyAlignment="1">
      <alignment horizontal="center" vertical="center"/>
    </xf>
    <xf numFmtId="0" fontId="22" fillId="0" borderId="6" xfId="0" applyFont="1" applyBorder="1" applyAlignment="1">
      <alignment horizontal="center" vertical="center"/>
    </xf>
    <xf numFmtId="0" fontId="22" fillId="2" borderId="6" xfId="0" applyFont="1" applyFill="1" applyBorder="1" applyAlignment="1">
      <alignment vertical="center"/>
    </xf>
    <xf numFmtId="0" fontId="22" fillId="0" borderId="6" xfId="0" applyFont="1" applyBorder="1" applyAlignment="1">
      <alignment vertical="center"/>
    </xf>
    <xf numFmtId="0" fontId="22" fillId="0" borderId="7" xfId="0" applyFont="1" applyBorder="1" applyAlignment="1">
      <alignment vertical="center"/>
    </xf>
    <xf numFmtId="0" fontId="15" fillId="0" borderId="9" xfId="6" applyBorder="1" applyAlignment="1">
      <alignment horizontal="center" vertical="center"/>
    </xf>
    <xf numFmtId="0" fontId="15" fillId="0" borderId="11" xfId="6" applyBorder="1" applyAlignment="1">
      <alignment horizontal="center" vertical="center"/>
    </xf>
    <xf numFmtId="2" fontId="22" fillId="0" borderId="6" xfId="6" applyNumberFormat="1" applyFont="1" applyBorder="1" applyAlignment="1">
      <alignment horizontal="center" vertical="center"/>
    </xf>
    <xf numFmtId="2" fontId="22" fillId="0" borderId="5" xfId="6" applyNumberFormat="1" applyFont="1" applyBorder="1" applyAlignment="1">
      <alignment horizontal="center" vertical="center"/>
    </xf>
    <xf numFmtId="2" fontId="22" fillId="0" borderId="7" xfId="6" applyNumberFormat="1" applyFont="1" applyBorder="1" applyAlignment="1">
      <alignment horizontal="center" vertical="center"/>
    </xf>
    <xf numFmtId="0" fontId="22" fillId="0" borderId="1" xfId="6" applyFont="1" applyBorder="1" applyAlignment="1">
      <alignment horizontal="center" vertical="center"/>
    </xf>
    <xf numFmtId="0" fontId="22" fillId="0" borderId="3" xfId="6" applyFont="1" applyBorder="1" applyAlignment="1">
      <alignment horizontal="center" vertical="center"/>
    </xf>
    <xf numFmtId="9" fontId="22" fillId="0" borderId="1" xfId="6" applyNumberFormat="1" applyFont="1" applyBorder="1" applyAlignment="1">
      <alignment horizontal="center" vertical="center"/>
    </xf>
    <xf numFmtId="9" fontId="22" fillId="0" borderId="2" xfId="6" applyNumberFormat="1" applyFont="1" applyBorder="1" applyAlignment="1">
      <alignment horizontal="center" vertical="center"/>
    </xf>
    <xf numFmtId="9" fontId="22" fillId="0" borderId="3" xfId="6" applyNumberFormat="1" applyFont="1" applyBorder="1" applyAlignment="1">
      <alignment horizontal="center" vertical="center"/>
    </xf>
    <xf numFmtId="0" fontId="10" fillId="0" borderId="4" xfId="6" applyFont="1" applyBorder="1" applyAlignment="1">
      <alignment horizontal="center" vertical="center"/>
    </xf>
    <xf numFmtId="2" fontId="22" fillId="0" borderId="0" xfId="6" applyNumberFormat="1" applyFont="1" applyAlignment="1">
      <alignment horizontal="center" vertical="center"/>
    </xf>
    <xf numFmtId="0" fontId="35" fillId="0" borderId="5" xfId="6" applyFont="1" applyBorder="1" applyAlignment="1">
      <alignment horizontal="center" vertical="center"/>
    </xf>
    <xf numFmtId="0" fontId="22" fillId="0" borderId="7" xfId="6"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0" fillId="2" borderId="15" xfId="0" applyFill="1" applyBorder="1" applyAlignment="1">
      <alignment horizontal="center"/>
    </xf>
    <xf numFmtId="0" fontId="0" fillId="2" borderId="14" xfId="0" applyFill="1" applyBorder="1" applyAlignment="1">
      <alignment horizontal="center"/>
    </xf>
    <xf numFmtId="0" fontId="10" fillId="6" borderId="4"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0" fillId="0" borderId="15" xfId="0" applyBorder="1" applyAlignment="1">
      <alignment horizontal="center" vertical="center" wrapText="1"/>
    </xf>
    <xf numFmtId="0" fontId="0" fillId="0" borderId="14" xfId="0" applyBorder="1" applyAlignment="1">
      <alignment horizontal="center" vertical="center" wrapText="1"/>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11" fillId="6" borderId="2" xfId="0" applyFont="1" applyFill="1" applyBorder="1" applyAlignment="1">
      <alignment horizontal="center" vertic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0" fillId="2" borderId="8" xfId="0" applyFill="1" applyBorder="1" applyAlignment="1">
      <alignment horizont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67"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5" fillId="3" borderId="4" xfId="6" applyFill="1" applyBorder="1" applyAlignment="1">
      <alignment horizontal="center" vertical="center"/>
    </xf>
    <xf numFmtId="0" fontId="15" fillId="4" borderId="1" xfId="6" applyFill="1" applyBorder="1" applyAlignment="1">
      <alignment horizontal="center" vertical="center"/>
    </xf>
    <xf numFmtId="0" fontId="15" fillId="4" borderId="3" xfId="6" applyFill="1" applyBorder="1" applyAlignment="1">
      <alignment horizontal="center" vertical="center"/>
    </xf>
    <xf numFmtId="0" fontId="15" fillId="3" borderId="1" xfId="6" applyFill="1" applyBorder="1" applyAlignment="1">
      <alignment horizontal="center" vertical="center"/>
    </xf>
    <xf numFmtId="0" fontId="15" fillId="3" borderId="3"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5" fillId="5" borderId="1" xfId="6" applyFill="1" applyBorder="1" applyAlignment="1">
      <alignment horizontal="center" vertical="center"/>
    </xf>
    <xf numFmtId="0" fontId="15" fillId="5" borderId="3" xfId="6" applyFill="1" applyBorder="1" applyAlignment="1">
      <alignment horizontal="center" vertical="center"/>
    </xf>
    <xf numFmtId="0" fontId="0" fillId="5" borderId="1" xfId="6" applyFont="1" applyFill="1" applyBorder="1" applyAlignment="1">
      <alignment horizontal="center" vertical="center"/>
    </xf>
    <xf numFmtId="0" fontId="0" fillId="5" borderId="3" xfId="6"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11" fillId="8" borderId="4" xfId="6"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0" borderId="4" xfId="0"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11" fillId="7" borderId="4" xfId="0" applyFont="1" applyFill="1" applyBorder="1" applyAlignment="1">
      <alignment horizontal="center" vertic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('Unit-200'!$T$13:$T$43,'Unit-200'!$T$46:$T$50)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3451-4851-85E3-F65E2F6B1EBB}"/>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699-4BA8-B83A-A43657772B8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699-4BA8-B83A-A43657772B8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699-4BA8-B83A-A43657772B8F}"/>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699-4BA8-B83A-A43657772B8F}"/>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699-4BA8-B83A-A43657772B8F}"/>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699-4BA8-B83A-A43657772B8F}"/>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699-4BA8-B83A-A43657772B8F}"/>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699-4BA8-B83A-A43657772B8F}"/>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699-4BA8-B83A-A43657772B8F}"/>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699-4BA8-B83A-A43657772B8F}"/>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6699-4BA8-B83A-A43657772B8F}"/>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6699-4BA8-B83A-A43657772B8F}"/>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6699-4BA8-B83A-A43657772B8F}"/>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6699-4BA8-B83A-A43657772B8F}"/>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6699-4BA8-B83A-A43657772B8F}"/>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6699-4BA8-B83A-A43657772B8F}"/>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6699-4BA8-B83A-A43657772B8F}"/>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6699-4BA8-B83A-A43657772B8F}"/>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6699-4BA8-B83A-A43657772B8F}"/>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6699-4BA8-B83A-A43657772B8F}"/>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6699-4BA8-B83A-A43657772B8F}"/>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6699-4BA8-B83A-A43657772B8F}"/>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2C-6699-4BA8-B83A-A43657772B8F}"/>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165-49F2-AE94-51364A676AE1}"/>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165-49F2-AE94-51364A676AE1}"/>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165-49F2-AE94-51364A676AE1}"/>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B165-49F2-AE94-51364A676AE1}"/>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B165-49F2-AE94-51364A676AE1}"/>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B165-49F2-AE94-51364A676AE1}"/>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B165-49F2-AE94-51364A676AE1}"/>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B165-49F2-AE94-51364A676AE1}"/>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B165-49F2-AE94-51364A676AE1}"/>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B165-49F2-AE94-51364A676AE1}"/>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B165-49F2-AE94-51364A676AE1}"/>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B165-49F2-AE94-51364A676AE1}"/>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B165-49F2-AE94-51364A676AE1}"/>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B165-49F2-AE94-51364A676AE1}"/>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B165-49F2-AE94-51364A676AE1}"/>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B165-49F2-AE94-51364A676AE1}"/>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B165-49F2-AE94-51364A676AE1}"/>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B165-49F2-AE94-51364A676AE1}"/>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B165-49F2-AE94-51364A676AE1}"/>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B165-49F2-AE94-51364A676AE1}"/>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B165-49F2-AE94-51364A676AE1}"/>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B165-49F2-AE94-51364A676AE1}"/>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2C-B165-49F2-AE94-51364A676AE1}"/>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CO₂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Cumulative 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Cumulative 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55</xdr:row>
          <xdr:rowOff>7620</xdr:rowOff>
        </xdr:from>
        <xdr:to>
          <xdr:col>18</xdr:col>
          <xdr:colOff>1150620</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58</xdr:row>
          <xdr:rowOff>7620</xdr:rowOff>
        </xdr:from>
        <xdr:to>
          <xdr:col>18</xdr:col>
          <xdr:colOff>1150620</xdr:colOff>
          <xdr:row>59</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61</xdr:row>
          <xdr:rowOff>0</xdr:rowOff>
        </xdr:from>
        <xdr:to>
          <xdr:col>18</xdr:col>
          <xdr:colOff>1143000</xdr:colOff>
          <xdr:row>62</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64</xdr:row>
          <xdr:rowOff>7620</xdr:rowOff>
        </xdr:from>
        <xdr:to>
          <xdr:col>18</xdr:col>
          <xdr:colOff>1150620</xdr:colOff>
          <xdr:row>65</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67</xdr:row>
          <xdr:rowOff>7620</xdr:rowOff>
        </xdr:from>
        <xdr:to>
          <xdr:col>18</xdr:col>
          <xdr:colOff>1135380</xdr:colOff>
          <xdr:row>68</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69</xdr:row>
          <xdr:rowOff>289560</xdr:rowOff>
        </xdr:from>
        <xdr:to>
          <xdr:col>18</xdr:col>
          <xdr:colOff>1135380</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100-00002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14</xdr:col>
          <xdr:colOff>15240</xdr:colOff>
          <xdr:row>7</xdr:row>
          <xdr:rowOff>15240</xdr:rowOff>
        </xdr:from>
        <xdr:to>
          <xdr:col>14</xdr:col>
          <xdr:colOff>1333500</xdr:colOff>
          <xdr:row>8</xdr:row>
          <xdr:rowOff>190500</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0200-0000030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xdr:colOff>
          <xdr:row>7</xdr:row>
          <xdr:rowOff>15240</xdr:rowOff>
        </xdr:from>
        <xdr:to>
          <xdr:col>15</xdr:col>
          <xdr:colOff>1333500</xdr:colOff>
          <xdr:row>8</xdr:row>
          <xdr:rowOff>190500</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0200-0000040C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800" b="1"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95937" name="Button 1" hidden="1">
              <a:extLst>
                <a:ext uri="{63B3BB69-23CF-44E3-9099-C40C66FF867C}">
                  <a14:compatExt spid="_x0000_s295937"/>
                </a:ext>
                <a:ext uri="{FF2B5EF4-FFF2-40B4-BE49-F238E27FC236}">
                  <a16:creationId xmlns:a16="http://schemas.microsoft.com/office/drawing/2014/main" id="{00000000-0008-0000-0300-0000018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E4D71BCE-C738-48F6-9CE4-5A9E6885103F}"/>
                </a:ext>
              </a:extLst>
            </xdr:cNvPr>
            <xdr:cNvSpPr txBox="1"/>
          </xdr:nvSpPr>
          <xdr:spPr>
            <a:xfrm>
              <a:off x="1012203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14</xdr:col>
          <xdr:colOff>15240</xdr:colOff>
          <xdr:row>7</xdr:row>
          <xdr:rowOff>15240</xdr:rowOff>
        </xdr:from>
        <xdr:to>
          <xdr:col>14</xdr:col>
          <xdr:colOff>1333500</xdr:colOff>
          <xdr:row>8</xdr:row>
          <xdr:rowOff>190500</xdr:rowOff>
        </xdr:to>
        <xdr:sp macro="" textlink="">
          <xdr:nvSpPr>
            <xdr:cNvPr id="295938" name="Button 2" hidden="1">
              <a:extLst>
                <a:ext uri="{63B3BB69-23CF-44E3-9099-C40C66FF867C}">
                  <a14:compatExt spid="_x0000_s295938"/>
                </a:ext>
                <a:ext uri="{FF2B5EF4-FFF2-40B4-BE49-F238E27FC236}">
                  <a16:creationId xmlns:a16="http://schemas.microsoft.com/office/drawing/2014/main" id="{00000000-0008-0000-0300-0000028404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xdr:colOff>
          <xdr:row>7</xdr:row>
          <xdr:rowOff>15240</xdr:rowOff>
        </xdr:from>
        <xdr:to>
          <xdr:col>15</xdr:col>
          <xdr:colOff>1333500</xdr:colOff>
          <xdr:row>8</xdr:row>
          <xdr:rowOff>190500</xdr:rowOff>
        </xdr:to>
        <xdr:sp macro="" textlink="">
          <xdr:nvSpPr>
            <xdr:cNvPr id="295939" name="Button 3" hidden="1">
              <a:extLst>
                <a:ext uri="{63B3BB69-23CF-44E3-9099-C40C66FF867C}">
                  <a14:compatExt spid="_x0000_s295939"/>
                </a:ext>
                <a:ext uri="{FF2B5EF4-FFF2-40B4-BE49-F238E27FC236}">
                  <a16:creationId xmlns:a16="http://schemas.microsoft.com/office/drawing/2014/main" id="{00000000-0008-0000-0300-0000038404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800" b="1"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99009" name="Button 1" hidden="1">
              <a:extLst>
                <a:ext uri="{63B3BB69-23CF-44E3-9099-C40C66FF867C}">
                  <a14:compatExt spid="_x0000_s299009"/>
                </a:ext>
                <a:ext uri="{FF2B5EF4-FFF2-40B4-BE49-F238E27FC236}">
                  <a16:creationId xmlns:a16="http://schemas.microsoft.com/office/drawing/2014/main" id="{00000000-0008-0000-0400-0000019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4" name="Gráfico 5">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2226709" y="1192257"/>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89F42530-ECCE-42E6-A03F-F58C3723C663}"/>
                </a:ext>
              </a:extLst>
            </xdr:cNvPr>
            <xdr:cNvSpPr txBox="1"/>
          </xdr:nvSpPr>
          <xdr:spPr>
            <a:xfrm>
              <a:off x="12226709" y="1192257"/>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0500-0000019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AD4AE2F4-99A7-4233-ACA9-0386E684BF41}"/>
                </a:ext>
              </a:extLst>
            </xdr:cNvPr>
            <xdr:cNvSpPr txBox="1"/>
          </xdr:nvSpPr>
          <xdr:spPr>
            <a:xfrm>
              <a:off x="12211469" y="11827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8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Calibri"/>
                  <a:ea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30480</xdr:colOff>
          <xdr:row>5</xdr:row>
          <xdr:rowOff>7620</xdr:rowOff>
        </xdr:from>
        <xdr:to>
          <xdr:col>14</xdr:col>
          <xdr:colOff>861060</xdr:colOff>
          <xdr:row>6</xdr:row>
          <xdr:rowOff>198120</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900-00000160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5</xdr:row>
          <xdr:rowOff>22860</xdr:rowOff>
        </xdr:from>
        <xdr:to>
          <xdr:col>15</xdr:col>
          <xdr:colOff>868680</xdr:colOff>
          <xdr:row>6</xdr:row>
          <xdr:rowOff>198120</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900-0000026004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22860</xdr:colOff>
          <xdr:row>3</xdr:row>
          <xdr:rowOff>7620</xdr:rowOff>
        </xdr:from>
        <xdr:to>
          <xdr:col>15</xdr:col>
          <xdr:colOff>868680</xdr:colOff>
          <xdr:row>3</xdr:row>
          <xdr:rowOff>213360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900-000003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4</xdr:row>
          <xdr:rowOff>22860</xdr:rowOff>
        </xdr:from>
        <xdr:to>
          <xdr:col>11</xdr:col>
          <xdr:colOff>899160</xdr:colOff>
          <xdr:row>4</xdr:row>
          <xdr:rowOff>213360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900-000004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xdr:colOff>
          <xdr:row>6</xdr:row>
          <xdr:rowOff>7620</xdr:rowOff>
        </xdr:from>
        <xdr:to>
          <xdr:col>11</xdr:col>
          <xdr:colOff>899160</xdr:colOff>
          <xdr:row>6</xdr:row>
          <xdr:rowOff>213360</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900-000005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I:5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target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7620</xdr:colOff>
          <xdr:row>10</xdr:row>
          <xdr:rowOff>22860</xdr:rowOff>
        </xdr:from>
        <xdr:to>
          <xdr:col>10</xdr:col>
          <xdr:colOff>906780</xdr:colOff>
          <xdr:row>10</xdr:row>
          <xdr:rowOff>213360</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900-000006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7620</xdr:colOff>
          <xdr:row>12</xdr:row>
          <xdr:rowOff>7620</xdr:rowOff>
        </xdr:from>
        <xdr:to>
          <xdr:col>10</xdr:col>
          <xdr:colOff>906780</xdr:colOff>
          <xdr:row>12</xdr:row>
          <xdr:rowOff>213360</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900-000007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xdr:colOff>
          <xdr:row>14</xdr:row>
          <xdr:rowOff>7620</xdr:rowOff>
        </xdr:from>
        <xdr:to>
          <xdr:col>10</xdr:col>
          <xdr:colOff>906780</xdr:colOff>
          <xdr:row>14</xdr:row>
          <xdr:rowOff>213360</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900-0000086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92</xdr:col>
      <xdr:colOff>19050</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B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6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B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0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B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ea typeface="Calibri"/>
                  <a:cs typeface="Calibri"/>
                </a:rPr>
                <a:t>PLANT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C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Calibri"/>
                  <a:ea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C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C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C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GB" sz="2400" b="1" i="0" u="none" strike="noStrike" baseline="0">
                  <a:solidFill>
                    <a:srgbClr val="000000"/>
                  </a:solidFill>
                  <a:latin typeface="Calibri"/>
                  <a:ea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0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0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rlo/Downloads/SEA%20Tool%20-%20Template%20(3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A Tool"/>
      <sheetName val="Plant Overview"/>
      <sheetName val="Unit-100"/>
      <sheetName val="Unit-200"/>
      <sheetName val="Unit-300"/>
      <sheetName val="Unit-400"/>
      <sheetName val="Plant CAPEX"/>
      <sheetName val="Plant OPEX"/>
      <sheetName val="Cash Flow Analysis"/>
      <sheetName val="Uncertainty Quantification"/>
      <sheetName val="Input to SSM"/>
      <sheetName val="Estimate Benchmark"/>
      <sheetName val="Unit-X00 Equipment"/>
      <sheetName val="Bibliography"/>
      <sheetName val="Cost Conversion"/>
      <sheetName val="Technology Block Data"/>
      <sheetName val="Equipment Data"/>
      <sheetName val="Unit X00 - Benchmark"/>
      <sheetName val="SEA Tool - Template (3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8" dataDxfId="316" headerRowBorderDxfId="317" tableBorderDxfId="315">
  <autoFilter ref="AE6:AE7" xr:uid="{BD430C73-D62B-4B34-81C6-4CB5D46BEDB9}">
    <filterColumn colId="0" hiddenButton="1"/>
  </autoFilter>
  <tableColumns count="1">
    <tableColumn id="1" xr3:uid="{84F9157D-4D99-4CBA-AAD8-CC3862882A85}" name="Stream" dataDxfId="31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13" dataDxfId="311" headerRowBorderDxfId="312" tableBorderDxfId="310" totalsRowBorderDxfId="309">
  <autoFilter ref="AG6:AG7" xr:uid="{510DCB59-50DF-48D5-B930-238A03E9FB6D}">
    <filterColumn colId="0" hiddenButton="1"/>
  </autoFilter>
  <tableColumns count="1">
    <tableColumn id="1" xr3:uid="{0220A6D5-F39F-488C-949A-4AABD7B530C9}" name="Component 1" dataDxfId="30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7" dataDxfId="305" headerRowBorderDxfId="306" tableBorderDxfId="304" totalsRowBorderDxfId="303">
  <autoFilter ref="AF6:AF7" xr:uid="{1E496B6B-9D2B-467B-B1BC-B30D13381E1A}">
    <filterColumn colId="0" hiddenButton="1"/>
  </autoFilter>
  <tableColumns count="1">
    <tableColumn id="1" xr3:uid="{876249EE-102A-4A6F-80BD-15A7B17749BB}" name="Property 1" dataDxfId="30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01" dataDxfId="299" headerRowBorderDxfId="300" tableBorderDxfId="298">
  <autoFilter ref="D12:D43" xr:uid="{54D9AD24-3255-47F8-8858-1911F353046A}">
    <filterColumn colId="0" hiddenButton="1"/>
  </autoFilter>
  <tableColumns count="1">
    <tableColumn id="1" xr3:uid="{A355DF28-B822-4D21-91F3-9DBB6C59828A}" name="Equipment" dataDxfId="29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6" dataDxfId="294" headerRowBorderDxfId="295" tableBorderDxfId="293">
  <autoFilter ref="E12:E43" xr:uid="{E7DD97D0-07C4-49A5-A08A-CD158C5E4B0A}">
    <filterColumn colId="0" hiddenButton="1"/>
  </autoFilter>
  <tableColumns count="1">
    <tableColumn id="1" xr3:uid="{6FE28B51-AB7B-4376-A0AF-515604CD3E9B}" name="Subtype" dataDxfId="29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91" headerRowBorderDxfId="290" tableBorderDxfId="28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F6316C-7AD4-4347-A66E-F44783F4092C}" name="Tabla25879012013530" displayName="Tabla25879012013530" ref="D12:D43" totalsRowShown="0" headerRowDxfId="288" dataDxfId="286" headerRowBorderDxfId="287" tableBorderDxfId="285">
  <autoFilter ref="D12:D43" xr:uid="{54D9AD24-3255-47F8-8858-1911F353046A}">
    <filterColumn colId="0" hiddenButton="1"/>
  </autoFilter>
  <tableColumns count="1">
    <tableColumn id="1" xr3:uid="{7E9D2AD7-12CA-45B3-9081-4CE4B56CBBDD}" name="Equipment" dataDxfId="28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42BE144E-E218-469B-A416-F9796DF96BFB}" name="Tabla27889112113631" displayName="Tabla27889112113631" ref="E12:E43" totalsRowShown="0" headerRowDxfId="283" dataDxfId="281" headerRowBorderDxfId="282" tableBorderDxfId="280">
  <autoFilter ref="E12:E43" xr:uid="{E7DD97D0-07C4-49A5-A08A-CD158C5E4B0A}">
    <filterColumn colId="0" hiddenButton="1"/>
  </autoFilter>
  <tableColumns count="1">
    <tableColumn id="1" xr3:uid="{D55DEFE2-D9A4-49B0-811A-D64EA429699C}" name="Subtype" dataDxfId="27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2FBE919-A19F-47E7-BACC-F30DC66E9F0C}" name="Tabla54899212213755" displayName="Tabla54899212213755" ref="I12:I43" totalsRowShown="0" headerRowDxfId="278" headerRowBorderDxfId="277" tableBorderDxfId="276">
  <autoFilter ref="I12:I43" xr:uid="{5E4964A9-7D89-4560-BE84-23E70166B931}">
    <filterColumn colId="0" hiddenButton="1"/>
  </autoFilter>
  <tableColumns count="1">
    <tableColumn id="1" xr3:uid="{23136BDE-5662-4142-8BF2-5F27A5F9F717}"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75" dataDxfId="273" headerRowBorderDxfId="274" tableBorderDxfId="27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22" xr3:uid="{118B0DE5-F4D6-41BA-B022-A7A53FBE109A}" name="Total" dataDxfId="263" totalsRowDxfId="26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61" dataDxfId="259" headerRowBorderDxfId="260" tableBorderDxfId="25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57"/>
    <tableColumn id="2" xr3:uid="{A2FE6D58-DE8B-428E-BCCE-879A37C47E6E}" name="Item 2" dataDxfId="256"/>
    <tableColumn id="3" xr3:uid="{7925CDB2-450B-4481-AAF3-C97257BEAACF}" name="Item 3" dataDxfId="255"/>
    <tableColumn id="4" xr3:uid="{04880DFB-6CC9-4F3A-8D86-4D2CF229564A}" name="Item 4"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34" headerRowBorderDxfId="233" tableBorderDxfId="232">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 displayName="Table3063"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201" dataDxfId="200">
  <autoFilter ref="W2:W25" xr:uid="{228BC41D-0912-47E0-88C8-E31E895E7B98}"/>
  <tableColumns count="1">
    <tableColumn id="1" xr3:uid="{96F8729B-427A-4FDE-9469-CBDAE8A7E026}" name="Equipment" dataDxfId="199"/>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8" dataDxfId="197" headerRowCellStyle="Normal 2" dataCellStyle="Normal 2">
  <autoFilter ref="X2:X5" xr:uid="{94891308-2F99-4CBE-89F9-8FA144C5B5D5}"/>
  <tableColumns count="1">
    <tableColumn id="1" xr3:uid="{7939984D-879C-499C-BF68-B1EA95D3A269}" name="Blender " dataDxfId="196" dataCellStyle="Normal 2"/>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95" dataDxfId="194" dataCellStyle="Normal 2">
  <autoFilter ref="Y2:Y6" xr:uid="{F459A973-F944-4E80-9411-FF29CC5E20F3}"/>
  <tableColumns count="1">
    <tableColumn id="1" xr3:uid="{30576F42-7924-4D41-8D8F-F48FFBAE37F8}" name="Centrifuge" dataDxfId="193" dataCellStyle="Normal 2"/>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92" dataDxfId="191" dataCellStyle="Normal 2">
  <autoFilter ref="Z2:Z6" xr:uid="{0E77BDC2-2671-4D5A-A24E-5ACCEAF7EEB8}"/>
  <tableColumns count="1">
    <tableColumn id="1" xr3:uid="{F4F13026-D569-45B8-B4AC-274FF2AE74B7}" name="Compressor" dataDxfId="190" dataCellStyle="Normal 2"/>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9" dataDxfId="188" dataCellStyle="Normal 2">
  <autoFilter ref="AA2:AA6" xr:uid="{CF9B4E60-B84B-4DEB-B06A-A01D125A08DB}"/>
  <tableColumns count="1">
    <tableColumn id="1" xr3:uid="{3A39B6EE-B2F9-4580-A1BD-964121D9500C}" name="Conveyor" dataDxfId="187" dataCellStyle="Normal 2"/>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6" dataDxfId="185" dataCellStyle="Normal 2">
  <autoFilter ref="AB2:AB3" xr:uid="{EFA4F263-55C2-4743-85A4-2F6C53E51E27}"/>
  <tableColumns count="1">
    <tableColumn id="1" xr3:uid="{20DC7D11-3D6C-4284-B04E-2D8F63CC6E04}" name="Crystallizer" dataDxfId="184" dataCellStyle="Normal 2"/>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83" dataDxfId="182">
  <autoFilter ref="AC2:AC8" xr:uid="{DAC915E7-B40C-4500-AA97-424E042AA7DE}"/>
  <tableColumns count="1">
    <tableColumn id="1" xr3:uid="{802FB2C7-1ED1-44E8-B881-C7614300DA80}" name="Drive " dataDxfId="181"/>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80" dataDxfId="179">
  <autoFilter ref="AD2:AD5" xr:uid="{3007DBC2-AFB8-4B7B-8B59-B4748BC20D78}"/>
  <tableColumns count="1">
    <tableColumn id="1" xr3:uid="{E299F165-497B-4D50-8332-D3AB290C4BEB}" name="Dryer" dataDxfId="178">
      <calculatedColumnFormula>+'Equipment Data'!B52</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7" dataDxfId="176">
  <autoFilter ref="AE2:AE6" xr:uid="{EC2D4087-09AB-4C54-9E2C-5D208D22FEC7}"/>
  <tableColumns count="1">
    <tableColumn id="1" xr3:uid="{821762A4-5BCC-4E6B-84AD-8D0959312070}" name="Dust Collectors" dataDxfId="175"/>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74" dataDxfId="173">
  <autoFilter ref="AF2:AF6" xr:uid="{C818263F-1902-4B46-8870-624DA666101D}"/>
  <tableColumns count="1">
    <tableColumn id="1" xr3:uid="{816A1797-D876-4E72-9155-B2F99DBCC995}" name="Fan" dataDxfId="172"/>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71" dataDxfId="170">
  <autoFilter ref="AG2:AG11" xr:uid="{00278867-4EAA-4B10-AC96-24FAFCC9007B}"/>
  <tableColumns count="1">
    <tableColumn id="1" xr3:uid="{58A2D0DF-2D21-4479-922A-3EB6D9E0DB58}" name="Filter" dataDxfId="169"/>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8" dataDxfId="167">
  <autoFilter ref="AH2:AH9" xr:uid="{B1647EF9-2BD6-43F3-93B6-F107DBE24F3A}"/>
  <tableColumns count="1">
    <tableColumn id="1" xr3:uid="{DB16C8E2-A33F-4B4C-B31D-5D37BB6AB687}" name="Fired Heater " dataDxfId="166"/>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65" dataDxfId="164">
  <autoFilter ref="AI2:AI7" xr:uid="{942D7014-C0CF-4237-9232-9415975F109C}"/>
  <tableColumns count="1">
    <tableColumn id="1" xr3:uid="{AE2E0094-7841-4B64-AFED-5565B70396BA}" name="Evaporator " dataDxfId="163"/>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62" dataDxfId="161">
  <autoFilter ref="AJ2:AJ14" xr:uid="{B536BA8D-16CD-427D-8794-C82AC29125C2}"/>
  <tableColumns count="1">
    <tableColumn id="1" xr3:uid="{86A46060-19DE-4843-AEDB-AAF0180A654F}" name="Heat Exchanger" dataDxfId="160"/>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9" dataDxfId="158" dataCellStyle="Normal 2">
  <autoFilter ref="AK2:AK5" xr:uid="{949812EA-0F98-4D69-8382-8D09D04A258B}"/>
  <tableColumns count="1">
    <tableColumn id="1" xr3:uid="{B5DBD036-BFAE-48A1-81F0-10226A32B065}" name="Mixer " dataDxfId="157" dataCellStyle="Normal 2"/>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6" dataDxfId="155" dataCellStyle="Normal 2">
  <autoFilter ref="AL2:AL5" xr:uid="{8E9A2C41-F67B-4CA0-BAB0-FABB11DFF702}"/>
  <tableColumns count="1">
    <tableColumn id="1" xr3:uid="{DC29DDE1-B1CC-4485-B787-77EF007F526C}" name="Pump " dataDxfId="154" dataCellStyle="Normal 2"/>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53" dataDxfId="152">
  <autoFilter ref="AM2:AM8" xr:uid="{BC9F9C63-B4E8-4FE3-BC78-58AA6C99C630}"/>
  <tableColumns count="1">
    <tableColumn id="1" xr3:uid="{EFA9AE71-4DC2-49E7-BB89-ECA1DA6D5047}" name="Reactor " dataDxfId="151"/>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50" dataDxfId="149">
  <autoFilter ref="AN2:AN6" xr:uid="{342E9B8A-D362-444D-BE6E-D9EE58F0916E}"/>
  <tableColumns count="1">
    <tableColumn id="1" xr3:uid="{4CD08EBA-18AA-4809-8A2B-6FB741A8706C}" name="Screen" dataDxfId="148"/>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7" dataDxfId="146">
  <autoFilter ref="AO2:AO4" xr:uid="{14C3BD97-403D-4850-A395-1FE0306E1367}"/>
  <tableColumns count="1">
    <tableColumn id="1" xr3:uid="{5116F074-B471-4690-9F11-6EFBF537DD0C}" name="Tank" dataDxfId="145"/>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44" dataDxfId="143">
  <autoFilter ref="AP2:AP4" xr:uid="{E12542DF-6647-4F8F-998A-279BE3CCC8CC}"/>
  <tableColumns count="1">
    <tableColumn id="1" xr3:uid="{61C5A7C7-7677-43E8-B75A-9C402A2DCFAC}" name="Turbine" dataDxfId="142"/>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41" dataDxfId="140">
  <autoFilter ref="AQ2:AQ5" xr:uid="{B53A4EF3-4476-44C2-AFF0-AC65C562A210}"/>
  <tableColumns count="1">
    <tableColumn id="1" xr3:uid="{477F4F40-9000-4714-AB2B-CDE94B17C8B6}" name="Vaporizer" dataDxfId="139"/>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4" totalsRowShown="0" headerRowDxfId="138" dataDxfId="137">
  <autoFilter ref="AR2:AR4" xr:uid="{FED659A3-D7A7-4D39-834B-519F9357A3DD}"/>
  <tableColumns count="1">
    <tableColumn id="1" xr3:uid="{78C17F0C-A504-46B0-93B6-8C8589E44EE2}" name="Vessel" dataDxfId="136"/>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35" dataDxfId="134">
  <autoFilter ref="AS2:AS5" xr:uid="{44400DB0-2F71-4F64-B86E-20DB17F2BEEE}"/>
  <tableColumns count="1">
    <tableColumn id="1" xr3:uid="{464CAAC0-7398-4CD2-9E85-7FBEBD1D3211}" name="Tower Trays" dataDxfId="133"/>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32" dataDxfId="131">
  <autoFilter ref="AT2:AT3" xr:uid="{E09F0E09-65FF-45E0-AE4B-2C0E8DC99D46}"/>
  <tableColumns count="1">
    <tableColumn id="1" xr3:uid="{40F5BCD7-6DE6-48FB-8EF0-DA14505ACFBA}" name="Tower Packing" dataDxfId="130">
      <calculatedColumnFormula>+'Equipment Data'!B283</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9" dataDxfId="128">
  <autoFilter ref="AV2:AV3" xr:uid="{0972E802-8C3B-4F22-AEB2-12E0D0BF69E4}"/>
  <tableColumns count="1">
    <tableColumn id="1" xr3:uid="{C4872E29-A555-43B3-91F5-26EA5C594FC1}" name="Blender_Material" dataDxfId="127"/>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6" dataDxfId="125" headerRowCellStyle="Normal 2">
  <autoFilter ref="AW2:AW3" xr:uid="{635F4DBD-44C3-4DC9-9509-3E3B8C029E82}"/>
  <tableColumns count="1">
    <tableColumn id="1" xr3:uid="{DCC3B8E0-3440-4751-988C-8211D6C9390D}" name="Centrifuge_Material" dataDxfId="124"/>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23" dataDxfId="122">
  <autoFilter ref="AX2:AX5" xr:uid="{E2215464-BE04-4BD8-9938-503D675DA0EE}"/>
  <tableColumns count="1">
    <tableColumn id="1" xr3:uid="{787E8A9A-CD73-4764-ABE6-90B8C477C897}" name="Compressor_Material" dataDxfId="121"/>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20" dataDxfId="119" dataCellStyle="Normal 2">
  <autoFilter ref="AY2:AY3" xr:uid="{3B9810A6-A43F-47A7-A1BB-CCC4AEC099EA}"/>
  <tableColumns count="1">
    <tableColumn id="1" xr3:uid="{7BBA5863-E9CE-4C45-B942-01BFCD76F700}" name="Conveyor_Material" dataDxfId="118"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7" dataDxfId="116" dataCellStyle="Normal 2">
  <autoFilter ref="AZ2:AZ3" xr:uid="{4AD84E5D-348D-45C3-B1A5-76E6F7686776}"/>
  <tableColumns count="1">
    <tableColumn id="1" xr3:uid="{1EB8DACC-D52D-4891-9BDB-A6C55E35E07E}" name="Crystallizer_Material" dataDxfId="115"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14" dataDxfId="113" dataCellStyle="Normal 2">
  <autoFilter ref="BA2:BA3" xr:uid="{52CC2F65-8E5F-48EE-AD6B-22B2E75FD87F}"/>
  <tableColumns count="1">
    <tableColumn id="1" xr3:uid="{076F7D13-0590-4F9F-81EE-17363227BF65}" name="Drive_Material" dataDxfId="112"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11" dataDxfId="110" dataCellStyle="Normal 2">
  <autoFilter ref="BB2:BB3" xr:uid="{F849317A-2820-40AA-84FF-DD67EE0B6422}"/>
  <tableColumns count="1">
    <tableColumn id="1" xr3:uid="{43CC03BE-1C15-42AC-8E7D-F097921ADE6F}" name="Dryer_Material" dataDxfId="109"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8" dataDxfId="107" dataCellStyle="Normal 2">
  <autoFilter ref="BC2:BC3" xr:uid="{233E4483-0DB4-493C-95D0-19E86132A7AB}"/>
  <tableColumns count="1">
    <tableColumn id="1" xr3:uid="{3BF19E1D-47CE-48D1-B4D8-10731C497C7C}" name="DustCollectors_Material" dataDxfId="106"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105" dataDxfId="104">
  <autoFilter ref="BD2:BD6" xr:uid="{F66810C5-EF90-460A-BBDC-697BBDF89B8E}"/>
  <tableColumns count="1">
    <tableColumn id="1" xr3:uid="{C14E43AC-FE45-4EF7-B433-0C93A589F419}" name="Fan_Material" dataDxfId="103"/>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102" dataDxfId="101">
  <autoFilter ref="BE2:BE3" xr:uid="{97599293-3761-41A2-8D89-C105A020ADCC}"/>
  <tableColumns count="1">
    <tableColumn id="1" xr3:uid="{0839ED54-E0ED-48C7-937F-21F4345DC556}" name="Filter_Material" dataDxfId="100">
      <calculatedColumnFormula>+BC3</calculatedColumnFormula>
    </tableColumn>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9" dataDxfId="98">
  <autoFilter ref="BF2:BF5" xr:uid="{C841E698-528A-45FB-B389-4A3AC6D5A165}"/>
  <tableColumns count="1">
    <tableColumn id="1" xr3:uid="{015AD40B-F98A-45D7-93F0-4C0947E37FD3}" name="FiredHeater_Material" dataDxfId="97"/>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6" dataDxfId="95">
  <autoFilter ref="BG2:BG7" xr:uid="{8E065FE5-A586-4A37-823A-D7C741D0AF20}"/>
  <tableColumns count="1">
    <tableColumn id="1" xr3:uid="{10CDD0D5-AD2F-4D77-AE7D-60ECDAF3B24C}" name="Evaporator_Material" dataDxfId="94"/>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93" dataDxfId="92">
  <autoFilter ref="BH2:BH17" xr:uid="{02F12597-D103-4BBC-9DA1-1BB226F17251}"/>
  <tableColumns count="1">
    <tableColumn id="1" xr3:uid="{A2E27DDB-3DAC-4A7F-ADB4-CCA48751C978}" name="HeatExchanger_Material" dataDxfId="91"/>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90" dataDxfId="89">
  <autoFilter ref="BI2:BI3" xr:uid="{DE8F2E34-FDE6-4AE1-A118-014C42F160EF}"/>
  <tableColumns count="1">
    <tableColumn id="1" xr3:uid="{8E1303AF-BB53-4F7B-A892-6C489D9D603A}" name="Mixer_Material" dataDxfId="88">
      <calculatedColumnFormula>+BE3</calculatedColumnFormula>
    </tableColumn>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7" dataDxfId="86">
  <autoFilter ref="BJ2:BJ8" xr:uid="{AF63D4FD-5724-4EB2-A27F-914A4B745620}"/>
  <tableColumns count="1">
    <tableColumn id="1" xr3:uid="{E6546D22-D3E9-4512-903D-69D11F3D9345}" name="Pump_Material" dataDxfId="85"/>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84" dataDxfId="83">
  <autoFilter ref="BK2:BK3" xr:uid="{FB4C580F-824A-4A9F-91E5-42908BEAC266}"/>
  <tableColumns count="1">
    <tableColumn id="1" xr3:uid="{DFC84B14-279F-46C9-92A4-0B5EEF05F46A}" name="Reactor_Material" dataDxfId="82"/>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81" dataDxfId="80">
  <autoFilter ref="BL2:BL3" xr:uid="{ECC7DF98-9455-470A-BA74-CCD21D38E611}"/>
  <tableColumns count="1">
    <tableColumn id="1" xr3:uid="{34217042-B712-4D0C-9DB2-D56DBD011A29}" name="Screen_Material" dataDxfId="79">
      <calculatedColumnFormula>+BI3</calculatedColumnFormula>
    </tableColumn>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8" dataDxfId="77">
  <autoFilter ref="BM2:BM3" xr:uid="{5915637A-DF21-49DE-9DBB-B61F5DFEAFDE}"/>
  <tableColumns count="1">
    <tableColumn id="1" xr3:uid="{A4247BB3-D46E-410E-8933-394866A13CA3}" name="Tank_Material" dataDxfId="76"/>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75" dataDxfId="74">
  <autoFilter ref="BN2:BN8" xr:uid="{FB8C7938-F031-46B0-B049-892DB9F077AB}"/>
  <tableColumns count="1">
    <tableColumn id="1" xr3:uid="{BFD73E16-BD8C-4B2A-8CFE-35376C8513AF}" name="Turbine_Material" dataDxfId="73"/>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72" dataDxfId="71" dataCellStyle="Normal 2">
  <autoFilter ref="BO2:BO12" xr:uid="{6B33B833-663A-4C9B-93A5-B67BD28D6031}"/>
  <tableColumns count="1">
    <tableColumn id="1" xr3:uid="{E2D308F8-BD83-4924-9FD9-23469E09F51F}" name="Vaporizer_Material" dataDxfId="70"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9" dataDxfId="68">
  <autoFilter ref="BP2:BP9" xr:uid="{A7FD4972-8540-450A-9CB3-3C1DD791BEF0}"/>
  <tableColumns count="1">
    <tableColumn id="1" xr3:uid="{295B7012-2B3C-4915-A8F7-D541C30BB718}" name="Vessel_Material" dataDxfId="67"/>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6" dataDxfId="65">
  <autoFilter ref="BQ2:BQ6" xr:uid="{CE38668D-63CB-4930-9F90-8ACEFB7FDCBC}"/>
  <tableColumns count="1">
    <tableColumn id="1" xr3:uid="{957353F6-A3D7-4B9C-80C2-07B411AFDC1B}" name="TowerTrays_Material" dataDxfId="64"/>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63" dataDxfId="62">
  <autoFilter ref="BR2:BR5" xr:uid="{B13B6759-3FAA-465E-83CF-5874E1EDB7FB}"/>
  <tableColumns count="1">
    <tableColumn id="1" xr3:uid="{0EFF8D7E-2021-421C-9E45-BEA1D2662BF2}" name="TowerPacking_Material" dataDxfId="61"/>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60" dataDxfId="59">
  <autoFilter ref="BT2:BT11" xr:uid="{E3C5F55A-7C6C-419A-895E-82CFD49B5A29}"/>
  <tableColumns count="1">
    <tableColumn id="1" xr3:uid="{F6926670-A301-4C59-AAD1-51B1A395C252}" name="HeatExchanger_DoublePipe_Material" dataDxfId="58"/>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7" dataDxfId="56">
  <autoFilter ref="BU2:BU11" xr:uid="{1F5EADEB-1772-441D-B696-A4B6B763580B}"/>
  <tableColumns count="1">
    <tableColumn id="1" xr3:uid="{216670CF-A765-4E7F-954B-8B26A99E30E1}" name="HeatExchanger_MultiplePipe_Material" dataDxfId="55"/>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54" dataDxfId="53">
  <autoFilter ref="BV2:BV11" xr:uid="{5450ECFF-2C43-40CF-BE10-892B639FED0B}"/>
  <tableColumns count="1">
    <tableColumn id="1" xr3:uid="{8F8A0B74-E310-465B-8423-53845402702F}" name="HeatExchanger_FixedtubesheetorUtube_Material" dataDxfId="52"/>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51" dataDxfId="50">
  <autoFilter ref="BW2:BW11" xr:uid="{8205E09C-AEA4-4B62-B511-9C270E082690}"/>
  <tableColumns count="1">
    <tableColumn id="1" xr3:uid="{5EA2DDB4-2753-409A-BC48-701EF4995E4D}" name="HeatExchanger_FloatingHead_Material" dataDxfId="49"/>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8" dataDxfId="47">
  <autoFilter ref="BX2:BX11" xr:uid="{611F9890-68CC-46BF-85D7-F630187C5CE0}"/>
  <tableColumns count="1">
    <tableColumn id="1" xr3:uid="{DD41E2CC-8C06-4C79-98D0-8F52C65B48B4}" name="HeatExchanger_Bayonet_Material" dataDxfId="46"/>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45" dataDxfId="44">
  <autoFilter ref="BY2:BY11" xr:uid="{B925832A-D17D-4D82-900B-6B5700792FBA}"/>
  <tableColumns count="1">
    <tableColumn id="1" xr3:uid="{8BA67C77-C0B1-4F66-B790-9DE6C999612A}" name="HeatExchanger_KettleReboiler_Material" dataDxfId="43"/>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42" dataDxfId="41">
  <autoFilter ref="BZ2:BZ11" xr:uid="{3E8715FD-E60B-44DC-83DA-ED7E87F3003E}"/>
  <tableColumns count="1">
    <tableColumn id="1" xr3:uid="{55918318-7816-46BF-BA6C-8EFF88DD5D21}" name="HeatExchanger_ScrapedWall_Material" dataDxfId="40"/>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9" dataDxfId="38">
  <autoFilter ref="CA2:CA11" xr:uid="{3F6D41CA-A245-4B4F-90F8-9B2A5B49CEA7}"/>
  <tableColumns count="1">
    <tableColumn id="1" xr3:uid="{AE76EB23-64D5-4345-8D2E-3D2C553B1333}" name="HeatExchanger_SpiralTube_Material" dataDxfId="37"/>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6" dataDxfId="35">
  <autoFilter ref="CB2:CB7" xr:uid="{F6765398-4396-4AB9-BEDC-EE3DBA0E969F}"/>
  <tableColumns count="1">
    <tableColumn id="1" xr3:uid="{FCF11394-C08F-4439-B313-9AC0AB0BDC28}" name="HeatExchanger_TeflonTubeExchanger_Material" dataDxfId="34"/>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33" dataDxfId="32">
  <autoFilter ref="CC2:CC7" xr:uid="{F3B80F41-0219-4BCE-B7CF-B7E0024AC9FA}"/>
  <tableColumns count="1">
    <tableColumn id="1" xr3:uid="{A6F03C1B-D6AB-4395-9686-1625770C469E}" name="HeatExchanger_SpiralPlate_Material" dataDxfId="31"/>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30" dataDxfId="29">
  <autoFilter ref="CD2:CD7" xr:uid="{4CA2608E-EE6F-44E5-A1A5-09DAFDF35930}"/>
  <tableColumns count="1">
    <tableColumn id="1" xr3:uid="{436E8449-99E6-4AFC-9E99-65CC0F546F11}" name="HeatExchanger_FlatPlate_Material" dataDxfId="28"/>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7" dataDxfId="26">
  <autoFilter ref="CE2:CE5" xr:uid="{CC21315E-32E1-4787-B1C4-8683B488D05E}"/>
  <tableColumns count="1">
    <tableColumn id="1" xr3:uid="{CD6EBE87-5A83-43BE-BABF-685135E28515}" name="HeatExchanger_AirCooler_Material" dataDxfId="25"/>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4" headerRowBorderDxfId="23" tableBorderDxfId="22">
  <autoFilter ref="B4:D5" xr:uid="{13B9CF21-C87C-43E8-A2FC-6C7E7E3723BC}">
    <filterColumn colId="0" hiddenButton="1"/>
    <filterColumn colId="1" hiddenButton="1"/>
    <filterColumn colId="2" hiddenButton="1"/>
  </autoFilter>
  <tableColumns count="3">
    <tableColumn id="1" xr3:uid="{69C8C329-5A37-4DA0-B145-403AB231B570}" name="Item" dataDxfId="21"/>
    <tableColumn id="2" xr3:uid="{C3584EDC-8DAE-4A60-A6B9-1E1B36EBAC17}" name="Value" dataDxfId="20"/>
    <tableColumn id="3" xr3:uid="{CEC51037-7AE6-4111-AF08-E7CB8D2C3C3A}" name="Units"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3.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4.vml"/><Relationship Id="rId7"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7.vml"/><Relationship Id="rId7" Type="http://schemas.openxmlformats.org/officeDocument/2006/relationships/ctrlProp" Target="../ctrlProps/ctrlProp2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3.xml"/><Relationship Id="rId5" Type="http://schemas.openxmlformats.org/officeDocument/2006/relationships/ctrlProp" Target="../ctrlProps/ctrlProp22.xml"/><Relationship Id="rId10" Type="http://schemas.openxmlformats.org/officeDocument/2006/relationships/table" Target="../tables/table11.xml"/><Relationship Id="rId4" Type="http://schemas.openxmlformats.org/officeDocument/2006/relationships/ctrlProp" Target="../ctrlProps/ctrlProp21.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9.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8.xml"/><Relationship Id="rId11" Type="http://schemas.openxmlformats.org/officeDocument/2006/relationships/table" Target="../tables/table12.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6.xml"/><Relationship Id="rId5" Type="http://schemas.openxmlformats.org/officeDocument/2006/relationships/ctrlProp" Target="../ctrlProps/ctrlProp35.xml"/><Relationship Id="rId10" Type="http://schemas.openxmlformats.org/officeDocument/2006/relationships/comments" Target="../comments3.xml"/><Relationship Id="rId4" Type="http://schemas.openxmlformats.org/officeDocument/2006/relationships/ctrlProp" Target="../ctrlProps/ctrlProp34.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trlProp" Target="../ctrlProps/ctrlProp41.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25.xml"/><Relationship Id="rId18" Type="http://schemas.openxmlformats.org/officeDocument/2006/relationships/table" Target="../tables/table30.xml"/><Relationship Id="rId26" Type="http://schemas.openxmlformats.org/officeDocument/2006/relationships/table" Target="../tables/table38.xml"/><Relationship Id="rId39" Type="http://schemas.openxmlformats.org/officeDocument/2006/relationships/table" Target="../tables/table51.xml"/><Relationship Id="rId21" Type="http://schemas.openxmlformats.org/officeDocument/2006/relationships/table" Target="../tables/table33.xml"/><Relationship Id="rId34" Type="http://schemas.openxmlformats.org/officeDocument/2006/relationships/table" Target="../tables/table46.xml"/><Relationship Id="rId42" Type="http://schemas.openxmlformats.org/officeDocument/2006/relationships/table" Target="../tables/table54.xml"/><Relationship Id="rId47" Type="http://schemas.openxmlformats.org/officeDocument/2006/relationships/table" Target="../tables/table59.xml"/><Relationship Id="rId50" Type="http://schemas.openxmlformats.org/officeDocument/2006/relationships/table" Target="../tables/table62.xml"/><Relationship Id="rId55" Type="http://schemas.openxmlformats.org/officeDocument/2006/relationships/table" Target="../tables/table67.xml"/><Relationship Id="rId63" Type="http://schemas.openxmlformats.org/officeDocument/2006/relationships/table" Target="../tables/table75.xml"/><Relationship Id="rId7" Type="http://schemas.openxmlformats.org/officeDocument/2006/relationships/table" Target="../tables/table19.xml"/><Relationship Id="rId2" Type="http://schemas.openxmlformats.org/officeDocument/2006/relationships/printerSettings" Target="../printerSettings/printerSettings9.bin"/><Relationship Id="rId16" Type="http://schemas.openxmlformats.org/officeDocument/2006/relationships/table" Target="../tables/table28.xml"/><Relationship Id="rId20" Type="http://schemas.openxmlformats.org/officeDocument/2006/relationships/table" Target="../tables/table32.xml"/><Relationship Id="rId29" Type="http://schemas.openxmlformats.org/officeDocument/2006/relationships/table" Target="../tables/table41.xml"/><Relationship Id="rId41" Type="http://schemas.openxmlformats.org/officeDocument/2006/relationships/table" Target="../tables/table53.xml"/><Relationship Id="rId54" Type="http://schemas.openxmlformats.org/officeDocument/2006/relationships/table" Target="../tables/table66.xml"/><Relationship Id="rId62" Type="http://schemas.openxmlformats.org/officeDocument/2006/relationships/table" Target="../tables/table7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8.xml"/><Relationship Id="rId11" Type="http://schemas.openxmlformats.org/officeDocument/2006/relationships/table" Target="../tables/table23.xml"/><Relationship Id="rId24" Type="http://schemas.openxmlformats.org/officeDocument/2006/relationships/table" Target="../tables/table36.xml"/><Relationship Id="rId32" Type="http://schemas.openxmlformats.org/officeDocument/2006/relationships/table" Target="../tables/table44.xml"/><Relationship Id="rId37" Type="http://schemas.openxmlformats.org/officeDocument/2006/relationships/table" Target="../tables/table49.xml"/><Relationship Id="rId40" Type="http://schemas.openxmlformats.org/officeDocument/2006/relationships/table" Target="../tables/table52.xml"/><Relationship Id="rId45" Type="http://schemas.openxmlformats.org/officeDocument/2006/relationships/table" Target="../tables/table57.xml"/><Relationship Id="rId53" Type="http://schemas.openxmlformats.org/officeDocument/2006/relationships/table" Target="../tables/table65.xml"/><Relationship Id="rId58" Type="http://schemas.openxmlformats.org/officeDocument/2006/relationships/table" Target="../tables/table70.xml"/><Relationship Id="rId66" Type="http://schemas.microsoft.com/office/2017/10/relationships/threadedComment" Target="../threadedComments/threadedComment1.xml"/><Relationship Id="rId5" Type="http://schemas.openxmlformats.org/officeDocument/2006/relationships/ctrlProp" Target="../ctrlProps/ctrlProp46.xml"/><Relationship Id="rId15" Type="http://schemas.openxmlformats.org/officeDocument/2006/relationships/table" Target="../tables/table27.xml"/><Relationship Id="rId23" Type="http://schemas.openxmlformats.org/officeDocument/2006/relationships/table" Target="../tables/table35.xml"/><Relationship Id="rId28" Type="http://schemas.openxmlformats.org/officeDocument/2006/relationships/table" Target="../tables/table40.xml"/><Relationship Id="rId36" Type="http://schemas.openxmlformats.org/officeDocument/2006/relationships/table" Target="../tables/table48.xml"/><Relationship Id="rId49" Type="http://schemas.openxmlformats.org/officeDocument/2006/relationships/table" Target="../tables/table61.xml"/><Relationship Id="rId57" Type="http://schemas.openxmlformats.org/officeDocument/2006/relationships/table" Target="../tables/table69.xml"/><Relationship Id="rId61" Type="http://schemas.openxmlformats.org/officeDocument/2006/relationships/table" Target="../tables/table73.xml"/><Relationship Id="rId10" Type="http://schemas.openxmlformats.org/officeDocument/2006/relationships/table" Target="../tables/table22.xml"/><Relationship Id="rId19" Type="http://schemas.openxmlformats.org/officeDocument/2006/relationships/table" Target="../tables/table31.xml"/><Relationship Id="rId31" Type="http://schemas.openxmlformats.org/officeDocument/2006/relationships/table" Target="../tables/table43.xml"/><Relationship Id="rId44" Type="http://schemas.openxmlformats.org/officeDocument/2006/relationships/table" Target="../tables/table56.xml"/><Relationship Id="rId52" Type="http://schemas.openxmlformats.org/officeDocument/2006/relationships/table" Target="../tables/table64.xml"/><Relationship Id="rId60" Type="http://schemas.openxmlformats.org/officeDocument/2006/relationships/table" Target="../tables/table72.xml"/><Relationship Id="rId65" Type="http://schemas.openxmlformats.org/officeDocument/2006/relationships/comments" Target="../comments5.xml"/><Relationship Id="rId4" Type="http://schemas.openxmlformats.org/officeDocument/2006/relationships/vmlDrawing" Target="../drawings/vmlDrawing11.vml"/><Relationship Id="rId9" Type="http://schemas.openxmlformats.org/officeDocument/2006/relationships/table" Target="../tables/table21.xml"/><Relationship Id="rId14" Type="http://schemas.openxmlformats.org/officeDocument/2006/relationships/table" Target="../tables/table26.xml"/><Relationship Id="rId22" Type="http://schemas.openxmlformats.org/officeDocument/2006/relationships/table" Target="../tables/table34.xml"/><Relationship Id="rId27" Type="http://schemas.openxmlformats.org/officeDocument/2006/relationships/table" Target="../tables/table39.xml"/><Relationship Id="rId30" Type="http://schemas.openxmlformats.org/officeDocument/2006/relationships/table" Target="../tables/table42.xml"/><Relationship Id="rId35" Type="http://schemas.openxmlformats.org/officeDocument/2006/relationships/table" Target="../tables/table47.xml"/><Relationship Id="rId43" Type="http://schemas.openxmlformats.org/officeDocument/2006/relationships/table" Target="../tables/table55.xml"/><Relationship Id="rId48" Type="http://schemas.openxmlformats.org/officeDocument/2006/relationships/table" Target="../tables/table60.xml"/><Relationship Id="rId56" Type="http://schemas.openxmlformats.org/officeDocument/2006/relationships/table" Target="../tables/table68.xml"/><Relationship Id="rId64" Type="http://schemas.openxmlformats.org/officeDocument/2006/relationships/table" Target="../tables/table76.xml"/><Relationship Id="rId8" Type="http://schemas.openxmlformats.org/officeDocument/2006/relationships/table" Target="../tables/table20.xml"/><Relationship Id="rId51" Type="http://schemas.openxmlformats.org/officeDocument/2006/relationships/table" Target="../tables/table63.xml"/><Relationship Id="rId3" Type="http://schemas.openxmlformats.org/officeDocument/2006/relationships/drawing" Target="../drawings/drawing10.xml"/><Relationship Id="rId12" Type="http://schemas.openxmlformats.org/officeDocument/2006/relationships/table" Target="../tables/table24.xml"/><Relationship Id="rId17" Type="http://schemas.openxmlformats.org/officeDocument/2006/relationships/table" Target="../tables/table29.xml"/><Relationship Id="rId25" Type="http://schemas.openxmlformats.org/officeDocument/2006/relationships/table" Target="../tables/table37.xml"/><Relationship Id="rId33" Type="http://schemas.openxmlformats.org/officeDocument/2006/relationships/table" Target="../tables/table45.xml"/><Relationship Id="rId38" Type="http://schemas.openxmlformats.org/officeDocument/2006/relationships/table" Target="../tables/table50.xml"/><Relationship Id="rId46" Type="http://schemas.openxmlformats.org/officeDocument/2006/relationships/table" Target="../tables/table58.xml"/><Relationship Id="rId59" Type="http://schemas.openxmlformats.org/officeDocument/2006/relationships/table" Target="../tables/table7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table" Target="../tables/table77.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3.vml"/><Relationship Id="rId1" Type="http://schemas.openxmlformats.org/officeDocument/2006/relationships/drawing" Target="../drawings/drawing12.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6.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zoomScale="61" zoomScaleNormal="61" workbookViewId="0">
      <selection activeCell="T28" sqref="T28"/>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466"/>
      <c r="C2" s="273"/>
      <c r="D2" s="499"/>
      <c r="E2" s="499"/>
      <c r="F2" s="499"/>
      <c r="G2" s="499"/>
      <c r="H2" s="499"/>
      <c r="I2" s="499"/>
      <c r="J2" s="499"/>
      <c r="K2" s="499"/>
      <c r="L2" s="499"/>
      <c r="M2" s="499"/>
      <c r="N2" s="499"/>
      <c r="O2" s="499"/>
      <c r="P2" s="499"/>
      <c r="Q2" s="499"/>
      <c r="R2" s="499"/>
      <c r="S2" s="499"/>
      <c r="T2" s="499"/>
      <c r="U2" s="499"/>
      <c r="V2" s="499"/>
      <c r="W2" s="499"/>
      <c r="X2" s="499"/>
      <c r="Y2" s="499"/>
      <c r="Z2" s="500"/>
      <c r="AA2" s="191"/>
      <c r="AB2" s="699" t="s">
        <v>733</v>
      </c>
      <c r="AC2" s="700"/>
      <c r="AD2" s="701"/>
      <c r="AE2" s="191"/>
      <c r="AF2" s="191"/>
    </row>
    <row r="3" spans="2:32" ht="18" customHeight="1" x14ac:dyDescent="0.3">
      <c r="B3" s="91"/>
      <c r="C3" s="702" t="s">
        <v>695</v>
      </c>
      <c r="D3" s="703"/>
      <c r="E3" s="703"/>
      <c r="F3" s="703"/>
      <c r="G3" s="703"/>
      <c r="H3" s="703"/>
      <c r="I3" s="703"/>
      <c r="J3" s="703"/>
      <c r="K3" s="703"/>
      <c r="L3" s="703"/>
      <c r="M3" s="703"/>
      <c r="N3" s="703"/>
      <c r="O3" s="703"/>
      <c r="P3" s="703"/>
      <c r="Q3" s="703"/>
      <c r="R3" s="703"/>
      <c r="S3" s="703"/>
      <c r="T3" s="703"/>
      <c r="U3" s="703"/>
      <c r="V3" s="703"/>
      <c r="W3" s="703"/>
      <c r="X3" s="703"/>
      <c r="Y3" s="704"/>
      <c r="Z3" s="510"/>
      <c r="AA3" s="549"/>
      <c r="AB3" s="166" t="s">
        <v>359</v>
      </c>
      <c r="AC3" s="166" t="s">
        <v>734</v>
      </c>
      <c r="AD3" s="166" t="s">
        <v>735</v>
      </c>
      <c r="AE3" s="549"/>
      <c r="AF3" s="191"/>
    </row>
    <row r="4" spans="2:32" ht="18" customHeight="1" x14ac:dyDescent="0.3">
      <c r="B4" s="91"/>
      <c r="C4" s="705"/>
      <c r="D4" s="706"/>
      <c r="E4" s="706"/>
      <c r="F4" s="706"/>
      <c r="G4" s="706"/>
      <c r="H4" s="706"/>
      <c r="I4" s="706"/>
      <c r="J4" s="706"/>
      <c r="K4" s="706"/>
      <c r="L4" s="706"/>
      <c r="M4" s="706"/>
      <c r="N4" s="706"/>
      <c r="O4" s="706"/>
      <c r="P4" s="706"/>
      <c r="Q4" s="706"/>
      <c r="R4" s="706"/>
      <c r="S4" s="706"/>
      <c r="T4" s="706"/>
      <c r="U4" s="706"/>
      <c r="V4" s="706"/>
      <c r="W4" s="706"/>
      <c r="X4" s="706"/>
      <c r="Y4" s="707"/>
      <c r="Z4" s="501"/>
      <c r="AA4" s="191"/>
      <c r="AB4" s="568"/>
      <c r="AC4" s="571"/>
      <c r="AD4" s="97"/>
      <c r="AE4" s="191"/>
      <c r="AF4" s="191"/>
    </row>
    <row r="5" spans="2:32" ht="18" customHeight="1" x14ac:dyDescent="0.3">
      <c r="B5" s="91"/>
      <c r="C5" s="708"/>
      <c r="D5" s="709"/>
      <c r="E5" s="709"/>
      <c r="F5" s="709"/>
      <c r="G5" s="709"/>
      <c r="H5" s="709"/>
      <c r="I5" s="709"/>
      <c r="J5" s="709"/>
      <c r="K5" s="709"/>
      <c r="L5" s="709"/>
      <c r="M5" s="709"/>
      <c r="N5" s="709"/>
      <c r="O5" s="709"/>
      <c r="P5" s="709"/>
      <c r="Q5" s="709"/>
      <c r="R5" s="709"/>
      <c r="S5" s="709"/>
      <c r="T5" s="709"/>
      <c r="U5" s="709"/>
      <c r="V5" s="709"/>
      <c r="W5" s="709"/>
      <c r="X5" s="709"/>
      <c r="Y5" s="710"/>
      <c r="Z5" s="501"/>
      <c r="AA5" s="191"/>
      <c r="AB5" s="569"/>
      <c r="AC5" s="572"/>
      <c r="AD5" s="97"/>
      <c r="AE5" s="191"/>
      <c r="AF5" s="191"/>
    </row>
    <row r="6" spans="2:32" ht="18" customHeight="1" x14ac:dyDescent="0.3">
      <c r="B6" s="91"/>
      <c r="C6" s="191"/>
      <c r="D6" s="191"/>
      <c r="E6" s="191"/>
      <c r="F6" s="191"/>
      <c r="G6" s="191"/>
      <c r="H6" s="191"/>
      <c r="I6" s="191"/>
      <c r="J6" s="191"/>
      <c r="M6" s="550"/>
      <c r="N6" s="550"/>
      <c r="O6" s="550"/>
      <c r="P6" s="191"/>
      <c r="R6" s="191"/>
      <c r="S6" s="191"/>
      <c r="T6" s="191"/>
      <c r="Y6" s="191"/>
      <c r="Z6" s="501"/>
      <c r="AA6" s="191"/>
      <c r="AB6" s="569"/>
      <c r="AC6" s="572"/>
      <c r="AD6" s="97"/>
      <c r="AE6" s="191"/>
      <c r="AF6" s="191"/>
    </row>
    <row r="7" spans="2:32" ht="18" customHeight="1" x14ac:dyDescent="0.35">
      <c r="B7" s="91"/>
      <c r="C7" s="191"/>
      <c r="D7" s="191"/>
      <c r="E7" s="191"/>
      <c r="H7" s="551"/>
      <c r="I7" s="552"/>
      <c r="J7" s="513"/>
      <c r="K7" s="553"/>
      <c r="L7" s="554" t="s">
        <v>700</v>
      </c>
      <c r="M7" s="553"/>
      <c r="N7" s="553"/>
      <c r="O7" s="553"/>
      <c r="P7" s="513"/>
      <c r="R7" s="552"/>
      <c r="S7" s="552"/>
      <c r="T7" s="552"/>
      <c r="Y7" s="191"/>
      <c r="Z7" s="501"/>
      <c r="AA7" s="191"/>
      <c r="AB7" s="569"/>
      <c r="AC7" s="572"/>
      <c r="AD7" s="97"/>
      <c r="AE7" s="191"/>
      <c r="AF7" s="191"/>
    </row>
    <row r="8" spans="2:32" ht="18" customHeight="1" x14ac:dyDescent="0.35">
      <c r="B8" s="91"/>
      <c r="C8" s="191"/>
      <c r="J8" s="513"/>
      <c r="K8" s="553"/>
      <c r="L8" s="554" t="s">
        <v>692</v>
      </c>
      <c r="M8" s="553"/>
      <c r="N8" s="553"/>
      <c r="O8" s="553"/>
      <c r="P8" s="513"/>
      <c r="Z8" s="84"/>
      <c r="AB8" s="569"/>
      <c r="AC8" s="572"/>
      <c r="AD8" s="97"/>
      <c r="AF8" s="191"/>
    </row>
    <row r="9" spans="2:32" ht="18" customHeight="1" x14ac:dyDescent="0.35">
      <c r="B9" s="91"/>
      <c r="C9" s="191"/>
      <c r="J9" s="553"/>
      <c r="K9" s="553"/>
      <c r="L9" s="554" t="s">
        <v>693</v>
      </c>
      <c r="M9" s="513"/>
      <c r="N9" s="513"/>
      <c r="O9" s="513"/>
      <c r="P9" s="513"/>
      <c r="Z9" s="84"/>
      <c r="AB9" s="569"/>
      <c r="AC9" s="572"/>
      <c r="AD9" s="97"/>
      <c r="AF9" s="191"/>
    </row>
    <row r="10" spans="2:32" ht="18" customHeight="1" x14ac:dyDescent="0.3">
      <c r="B10" s="91"/>
      <c r="C10" s="191"/>
      <c r="D10" s="191"/>
      <c r="E10" s="191"/>
      <c r="F10" s="191"/>
      <c r="L10" s="551"/>
      <c r="R10" s="552"/>
      <c r="S10" s="552"/>
      <c r="T10" s="552"/>
      <c r="U10" s="552"/>
      <c r="V10" s="552"/>
      <c r="W10" s="552"/>
      <c r="X10" s="191"/>
      <c r="Y10" s="191"/>
      <c r="Z10" s="501"/>
      <c r="AA10" s="191"/>
      <c r="AB10" s="569"/>
      <c r="AC10" s="572"/>
      <c r="AD10" s="97"/>
      <c r="AE10" s="191"/>
      <c r="AF10" s="191"/>
    </row>
    <row r="11" spans="2:32" ht="18" customHeight="1" x14ac:dyDescent="0.35">
      <c r="B11" s="91"/>
      <c r="C11" s="191"/>
      <c r="D11" s="191"/>
      <c r="E11" s="191"/>
      <c r="F11" s="191"/>
      <c r="G11" s="191"/>
      <c r="H11" s="191"/>
      <c r="I11" s="555"/>
      <c r="J11" s="512"/>
      <c r="K11" s="512"/>
      <c r="L11" s="356" t="s">
        <v>736</v>
      </c>
      <c r="M11" s="356"/>
      <c r="N11" s="356"/>
      <c r="O11" s="356"/>
      <c r="P11" s="356"/>
      <c r="Q11" s="356"/>
      <c r="R11" s="551"/>
      <c r="S11" s="96"/>
      <c r="T11" s="191"/>
      <c r="U11" s="191"/>
      <c r="V11" s="191"/>
      <c r="W11" s="191"/>
      <c r="X11" s="191"/>
      <c r="Y11" s="191"/>
      <c r="Z11" s="501"/>
      <c r="AA11" s="191"/>
      <c r="AB11" s="569"/>
      <c r="AC11" s="572"/>
      <c r="AD11" s="97"/>
      <c r="AE11" s="191"/>
      <c r="AF11" s="191"/>
    </row>
    <row r="12" spans="2:32" ht="18" customHeight="1" x14ac:dyDescent="0.35">
      <c r="B12" s="91"/>
      <c r="C12" s="191"/>
      <c r="I12" s="511"/>
      <c r="J12" s="181"/>
      <c r="K12" s="512"/>
      <c r="L12" s="356" t="s">
        <v>694</v>
      </c>
      <c r="M12" s="182"/>
      <c r="N12" s="182"/>
      <c r="O12" s="182"/>
      <c r="P12" s="182"/>
      <c r="Q12" s="182"/>
      <c r="R12" s="556"/>
      <c r="S12" s="96"/>
      <c r="T12" s="191"/>
      <c r="U12" s="191"/>
      <c r="V12" s="191"/>
      <c r="W12" s="191"/>
      <c r="X12" s="191"/>
      <c r="Y12" s="191"/>
      <c r="Z12" s="501"/>
      <c r="AA12" s="191"/>
      <c r="AB12" s="569"/>
      <c r="AC12" s="572"/>
      <c r="AD12" s="97"/>
      <c r="AE12" s="191"/>
      <c r="AF12" s="191"/>
    </row>
    <row r="13" spans="2:32" ht="18" customHeight="1" x14ac:dyDescent="0.3">
      <c r="B13" s="91"/>
      <c r="C13" s="191"/>
      <c r="I13" s="281"/>
      <c r="J13" s="557"/>
      <c r="K13" s="281"/>
      <c r="L13" s="131" t="s">
        <v>707</v>
      </c>
      <c r="M13" s="131"/>
      <c r="N13" s="131"/>
      <c r="O13" s="131"/>
      <c r="P13" s="131"/>
      <c r="Q13" s="131"/>
      <c r="R13" s="131"/>
      <c r="S13" s="131"/>
      <c r="T13" s="557"/>
      <c r="U13" s="191"/>
      <c r="V13" s="191"/>
      <c r="W13" s="191"/>
      <c r="X13" s="191"/>
      <c r="Y13" s="191"/>
      <c r="Z13" s="501"/>
      <c r="AA13" s="191"/>
      <c r="AB13" s="569"/>
      <c r="AC13" s="572"/>
      <c r="AD13" s="97"/>
      <c r="AE13" s="191"/>
      <c r="AF13" s="191"/>
    </row>
    <row r="14" spans="2:32" ht="18" customHeight="1" x14ac:dyDescent="0.3">
      <c r="B14" s="91"/>
      <c r="C14" s="191"/>
      <c r="J14" s="191"/>
      <c r="K14" s="191"/>
      <c r="L14" s="191"/>
      <c r="M14" s="191"/>
      <c r="N14" s="191"/>
      <c r="O14" s="191"/>
      <c r="P14" s="191"/>
      <c r="Q14" s="191"/>
      <c r="R14" s="191"/>
      <c r="S14" s="191"/>
      <c r="Y14" s="191"/>
      <c r="Z14" s="501"/>
      <c r="AA14" s="191"/>
      <c r="AB14" s="569"/>
      <c r="AC14" s="572"/>
      <c r="AD14" s="97"/>
      <c r="AE14" s="191"/>
      <c r="AF14" s="191"/>
    </row>
    <row r="15" spans="2:32" ht="18" customHeight="1" x14ac:dyDescent="0.3">
      <c r="B15" s="91"/>
      <c r="C15" s="711" t="s">
        <v>710</v>
      </c>
      <c r="D15" s="712"/>
      <c r="E15" s="713"/>
      <c r="F15" s="714" t="s">
        <v>758</v>
      </c>
      <c r="G15" s="715"/>
      <c r="H15" s="715"/>
      <c r="I15" s="715"/>
      <c r="J15" s="715"/>
      <c r="K15" s="715"/>
      <c r="L15" s="715"/>
      <c r="M15" s="715"/>
      <c r="N15" s="715"/>
      <c r="O15" s="715"/>
      <c r="P15" s="715"/>
      <c r="Q15" s="715"/>
      <c r="R15" s="715"/>
      <c r="S15" s="715"/>
      <c r="T15" s="715"/>
      <c r="U15" s="715"/>
      <c r="V15" s="715"/>
      <c r="W15" s="715"/>
      <c r="X15" s="715"/>
      <c r="Y15" s="716"/>
      <c r="Z15" s="84"/>
      <c r="AB15" s="569"/>
      <c r="AC15" s="572"/>
      <c r="AD15" s="97"/>
      <c r="AF15" s="191"/>
    </row>
    <row r="16" spans="2:32" ht="18" customHeight="1" x14ac:dyDescent="0.3">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501"/>
      <c r="AA16" s="191"/>
      <c r="AB16" s="569"/>
      <c r="AC16" s="572"/>
      <c r="AD16" s="97"/>
      <c r="AE16" s="191"/>
      <c r="AF16" s="191"/>
    </row>
    <row r="17" spans="2:32" ht="18" customHeight="1" x14ac:dyDescent="0.3">
      <c r="B17" s="91"/>
      <c r="C17" s="329"/>
      <c r="D17" s="499"/>
      <c r="E17" s="499"/>
      <c r="F17" s="499"/>
      <c r="G17" s="499"/>
      <c r="H17" s="499"/>
      <c r="I17" s="499"/>
      <c r="J17" s="499"/>
      <c r="K17" s="499"/>
      <c r="L17" s="499"/>
      <c r="M17" s="499"/>
      <c r="N17" s="499"/>
      <c r="O17" s="499"/>
      <c r="P17" s="499"/>
      <c r="Q17" s="500"/>
      <c r="R17" s="191"/>
      <c r="S17" s="329"/>
      <c r="T17" s="499"/>
      <c r="U17" s="499"/>
      <c r="V17" s="499"/>
      <c r="W17" s="499"/>
      <c r="X17" s="499"/>
      <c r="Y17" s="500"/>
      <c r="Z17" s="501"/>
      <c r="AA17" s="191"/>
      <c r="AB17" s="569"/>
      <c r="AC17" s="572"/>
      <c r="AD17" s="97"/>
      <c r="AE17" s="191"/>
      <c r="AF17" s="191"/>
    </row>
    <row r="18" spans="2:32" ht="18" customHeight="1" x14ac:dyDescent="0.3">
      <c r="B18" s="91"/>
      <c r="C18" s="319"/>
      <c r="D18" s="699" t="s">
        <v>698</v>
      </c>
      <c r="E18" s="700"/>
      <c r="F18" s="700"/>
      <c r="G18" s="700"/>
      <c r="H18" s="700"/>
      <c r="I18" s="700"/>
      <c r="J18" s="700"/>
      <c r="K18" s="701"/>
      <c r="L18" s="696" t="s">
        <v>696</v>
      </c>
      <c r="M18" s="697"/>
      <c r="N18" s="697"/>
      <c r="O18" s="697"/>
      <c r="P18" s="698"/>
      <c r="Q18" s="501"/>
      <c r="R18" s="191"/>
      <c r="S18" s="319"/>
      <c r="T18" s="688" t="s">
        <v>703</v>
      </c>
      <c r="U18" s="689"/>
      <c r="V18" s="693" t="s">
        <v>701</v>
      </c>
      <c r="W18" s="694"/>
      <c r="X18" s="695"/>
      <c r="Y18" s="501"/>
      <c r="Z18" s="501"/>
      <c r="AA18" s="191"/>
      <c r="AB18" s="569"/>
      <c r="AC18" s="572"/>
      <c r="AD18" s="97"/>
      <c r="AE18" s="191"/>
      <c r="AF18" s="191"/>
    </row>
    <row r="19" spans="2:32" ht="18" customHeight="1" x14ac:dyDescent="0.3">
      <c r="B19" s="91"/>
      <c r="C19" s="319"/>
      <c r="D19" s="191"/>
      <c r="E19" s="191"/>
      <c r="F19" s="191"/>
      <c r="G19" s="191"/>
      <c r="I19" s="552"/>
      <c r="J19" s="552"/>
      <c r="K19" s="552"/>
      <c r="L19" s="552"/>
      <c r="M19" s="552"/>
      <c r="N19" s="552"/>
      <c r="O19" s="552"/>
      <c r="P19" s="552"/>
      <c r="Q19" s="501"/>
      <c r="R19" s="191"/>
      <c r="S19" s="319"/>
      <c r="T19" s="688" t="s">
        <v>704</v>
      </c>
      <c r="U19" s="689"/>
      <c r="V19" s="690">
        <v>1.7</v>
      </c>
      <c r="W19" s="691"/>
      <c r="X19" s="692"/>
      <c r="Y19" s="501"/>
      <c r="Z19" s="501"/>
      <c r="AA19" s="191"/>
      <c r="AB19" s="569"/>
      <c r="AC19" s="572"/>
      <c r="AD19" s="97"/>
      <c r="AE19" s="191"/>
      <c r="AF19" s="191"/>
    </row>
    <row r="20" spans="2:32" ht="18" customHeight="1" x14ac:dyDescent="0.3">
      <c r="B20" s="91"/>
      <c r="C20" s="319"/>
      <c r="D20" s="557" t="s">
        <v>741</v>
      </c>
      <c r="E20" s="557"/>
      <c r="F20" s="557"/>
      <c r="G20" s="557"/>
      <c r="H20" s="281"/>
      <c r="I20" s="557"/>
      <c r="J20" s="557"/>
      <c r="K20" s="557"/>
      <c r="L20" s="557"/>
      <c r="M20" s="557"/>
      <c r="N20" s="557"/>
      <c r="O20" s="557"/>
      <c r="P20" s="557"/>
      <c r="Q20" s="501"/>
      <c r="R20" s="191"/>
      <c r="S20" s="319"/>
      <c r="T20" s="688" t="s">
        <v>705</v>
      </c>
      <c r="U20" s="689"/>
      <c r="V20" s="693" t="s">
        <v>818</v>
      </c>
      <c r="W20" s="694"/>
      <c r="X20" s="695"/>
      <c r="Y20" s="501"/>
      <c r="Z20" s="501"/>
      <c r="AA20" s="191"/>
      <c r="AB20" s="569"/>
      <c r="AC20" s="572"/>
      <c r="AD20" s="97"/>
      <c r="AE20" s="191"/>
      <c r="AF20" s="191"/>
    </row>
    <row r="21" spans="2:32" ht="18" customHeight="1" x14ac:dyDescent="0.3">
      <c r="B21" s="91"/>
      <c r="C21" s="319"/>
      <c r="D21" s="557" t="s">
        <v>742</v>
      </c>
      <c r="E21" s="557"/>
      <c r="F21" s="557"/>
      <c r="G21" s="557"/>
      <c r="H21" s="281"/>
      <c r="I21" s="557"/>
      <c r="J21" s="557"/>
      <c r="K21" s="557"/>
      <c r="L21" s="557"/>
      <c r="M21" s="557"/>
      <c r="N21" s="557"/>
      <c r="O21" s="557"/>
      <c r="P21" s="557"/>
      <c r="Q21" s="501"/>
      <c r="R21" s="191"/>
      <c r="S21" s="319"/>
      <c r="T21" s="688" t="s">
        <v>706</v>
      </c>
      <c r="U21" s="689"/>
      <c r="V21" s="696" t="s">
        <v>747</v>
      </c>
      <c r="W21" s="697"/>
      <c r="X21" s="698"/>
      <c r="Y21" s="501"/>
      <c r="Z21" s="501"/>
      <c r="AA21" s="191"/>
      <c r="AB21" s="569"/>
      <c r="AC21" s="572"/>
      <c r="AD21" s="97"/>
      <c r="AE21" s="191"/>
      <c r="AF21" s="191"/>
    </row>
    <row r="22" spans="2:32" ht="18" customHeight="1" x14ac:dyDescent="0.3">
      <c r="B22" s="91"/>
      <c r="C22" s="319"/>
      <c r="E22" s="558" t="s">
        <v>743</v>
      </c>
      <c r="F22" s="558"/>
      <c r="G22" s="558"/>
      <c r="J22" s="557"/>
      <c r="K22" s="557"/>
      <c r="L22" s="557"/>
      <c r="M22" s="557"/>
      <c r="N22" s="557"/>
      <c r="O22" s="557"/>
      <c r="P22" s="557"/>
      <c r="Q22" s="501"/>
      <c r="R22" s="191"/>
      <c r="S22" s="319"/>
      <c r="Y22" s="501"/>
      <c r="Z22" s="501"/>
      <c r="AA22" s="191"/>
      <c r="AB22" s="569"/>
      <c r="AC22" s="572"/>
      <c r="AD22" s="97"/>
      <c r="AE22" s="191"/>
      <c r="AF22" s="191"/>
    </row>
    <row r="23" spans="2:32" ht="18" customHeight="1" x14ac:dyDescent="0.3">
      <c r="B23" s="91"/>
      <c r="C23" s="319"/>
      <c r="E23" s="558" t="s">
        <v>744</v>
      </c>
      <c r="F23" s="558"/>
      <c r="G23" s="558"/>
      <c r="J23" s="557"/>
      <c r="K23" s="557"/>
      <c r="L23" s="557"/>
      <c r="M23" s="557"/>
      <c r="N23" s="557"/>
      <c r="O23" s="557"/>
      <c r="P23" s="557"/>
      <c r="Q23" s="501"/>
      <c r="R23" s="191"/>
      <c r="S23" s="319"/>
      <c r="T23" s="676" t="s">
        <v>702</v>
      </c>
      <c r="U23" s="677"/>
      <c r="V23" s="677"/>
      <c r="W23" s="677"/>
      <c r="X23" s="678"/>
      <c r="Y23" s="501"/>
      <c r="Z23" s="501"/>
      <c r="AA23" s="191"/>
      <c r="AB23" s="569"/>
      <c r="AC23" s="572"/>
      <c r="AD23" s="97"/>
      <c r="AE23" s="191"/>
      <c r="AF23" s="191"/>
    </row>
    <row r="24" spans="2:32" ht="18" customHeight="1" x14ac:dyDescent="0.3">
      <c r="B24" s="91"/>
      <c r="C24" s="319"/>
      <c r="D24" s="557" t="s">
        <v>745</v>
      </c>
      <c r="E24" s="557"/>
      <c r="F24" s="557"/>
      <c r="G24" s="557"/>
      <c r="H24" s="557"/>
      <c r="I24" s="557"/>
      <c r="J24" s="557"/>
      <c r="K24" s="557"/>
      <c r="L24" s="557"/>
      <c r="M24" s="557"/>
      <c r="N24" s="557"/>
      <c r="O24" s="557"/>
      <c r="P24" s="557"/>
      <c r="Q24" s="501"/>
      <c r="R24" s="191"/>
      <c r="S24" s="319"/>
      <c r="T24" s="679" t="s">
        <v>819</v>
      </c>
      <c r="U24" s="680"/>
      <c r="V24" s="680"/>
      <c r="W24" s="680"/>
      <c r="X24" s="681"/>
      <c r="Y24" s="501"/>
      <c r="Z24" s="501"/>
      <c r="AA24" s="191"/>
      <c r="AB24" s="569"/>
      <c r="AC24" s="572"/>
      <c r="AD24" s="97"/>
      <c r="AE24" s="191"/>
      <c r="AF24" s="191"/>
    </row>
    <row r="25" spans="2:32" ht="18" customHeight="1" x14ac:dyDescent="0.3">
      <c r="B25" s="91"/>
      <c r="C25" s="319"/>
      <c r="D25" s="557" t="s">
        <v>737</v>
      </c>
      <c r="E25" s="557"/>
      <c r="F25" s="557"/>
      <c r="G25" s="557"/>
      <c r="H25" s="557"/>
      <c r="I25" s="557"/>
      <c r="J25" s="557"/>
      <c r="K25" s="557"/>
      <c r="L25" s="557"/>
      <c r="M25" s="557"/>
      <c r="N25" s="557"/>
      <c r="O25" s="557"/>
      <c r="P25" s="557"/>
      <c r="Q25" s="501"/>
      <c r="R25" s="191"/>
      <c r="S25" s="319"/>
      <c r="T25" s="682"/>
      <c r="U25" s="683"/>
      <c r="V25" s="683"/>
      <c r="W25" s="683"/>
      <c r="X25" s="684"/>
      <c r="Y25" s="501"/>
      <c r="Z25" s="501"/>
      <c r="AA25" s="191"/>
      <c r="AB25" s="569"/>
      <c r="AC25" s="572"/>
      <c r="AD25" s="97"/>
      <c r="AE25" s="191"/>
      <c r="AF25" s="191"/>
    </row>
    <row r="26" spans="2:32" ht="18" customHeight="1" x14ac:dyDescent="0.3">
      <c r="B26" s="91"/>
      <c r="C26" s="319"/>
      <c r="D26" s="557" t="s">
        <v>746</v>
      </c>
      <c r="E26" s="557"/>
      <c r="F26" s="557"/>
      <c r="G26" s="557"/>
      <c r="H26" s="557"/>
      <c r="I26" s="557"/>
      <c r="J26" s="557"/>
      <c r="K26" s="557"/>
      <c r="L26" s="557"/>
      <c r="M26" s="557"/>
      <c r="N26" s="557"/>
      <c r="O26" s="557"/>
      <c r="P26" s="557"/>
      <c r="Q26" s="501"/>
      <c r="R26" s="191"/>
      <c r="S26" s="319"/>
      <c r="T26" s="682"/>
      <c r="U26" s="683"/>
      <c r="V26" s="683"/>
      <c r="W26" s="683"/>
      <c r="X26" s="684"/>
      <c r="Y26" s="501"/>
      <c r="Z26" s="501"/>
      <c r="AA26" s="191"/>
      <c r="AB26" s="569"/>
      <c r="AC26" s="572"/>
      <c r="AD26" s="97"/>
      <c r="AE26" s="191"/>
      <c r="AF26" s="191"/>
    </row>
    <row r="27" spans="2:32" ht="18" customHeight="1" x14ac:dyDescent="0.3">
      <c r="B27" s="91"/>
      <c r="C27" s="319"/>
      <c r="D27" s="557" t="s">
        <v>806</v>
      </c>
      <c r="E27" s="557"/>
      <c r="F27" s="557"/>
      <c r="G27" s="557"/>
      <c r="H27" s="557"/>
      <c r="I27" s="557"/>
      <c r="J27" s="557"/>
      <c r="K27" s="557"/>
      <c r="L27" s="557"/>
      <c r="M27" s="557"/>
      <c r="N27" s="557"/>
      <c r="O27" s="557"/>
      <c r="P27" s="557"/>
      <c r="Q27" s="501"/>
      <c r="R27" s="191"/>
      <c r="S27" s="319"/>
      <c r="T27" s="685"/>
      <c r="U27" s="686"/>
      <c r="V27" s="686"/>
      <c r="W27" s="686"/>
      <c r="X27" s="687"/>
      <c r="Y27" s="501"/>
      <c r="Z27" s="501"/>
      <c r="AA27" s="191"/>
      <c r="AB27" s="569"/>
      <c r="AC27" s="572"/>
      <c r="AD27" s="97"/>
      <c r="AE27" s="191"/>
      <c r="AF27" s="191"/>
    </row>
    <row r="28" spans="2:32" ht="18" customHeight="1" x14ac:dyDescent="0.3">
      <c r="B28" s="91"/>
      <c r="C28" s="502"/>
      <c r="D28" s="503"/>
      <c r="E28" s="503"/>
      <c r="F28" s="503"/>
      <c r="G28" s="503"/>
      <c r="H28" s="503"/>
      <c r="I28" s="503"/>
      <c r="J28" s="503"/>
      <c r="K28" s="503"/>
      <c r="L28" s="503"/>
      <c r="M28" s="503"/>
      <c r="N28" s="503"/>
      <c r="O28" s="503"/>
      <c r="P28" s="503"/>
      <c r="Q28" s="504"/>
      <c r="R28" s="191"/>
      <c r="S28" s="502"/>
      <c r="T28" s="503"/>
      <c r="U28" s="503"/>
      <c r="V28" s="503"/>
      <c r="W28" s="503"/>
      <c r="X28" s="503"/>
      <c r="Y28" s="504"/>
      <c r="Z28" s="501"/>
      <c r="AA28" s="191"/>
      <c r="AB28" s="569"/>
      <c r="AC28" s="572"/>
      <c r="AD28" s="97"/>
      <c r="AE28" s="191"/>
      <c r="AF28" s="191"/>
    </row>
    <row r="29" spans="2:32" ht="18" customHeight="1" x14ac:dyDescent="0.3">
      <c r="B29" s="315"/>
      <c r="C29" s="503"/>
      <c r="D29" s="503"/>
      <c r="E29" s="503"/>
      <c r="F29" s="503"/>
      <c r="G29" s="503"/>
      <c r="H29" s="503"/>
      <c r="I29" s="503"/>
      <c r="J29" s="503"/>
      <c r="K29" s="503"/>
      <c r="L29" s="503"/>
      <c r="M29" s="503"/>
      <c r="N29" s="503"/>
      <c r="O29" s="503"/>
      <c r="P29" s="503"/>
      <c r="Q29" s="503"/>
      <c r="R29" s="503"/>
      <c r="S29" s="503"/>
      <c r="T29" s="503"/>
      <c r="U29" s="503"/>
      <c r="V29" s="503"/>
      <c r="W29" s="503"/>
      <c r="X29" s="503"/>
      <c r="Y29" s="503"/>
      <c r="Z29" s="504"/>
      <c r="AA29" s="191"/>
      <c r="AB29" s="570"/>
      <c r="AC29" s="573"/>
      <c r="AD29" s="98"/>
      <c r="AE29" s="191"/>
      <c r="AF29" s="191"/>
    </row>
    <row r="30" spans="2:32" ht="18" customHeight="1" x14ac:dyDescent="0.3">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3">
      <c r="B31" s="574"/>
      <c r="C31" s="575"/>
      <c r="D31" s="576" t="s">
        <v>738</v>
      </c>
      <c r="E31" s="575"/>
      <c r="F31" s="499"/>
      <c r="G31" s="499"/>
      <c r="H31" s="499"/>
      <c r="I31" s="499"/>
      <c r="J31" s="499"/>
      <c r="K31" s="499"/>
      <c r="L31" s="499"/>
      <c r="M31" s="499"/>
      <c r="N31" s="499"/>
      <c r="O31" s="499"/>
      <c r="P31" s="499"/>
      <c r="Q31" s="499"/>
      <c r="R31" s="499"/>
      <c r="S31" s="499"/>
      <c r="T31" s="499"/>
      <c r="U31" s="499"/>
      <c r="V31" s="499"/>
      <c r="W31" s="499"/>
      <c r="X31" s="499"/>
      <c r="Y31" s="499"/>
      <c r="Z31" s="499"/>
      <c r="AA31" s="499"/>
      <c r="AB31" s="499"/>
      <c r="AC31" s="499"/>
      <c r="AD31" s="500"/>
      <c r="AE31" s="191"/>
      <c r="AF31" s="191"/>
    </row>
    <row r="32" spans="2:32" ht="18" customHeight="1" x14ac:dyDescent="0.3">
      <c r="B32" s="319"/>
      <c r="C32" s="191"/>
      <c r="D32" s="191" t="s">
        <v>739</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501"/>
      <c r="AE32" s="191"/>
      <c r="AF32" s="191"/>
    </row>
    <row r="33" spans="2:32" ht="18" customHeight="1" x14ac:dyDescent="0.3">
      <c r="B33" s="319"/>
      <c r="C33" s="191"/>
      <c r="D33" s="191" t="s">
        <v>740</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501"/>
      <c r="AE33" s="191"/>
      <c r="AF33" s="191"/>
    </row>
    <row r="34" spans="2:32" ht="18" customHeight="1" x14ac:dyDescent="0.3">
      <c r="B34" s="319"/>
      <c r="C34" s="191"/>
      <c r="D34" s="191" t="s">
        <v>781</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501"/>
      <c r="AE34" s="191"/>
      <c r="AF34" s="191"/>
    </row>
    <row r="35" spans="2:32" ht="18" customHeight="1" x14ac:dyDescent="0.3">
      <c r="B35" s="502"/>
      <c r="C35" s="503"/>
      <c r="D35" s="503" t="s">
        <v>805</v>
      </c>
      <c r="E35" s="503"/>
      <c r="F35" s="503"/>
      <c r="G35" s="503"/>
      <c r="H35" s="503"/>
      <c r="I35" s="503"/>
      <c r="J35" s="503"/>
      <c r="K35" s="503"/>
      <c r="L35" s="503"/>
      <c r="M35" s="503"/>
      <c r="N35" s="503"/>
      <c r="O35" s="503"/>
      <c r="P35" s="503"/>
      <c r="Q35" s="503"/>
      <c r="R35" s="503"/>
      <c r="S35" s="503"/>
      <c r="T35" s="503"/>
      <c r="U35" s="503"/>
      <c r="V35" s="503"/>
      <c r="W35" s="503"/>
      <c r="X35" s="503"/>
      <c r="Y35" s="503"/>
      <c r="Z35" s="503"/>
      <c r="AA35" s="503"/>
      <c r="AB35" s="503"/>
      <c r="AC35" s="503"/>
      <c r="AD35" s="504"/>
      <c r="AE35" s="191"/>
      <c r="AF35" s="191"/>
    </row>
    <row r="36" spans="2:32" ht="18" customHeight="1" x14ac:dyDescent="0.3">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00000000000001" customHeight="1" x14ac:dyDescent="0.3">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00000000000001" customHeight="1" x14ac:dyDescent="0.3">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00000000000001" customHeight="1" x14ac:dyDescent="0.3">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00000000000001" customHeight="1" x14ac:dyDescent="0.3">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00000000000001" customHeight="1" x14ac:dyDescent="0.3">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AB2:AD2"/>
    <mergeCell ref="C3:Y5"/>
    <mergeCell ref="L18:P18"/>
    <mergeCell ref="T18:U18"/>
    <mergeCell ref="V18:X18"/>
    <mergeCell ref="D18:K18"/>
    <mergeCell ref="C15:E15"/>
    <mergeCell ref="F15:Y15"/>
    <mergeCell ref="T23:X23"/>
    <mergeCell ref="T24:X27"/>
    <mergeCell ref="T19:U19"/>
    <mergeCell ref="V19:X19"/>
    <mergeCell ref="T20:U20"/>
    <mergeCell ref="V20:X20"/>
    <mergeCell ref="T21:U21"/>
    <mergeCell ref="V21:X21"/>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A13" zoomScale="40" zoomScaleNormal="40" workbookViewId="0">
      <selection activeCell="C3" sqref="C3:K3"/>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2" customHeight="1" x14ac:dyDescent="0.3">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2" customHeight="1" x14ac:dyDescent="0.3">
      <c r="A3" s="83"/>
      <c r="B3" s="103"/>
      <c r="C3" s="750" t="s">
        <v>654</v>
      </c>
      <c r="D3" s="751"/>
      <c r="E3" s="751"/>
      <c r="F3" s="751"/>
      <c r="G3" s="751"/>
      <c r="H3" s="751"/>
      <c r="I3" s="751"/>
      <c r="J3" s="751"/>
      <c r="K3" s="752"/>
      <c r="L3" s="104"/>
      <c r="M3" s="83"/>
      <c r="N3" s="103"/>
      <c r="O3" s="744" t="str">
        <f>+E6&amp;" Diagram"</f>
        <v>Plant A Diagram</v>
      </c>
      <c r="P3" s="745"/>
      <c r="Q3" s="745"/>
      <c r="R3" s="745"/>
      <c r="S3" s="745"/>
      <c r="T3" s="745"/>
      <c r="U3" s="745"/>
      <c r="V3" s="745"/>
      <c r="W3" s="745"/>
      <c r="X3" s="745"/>
      <c r="Y3" s="745"/>
      <c r="Z3" s="745"/>
      <c r="AA3" s="746"/>
      <c r="AB3" s="104"/>
      <c r="AC3" s="83"/>
      <c r="AD3" s="83"/>
      <c r="AE3" s="739" t="str">
        <f>+E6&amp;" Stream Summary"</f>
        <v>Plant A Stream Summary</v>
      </c>
      <c r="AF3" s="739"/>
      <c r="AG3" s="739"/>
      <c r="AH3" s="541"/>
      <c r="AI3" s="541"/>
      <c r="AJ3" s="541"/>
      <c r="AK3" s="541"/>
      <c r="AL3" s="541"/>
      <c r="AM3" s="541"/>
      <c r="AN3" s="541"/>
      <c r="AO3" s="541"/>
      <c r="AP3" s="541"/>
      <c r="AQ3" s="541"/>
      <c r="AR3" s="541"/>
    </row>
    <row r="4" spans="1:62" ht="22.2" customHeight="1" x14ac:dyDescent="0.3">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2" customHeight="1" x14ac:dyDescent="0.3">
      <c r="A5" s="83"/>
      <c r="B5" s="103"/>
      <c r="C5" s="83"/>
      <c r="D5" s="755" t="s">
        <v>589</v>
      </c>
      <c r="E5" s="755"/>
      <c r="F5" s="83"/>
      <c r="I5" s="753" t="s">
        <v>267</v>
      </c>
      <c r="J5" s="754"/>
      <c r="K5" s="83"/>
      <c r="L5" s="104"/>
      <c r="M5" s="83"/>
      <c r="N5" s="103"/>
      <c r="O5" s="83"/>
      <c r="P5" s="83"/>
      <c r="Q5" s="83"/>
      <c r="R5" s="83"/>
      <c r="S5" s="83"/>
      <c r="T5" s="83"/>
      <c r="U5" s="83"/>
      <c r="V5" s="83"/>
      <c r="W5" s="83"/>
      <c r="X5" s="83"/>
      <c r="Y5" s="83"/>
      <c r="Z5" s="83"/>
      <c r="AA5" s="83"/>
      <c r="AB5" s="104"/>
      <c r="AC5" s="83"/>
      <c r="AE5" s="541"/>
      <c r="AF5" s="541"/>
      <c r="AG5" s="541"/>
      <c r="AH5" s="541"/>
      <c r="AI5" s="541"/>
      <c r="AJ5" s="541"/>
      <c r="AK5" s="541"/>
      <c r="AL5" s="541"/>
      <c r="AM5" s="541"/>
      <c r="AN5" s="541"/>
      <c r="AO5" s="541"/>
      <c r="AP5" s="541"/>
      <c r="AQ5" s="541"/>
      <c r="AR5" s="541"/>
    </row>
    <row r="6" spans="1:62" ht="22.2" customHeight="1" x14ac:dyDescent="0.3">
      <c r="A6" s="83"/>
      <c r="B6" s="103"/>
      <c r="C6" s="83"/>
      <c r="D6" s="423" t="s">
        <v>676</v>
      </c>
      <c r="E6" s="86" t="s">
        <v>677</v>
      </c>
      <c r="F6" s="83"/>
      <c r="I6" s="85"/>
      <c r="J6" s="314" t="s">
        <v>262</v>
      </c>
      <c r="K6" s="83"/>
      <c r="L6" s="104"/>
      <c r="M6" s="83"/>
      <c r="N6" s="103"/>
      <c r="O6" s="83"/>
      <c r="P6" s="83"/>
      <c r="Q6" s="83"/>
      <c r="R6" s="83"/>
      <c r="S6" s="83"/>
      <c r="T6" s="83"/>
      <c r="U6" s="83"/>
      <c r="V6" s="83"/>
      <c r="W6" s="83"/>
      <c r="X6" s="83"/>
      <c r="Y6" s="83"/>
      <c r="Z6" s="83"/>
      <c r="AA6" s="83"/>
      <c r="AB6" s="104"/>
      <c r="AC6" s="83"/>
      <c r="AD6" s="83"/>
      <c r="AE6" s="544" t="s">
        <v>729</v>
      </c>
      <c r="AF6" s="543" t="s">
        <v>727</v>
      </c>
      <c r="AG6" s="545" t="s">
        <v>728</v>
      </c>
      <c r="AH6" s="83"/>
      <c r="AI6" s="83"/>
      <c r="AJ6" s="83"/>
    </row>
    <row r="7" spans="1:62" ht="22.2" customHeight="1" x14ac:dyDescent="0.3">
      <c r="A7" s="83"/>
      <c r="B7" s="103"/>
      <c r="C7" s="83"/>
      <c r="D7" s="428" t="s">
        <v>472</v>
      </c>
      <c r="E7" s="457" t="s">
        <v>483</v>
      </c>
      <c r="F7" s="83"/>
      <c r="I7" s="95"/>
      <c r="J7" s="314" t="s">
        <v>263</v>
      </c>
      <c r="K7" s="83"/>
      <c r="L7" s="104"/>
      <c r="M7" s="83"/>
      <c r="N7" s="103"/>
      <c r="O7" s="83"/>
      <c r="P7" s="83"/>
      <c r="Q7" s="83"/>
      <c r="R7" s="83"/>
      <c r="S7" s="83"/>
      <c r="T7" s="83"/>
      <c r="U7" s="83"/>
      <c r="V7" s="83"/>
      <c r="W7" s="83"/>
      <c r="X7" s="83"/>
      <c r="Y7" s="83"/>
      <c r="Z7" s="83"/>
      <c r="AA7" s="83"/>
      <c r="AB7" s="104"/>
      <c r="AC7" s="83"/>
      <c r="AD7" s="83"/>
      <c r="AE7" s="546">
        <v>1</v>
      </c>
      <c r="AF7" s="540"/>
      <c r="AG7" s="540"/>
      <c r="AH7" s="83"/>
      <c r="AI7" s="83"/>
      <c r="AJ7" s="83"/>
    </row>
    <row r="8" spans="1:62" ht="22.2" customHeight="1" x14ac:dyDescent="0.3">
      <c r="A8" s="83"/>
      <c r="B8" s="103"/>
      <c r="C8" s="83"/>
      <c r="D8" s="428" t="s">
        <v>315</v>
      </c>
      <c r="E8" s="458">
        <v>2020</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2" customHeight="1" x14ac:dyDescent="0.3">
      <c r="A9" s="83"/>
      <c r="B9" s="103"/>
      <c r="C9" s="83"/>
      <c r="D9" s="428" t="s">
        <v>568</v>
      </c>
      <c r="E9" s="459" t="s">
        <v>452</v>
      </c>
      <c r="F9" s="83"/>
      <c r="I9" s="108"/>
      <c r="J9" s="300"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41"/>
      <c r="BE9" s="83"/>
      <c r="BF9" s="83"/>
      <c r="BG9" s="83"/>
      <c r="BH9" s="83"/>
      <c r="BI9" s="83"/>
      <c r="BJ9" s="83"/>
    </row>
    <row r="10" spans="1:62" ht="22.2" customHeight="1" x14ac:dyDescent="0.3">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41"/>
      <c r="AJ10" s="83"/>
      <c r="AM10" s="83"/>
      <c r="AN10" s="83"/>
      <c r="AT10" s="83"/>
      <c r="AU10" s="83"/>
      <c r="AV10" s="541"/>
      <c r="BB10" s="83"/>
      <c r="BC10" s="83"/>
      <c r="BD10" s="83"/>
      <c r="BE10" s="83"/>
    </row>
    <row r="11" spans="1:62" ht="22.2" customHeight="1" x14ac:dyDescent="0.3">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41"/>
      <c r="AY11" s="541"/>
      <c r="BA11" s="541"/>
      <c r="BB11" s="83"/>
      <c r="BC11" s="83"/>
      <c r="BD11" s="83"/>
      <c r="BE11" s="83"/>
    </row>
    <row r="12" spans="1:62" ht="22.2" customHeight="1" x14ac:dyDescent="0.3">
      <c r="A12" s="83"/>
      <c r="B12" s="103"/>
      <c r="C12" s="744" t="str">
        <f>+E6&amp;": Mass &amp; Energy Balance"</f>
        <v>Plant A: Mass &amp; Energy Balance</v>
      </c>
      <c r="D12" s="745"/>
      <c r="E12" s="745"/>
      <c r="F12" s="745"/>
      <c r="G12" s="745"/>
      <c r="H12" s="745"/>
      <c r="I12" s="745"/>
      <c r="J12" s="745"/>
      <c r="K12" s="746"/>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2" customHeight="1" x14ac:dyDescent="0.3">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2" customHeight="1" x14ac:dyDescent="0.3">
      <c r="A14" s="83"/>
      <c r="B14" s="103"/>
      <c r="C14" s="112"/>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2" customHeight="1" x14ac:dyDescent="0.3">
      <c r="A15" s="83"/>
      <c r="B15" s="103"/>
      <c r="C15" s="112"/>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2" customHeight="1" x14ac:dyDescent="0.3">
      <c r="A16" s="83"/>
      <c r="B16" s="103"/>
      <c r="C16" s="112"/>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2" customHeight="1" x14ac:dyDescent="0.3">
      <c r="A17" s="83"/>
      <c r="B17" s="103"/>
      <c r="C17" s="112"/>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2" customHeight="1" x14ac:dyDescent="0.3">
      <c r="A18" s="83"/>
      <c r="B18" s="103"/>
      <c r="C18" s="112"/>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2" customHeight="1" x14ac:dyDescent="0.3">
      <c r="A19" s="83"/>
      <c r="B19" s="103"/>
      <c r="C19" s="112"/>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2" customHeight="1" x14ac:dyDescent="0.3">
      <c r="A20" s="83"/>
      <c r="B20" s="103"/>
      <c r="C20" s="112"/>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2" customHeight="1" x14ac:dyDescent="0.3">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2" customHeight="1" x14ac:dyDescent="0.3">
      <c r="A22" s="83"/>
      <c r="B22" s="103"/>
      <c r="C22" s="112"/>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2" customHeight="1" x14ac:dyDescent="0.3">
      <c r="A23" s="83"/>
      <c r="B23" s="103"/>
      <c r="C23" s="135"/>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2" customHeight="1" x14ac:dyDescent="0.3">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2" customHeight="1" x14ac:dyDescent="0.3">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2" customHeight="1" x14ac:dyDescent="0.3">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2" customHeight="1" x14ac:dyDescent="0.3">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2" customHeight="1" x14ac:dyDescent="0.3">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2" customHeight="1" x14ac:dyDescent="0.3">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2" customHeight="1" x14ac:dyDescent="0.3">
      <c r="A30" s="83"/>
      <c r="B30" s="103"/>
      <c r="C30" s="135"/>
      <c r="D30" s="379"/>
      <c r="E30" s="154"/>
      <c r="F30" s="379"/>
      <c r="G30" s="539"/>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2" customHeight="1" x14ac:dyDescent="0.3">
      <c r="A31" s="83"/>
      <c r="B31" s="103"/>
      <c r="C31" s="135"/>
      <c r="D31" s="379"/>
      <c r="E31" s="423" t="s">
        <v>359</v>
      </c>
      <c r="F31" s="423" t="s">
        <v>662</v>
      </c>
      <c r="G31" s="423" t="s">
        <v>773</v>
      </c>
      <c r="H31" s="423" t="s">
        <v>776</v>
      </c>
      <c r="I31" s="423" t="s">
        <v>771</v>
      </c>
      <c r="J31" s="234" t="s">
        <v>772</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2" customHeight="1" x14ac:dyDescent="0.3">
      <c r="A32" s="83"/>
      <c r="B32" s="103"/>
      <c r="C32" s="135"/>
      <c r="D32" s="379"/>
      <c r="E32" s="86" t="s">
        <v>664</v>
      </c>
      <c r="F32" s="86"/>
      <c r="G32" s="86" t="s">
        <v>774</v>
      </c>
      <c r="H32" s="86" t="s">
        <v>775</v>
      </c>
      <c r="I32" s="86"/>
      <c r="J32" s="86" t="str">
        <f>G32&amp;"/"&amp;H32</f>
        <v>unit_P1/unit_P2</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2" customHeight="1" x14ac:dyDescent="0.3">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2" customHeight="1" x14ac:dyDescent="0.3">
      <c r="A34" s="83"/>
      <c r="B34" s="103"/>
      <c r="C34" s="744" t="str">
        <f>+E6&amp;": Environmental Performance"</f>
        <v>Plant A: Environmental Performance</v>
      </c>
      <c r="D34" s="745"/>
      <c r="E34" s="745"/>
      <c r="F34" s="745"/>
      <c r="G34" s="745"/>
      <c r="H34" s="745"/>
      <c r="I34" s="745"/>
      <c r="J34" s="745"/>
      <c r="K34" s="746"/>
      <c r="L34" s="104"/>
      <c r="M34" s="83"/>
      <c r="N34" s="112"/>
      <c r="O34" s="744" t="str">
        <f>+E6</f>
        <v>Plant A</v>
      </c>
      <c r="P34" s="745"/>
      <c r="Q34" s="745"/>
      <c r="R34" s="745"/>
      <c r="S34" s="745"/>
      <c r="T34" s="746"/>
      <c r="V34" s="744" t="s">
        <v>687</v>
      </c>
      <c r="W34" s="745"/>
      <c r="X34" s="745"/>
      <c r="Y34" s="745"/>
      <c r="Z34" s="745"/>
      <c r="AA34" s="746"/>
      <c r="AB34" s="104"/>
      <c r="AC34" s="83"/>
      <c r="AE34" s="83"/>
      <c r="AF34" s="83"/>
      <c r="AG34" s="83"/>
      <c r="AH34" s="83"/>
      <c r="AI34" s="83"/>
      <c r="AJ34" s="83"/>
      <c r="AK34" s="83"/>
      <c r="AL34" s="83"/>
      <c r="AO34" s="83"/>
      <c r="AP34" s="83"/>
    </row>
    <row r="35" spans="1:42" ht="22.2" customHeight="1" x14ac:dyDescent="0.3">
      <c r="A35" s="83"/>
      <c r="B35" s="103"/>
      <c r="C35" s="141"/>
      <c r="K35" s="305"/>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2" customHeight="1" x14ac:dyDescent="0.3">
      <c r="A36" s="83"/>
      <c r="B36" s="103"/>
      <c r="C36" s="112"/>
      <c r="K36" s="137"/>
      <c r="L36" s="104"/>
      <c r="M36" s="83"/>
      <c r="N36" s="103"/>
      <c r="O36" s="676" t="s">
        <v>575</v>
      </c>
      <c r="P36" s="677"/>
      <c r="Q36" s="677"/>
      <c r="R36" s="677"/>
      <c r="S36" s="677"/>
      <c r="T36" s="678"/>
      <c r="V36" s="456" t="s">
        <v>359</v>
      </c>
      <c r="W36" s="491" t="s">
        <v>584</v>
      </c>
      <c r="X36" s="756" t="s">
        <v>575</v>
      </c>
      <c r="Y36" s="756"/>
      <c r="Z36" s="756"/>
      <c r="AA36" s="757"/>
      <c r="AB36" s="104"/>
      <c r="AC36" s="83"/>
      <c r="AE36" s="83"/>
      <c r="AF36" s="83"/>
      <c r="AG36" s="83"/>
      <c r="AH36" s="83"/>
      <c r="AI36" s="83"/>
      <c r="AJ36" s="83"/>
      <c r="AK36" s="83"/>
      <c r="AL36" s="83"/>
      <c r="AO36" s="83"/>
      <c r="AP36" s="83"/>
    </row>
    <row r="37" spans="1:42" ht="22.2" customHeight="1" x14ac:dyDescent="0.3">
      <c r="A37" s="83"/>
      <c r="B37" s="103"/>
      <c r="C37" s="112"/>
      <c r="K37" s="137"/>
      <c r="L37" s="104"/>
      <c r="M37" s="83"/>
      <c r="N37" s="103"/>
      <c r="O37" s="679"/>
      <c r="P37" s="731"/>
      <c r="Q37" s="731"/>
      <c r="R37" s="731"/>
      <c r="S37" s="731"/>
      <c r="T37" s="732"/>
      <c r="U37" s="83"/>
      <c r="V37" s="299" t="s">
        <v>672</v>
      </c>
      <c r="W37" s="86" t="s">
        <v>240</v>
      </c>
      <c r="X37" s="740"/>
      <c r="Y37" s="740"/>
      <c r="Z37" s="740"/>
      <c r="AA37" s="741"/>
      <c r="AB37" s="104"/>
      <c r="AC37" s="83"/>
      <c r="AF37" s="83"/>
      <c r="AG37" s="83"/>
      <c r="AH37" s="83"/>
      <c r="AI37" s="83"/>
      <c r="AJ37" s="83"/>
      <c r="AK37" s="83"/>
      <c r="AL37" s="83"/>
      <c r="AO37" s="83"/>
      <c r="AP37" s="83"/>
    </row>
    <row r="38" spans="1:42" ht="22.2" customHeight="1" x14ac:dyDescent="0.3">
      <c r="A38" s="83"/>
      <c r="B38" s="103"/>
      <c r="C38" s="112"/>
      <c r="K38" s="137"/>
      <c r="L38" s="104"/>
      <c r="M38" s="83"/>
      <c r="N38" s="103"/>
      <c r="O38" s="733"/>
      <c r="P38" s="734"/>
      <c r="Q38" s="734"/>
      <c r="R38" s="734"/>
      <c r="S38" s="734"/>
      <c r="T38" s="735"/>
      <c r="U38" s="83"/>
      <c r="V38" s="299" t="s">
        <v>673</v>
      </c>
      <c r="W38" s="86" t="s">
        <v>449</v>
      </c>
      <c r="X38" s="740"/>
      <c r="Y38" s="740"/>
      <c r="Z38" s="740"/>
      <c r="AA38" s="741"/>
      <c r="AB38" s="104"/>
      <c r="AC38" s="83"/>
      <c r="AG38" s="83"/>
      <c r="AH38" s="83"/>
      <c r="AI38" s="83"/>
      <c r="AJ38" s="83"/>
      <c r="AK38" s="83"/>
      <c r="AL38" s="83"/>
      <c r="AO38" s="83"/>
      <c r="AP38" s="83"/>
    </row>
    <row r="39" spans="1:42" ht="22.2" customHeight="1" x14ac:dyDescent="0.3">
      <c r="A39" s="83"/>
      <c r="B39" s="103"/>
      <c r="C39" s="112"/>
      <c r="K39" s="137"/>
      <c r="L39" s="104"/>
      <c r="M39" s="83"/>
      <c r="N39" s="103"/>
      <c r="O39" s="733"/>
      <c r="P39" s="734"/>
      <c r="Q39" s="734"/>
      <c r="R39" s="734"/>
      <c r="S39" s="734"/>
      <c r="T39" s="735"/>
      <c r="U39" s="83"/>
      <c r="V39" s="299" t="s">
        <v>674</v>
      </c>
      <c r="W39" s="86" t="s">
        <v>450</v>
      </c>
      <c r="X39" s="742"/>
      <c r="Y39" s="742"/>
      <c r="Z39" s="742"/>
      <c r="AA39" s="743"/>
      <c r="AB39" s="104"/>
      <c r="AC39" s="83"/>
      <c r="AG39" s="83"/>
      <c r="AH39" s="83"/>
      <c r="AI39" s="83"/>
      <c r="AJ39" s="83"/>
      <c r="AK39" s="83"/>
      <c r="AL39" s="83"/>
      <c r="AO39" s="83"/>
      <c r="AP39" s="83"/>
    </row>
    <row r="40" spans="1:42" ht="22.2" customHeight="1" x14ac:dyDescent="0.3">
      <c r="A40" s="83"/>
      <c r="B40" s="103"/>
      <c r="C40" s="112"/>
      <c r="K40" s="137"/>
      <c r="L40" s="104"/>
      <c r="M40" s="83"/>
      <c r="N40" s="103"/>
      <c r="O40" s="733"/>
      <c r="P40" s="734"/>
      <c r="Q40" s="734"/>
      <c r="R40" s="734"/>
      <c r="S40" s="734"/>
      <c r="T40" s="735"/>
      <c r="U40" s="83"/>
      <c r="V40" s="299" t="s">
        <v>675</v>
      </c>
      <c r="W40" s="86" t="s">
        <v>451</v>
      </c>
      <c r="X40" s="740"/>
      <c r="Y40" s="740"/>
      <c r="Z40" s="740"/>
      <c r="AA40" s="741"/>
      <c r="AB40" s="104"/>
      <c r="AC40" s="83"/>
      <c r="AG40" s="83"/>
      <c r="AH40" s="83"/>
      <c r="AI40" s="83"/>
      <c r="AJ40" s="83"/>
      <c r="AK40" s="83"/>
      <c r="AL40" s="83"/>
      <c r="AO40" s="83"/>
      <c r="AP40" s="83"/>
    </row>
    <row r="41" spans="1:42" ht="22.2" customHeight="1" x14ac:dyDescent="0.3">
      <c r="A41" s="83"/>
      <c r="B41" s="103"/>
      <c r="C41" s="112"/>
      <c r="K41" s="137"/>
      <c r="L41" s="104"/>
      <c r="M41" s="83"/>
      <c r="N41" s="103"/>
      <c r="O41" s="733"/>
      <c r="P41" s="734"/>
      <c r="Q41" s="734"/>
      <c r="R41" s="734"/>
      <c r="S41" s="734"/>
      <c r="T41" s="735"/>
      <c r="U41" s="83"/>
      <c r="V41" s="301"/>
      <c r="W41" s="99"/>
      <c r="X41" s="742"/>
      <c r="Y41" s="742"/>
      <c r="Z41" s="742"/>
      <c r="AA41" s="743"/>
      <c r="AB41" s="538"/>
      <c r="AC41" s="83"/>
      <c r="AG41" s="83"/>
      <c r="AH41" s="83"/>
      <c r="AI41" s="83"/>
      <c r="AK41" s="83"/>
      <c r="AL41" s="83"/>
      <c r="AO41" s="83"/>
      <c r="AP41" s="83"/>
    </row>
    <row r="42" spans="1:42" ht="22.2" customHeight="1" x14ac:dyDescent="0.3">
      <c r="A42" s="83"/>
      <c r="B42" s="103"/>
      <c r="C42" s="135"/>
      <c r="K42" s="137"/>
      <c r="L42" s="104"/>
      <c r="M42" s="83"/>
      <c r="N42" s="103"/>
      <c r="O42" s="733"/>
      <c r="P42" s="734"/>
      <c r="Q42" s="734"/>
      <c r="R42" s="734"/>
      <c r="S42" s="734"/>
      <c r="T42" s="735"/>
      <c r="U42" s="83"/>
      <c r="V42" s="301"/>
      <c r="W42" s="99"/>
      <c r="X42" s="742"/>
      <c r="Y42" s="742"/>
      <c r="Z42" s="742"/>
      <c r="AA42" s="743"/>
      <c r="AB42" s="104"/>
      <c r="AC42" s="83"/>
      <c r="AG42" s="83"/>
      <c r="AH42" s="83"/>
      <c r="AI42" s="83"/>
      <c r="AK42" s="83"/>
      <c r="AL42" s="83"/>
      <c r="AM42" s="83"/>
      <c r="AO42" s="83"/>
      <c r="AP42" s="83"/>
    </row>
    <row r="43" spans="1:42" ht="22.2" customHeight="1" x14ac:dyDescent="0.3">
      <c r="A43" s="83"/>
      <c r="B43" s="103"/>
      <c r="C43" s="135"/>
      <c r="K43" s="137"/>
      <c r="L43" s="104"/>
      <c r="M43" s="83"/>
      <c r="N43" s="103"/>
      <c r="O43" s="733"/>
      <c r="P43" s="734"/>
      <c r="Q43" s="734"/>
      <c r="R43" s="734"/>
      <c r="S43" s="734"/>
      <c r="T43" s="735"/>
      <c r="U43" s="83"/>
      <c r="V43" s="301"/>
      <c r="W43" s="99"/>
      <c r="X43" s="742"/>
      <c r="Y43" s="742"/>
      <c r="Z43" s="742"/>
      <c r="AA43" s="743"/>
      <c r="AB43" s="104"/>
      <c r="AC43" s="83"/>
      <c r="AG43" s="83"/>
      <c r="AH43" s="83"/>
      <c r="AI43" s="83"/>
      <c r="AK43" s="83"/>
      <c r="AL43" s="83"/>
      <c r="AM43" s="83"/>
      <c r="AN43" s="83"/>
      <c r="AO43" s="83"/>
      <c r="AP43" s="83"/>
    </row>
    <row r="44" spans="1:42" ht="22.2" customHeight="1" x14ac:dyDescent="0.3">
      <c r="A44" s="83"/>
      <c r="B44" s="103"/>
      <c r="C44" s="135"/>
      <c r="K44" s="137"/>
      <c r="L44" s="104"/>
      <c r="M44" s="83"/>
      <c r="N44" s="103"/>
      <c r="O44" s="733"/>
      <c r="P44" s="734"/>
      <c r="Q44" s="734"/>
      <c r="R44" s="734"/>
      <c r="S44" s="734"/>
      <c r="T44" s="735"/>
      <c r="U44" s="83"/>
      <c r="V44" s="301"/>
      <c r="W44" s="99"/>
      <c r="X44" s="742"/>
      <c r="Y44" s="742"/>
      <c r="Z44" s="742"/>
      <c r="AA44" s="743"/>
      <c r="AB44" s="104"/>
      <c r="AC44" s="83"/>
      <c r="AG44" s="83"/>
      <c r="AI44" s="83"/>
      <c r="AK44" s="83"/>
      <c r="AM44" s="83"/>
      <c r="AN44" s="83"/>
      <c r="AO44" s="83"/>
      <c r="AP44" s="83"/>
    </row>
    <row r="45" spans="1:42" ht="22.2" customHeight="1" x14ac:dyDescent="0.3">
      <c r="A45" s="83"/>
      <c r="B45" s="103"/>
      <c r="C45" s="135"/>
      <c r="K45" s="137"/>
      <c r="L45" s="104"/>
      <c r="M45" s="83"/>
      <c r="N45" s="103"/>
      <c r="O45" s="733"/>
      <c r="P45" s="734"/>
      <c r="Q45" s="734"/>
      <c r="R45" s="734"/>
      <c r="S45" s="734"/>
      <c r="T45" s="735"/>
      <c r="U45" s="83"/>
      <c r="V45" s="301"/>
      <c r="W45" s="99"/>
      <c r="X45" s="742"/>
      <c r="Y45" s="742"/>
      <c r="Z45" s="742"/>
      <c r="AA45" s="743"/>
      <c r="AB45" s="104"/>
      <c r="AC45" s="83"/>
      <c r="AG45" s="83"/>
      <c r="AM45" s="83"/>
      <c r="AN45" s="83"/>
      <c r="AO45" s="83"/>
      <c r="AP45" s="83"/>
    </row>
    <row r="46" spans="1:42" ht="22.2" customHeight="1" x14ac:dyDescent="0.3">
      <c r="A46" s="83"/>
      <c r="B46" s="103"/>
      <c r="C46" s="135"/>
      <c r="K46" s="137"/>
      <c r="L46" s="104"/>
      <c r="M46" s="83"/>
      <c r="N46" s="103"/>
      <c r="O46" s="733"/>
      <c r="P46" s="734"/>
      <c r="Q46" s="734"/>
      <c r="R46" s="734"/>
      <c r="S46" s="734"/>
      <c r="T46" s="735"/>
      <c r="U46" s="83"/>
      <c r="V46" s="301"/>
      <c r="W46" s="99"/>
      <c r="X46" s="378"/>
      <c r="Y46" s="378"/>
      <c r="Z46" s="378"/>
      <c r="AA46" s="104"/>
      <c r="AB46" s="104"/>
      <c r="AC46" s="83"/>
      <c r="AG46" s="83"/>
      <c r="AM46" s="83"/>
      <c r="AN46" s="83"/>
      <c r="AO46" s="83"/>
      <c r="AP46" s="83"/>
    </row>
    <row r="47" spans="1:42" ht="22.2" customHeight="1" x14ac:dyDescent="0.3">
      <c r="A47" s="83"/>
      <c r="B47" s="103"/>
      <c r="C47" s="135"/>
      <c r="K47" s="137"/>
      <c r="L47" s="104"/>
      <c r="M47" s="83"/>
      <c r="N47" s="103"/>
      <c r="O47" s="733"/>
      <c r="P47" s="734"/>
      <c r="Q47" s="734"/>
      <c r="R47" s="734"/>
      <c r="S47" s="734"/>
      <c r="T47" s="735"/>
      <c r="U47" s="83"/>
      <c r="V47" s="301"/>
      <c r="W47" s="99"/>
      <c r="X47" s="378"/>
      <c r="Y47" s="378"/>
      <c r="Z47" s="378"/>
      <c r="AA47" s="104"/>
      <c r="AB47" s="104"/>
      <c r="AC47" s="83"/>
      <c r="AG47" s="83"/>
      <c r="AM47" s="83"/>
      <c r="AN47" s="83"/>
      <c r="AO47" s="83"/>
      <c r="AP47" s="83"/>
    </row>
    <row r="48" spans="1:42" ht="22.2" customHeight="1" x14ac:dyDescent="0.3">
      <c r="A48" s="83"/>
      <c r="B48" s="103"/>
      <c r="C48" s="135"/>
      <c r="K48" s="137"/>
      <c r="L48" s="104"/>
      <c r="M48" s="83"/>
      <c r="N48" s="103"/>
      <c r="O48" s="733"/>
      <c r="P48" s="734"/>
      <c r="Q48" s="734"/>
      <c r="R48" s="734"/>
      <c r="S48" s="734"/>
      <c r="T48" s="735"/>
      <c r="U48" s="83"/>
      <c r="V48" s="301"/>
      <c r="W48" s="99"/>
      <c r="X48" s="378"/>
      <c r="Y48" s="378"/>
      <c r="Z48" s="378"/>
      <c r="AA48" s="104"/>
      <c r="AB48" s="104"/>
      <c r="AC48" s="83"/>
      <c r="AG48" s="83"/>
      <c r="AM48" s="83"/>
      <c r="AN48" s="83"/>
      <c r="AO48" s="83"/>
      <c r="AP48" s="83"/>
    </row>
    <row r="49" spans="1:42" ht="22.2" customHeight="1" x14ac:dyDescent="0.3">
      <c r="A49" s="83"/>
      <c r="B49" s="103"/>
      <c r="C49" s="135"/>
      <c r="K49" s="137"/>
      <c r="L49" s="104"/>
      <c r="M49" s="83"/>
      <c r="N49" s="103"/>
      <c r="O49" s="733"/>
      <c r="P49" s="734"/>
      <c r="Q49" s="734"/>
      <c r="R49" s="734"/>
      <c r="S49" s="734"/>
      <c r="T49" s="735"/>
      <c r="U49" s="83"/>
      <c r="V49" s="301"/>
      <c r="W49" s="99"/>
      <c r="X49" s="378"/>
      <c r="Y49" s="378"/>
      <c r="Z49" s="378"/>
      <c r="AA49" s="104"/>
      <c r="AB49" s="104"/>
      <c r="AC49" s="83"/>
      <c r="AG49" s="83"/>
      <c r="AM49" s="83"/>
      <c r="AN49" s="83"/>
      <c r="AO49" s="83"/>
      <c r="AP49" s="83"/>
    </row>
    <row r="50" spans="1:42" ht="22.2" customHeight="1" x14ac:dyDescent="0.3">
      <c r="A50" s="83"/>
      <c r="B50" s="103"/>
      <c r="C50" s="135"/>
      <c r="K50" s="137"/>
      <c r="L50" s="104"/>
      <c r="M50" s="83"/>
      <c r="N50" s="103"/>
      <c r="O50" s="733"/>
      <c r="P50" s="734"/>
      <c r="Q50" s="734"/>
      <c r="R50" s="734"/>
      <c r="S50" s="734"/>
      <c r="T50" s="735"/>
      <c r="U50" s="83"/>
      <c r="V50" s="301"/>
      <c r="W50" s="99"/>
      <c r="X50" s="378"/>
      <c r="Y50" s="378"/>
      <c r="Z50" s="378"/>
      <c r="AA50" s="104"/>
      <c r="AB50" s="104"/>
      <c r="AC50" s="83"/>
      <c r="AG50" s="83"/>
      <c r="AM50" s="83"/>
      <c r="AN50" s="83"/>
      <c r="AO50" s="83"/>
      <c r="AP50" s="83"/>
    </row>
    <row r="51" spans="1:42" ht="22.2" customHeight="1" x14ac:dyDescent="0.3">
      <c r="A51" s="83"/>
      <c r="B51" s="103"/>
      <c r="C51" s="135"/>
      <c r="D51" s="539"/>
      <c r="E51" s="423" t="s">
        <v>359</v>
      </c>
      <c r="F51" s="423" t="s">
        <v>662</v>
      </c>
      <c r="G51" s="423" t="s">
        <v>235</v>
      </c>
      <c r="H51" s="423" t="s">
        <v>776</v>
      </c>
      <c r="I51" s="423" t="s">
        <v>771</v>
      </c>
      <c r="J51" s="234" t="s">
        <v>772</v>
      </c>
      <c r="K51" s="137"/>
      <c r="L51" s="104"/>
      <c r="M51" s="83"/>
      <c r="N51" s="103"/>
      <c r="O51" s="733"/>
      <c r="P51" s="734"/>
      <c r="Q51" s="734"/>
      <c r="R51" s="734"/>
      <c r="S51" s="734"/>
      <c r="T51" s="735"/>
      <c r="U51" s="83"/>
      <c r="V51" s="301"/>
      <c r="W51" s="99"/>
      <c r="X51" s="378"/>
      <c r="Y51" s="378"/>
      <c r="Z51" s="378"/>
      <c r="AA51" s="104"/>
      <c r="AB51" s="104"/>
      <c r="AC51" s="83"/>
      <c r="AG51" s="83"/>
      <c r="AM51" s="83"/>
      <c r="AN51" s="83"/>
      <c r="AO51" s="83"/>
      <c r="AP51" s="83"/>
    </row>
    <row r="52" spans="1:42" ht="22.2" customHeight="1" x14ac:dyDescent="0.3">
      <c r="A52" s="83"/>
      <c r="B52" s="103"/>
      <c r="C52" s="135"/>
      <c r="D52" s="539"/>
      <c r="E52" s="86" t="s">
        <v>663</v>
      </c>
      <c r="F52" s="86"/>
      <c r="G52" s="86" t="s">
        <v>778</v>
      </c>
      <c r="H52" s="86" t="s">
        <v>777</v>
      </c>
      <c r="I52" s="86"/>
      <c r="J52" s="86" t="str">
        <f>G52&amp;"/"&amp;H52</f>
        <v>unit_E1/unit_E2</v>
      </c>
      <c r="K52" s="137"/>
      <c r="L52" s="104"/>
      <c r="M52" s="83"/>
      <c r="N52" s="103"/>
      <c r="O52" s="736"/>
      <c r="P52" s="737"/>
      <c r="Q52" s="737"/>
      <c r="R52" s="737"/>
      <c r="S52" s="737"/>
      <c r="T52" s="738"/>
      <c r="U52" s="83"/>
      <c r="V52" s="105"/>
      <c r="W52" s="173"/>
      <c r="X52" s="106"/>
      <c r="Y52" s="106"/>
      <c r="Z52" s="106"/>
      <c r="AA52" s="107"/>
      <c r="AB52" s="104"/>
      <c r="AC52" s="83"/>
      <c r="AG52" s="83"/>
      <c r="AM52" s="83"/>
      <c r="AN52" s="83"/>
      <c r="AO52" s="83"/>
      <c r="AP52" s="83"/>
    </row>
    <row r="53" spans="1:42" ht="22.2" customHeight="1" x14ac:dyDescent="0.3">
      <c r="A53" s="83"/>
      <c r="B53" s="103"/>
      <c r="C53" s="136"/>
      <c r="D53" s="138"/>
      <c r="E53" s="138"/>
      <c r="F53" s="138"/>
      <c r="G53" s="138"/>
      <c r="H53" s="138"/>
      <c r="I53" s="138"/>
      <c r="J53" s="138"/>
      <c r="K53" s="139"/>
      <c r="L53" s="104"/>
      <c r="M53" s="83"/>
      <c r="N53" s="103"/>
      <c r="O53" s="394"/>
      <c r="P53" s="394"/>
      <c r="Q53" s="394"/>
      <c r="R53" s="394"/>
      <c r="S53" s="394"/>
      <c r="T53" s="394"/>
      <c r="U53" s="83"/>
      <c r="AB53" s="104"/>
      <c r="AC53" s="83"/>
      <c r="AG53" s="83"/>
      <c r="AM53" s="83"/>
      <c r="AN53" s="83"/>
      <c r="AO53" s="83"/>
      <c r="AP53" s="83"/>
    </row>
    <row r="54" spans="1:42" ht="22.2" customHeight="1" x14ac:dyDescent="0.3">
      <c r="A54" s="83"/>
      <c r="B54" s="103"/>
      <c r="C54" s="744" t="str">
        <f>+E6&amp;" Fuel / Raw Materials"</f>
        <v>Plant A Fuel / Raw Materials</v>
      </c>
      <c r="D54" s="745"/>
      <c r="E54" s="745"/>
      <c r="F54" s="745"/>
      <c r="G54" s="745"/>
      <c r="H54" s="745"/>
      <c r="I54" s="745"/>
      <c r="J54" s="745"/>
      <c r="K54" s="746"/>
      <c r="L54" s="104"/>
      <c r="M54" s="83"/>
      <c r="N54" s="103"/>
      <c r="O54" s="747" t="s">
        <v>723</v>
      </c>
      <c r="P54" s="748"/>
      <c r="Q54" s="748"/>
      <c r="R54" s="748"/>
      <c r="S54" s="748"/>
      <c r="T54" s="749"/>
      <c r="U54" s="83"/>
      <c r="V54" s="750" t="s">
        <v>731</v>
      </c>
      <c r="W54" s="751"/>
      <c r="X54" s="751"/>
      <c r="Y54" s="751"/>
      <c r="Z54" s="751"/>
      <c r="AA54" s="752"/>
      <c r="AB54" s="104"/>
      <c r="AC54" s="83"/>
      <c r="AE54" s="83"/>
      <c r="AG54" s="83"/>
      <c r="AM54" s="83"/>
      <c r="AN54" s="83"/>
      <c r="AO54" s="83"/>
      <c r="AP54" s="83"/>
    </row>
    <row r="55" spans="1:42" ht="22.2" customHeight="1" x14ac:dyDescent="0.3">
      <c r="A55" s="83"/>
      <c r="B55" s="103"/>
      <c r="C55" s="141"/>
      <c r="K55" s="305"/>
      <c r="L55" s="104"/>
      <c r="M55" s="83"/>
      <c r="N55" s="103"/>
      <c r="O55" s="466"/>
      <c r="P55" s="273"/>
      <c r="Q55" s="273"/>
      <c r="R55" s="273"/>
      <c r="S55" s="273"/>
      <c r="T55" s="113"/>
      <c r="U55" s="83"/>
      <c r="V55" s="466"/>
      <c r="W55" s="273"/>
      <c r="X55" s="273"/>
      <c r="Y55" s="273"/>
      <c r="Z55" s="273"/>
      <c r="AA55" s="113"/>
      <c r="AB55" s="104"/>
      <c r="AC55" s="83"/>
      <c r="AD55" s="83"/>
      <c r="AE55" s="83"/>
      <c r="AF55" s="83"/>
      <c r="AG55" s="83"/>
      <c r="AM55" s="83"/>
      <c r="AN55" s="83"/>
      <c r="AO55" s="83"/>
      <c r="AP55" s="83"/>
    </row>
    <row r="56" spans="1:42" ht="22.2" customHeight="1" x14ac:dyDescent="0.3">
      <c r="A56" s="83"/>
      <c r="B56" s="91"/>
      <c r="C56" s="112"/>
      <c r="K56" s="137"/>
      <c r="L56" s="104"/>
      <c r="M56" s="83"/>
      <c r="N56" s="91"/>
      <c r="O56" s="317"/>
      <c r="P56" s="717" t="s">
        <v>751</v>
      </c>
      <c r="Q56" s="718"/>
      <c r="R56" s="719"/>
      <c r="S56" s="547"/>
      <c r="T56" s="309"/>
      <c r="U56" s="83"/>
      <c r="V56" s="103"/>
      <c r="W56" s="83"/>
      <c r="X56" s="83"/>
      <c r="Y56" s="83"/>
      <c r="Z56" s="83"/>
      <c r="AA56" s="104"/>
      <c r="AB56" s="104"/>
      <c r="AC56" s="83"/>
      <c r="AD56" s="83"/>
      <c r="AE56" s="83"/>
      <c r="AF56" s="83"/>
      <c r="AG56" s="83"/>
      <c r="AM56" s="83"/>
      <c r="AN56" s="83"/>
      <c r="AO56" s="83"/>
      <c r="AP56" s="83"/>
    </row>
    <row r="57" spans="1:42" ht="22.2" customHeight="1" x14ac:dyDescent="0.3">
      <c r="A57" s="83"/>
      <c r="B57" s="91"/>
      <c r="C57" s="112"/>
      <c r="K57" s="137"/>
      <c r="L57" s="104"/>
      <c r="M57" s="83"/>
      <c r="N57" s="103"/>
      <c r="O57" s="91"/>
      <c r="P57" s="720"/>
      <c r="Q57" s="721"/>
      <c r="R57" s="722"/>
      <c r="S57" s="548"/>
      <c r="T57" s="84"/>
      <c r="U57" s="83"/>
      <c r="V57" s="103"/>
      <c r="W57" s="726" t="s">
        <v>724</v>
      </c>
      <c r="X57" s="726"/>
      <c r="Y57" s="726"/>
      <c r="Z57" s="425" t="s">
        <v>342</v>
      </c>
      <c r="AA57" s="104"/>
      <c r="AB57" s="104"/>
      <c r="AC57" s="83"/>
      <c r="AD57" s="83"/>
      <c r="AE57" s="83"/>
      <c r="AF57" s="83"/>
      <c r="AG57" s="83"/>
      <c r="AM57" s="83"/>
      <c r="AN57" s="83"/>
      <c r="AO57" s="83"/>
      <c r="AP57" s="83"/>
    </row>
    <row r="58" spans="1:42" ht="22.2" customHeight="1" x14ac:dyDescent="0.3">
      <c r="A58" s="83"/>
      <c r="B58" s="91"/>
      <c r="C58" s="112"/>
      <c r="K58" s="137"/>
      <c r="L58" s="104"/>
      <c r="M58" s="83"/>
      <c r="N58" s="103"/>
      <c r="O58" s="91"/>
      <c r="T58" s="84"/>
      <c r="U58" s="83"/>
      <c r="V58" s="103"/>
      <c r="W58" s="727" t="s">
        <v>573</v>
      </c>
      <c r="X58" s="547"/>
      <c r="Y58" s="729" t="s">
        <v>574</v>
      </c>
      <c r="Z58" s="775">
        <v>1</v>
      </c>
      <c r="AA58" s="104"/>
      <c r="AB58" s="104"/>
      <c r="AC58" s="83"/>
      <c r="AD58" s="83"/>
      <c r="AE58" s="83"/>
      <c r="AF58" s="83"/>
      <c r="AG58" s="83"/>
      <c r="AM58" s="83"/>
      <c r="AN58" s="83"/>
      <c r="AO58" s="83"/>
      <c r="AP58" s="83"/>
    </row>
    <row r="59" spans="1:42" ht="22.2" customHeight="1" x14ac:dyDescent="0.3">
      <c r="A59" s="83"/>
      <c r="B59" s="91"/>
      <c r="C59" s="112"/>
      <c r="K59" s="137"/>
      <c r="L59" s="104"/>
      <c r="M59" s="83"/>
      <c r="N59" s="103"/>
      <c r="O59" s="91"/>
      <c r="P59" s="717" t="s">
        <v>752</v>
      </c>
      <c r="Q59" s="718"/>
      <c r="R59" s="719"/>
      <c r="S59" s="547"/>
      <c r="T59" s="84"/>
      <c r="U59" s="83"/>
      <c r="V59" s="103"/>
      <c r="W59" s="728"/>
      <c r="X59" s="548"/>
      <c r="Y59" s="730"/>
      <c r="Z59" s="776"/>
      <c r="AA59" s="104"/>
      <c r="AB59" s="104"/>
      <c r="AC59" s="83"/>
      <c r="AD59" s="83"/>
      <c r="AE59" s="83"/>
      <c r="AF59" s="83"/>
      <c r="AG59" s="83"/>
      <c r="AM59" s="83"/>
      <c r="AN59" s="83"/>
      <c r="AO59" s="83"/>
      <c r="AP59" s="83"/>
    </row>
    <row r="60" spans="1:42" ht="22.2" customHeight="1" x14ac:dyDescent="0.3">
      <c r="A60" s="83"/>
      <c r="B60" s="91"/>
      <c r="C60" s="112"/>
      <c r="K60" s="137"/>
      <c r="L60" s="104"/>
      <c r="M60" s="83"/>
      <c r="N60" s="103"/>
      <c r="O60" s="91"/>
      <c r="P60" s="720"/>
      <c r="Q60" s="721"/>
      <c r="R60" s="722"/>
      <c r="S60" s="548"/>
      <c r="T60" s="84"/>
      <c r="U60" s="83"/>
      <c r="V60" s="103"/>
      <c r="AA60" s="104"/>
      <c r="AB60" s="104"/>
      <c r="AC60" s="83"/>
      <c r="AD60" s="83"/>
      <c r="AE60" s="83"/>
      <c r="AF60" s="83"/>
      <c r="AM60" s="83"/>
      <c r="AN60" s="83"/>
      <c r="AO60" s="83"/>
      <c r="AP60" s="83"/>
    </row>
    <row r="61" spans="1:42" ht="22.2" customHeight="1" x14ac:dyDescent="0.3">
      <c r="A61" s="83"/>
      <c r="B61" s="91"/>
      <c r="C61" s="112"/>
      <c r="K61" s="137"/>
      <c r="L61" s="104"/>
      <c r="M61" s="83"/>
      <c r="N61" s="103"/>
      <c r="O61" s="91"/>
      <c r="T61" s="84"/>
      <c r="U61" s="83"/>
      <c r="V61" s="103"/>
      <c r="W61" s="723" t="s">
        <v>726</v>
      </c>
      <c r="X61" s="724"/>
      <c r="Y61" s="725"/>
      <c r="Z61" s="419" t="s">
        <v>342</v>
      </c>
      <c r="AA61" s="104"/>
      <c r="AB61" s="104"/>
      <c r="AC61" s="83"/>
      <c r="AD61" s="83"/>
      <c r="AF61" s="83"/>
      <c r="AM61" s="83"/>
      <c r="AN61" s="83"/>
      <c r="AO61" s="83"/>
      <c r="AP61" s="83"/>
    </row>
    <row r="62" spans="1:42" ht="22.2" customHeight="1" x14ac:dyDescent="0.3">
      <c r="A62" s="83"/>
      <c r="B62" s="91"/>
      <c r="C62" s="135"/>
      <c r="K62" s="137"/>
      <c r="L62" s="104"/>
      <c r="M62" s="83"/>
      <c r="N62" s="103"/>
      <c r="O62" s="91"/>
      <c r="P62" s="769" t="s">
        <v>753</v>
      </c>
      <c r="Q62" s="770"/>
      <c r="R62" s="771"/>
      <c r="S62" s="547"/>
      <c r="T62" s="84"/>
      <c r="U62" s="83"/>
      <c r="V62" s="103"/>
      <c r="W62" s="727" t="str">
        <f>+W58</f>
        <v>ADD</v>
      </c>
      <c r="X62" s="764"/>
      <c r="Y62" s="729" t="str">
        <f>+Y58</f>
        <v>REMOVE</v>
      </c>
      <c r="Z62" s="775">
        <v>1</v>
      </c>
      <c r="AA62" s="104"/>
      <c r="AB62" s="104"/>
      <c r="AC62" s="83"/>
      <c r="AD62" s="83"/>
      <c r="AM62" s="83"/>
      <c r="AN62" s="83"/>
      <c r="AO62" s="83"/>
      <c r="AP62" s="83"/>
    </row>
    <row r="63" spans="1:42" ht="22.2" customHeight="1" x14ac:dyDescent="0.3">
      <c r="A63" s="83"/>
      <c r="B63" s="91"/>
      <c r="C63" s="135"/>
      <c r="K63" s="137"/>
      <c r="L63" s="104"/>
      <c r="M63" s="83"/>
      <c r="N63" s="103"/>
      <c r="O63" s="91"/>
      <c r="P63" s="772"/>
      <c r="Q63" s="773"/>
      <c r="R63" s="774"/>
      <c r="S63" s="548"/>
      <c r="T63" s="84"/>
      <c r="U63" s="83"/>
      <c r="V63" s="103"/>
      <c r="W63" s="728"/>
      <c r="X63" s="765"/>
      <c r="Y63" s="730"/>
      <c r="Z63" s="776"/>
      <c r="AA63" s="104"/>
      <c r="AB63" s="104"/>
      <c r="AC63" s="83"/>
      <c r="AD63" s="83"/>
      <c r="AM63" s="83"/>
      <c r="AN63" s="83"/>
      <c r="AO63" s="83"/>
      <c r="AP63" s="83"/>
    </row>
    <row r="64" spans="1:42" ht="22.2" customHeight="1" x14ac:dyDescent="0.3">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2" customHeight="1" x14ac:dyDescent="0.3">
      <c r="A65" s="83"/>
      <c r="B65" s="91"/>
      <c r="C65" s="135"/>
      <c r="K65" s="137"/>
      <c r="L65" s="104"/>
      <c r="M65" s="83"/>
      <c r="N65" s="103"/>
      <c r="O65" s="91"/>
      <c r="P65" s="717" t="s">
        <v>754</v>
      </c>
      <c r="Q65" s="718"/>
      <c r="R65" s="719"/>
      <c r="S65" s="547"/>
      <c r="T65" s="84"/>
      <c r="U65" s="83"/>
      <c r="V65" s="103"/>
      <c r="W65" s="723" t="s">
        <v>725</v>
      </c>
      <c r="X65" s="724"/>
      <c r="Y65" s="725"/>
      <c r="Z65" s="419" t="s">
        <v>342</v>
      </c>
      <c r="AA65" s="104"/>
      <c r="AB65" s="104"/>
      <c r="AC65" s="83"/>
      <c r="AD65" s="83"/>
      <c r="AM65" s="83"/>
      <c r="AN65" s="83"/>
      <c r="AO65" s="83"/>
      <c r="AP65" s="83"/>
    </row>
    <row r="66" spans="1:42" ht="22.2" customHeight="1" x14ac:dyDescent="0.3">
      <c r="A66" s="83"/>
      <c r="B66" s="91"/>
      <c r="C66" s="135"/>
      <c r="K66" s="137"/>
      <c r="L66" s="104"/>
      <c r="M66" s="83"/>
      <c r="N66" s="103"/>
      <c r="O66" s="91"/>
      <c r="P66" s="720"/>
      <c r="Q66" s="721"/>
      <c r="R66" s="722"/>
      <c r="S66" s="548"/>
      <c r="T66" s="84"/>
      <c r="U66" s="83"/>
      <c r="V66" s="103"/>
      <c r="W66" s="727" t="str">
        <f>+W62</f>
        <v>ADD</v>
      </c>
      <c r="X66" s="764"/>
      <c r="Y66" s="729" t="str">
        <f>+Y62</f>
        <v>REMOVE</v>
      </c>
      <c r="Z66" s="775">
        <v>1</v>
      </c>
      <c r="AA66" s="104"/>
      <c r="AB66" s="104"/>
      <c r="AC66" s="83"/>
      <c r="AD66" s="83"/>
      <c r="AM66" s="83"/>
      <c r="AN66" s="83"/>
      <c r="AO66" s="83"/>
      <c r="AP66" s="83"/>
    </row>
    <row r="67" spans="1:42" ht="22.2" customHeight="1" x14ac:dyDescent="0.3">
      <c r="A67" s="83"/>
      <c r="B67" s="91"/>
      <c r="C67" s="135"/>
      <c r="K67" s="137"/>
      <c r="L67" s="104"/>
      <c r="M67" s="83"/>
      <c r="N67" s="103"/>
      <c r="O67" s="589"/>
      <c r="T67" s="84"/>
      <c r="U67" s="83"/>
      <c r="V67" s="103"/>
      <c r="W67" s="728"/>
      <c r="X67" s="765"/>
      <c r="Y67" s="730"/>
      <c r="Z67" s="776"/>
      <c r="AA67" s="104"/>
      <c r="AB67" s="104"/>
      <c r="AC67" s="83"/>
      <c r="AD67" s="83"/>
      <c r="AM67" s="83"/>
      <c r="AN67" s="83"/>
      <c r="AO67" s="83"/>
      <c r="AP67" s="83"/>
    </row>
    <row r="68" spans="1:42" ht="22.2" customHeight="1" x14ac:dyDescent="0.3">
      <c r="A68" s="83"/>
      <c r="B68" s="91"/>
      <c r="C68" s="135"/>
      <c r="K68" s="137"/>
      <c r="L68" s="104"/>
      <c r="M68" s="83"/>
      <c r="N68" s="103"/>
      <c r="O68" s="589"/>
      <c r="P68" s="717" t="s">
        <v>755</v>
      </c>
      <c r="Q68" s="718"/>
      <c r="R68" s="719"/>
      <c r="S68" s="767"/>
      <c r="T68" s="84"/>
      <c r="U68" s="83"/>
      <c r="V68" s="103"/>
      <c r="AA68" s="104"/>
      <c r="AB68" s="104"/>
      <c r="AC68" s="83"/>
      <c r="AD68" s="83"/>
      <c r="AM68" s="83"/>
      <c r="AN68" s="83"/>
      <c r="AO68" s="83"/>
      <c r="AP68" s="83"/>
    </row>
    <row r="69" spans="1:42" ht="22.2" customHeight="1" x14ac:dyDescent="0.3">
      <c r="A69" s="83"/>
      <c r="B69" s="91"/>
      <c r="C69" s="135"/>
      <c r="K69" s="137"/>
      <c r="L69" s="104"/>
      <c r="M69" s="83"/>
      <c r="N69" s="103"/>
      <c r="O69" s="589"/>
      <c r="P69" s="720"/>
      <c r="Q69" s="721"/>
      <c r="R69" s="722"/>
      <c r="S69" s="768"/>
      <c r="T69" s="84"/>
      <c r="U69" s="83"/>
      <c r="V69" s="103"/>
      <c r="AA69" s="104"/>
      <c r="AB69" s="104"/>
      <c r="AC69" s="83"/>
      <c r="AD69" s="83"/>
      <c r="AM69" s="83"/>
      <c r="AN69" s="83"/>
      <c r="AO69" s="83"/>
      <c r="AP69" s="83"/>
    </row>
    <row r="70" spans="1:42" ht="22.2" customHeight="1" x14ac:dyDescent="0.3">
      <c r="A70" s="83"/>
      <c r="B70" s="91"/>
      <c r="C70" s="135"/>
      <c r="D70" s="539"/>
      <c r="E70" s="423" t="s">
        <v>359</v>
      </c>
      <c r="F70" s="423" t="s">
        <v>662</v>
      </c>
      <c r="G70" s="423" t="s">
        <v>235</v>
      </c>
      <c r="H70" s="423" t="s">
        <v>776</v>
      </c>
      <c r="I70" s="423" t="s">
        <v>771</v>
      </c>
      <c r="J70" s="234" t="s">
        <v>772</v>
      </c>
      <c r="K70" s="137"/>
      <c r="L70" s="104"/>
      <c r="M70" s="83"/>
      <c r="N70" s="103"/>
      <c r="O70" s="91"/>
      <c r="T70" s="84"/>
      <c r="U70" s="83"/>
      <c r="V70" s="103"/>
      <c r="W70" s="766" t="s">
        <v>268</v>
      </c>
      <c r="X70" s="766"/>
      <c r="Y70" s="766"/>
      <c r="Z70" s="766"/>
      <c r="AA70" s="104"/>
      <c r="AB70" s="104"/>
      <c r="AC70" s="83"/>
      <c r="AD70" s="83"/>
      <c r="AM70" s="83"/>
      <c r="AN70" s="83"/>
      <c r="AO70" s="83"/>
      <c r="AP70" s="83"/>
    </row>
    <row r="71" spans="1:42" ht="22.2" customHeight="1" x14ac:dyDescent="0.3">
      <c r="A71" s="83"/>
      <c r="B71" s="91"/>
      <c r="C71" s="135"/>
      <c r="D71" s="539"/>
      <c r="E71" s="86" t="s">
        <v>656</v>
      </c>
      <c r="F71" s="86"/>
      <c r="G71" s="86" t="s">
        <v>779</v>
      </c>
      <c r="H71" s="86" t="s">
        <v>780</v>
      </c>
      <c r="I71" s="86"/>
      <c r="J71" s="86" t="str">
        <f>G71&amp;"/"&amp;H71</f>
        <v>unit_R1/unit_R2</v>
      </c>
      <c r="K71" s="137"/>
      <c r="L71" s="104"/>
      <c r="M71" s="83"/>
      <c r="N71" s="103"/>
      <c r="O71" s="91"/>
      <c r="P71" s="717" t="s">
        <v>795</v>
      </c>
      <c r="Q71" s="718"/>
      <c r="R71" s="719"/>
      <c r="S71" s="767"/>
      <c r="T71" s="84"/>
      <c r="U71" s="83"/>
      <c r="V71" s="103"/>
      <c r="W71" s="758" t="s">
        <v>730</v>
      </c>
      <c r="X71" s="759"/>
      <c r="Y71" s="759"/>
      <c r="Z71" s="760"/>
      <c r="AA71" s="104"/>
      <c r="AB71" s="104"/>
      <c r="AC71" s="83"/>
      <c r="AD71" s="83"/>
      <c r="AN71" s="83"/>
      <c r="AO71" s="83"/>
      <c r="AP71" s="83"/>
    </row>
    <row r="72" spans="1:42" ht="22.2" customHeight="1" x14ac:dyDescent="0.3">
      <c r="A72" s="83"/>
      <c r="B72" s="91"/>
      <c r="C72" s="135"/>
      <c r="D72" s="539"/>
      <c r="E72" s="86" t="s">
        <v>657</v>
      </c>
      <c r="F72" s="86"/>
      <c r="G72" s="86"/>
      <c r="H72" s="86"/>
      <c r="I72" s="86"/>
      <c r="J72" s="86" t="str">
        <f>G72&amp;"/"&amp;H72</f>
        <v>/</v>
      </c>
      <c r="K72" s="137"/>
      <c r="L72" s="104"/>
      <c r="M72" s="83"/>
      <c r="N72" s="103"/>
      <c r="O72" s="91"/>
      <c r="P72" s="720"/>
      <c r="Q72" s="721"/>
      <c r="R72" s="722"/>
      <c r="S72" s="768"/>
      <c r="T72" s="84"/>
      <c r="U72" s="83"/>
      <c r="V72" s="103"/>
      <c r="W72" s="761"/>
      <c r="X72" s="762"/>
      <c r="Y72" s="762"/>
      <c r="Z72" s="763"/>
      <c r="AA72" s="104"/>
      <c r="AB72" s="104"/>
      <c r="AC72" s="83"/>
      <c r="AD72" s="83"/>
      <c r="AO72" s="83"/>
      <c r="AP72" s="83"/>
    </row>
    <row r="73" spans="1:42" ht="22.2" customHeight="1" x14ac:dyDescent="0.3">
      <c r="A73" s="83"/>
      <c r="B73" s="91"/>
      <c r="C73" s="136"/>
      <c r="D73" s="138"/>
      <c r="E73" s="138"/>
      <c r="F73" s="138"/>
      <c r="G73" s="138"/>
      <c r="H73" s="138"/>
      <c r="I73" s="138"/>
      <c r="J73" s="138"/>
      <c r="K73" s="139"/>
      <c r="L73" s="104"/>
      <c r="M73" s="83"/>
      <c r="N73" s="103"/>
      <c r="O73" s="315"/>
      <c r="P73" s="590"/>
      <c r="Q73" s="590"/>
      <c r="R73" s="316"/>
      <c r="S73" s="316"/>
      <c r="T73" s="318"/>
      <c r="U73" s="83"/>
      <c r="V73" s="105"/>
      <c r="W73" s="106"/>
      <c r="X73" s="106"/>
      <c r="Y73" s="106"/>
      <c r="Z73" s="106"/>
      <c r="AA73" s="107"/>
      <c r="AB73" s="104"/>
      <c r="AC73" s="83"/>
      <c r="AD73" s="83"/>
      <c r="AO73" s="83"/>
      <c r="AP73" s="83"/>
    </row>
    <row r="74" spans="1:42" ht="18" customHeight="1" x14ac:dyDescent="0.3">
      <c r="A74" s="83"/>
      <c r="B74" s="315"/>
      <c r="C74" s="316"/>
      <c r="D74" s="316"/>
      <c r="E74" s="316"/>
      <c r="F74" s="316"/>
      <c r="G74" s="316"/>
      <c r="H74" s="316"/>
      <c r="I74" s="106"/>
      <c r="J74" s="106"/>
      <c r="K74" s="106"/>
      <c r="L74" s="107"/>
      <c r="M74" s="83"/>
      <c r="N74" s="105"/>
      <c r="O74" s="542"/>
      <c r="P74" s="542"/>
      <c r="Q74" s="542"/>
      <c r="R74" s="106"/>
      <c r="S74" s="106"/>
      <c r="T74" s="106"/>
      <c r="U74" s="106"/>
      <c r="V74" s="106"/>
      <c r="W74" s="106"/>
      <c r="X74" s="106"/>
      <c r="Y74" s="106"/>
      <c r="Z74" s="106"/>
      <c r="AA74" s="106"/>
      <c r="AB74" s="107"/>
      <c r="AC74" s="83"/>
      <c r="AD74" s="83"/>
      <c r="AO74" s="83"/>
      <c r="AP74" s="83"/>
    </row>
    <row r="75" spans="1:42" ht="18" customHeight="1" x14ac:dyDescent="0.3">
      <c r="A75" s="83"/>
      <c r="I75" s="83"/>
      <c r="J75" s="83"/>
      <c r="K75" s="83"/>
      <c r="L75" s="83"/>
      <c r="M75" s="83"/>
      <c r="N75" s="83"/>
      <c r="O75" s="357"/>
      <c r="P75" s="357"/>
      <c r="Q75" s="357"/>
      <c r="R75" s="83"/>
      <c r="S75" s="83"/>
      <c r="T75" s="83"/>
      <c r="U75" s="83"/>
      <c r="V75" s="83"/>
      <c r="W75" s="83"/>
      <c r="X75" s="83"/>
      <c r="Y75" s="83"/>
      <c r="Z75" s="83"/>
      <c r="AA75" s="83"/>
      <c r="AB75" s="83"/>
      <c r="AC75" s="83"/>
      <c r="AD75" s="83"/>
      <c r="AO75" s="83"/>
      <c r="AP75" s="83"/>
    </row>
    <row r="76" spans="1:42" ht="18" customHeight="1" x14ac:dyDescent="0.3">
      <c r="A76" s="83"/>
      <c r="I76" s="83"/>
      <c r="J76" s="83"/>
      <c r="K76" s="83"/>
      <c r="L76" s="83"/>
      <c r="M76" s="83"/>
      <c r="N76" s="83"/>
      <c r="P76" s="357"/>
      <c r="Q76" s="357"/>
      <c r="R76" s="83"/>
      <c r="S76" s="83"/>
      <c r="T76" s="83"/>
      <c r="U76" s="83"/>
      <c r="V76" s="83"/>
      <c r="W76" s="83"/>
      <c r="X76" s="83"/>
      <c r="Y76" s="83"/>
      <c r="Z76" s="83"/>
      <c r="AA76" s="83"/>
      <c r="AB76" s="83"/>
      <c r="AC76" s="83"/>
      <c r="AD76" s="83"/>
      <c r="AO76" s="83"/>
      <c r="AP76" s="83"/>
    </row>
    <row r="77" spans="1:42" ht="18" customHeight="1" x14ac:dyDescent="0.3">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3">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3">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3">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48">
    <mergeCell ref="Z58:Z59"/>
    <mergeCell ref="Z62:Z63"/>
    <mergeCell ref="Z66:Z67"/>
    <mergeCell ref="Y66:Y67"/>
    <mergeCell ref="W66:W67"/>
    <mergeCell ref="W71:Z72"/>
    <mergeCell ref="P71:R72"/>
    <mergeCell ref="P68:R69"/>
    <mergeCell ref="X62:X63"/>
    <mergeCell ref="W70:Z70"/>
    <mergeCell ref="W65:Y65"/>
    <mergeCell ref="S71:S72"/>
    <mergeCell ref="S68:S69"/>
    <mergeCell ref="P65:R66"/>
    <mergeCell ref="P62:R63"/>
    <mergeCell ref="W62:W63"/>
    <mergeCell ref="Y62:Y63"/>
    <mergeCell ref="X66:X67"/>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O37:T52"/>
    <mergeCell ref="AE3:AG3"/>
    <mergeCell ref="X37:AA37"/>
    <mergeCell ref="X38:AA38"/>
    <mergeCell ref="X42:AA42"/>
    <mergeCell ref="X40:AA40"/>
    <mergeCell ref="X41:AA41"/>
    <mergeCell ref="X44:AA44"/>
    <mergeCell ref="P56:R57"/>
    <mergeCell ref="W61:Y61"/>
    <mergeCell ref="W57:Y57"/>
    <mergeCell ref="W58:W59"/>
    <mergeCell ref="Y58:Y59"/>
    <mergeCell ref="P59:R60"/>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55</xdr:row>
                    <xdr:rowOff>7620</xdr:rowOff>
                  </from>
                  <to>
                    <xdr:col>18</xdr:col>
                    <xdr:colOff>1150620</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58</xdr:row>
                    <xdr:rowOff>7620</xdr:rowOff>
                  </from>
                  <to>
                    <xdr:col>18</xdr:col>
                    <xdr:colOff>1150620</xdr:colOff>
                    <xdr:row>59</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61</xdr:row>
                    <xdr:rowOff>0</xdr:rowOff>
                  </from>
                  <to>
                    <xdr:col>18</xdr:col>
                    <xdr:colOff>1143000</xdr:colOff>
                    <xdr:row>62</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64</xdr:row>
                    <xdr:rowOff>7620</xdr:rowOff>
                  </from>
                  <to>
                    <xdr:col>18</xdr:col>
                    <xdr:colOff>1150620</xdr:colOff>
                    <xdr:row>65</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67</xdr:row>
                    <xdr:rowOff>7620</xdr:rowOff>
                  </from>
                  <to>
                    <xdr:col>18</xdr:col>
                    <xdr:colOff>1135380</xdr:colOff>
                    <xdr:row>68</xdr:row>
                    <xdr:rowOff>274320</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22860</xdr:colOff>
                    <xdr:row>69</xdr:row>
                    <xdr:rowOff>289560</xdr:rowOff>
                  </from>
                  <to>
                    <xdr:col>18</xdr:col>
                    <xdr:colOff>1135380</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55" zoomScaleNormal="55" workbookViewId="0">
      <selection activeCell="O16" sqref="O16"/>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3"/>
    <col min="44" max="44" width="11.109375" style="36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09"/>
      <c r="AR1" s="362"/>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09"/>
      <c r="AR2" s="362"/>
    </row>
    <row r="3" spans="1:44" ht="16.2" customHeight="1" x14ac:dyDescent="0.3">
      <c r="A3" s="83"/>
      <c r="B3" s="103"/>
      <c r="C3" s="750" t="s">
        <v>804</v>
      </c>
      <c r="D3" s="751"/>
      <c r="E3" s="751"/>
      <c r="F3" s="751"/>
      <c r="G3" s="750" t="s">
        <v>229</v>
      </c>
      <c r="H3" s="752"/>
      <c r="J3" s="750" t="s">
        <v>665</v>
      </c>
      <c r="K3" s="751"/>
      <c r="L3" s="751"/>
      <c r="M3" s="752"/>
      <c r="N3" s="181"/>
      <c r="O3" s="750" t="str">
        <f>+E6</f>
        <v>Unit 1</v>
      </c>
      <c r="P3" s="751"/>
      <c r="Q3" s="751"/>
      <c r="R3" s="751"/>
      <c r="S3" s="752"/>
      <c r="T3" s="104"/>
      <c r="U3" s="104"/>
      <c r="V3" s="83"/>
      <c r="W3" s="777" t="str">
        <f>+E6&amp;" Diagram"</f>
        <v>Unit 1 Diagram</v>
      </c>
      <c r="X3" s="778"/>
      <c r="Y3" s="778"/>
      <c r="Z3" s="778"/>
      <c r="AA3" s="778"/>
      <c r="AB3" s="778"/>
      <c r="AC3" s="778"/>
      <c r="AD3" s="778"/>
      <c r="AE3" s="778"/>
      <c r="AF3" s="778"/>
      <c r="AG3" s="778"/>
      <c r="AH3" s="778"/>
      <c r="AI3" s="778"/>
      <c r="AJ3" s="778"/>
      <c r="AK3" s="778"/>
      <c r="AL3" s="778"/>
      <c r="AM3" s="778"/>
      <c r="AN3" s="779"/>
      <c r="AO3" s="104"/>
      <c r="AP3" s="83"/>
      <c r="AQ3" s="209"/>
      <c r="AR3" s="362"/>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09"/>
      <c r="AR4" s="362"/>
    </row>
    <row r="5" spans="1:44" ht="16.2" customHeight="1" x14ac:dyDescent="0.3">
      <c r="A5" s="83"/>
      <c r="B5" s="103"/>
      <c r="C5" s="83"/>
      <c r="D5" s="753" t="s">
        <v>265</v>
      </c>
      <c r="E5" s="754"/>
      <c r="F5" s="83"/>
      <c r="G5" s="753" t="s">
        <v>267</v>
      </c>
      <c r="H5" s="754"/>
      <c r="J5" s="783"/>
      <c r="K5" s="784"/>
      <c r="L5" s="185" t="s">
        <v>465</v>
      </c>
      <c r="M5" s="186" t="s">
        <v>500</v>
      </c>
      <c r="N5" s="394"/>
      <c r="O5" s="652" t="s">
        <v>229</v>
      </c>
      <c r="P5" s="594" t="s">
        <v>508</v>
      </c>
      <c r="Q5" s="676" t="s">
        <v>575</v>
      </c>
      <c r="R5" s="677"/>
      <c r="S5" s="678"/>
      <c r="T5" s="104"/>
      <c r="U5" s="104"/>
      <c r="V5" s="83"/>
      <c r="W5" s="83"/>
      <c r="X5" s="83"/>
      <c r="Y5" s="83"/>
      <c r="Z5" s="83"/>
      <c r="AA5" s="83"/>
      <c r="AB5" s="83"/>
      <c r="AC5" s="83"/>
      <c r="AD5" s="83"/>
      <c r="AE5" s="83"/>
      <c r="AF5" s="83"/>
      <c r="AG5" s="83"/>
      <c r="AH5" s="83"/>
      <c r="AI5" s="83"/>
      <c r="AJ5" s="83"/>
      <c r="AK5" s="83"/>
      <c r="AL5" s="83"/>
      <c r="AM5" s="83"/>
      <c r="AN5" s="83"/>
      <c r="AO5" s="104"/>
      <c r="AP5" s="83"/>
      <c r="AQ5" s="209"/>
      <c r="AR5" s="362"/>
    </row>
    <row r="6" spans="1:44" ht="16.2" customHeight="1" x14ac:dyDescent="0.3">
      <c r="A6" s="83"/>
      <c r="B6" s="103"/>
      <c r="C6" s="794" t="s">
        <v>491</v>
      </c>
      <c r="D6" s="234" t="s">
        <v>680</v>
      </c>
      <c r="E6" s="408" t="str">
        <f>+'Plant Overview'!V37</f>
        <v>Unit 1</v>
      </c>
      <c r="F6" s="83"/>
      <c r="G6" s="85"/>
      <c r="H6" s="314" t="s">
        <v>262</v>
      </c>
      <c r="J6" s="785"/>
      <c r="K6" s="786"/>
      <c r="L6" s="166" t="s">
        <v>466</v>
      </c>
      <c r="M6" s="86" t="s">
        <v>499</v>
      </c>
      <c r="N6" s="394"/>
      <c r="O6" s="652" t="s">
        <v>348</v>
      </c>
      <c r="P6" s="467" t="s">
        <v>7</v>
      </c>
      <c r="Q6" s="484"/>
      <c r="R6" s="394"/>
      <c r="S6" s="485"/>
      <c r="T6" s="104"/>
      <c r="U6" s="104"/>
      <c r="V6" s="83"/>
      <c r="W6" s="83"/>
      <c r="X6" s="83"/>
      <c r="Y6" s="83"/>
      <c r="Z6" s="83"/>
      <c r="AA6" s="83"/>
      <c r="AB6" s="83"/>
      <c r="AC6" s="83"/>
      <c r="AD6" s="83"/>
      <c r="AE6" s="83"/>
      <c r="AF6" s="83"/>
      <c r="AG6" s="83"/>
      <c r="AH6" s="83"/>
      <c r="AI6" s="83"/>
      <c r="AJ6" s="83"/>
      <c r="AK6" s="83"/>
      <c r="AL6" s="83"/>
      <c r="AM6" s="83"/>
      <c r="AN6" s="83"/>
      <c r="AO6" s="104"/>
      <c r="AP6" s="83"/>
      <c r="AQ6" s="209"/>
      <c r="AR6" s="362"/>
    </row>
    <row r="7" spans="1:44" ht="16.2" customHeight="1" x14ac:dyDescent="0.3">
      <c r="A7" s="83"/>
      <c r="B7" s="103"/>
      <c r="C7" s="795"/>
      <c r="D7" s="234" t="s">
        <v>679</v>
      </c>
      <c r="E7" s="408" t="str">
        <f>+'Plant Overview'!W37</f>
        <v>U-100</v>
      </c>
      <c r="F7" s="83"/>
      <c r="G7" s="95"/>
      <c r="H7" s="314" t="s">
        <v>263</v>
      </c>
      <c r="J7" s="785"/>
      <c r="K7" s="786"/>
      <c r="L7" s="185" t="s">
        <v>460</v>
      </c>
      <c r="M7" s="186" t="s">
        <v>498</v>
      </c>
      <c r="N7" s="394"/>
      <c r="O7" s="653" t="s">
        <v>573</v>
      </c>
      <c r="P7" s="654" t="s">
        <v>574</v>
      </c>
      <c r="Q7" s="484"/>
      <c r="R7" s="394"/>
      <c r="S7" s="485"/>
      <c r="T7" s="104"/>
      <c r="U7" s="104"/>
      <c r="V7" s="83"/>
      <c r="W7" s="83"/>
      <c r="X7" s="83"/>
      <c r="Y7" s="83"/>
      <c r="Z7" s="83"/>
      <c r="AA7" s="83"/>
      <c r="AB7" s="83"/>
      <c r="AC7" s="83"/>
      <c r="AD7" s="83"/>
      <c r="AE7" s="83"/>
      <c r="AF7" s="83"/>
      <c r="AG7" s="83"/>
      <c r="AH7" s="83"/>
      <c r="AI7" s="83"/>
      <c r="AJ7" s="83"/>
      <c r="AK7" s="83"/>
      <c r="AL7" s="83"/>
      <c r="AM7" s="83"/>
      <c r="AN7" s="83"/>
      <c r="AO7" s="104"/>
      <c r="AP7" s="83"/>
      <c r="AQ7" s="209"/>
      <c r="AR7" s="362"/>
    </row>
    <row r="8" spans="1:44" ht="16.2" customHeight="1" x14ac:dyDescent="0.3">
      <c r="A8" s="83"/>
      <c r="B8" s="103"/>
      <c r="C8" s="764"/>
      <c r="D8" s="799" t="s">
        <v>312</v>
      </c>
      <c r="E8" s="801"/>
      <c r="F8" s="83"/>
      <c r="G8" s="94"/>
      <c r="H8" s="98" t="s">
        <v>264</v>
      </c>
      <c r="J8" s="785"/>
      <c r="K8" s="786"/>
      <c r="L8" s="185" t="s">
        <v>461</v>
      </c>
      <c r="M8" s="186" t="s">
        <v>496</v>
      </c>
      <c r="N8" s="394"/>
      <c r="O8" s="809"/>
      <c r="P8" s="809"/>
      <c r="Q8" s="484"/>
      <c r="R8" s="394"/>
      <c r="S8" s="485"/>
      <c r="T8" s="104"/>
      <c r="U8" s="104"/>
      <c r="V8" s="83"/>
      <c r="W8" s="83"/>
      <c r="X8" s="83"/>
      <c r="Y8" s="83"/>
      <c r="Z8" s="83"/>
      <c r="AA8" s="83"/>
      <c r="AB8" s="83"/>
      <c r="AC8" s="83"/>
      <c r="AD8" s="83"/>
      <c r="AE8" s="83"/>
      <c r="AF8" s="83"/>
      <c r="AG8" s="83"/>
      <c r="AH8" s="83"/>
      <c r="AI8" s="83"/>
      <c r="AJ8" s="83"/>
      <c r="AK8" s="83"/>
      <c r="AL8" s="83"/>
      <c r="AM8" s="83"/>
      <c r="AN8" s="83"/>
      <c r="AO8" s="104"/>
      <c r="AP8" s="83"/>
      <c r="AQ8" s="209"/>
      <c r="AR8" s="362"/>
    </row>
    <row r="9" spans="1:44" ht="16.2" customHeight="1" x14ac:dyDescent="0.3">
      <c r="A9" s="83"/>
      <c r="B9" s="103"/>
      <c r="C9" s="765"/>
      <c r="D9" s="800"/>
      <c r="E9" s="802"/>
      <c r="F9" s="83"/>
      <c r="G9" s="108"/>
      <c r="H9" s="300" t="s">
        <v>268</v>
      </c>
      <c r="J9" s="787"/>
      <c r="K9" s="788"/>
      <c r="L9" s="185" t="s">
        <v>462</v>
      </c>
      <c r="M9" s="186" t="s">
        <v>497</v>
      </c>
      <c r="N9" s="394"/>
      <c r="O9" s="810"/>
      <c r="P9" s="810"/>
      <c r="Q9" s="486"/>
      <c r="R9" s="487"/>
      <c r="S9" s="488"/>
      <c r="T9" s="104"/>
      <c r="U9" s="104"/>
      <c r="V9" s="83"/>
      <c r="W9" s="83"/>
      <c r="X9" s="83"/>
      <c r="Y9" s="83"/>
      <c r="Z9" s="83"/>
      <c r="AA9" s="83"/>
      <c r="AB9" s="83"/>
      <c r="AC9" s="83"/>
      <c r="AD9" s="83"/>
      <c r="AE9" s="83"/>
      <c r="AF9" s="83"/>
      <c r="AG9" s="83"/>
      <c r="AH9" s="83"/>
      <c r="AI9" s="83"/>
      <c r="AJ9" s="83"/>
      <c r="AK9" s="83"/>
      <c r="AL9" s="83"/>
      <c r="AM9" s="83"/>
      <c r="AN9" s="83"/>
      <c r="AO9" s="104"/>
      <c r="AP9" s="83"/>
      <c r="AQ9" s="209"/>
      <c r="AR9" s="362"/>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09"/>
      <c r="AR10" s="362"/>
    </row>
    <row r="11" spans="1:44" ht="16.2" customHeight="1" x14ac:dyDescent="0.3">
      <c r="A11" s="83"/>
      <c r="B11" s="103"/>
      <c r="C11" s="83"/>
      <c r="D11" s="750" t="s">
        <v>567</v>
      </c>
      <c r="E11" s="751"/>
      <c r="F11" s="751"/>
      <c r="G11" s="751"/>
      <c r="H11" s="751"/>
      <c r="I11" s="751"/>
      <c r="J11" s="751"/>
      <c r="K11" s="751"/>
      <c r="L11" s="752"/>
      <c r="M11" s="750" t="s">
        <v>576</v>
      </c>
      <c r="N11" s="751"/>
      <c r="O11" s="751"/>
      <c r="P11" s="751"/>
      <c r="Q11" s="751"/>
      <c r="R11" s="752"/>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09"/>
      <c r="AR11" s="362"/>
    </row>
    <row r="12" spans="1:44" ht="16.2" customHeight="1" x14ac:dyDescent="0.3">
      <c r="A12" s="83"/>
      <c r="B12" s="103"/>
      <c r="C12" s="415" t="s">
        <v>239</v>
      </c>
      <c r="D12" s="562" t="s">
        <v>229</v>
      </c>
      <c r="E12" s="562" t="s">
        <v>348</v>
      </c>
      <c r="F12" s="416" t="s">
        <v>234</v>
      </c>
      <c r="G12" s="416" t="s">
        <v>471</v>
      </c>
      <c r="H12" s="417" t="s">
        <v>235</v>
      </c>
      <c r="I12" s="562" t="s">
        <v>236</v>
      </c>
      <c r="J12" s="559" t="s">
        <v>341</v>
      </c>
      <c r="K12" s="416" t="s">
        <v>340</v>
      </c>
      <c r="L12" s="416" t="s">
        <v>530</v>
      </c>
      <c r="M12" s="419" t="s">
        <v>230</v>
      </c>
      <c r="N12" s="419" t="s">
        <v>231</v>
      </c>
      <c r="O12" s="419" t="s">
        <v>232</v>
      </c>
      <c r="P12" s="419" t="s">
        <v>225</v>
      </c>
      <c r="Q12" s="419" t="s">
        <v>233</v>
      </c>
      <c r="R12" s="418" t="s">
        <v>266</v>
      </c>
      <c r="S12" s="419" t="s">
        <v>655</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09"/>
      <c r="AR12" s="362"/>
    </row>
    <row r="13" spans="1:44" ht="16.2" customHeight="1" x14ac:dyDescent="0.3">
      <c r="A13" s="83"/>
      <c r="B13" s="103"/>
      <c r="C13" s="177"/>
      <c r="D13" s="203"/>
      <c r="E13" s="203"/>
      <c r="F13" s="96"/>
      <c r="G13" s="96"/>
      <c r="H13" s="96"/>
      <c r="I13" s="96"/>
      <c r="J13" s="96"/>
      <c r="K13" s="96"/>
      <c r="L13" s="96"/>
      <c r="M13" s="153"/>
      <c r="N13" s="96"/>
      <c r="O13" s="156"/>
      <c r="P13" s="149"/>
      <c r="Q13" s="150"/>
      <c r="R13" s="148"/>
      <c r="S13" s="188" t="str">
        <f>+IF(Tabla258790120135[[#This Row],[Equipment]]="","",Q13*R13/10^6)</f>
        <v/>
      </c>
      <c r="T13" s="577"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09"/>
      <c r="AR13" s="362"/>
    </row>
    <row r="14" spans="1:44" ht="16.2" customHeight="1" x14ac:dyDescent="0.3">
      <c r="A14" s="83"/>
      <c r="B14" s="103"/>
      <c r="C14" s="99"/>
      <c r="D14" s="203"/>
      <c r="E14" s="203"/>
      <c r="F14" s="96"/>
      <c r="G14" s="96"/>
      <c r="H14" s="96"/>
      <c r="I14" s="96"/>
      <c r="J14" s="96"/>
      <c r="K14" s="96"/>
      <c r="L14" s="96"/>
      <c r="M14" s="153"/>
      <c r="N14" s="96"/>
      <c r="O14" s="96"/>
      <c r="P14" s="149"/>
      <c r="Q14" s="150"/>
      <c r="R14" s="97"/>
      <c r="S14" s="188" t="str">
        <f>+IF(Tabla258790120135[[#This Row],[Equipment]]="","",Q14*R14/10^6)</f>
        <v/>
      </c>
      <c r="T14" s="577"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09"/>
      <c r="AR14" s="362"/>
    </row>
    <row r="15" spans="1:44" ht="16.2" customHeight="1" x14ac:dyDescent="0.3">
      <c r="A15" s="83"/>
      <c r="B15" s="103"/>
      <c r="C15" s="99"/>
      <c r="D15" s="203"/>
      <c r="E15" s="203"/>
      <c r="F15" s="96"/>
      <c r="G15" s="96"/>
      <c r="H15" s="96"/>
      <c r="I15" s="96"/>
      <c r="J15" s="96"/>
      <c r="K15" s="96"/>
      <c r="L15" s="96"/>
      <c r="M15" s="153"/>
      <c r="N15" s="96"/>
      <c r="O15" s="96"/>
      <c r="P15" s="149"/>
      <c r="Q15" s="150"/>
      <c r="R15" s="97"/>
      <c r="S15" s="188" t="str">
        <f>+IF(Tabla258790120135[[#This Row],[Equipment]]="","",Q15*R15/10^6)</f>
        <v/>
      </c>
      <c r="T15" s="577"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09"/>
      <c r="AR15" s="362"/>
    </row>
    <row r="16" spans="1:44" ht="16.2" customHeight="1" x14ac:dyDescent="0.3">
      <c r="A16" s="83"/>
      <c r="B16" s="103"/>
      <c r="C16" s="99"/>
      <c r="D16" s="203"/>
      <c r="E16" s="203"/>
      <c r="F16" s="96"/>
      <c r="G16" s="96"/>
      <c r="H16" s="96"/>
      <c r="I16" s="96"/>
      <c r="J16" s="96"/>
      <c r="K16" s="96"/>
      <c r="L16" s="96"/>
      <c r="M16" s="153"/>
      <c r="N16" s="149"/>
      <c r="O16" s="96"/>
      <c r="P16" s="149"/>
      <c r="Q16" s="150"/>
      <c r="R16" s="97"/>
      <c r="S16" s="188" t="str">
        <f>+IF(Tabla258790120135[[#This Row],[Equipment]]="","",Q16*R16/10^6)</f>
        <v/>
      </c>
      <c r="T16" s="577"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09"/>
      <c r="AR16" s="362"/>
    </row>
    <row r="17" spans="1:44" ht="16.2" customHeight="1" x14ac:dyDescent="0.3">
      <c r="A17" s="83"/>
      <c r="B17" s="103"/>
      <c r="C17" s="99"/>
      <c r="D17" s="203"/>
      <c r="E17" s="203"/>
      <c r="F17" s="96"/>
      <c r="G17" s="96"/>
      <c r="H17" s="96"/>
      <c r="I17" s="96"/>
      <c r="J17" s="96"/>
      <c r="K17" s="96"/>
      <c r="L17" s="96"/>
      <c r="M17" s="153"/>
      <c r="N17" s="149"/>
      <c r="O17" s="96"/>
      <c r="P17" s="149"/>
      <c r="Q17" s="150"/>
      <c r="R17" s="97"/>
      <c r="S17" s="188" t="str">
        <f>+IF(Tabla258790120135[[#This Row],[Equipment]]="","",Q17*R17/10^6)</f>
        <v/>
      </c>
      <c r="T17" s="577"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09"/>
      <c r="AR17" s="362"/>
    </row>
    <row r="18" spans="1:44" ht="16.2" customHeight="1" x14ac:dyDescent="0.3">
      <c r="A18" s="83"/>
      <c r="B18" s="103"/>
      <c r="C18" s="99"/>
      <c r="D18" s="203"/>
      <c r="E18" s="203"/>
      <c r="F18" s="96"/>
      <c r="G18" s="96"/>
      <c r="H18" s="96"/>
      <c r="I18" s="96"/>
      <c r="J18" s="96"/>
      <c r="K18" s="96"/>
      <c r="L18" s="96"/>
      <c r="M18" s="153"/>
      <c r="N18" s="149"/>
      <c r="O18" s="96"/>
      <c r="P18" s="149"/>
      <c r="Q18" s="150"/>
      <c r="R18" s="97"/>
      <c r="S18" s="188" t="str">
        <f>+IF(Tabla258790120135[[#This Row],[Equipment]]="","",Q18*R18/10^6)</f>
        <v/>
      </c>
      <c r="T18" s="577"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09"/>
      <c r="AR18" s="362"/>
    </row>
    <row r="19" spans="1:44" ht="16.2" customHeight="1" x14ac:dyDescent="0.3">
      <c r="A19" s="83"/>
      <c r="B19" s="103"/>
      <c r="C19" s="99"/>
      <c r="D19" s="203"/>
      <c r="E19" s="203"/>
      <c r="F19" s="96"/>
      <c r="G19" s="96"/>
      <c r="H19" s="96"/>
      <c r="I19" s="96"/>
      <c r="J19" s="96"/>
      <c r="K19" s="96"/>
      <c r="L19" s="96"/>
      <c r="M19" s="153"/>
      <c r="N19" s="149"/>
      <c r="O19" s="96"/>
      <c r="P19" s="150"/>
      <c r="Q19" s="150"/>
      <c r="R19" s="97"/>
      <c r="S19" s="188" t="str">
        <f>+IF(Tabla258790120135[[#This Row],[Equipment]]="","",Q19*R19/10^6)</f>
        <v/>
      </c>
      <c r="T19" s="577"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09"/>
      <c r="AR19" s="362"/>
    </row>
    <row r="20" spans="1:44" ht="16.2" customHeight="1" x14ac:dyDescent="0.3">
      <c r="A20" s="83"/>
      <c r="B20" s="103"/>
      <c r="C20" s="99"/>
      <c r="D20" s="203"/>
      <c r="E20" s="203"/>
      <c r="F20" s="96"/>
      <c r="G20" s="96"/>
      <c r="H20" s="96"/>
      <c r="I20" s="96"/>
      <c r="J20" s="96"/>
      <c r="K20" s="96"/>
      <c r="L20" s="96"/>
      <c r="M20" s="153"/>
      <c r="N20" s="149"/>
      <c r="O20" s="96"/>
      <c r="P20" s="150"/>
      <c r="Q20" s="150"/>
      <c r="R20" s="97"/>
      <c r="S20" s="188" t="str">
        <f>+IF(Tabla258790120135[[#This Row],[Equipment]]="","",Q20*R20/10^6)</f>
        <v/>
      </c>
      <c r="T20" s="577"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09"/>
      <c r="AR20" s="362"/>
    </row>
    <row r="21" spans="1:44" ht="16.2" customHeight="1" x14ac:dyDescent="0.3">
      <c r="A21" s="83"/>
      <c r="B21" s="103"/>
      <c r="C21" s="99"/>
      <c r="D21" s="203"/>
      <c r="E21" s="203"/>
      <c r="F21" s="96"/>
      <c r="G21" s="96"/>
      <c r="H21" s="96"/>
      <c r="I21" s="96"/>
      <c r="J21" s="96"/>
      <c r="K21" s="96"/>
      <c r="L21" s="96"/>
      <c r="M21" s="153"/>
      <c r="N21" s="149"/>
      <c r="O21" s="96"/>
      <c r="P21" s="150"/>
      <c r="Q21" s="150"/>
      <c r="R21" s="97"/>
      <c r="S21" s="188" t="str">
        <f>+IF(Tabla258790120135[[#This Row],[Equipment]]="","",Q21*R21/10^6)</f>
        <v/>
      </c>
      <c r="T21" s="577"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09"/>
      <c r="AR21" s="362"/>
    </row>
    <row r="22" spans="1:44" ht="16.2" customHeight="1" x14ac:dyDescent="0.3">
      <c r="A22" s="83"/>
      <c r="B22" s="103"/>
      <c r="C22" s="99"/>
      <c r="D22" s="203"/>
      <c r="E22" s="203"/>
      <c r="F22" s="96"/>
      <c r="G22" s="96"/>
      <c r="H22" s="96"/>
      <c r="I22" s="96"/>
      <c r="J22" s="96"/>
      <c r="K22" s="96"/>
      <c r="L22" s="96"/>
      <c r="M22" s="153"/>
      <c r="N22" s="149"/>
      <c r="O22" s="96"/>
      <c r="P22" s="150"/>
      <c r="Q22" s="150"/>
      <c r="R22" s="97"/>
      <c r="S22" s="188" t="str">
        <f>+IF(Tabla258790120135[[#This Row],[Equipment]]="","",Q22*R22/10^6)</f>
        <v/>
      </c>
      <c r="T22" s="577"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09"/>
      <c r="AR22" s="362"/>
    </row>
    <row r="23" spans="1:44" ht="16.2" customHeight="1" x14ac:dyDescent="0.3">
      <c r="A23" s="83"/>
      <c r="B23" s="103"/>
      <c r="C23" s="99"/>
      <c r="D23" s="203"/>
      <c r="E23" s="203"/>
      <c r="F23" s="96"/>
      <c r="G23" s="96"/>
      <c r="H23" s="96"/>
      <c r="I23" s="96"/>
      <c r="J23" s="96"/>
      <c r="K23" s="96"/>
      <c r="L23" s="96"/>
      <c r="M23" s="153"/>
      <c r="N23" s="149"/>
      <c r="O23" s="208"/>
      <c r="P23" s="149"/>
      <c r="Q23" s="150"/>
      <c r="R23" s="97"/>
      <c r="S23" s="188" t="str">
        <f>+IF(Tabla258790120135[[#This Row],[Equipment]]="","",Q23*R23/10^6)</f>
        <v/>
      </c>
      <c r="T23" s="577"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09"/>
      <c r="AR23" s="362"/>
    </row>
    <row r="24" spans="1:44" ht="16.2" customHeight="1" x14ac:dyDescent="0.3">
      <c r="A24" s="83"/>
      <c r="B24" s="103"/>
      <c r="C24" s="99"/>
      <c r="D24" s="203"/>
      <c r="E24" s="203"/>
      <c r="F24" s="96"/>
      <c r="G24" s="96"/>
      <c r="H24" s="96"/>
      <c r="I24" s="96"/>
      <c r="J24" s="96"/>
      <c r="K24" s="96"/>
      <c r="L24" s="96"/>
      <c r="M24" s="153"/>
      <c r="N24" s="149"/>
      <c r="O24" s="208"/>
      <c r="P24" s="149"/>
      <c r="Q24" s="150"/>
      <c r="R24" s="97"/>
      <c r="S24" s="188" t="str">
        <f>+IF(Tabla258790120135[[#This Row],[Equipment]]="","",Q24*R24/10^6)</f>
        <v/>
      </c>
      <c r="T24" s="577"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09"/>
      <c r="AR24" s="362"/>
    </row>
    <row r="25" spans="1:44" ht="16.2" customHeight="1" x14ac:dyDescent="0.3">
      <c r="A25" s="83"/>
      <c r="B25" s="103"/>
      <c r="C25" s="99"/>
      <c r="D25" s="203"/>
      <c r="E25" s="203"/>
      <c r="F25" s="96"/>
      <c r="G25" s="96"/>
      <c r="H25" s="96"/>
      <c r="I25" s="96"/>
      <c r="J25" s="96"/>
      <c r="K25" s="96"/>
      <c r="L25" s="96"/>
      <c r="M25" s="153"/>
      <c r="N25" s="96"/>
      <c r="O25" s="96"/>
      <c r="P25" s="96"/>
      <c r="Q25" s="150"/>
      <c r="R25" s="97"/>
      <c r="S25" s="188" t="str">
        <f>+IF(Tabla258790120135[[#This Row],[Equipment]]="","",Q25*R25/10^6)</f>
        <v/>
      </c>
      <c r="T25" s="577"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09"/>
      <c r="AR25" s="362"/>
    </row>
    <row r="26" spans="1:44" ht="16.2" customHeight="1" x14ac:dyDescent="0.3">
      <c r="A26" s="83"/>
      <c r="B26" s="103"/>
      <c r="C26" s="99"/>
      <c r="D26" s="203"/>
      <c r="E26" s="203"/>
      <c r="F26" s="96"/>
      <c r="G26" s="96"/>
      <c r="H26" s="96"/>
      <c r="I26" s="96"/>
      <c r="J26" s="96"/>
      <c r="K26" s="96"/>
      <c r="L26" s="96"/>
      <c r="M26" s="153"/>
      <c r="N26" s="96"/>
      <c r="O26" s="96"/>
      <c r="P26" s="96"/>
      <c r="Q26" s="150"/>
      <c r="R26" s="97"/>
      <c r="S26" s="188" t="str">
        <f>+IF(Tabla258790120135[[#This Row],[Equipment]]="","",Q26*R26/10^6)</f>
        <v/>
      </c>
      <c r="T26" s="577"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09"/>
      <c r="AR26" s="362"/>
    </row>
    <row r="27" spans="1:44" ht="16.2" customHeight="1" x14ac:dyDescent="0.3">
      <c r="A27" s="83"/>
      <c r="B27" s="103"/>
      <c r="C27" s="99"/>
      <c r="D27" s="203"/>
      <c r="E27" s="203"/>
      <c r="F27" s="96"/>
      <c r="G27" s="96"/>
      <c r="H27" s="96"/>
      <c r="I27" s="96"/>
      <c r="J27" s="96"/>
      <c r="K27" s="96"/>
      <c r="L27" s="96"/>
      <c r="M27" s="153"/>
      <c r="N27" s="149"/>
      <c r="O27" s="96"/>
      <c r="P27" s="150"/>
      <c r="Q27" s="150"/>
      <c r="R27" s="97"/>
      <c r="S27" s="188" t="str">
        <f>+IF(Tabla258790120135[[#This Row],[Equipment]]="","",Q27*R27/10^6)</f>
        <v/>
      </c>
      <c r="T27" s="577"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09"/>
      <c r="AR27" s="362"/>
    </row>
    <row r="28" spans="1:44" ht="16.2" customHeight="1" x14ac:dyDescent="0.3">
      <c r="A28" s="83"/>
      <c r="B28" s="103"/>
      <c r="C28" s="99"/>
      <c r="D28" s="203"/>
      <c r="E28" s="203"/>
      <c r="F28" s="96"/>
      <c r="G28" s="96"/>
      <c r="H28" s="96"/>
      <c r="I28" s="96"/>
      <c r="J28" s="96"/>
      <c r="K28" s="96"/>
      <c r="L28" s="96"/>
      <c r="M28" s="153"/>
      <c r="N28" s="149"/>
      <c r="O28" s="96"/>
      <c r="P28" s="150"/>
      <c r="Q28" s="150"/>
      <c r="R28" s="97"/>
      <c r="S28" s="188" t="str">
        <f>+IF(Tabla258790120135[[#This Row],[Equipment]]="","",Q28*R28/10^6)</f>
        <v/>
      </c>
      <c r="T28" s="577"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09"/>
      <c r="AR28" s="362"/>
    </row>
    <row r="29" spans="1:44" ht="16.2" customHeight="1" x14ac:dyDescent="0.3">
      <c r="A29" s="83"/>
      <c r="B29" s="103"/>
      <c r="C29" s="99"/>
      <c r="D29" s="203"/>
      <c r="E29" s="203"/>
      <c r="F29" s="96"/>
      <c r="G29" s="96"/>
      <c r="H29" s="96"/>
      <c r="I29" s="96"/>
      <c r="J29" s="96"/>
      <c r="K29" s="96"/>
      <c r="L29" s="96"/>
      <c r="M29" s="153"/>
      <c r="N29" s="149"/>
      <c r="O29" s="208"/>
      <c r="P29" s="149"/>
      <c r="Q29" s="150"/>
      <c r="R29" s="97"/>
      <c r="S29" s="188" t="str">
        <f>+IF(Tabla258790120135[[#This Row],[Equipment]]="","",Q29*R29/10^6)</f>
        <v/>
      </c>
      <c r="T29" s="577"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09"/>
      <c r="AR29" s="362"/>
    </row>
    <row r="30" spans="1:44" ht="16.2" customHeight="1" x14ac:dyDescent="0.3">
      <c r="A30" s="83"/>
      <c r="B30" s="103"/>
      <c r="C30" s="99"/>
      <c r="D30" s="203"/>
      <c r="E30" s="203"/>
      <c r="F30" s="96"/>
      <c r="G30" s="96"/>
      <c r="H30" s="96"/>
      <c r="I30" s="96"/>
      <c r="J30" s="96"/>
      <c r="K30" s="96"/>
      <c r="L30" s="96"/>
      <c r="M30" s="153"/>
      <c r="N30" s="96"/>
      <c r="O30" s="156"/>
      <c r="P30" s="149"/>
      <c r="Q30" s="150"/>
      <c r="R30" s="97"/>
      <c r="S30" s="188" t="str">
        <f>+IF(Tabla258790120135[[#This Row],[Equipment]]="","",Q30*R30/10^6)</f>
        <v/>
      </c>
      <c r="T30" s="577"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09"/>
      <c r="AR30" s="362"/>
    </row>
    <row r="31" spans="1:44" ht="16.2" customHeight="1" x14ac:dyDescent="0.3">
      <c r="A31" s="83"/>
      <c r="B31" s="103"/>
      <c r="C31" s="99"/>
      <c r="D31" s="203"/>
      <c r="E31" s="203"/>
      <c r="F31" s="96"/>
      <c r="G31" s="96"/>
      <c r="H31" s="96"/>
      <c r="I31" s="96"/>
      <c r="J31" s="96"/>
      <c r="K31" s="96"/>
      <c r="L31" s="96"/>
      <c r="M31" s="153"/>
      <c r="N31" s="96"/>
      <c r="O31" s="156"/>
      <c r="P31" s="149"/>
      <c r="Q31" s="150"/>
      <c r="R31" s="97"/>
      <c r="S31" s="188" t="str">
        <f>+IF(Tabla258790120135[[#This Row],[Equipment]]="","",Q31*R31/10^6)</f>
        <v/>
      </c>
      <c r="T31" s="577"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09"/>
      <c r="AR31" s="362"/>
    </row>
    <row r="32" spans="1:44" ht="16.2" customHeight="1" x14ac:dyDescent="0.3">
      <c r="A32" s="83"/>
      <c r="B32" s="103"/>
      <c r="C32" s="99"/>
      <c r="D32" s="203"/>
      <c r="E32" s="203"/>
      <c r="F32" s="96"/>
      <c r="G32" s="96"/>
      <c r="H32" s="96"/>
      <c r="I32" s="96"/>
      <c r="J32" s="96"/>
      <c r="K32" s="96"/>
      <c r="L32" s="96"/>
      <c r="M32" s="153"/>
      <c r="N32" s="96"/>
      <c r="O32" s="156"/>
      <c r="P32" s="149"/>
      <c r="Q32" s="150"/>
      <c r="R32" s="97"/>
      <c r="S32" s="188" t="str">
        <f>+IF(Tabla258790120135[[#This Row],[Equipment]]="","",Q32*R32/10^6)</f>
        <v/>
      </c>
      <c r="T32" s="577"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09"/>
      <c r="AR32" s="362"/>
    </row>
    <row r="33" spans="1:44" ht="16.2" customHeight="1" x14ac:dyDescent="0.3">
      <c r="A33" s="83"/>
      <c r="B33" s="103"/>
      <c r="C33" s="99"/>
      <c r="D33" s="203"/>
      <c r="E33" s="203"/>
      <c r="F33" s="96"/>
      <c r="G33" s="96"/>
      <c r="H33" s="96"/>
      <c r="I33" s="96"/>
      <c r="J33" s="96"/>
      <c r="K33" s="96"/>
      <c r="L33" s="96"/>
      <c r="M33" s="153"/>
      <c r="N33" s="96"/>
      <c r="O33" s="156"/>
      <c r="P33" s="149"/>
      <c r="Q33" s="150"/>
      <c r="R33" s="97"/>
      <c r="S33" s="188" t="str">
        <f>+IF(Tabla258790120135[[#This Row],[Equipment]]="","",Q33*R33/10^6)</f>
        <v/>
      </c>
      <c r="T33" s="577"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09"/>
      <c r="AR33" s="362"/>
    </row>
    <row r="34" spans="1:44" ht="16.2" customHeight="1" x14ac:dyDescent="0.3">
      <c r="A34" s="83"/>
      <c r="B34" s="103"/>
      <c r="C34" s="354"/>
      <c r="D34" s="203"/>
      <c r="E34" s="203"/>
      <c r="F34" s="96"/>
      <c r="G34" s="96"/>
      <c r="H34" s="96"/>
      <c r="I34" s="96"/>
      <c r="J34" s="96"/>
      <c r="K34" s="96"/>
      <c r="L34" s="96"/>
      <c r="M34" s="153"/>
      <c r="N34" s="96"/>
      <c r="O34" s="156"/>
      <c r="P34" s="149"/>
      <c r="Q34" s="150"/>
      <c r="R34" s="97"/>
      <c r="S34" s="188" t="str">
        <f>+IF(Tabla258790120135[[#This Row],[Equipment]]="","",Q34*R34/10^6)</f>
        <v/>
      </c>
      <c r="T34" s="577" t="e">
        <f t="shared" ca="1" si="0"/>
        <v>#VALUE!</v>
      </c>
      <c r="U34" s="83"/>
      <c r="V34" s="112"/>
      <c r="W34" s="744" t="str">
        <f>+E6&amp;" Calculations"</f>
        <v>Unit 1 Calculations</v>
      </c>
      <c r="X34" s="745"/>
      <c r="Y34" s="745"/>
      <c r="Z34" s="745"/>
      <c r="AA34" s="745"/>
      <c r="AB34" s="745"/>
      <c r="AC34" s="745"/>
      <c r="AD34" s="745"/>
      <c r="AE34" s="745"/>
      <c r="AF34" s="745"/>
      <c r="AG34" s="745"/>
      <c r="AH34" s="745"/>
      <c r="AI34" s="745"/>
      <c r="AJ34" s="745"/>
      <c r="AK34" s="745"/>
      <c r="AL34" s="745"/>
      <c r="AM34" s="745"/>
      <c r="AN34" s="746"/>
      <c r="AO34" s="104"/>
      <c r="AP34" s="83"/>
      <c r="AQ34" s="209"/>
      <c r="AR34" s="362"/>
    </row>
    <row r="35" spans="1:44" ht="16.2" customHeight="1" x14ac:dyDescent="0.3">
      <c r="A35" s="83"/>
      <c r="B35" s="103"/>
      <c r="C35" s="354"/>
      <c r="D35" s="203"/>
      <c r="E35" s="203"/>
      <c r="F35" s="96"/>
      <c r="G35" s="96"/>
      <c r="H35" s="96"/>
      <c r="I35" s="96"/>
      <c r="J35" s="96"/>
      <c r="K35" s="96"/>
      <c r="L35" s="96"/>
      <c r="M35" s="153"/>
      <c r="N35" s="96"/>
      <c r="O35" s="156"/>
      <c r="P35" s="149"/>
      <c r="Q35" s="150"/>
      <c r="R35" s="97"/>
      <c r="S35" s="188" t="str">
        <f>+IF(Tabla258790120135[[#This Row],[Equipment]]="","",Q35*R35/10^6)</f>
        <v/>
      </c>
      <c r="T35" s="577" t="e">
        <f t="shared" ca="1" si="0"/>
        <v>#VALUE!</v>
      </c>
      <c r="U35" s="83"/>
      <c r="V35" s="301"/>
      <c r="AO35" s="104"/>
      <c r="AP35" s="83"/>
      <c r="AQ35" s="209"/>
      <c r="AR35" s="362"/>
    </row>
    <row r="36" spans="1:44" ht="16.2" customHeight="1" x14ac:dyDescent="0.3">
      <c r="A36" s="83"/>
      <c r="B36" s="103"/>
      <c r="C36" s="354"/>
      <c r="D36" s="203"/>
      <c r="E36" s="203"/>
      <c r="F36" s="96"/>
      <c r="G36" s="96"/>
      <c r="H36" s="96"/>
      <c r="I36" s="96"/>
      <c r="J36" s="96"/>
      <c r="K36" s="96"/>
      <c r="L36" s="96"/>
      <c r="M36" s="153"/>
      <c r="N36" s="96"/>
      <c r="O36" s="156"/>
      <c r="P36" s="149"/>
      <c r="Q36" s="150"/>
      <c r="R36" s="97"/>
      <c r="S36" s="188" t="str">
        <f>+IF(Tabla258790120135[[#This Row],[Equipment]]="","",Q36*R36/10^6)</f>
        <v/>
      </c>
      <c r="T36" s="577" t="e">
        <f t="shared" ca="1" si="0"/>
        <v>#VALUE!</v>
      </c>
      <c r="U36" s="83"/>
      <c r="V36" s="301"/>
      <c r="AO36" s="104"/>
      <c r="AP36" s="83"/>
      <c r="AQ36" s="209"/>
      <c r="AR36" s="362"/>
    </row>
    <row r="37" spans="1:44" ht="16.2" customHeight="1" x14ac:dyDescent="0.3">
      <c r="A37" s="83"/>
      <c r="B37" s="103"/>
      <c r="C37" s="354"/>
      <c r="D37" s="203"/>
      <c r="E37" s="203"/>
      <c r="F37" s="96"/>
      <c r="G37" s="96"/>
      <c r="H37" s="96"/>
      <c r="I37" s="96"/>
      <c r="J37" s="96"/>
      <c r="K37" s="96"/>
      <c r="L37" s="96"/>
      <c r="M37" s="153"/>
      <c r="N37" s="96"/>
      <c r="O37" s="156"/>
      <c r="P37" s="149"/>
      <c r="Q37" s="150"/>
      <c r="R37" s="97"/>
      <c r="S37" s="188" t="str">
        <f>+IF(Tabla258790120135[[#This Row],[Equipment]]="","",Q37*R37/10^6)</f>
        <v/>
      </c>
      <c r="T37" s="577" t="e">
        <f t="shared" ca="1" si="0"/>
        <v>#VALUE!</v>
      </c>
      <c r="U37" s="83"/>
      <c r="V37" s="301"/>
      <c r="AO37" s="104"/>
      <c r="AP37" s="83"/>
      <c r="AQ37" s="209"/>
      <c r="AR37" s="362"/>
    </row>
    <row r="38" spans="1:44" ht="16.2" customHeight="1" x14ac:dyDescent="0.3">
      <c r="A38" s="83"/>
      <c r="B38" s="103"/>
      <c r="C38" s="354"/>
      <c r="D38" s="203"/>
      <c r="E38" s="203"/>
      <c r="F38" s="96"/>
      <c r="G38" s="96"/>
      <c r="H38" s="96"/>
      <c r="I38" s="96"/>
      <c r="J38" s="96"/>
      <c r="K38" s="96"/>
      <c r="L38" s="96"/>
      <c r="M38" s="153"/>
      <c r="N38" s="96"/>
      <c r="O38" s="156"/>
      <c r="P38" s="149"/>
      <c r="Q38" s="150"/>
      <c r="R38" s="97"/>
      <c r="S38" s="188" t="str">
        <f>+IF(Tabla258790120135[[#This Row],[Equipment]]="","",Q38*R38/10^6)</f>
        <v/>
      </c>
      <c r="T38" s="577" t="e">
        <f t="shared" ca="1" si="0"/>
        <v>#VALUE!</v>
      </c>
      <c r="U38" s="83"/>
      <c r="V38" s="301"/>
      <c r="AO38" s="84"/>
      <c r="AP38" s="83"/>
      <c r="AQ38" s="209"/>
      <c r="AR38" s="362"/>
    </row>
    <row r="39" spans="1:44" ht="16.2" customHeight="1" x14ac:dyDescent="0.3">
      <c r="A39" s="83"/>
      <c r="B39" s="103"/>
      <c r="C39" s="92"/>
      <c r="D39" s="203"/>
      <c r="E39" s="203"/>
      <c r="F39" s="96"/>
      <c r="G39" s="96"/>
      <c r="H39" s="96"/>
      <c r="I39" s="96"/>
      <c r="J39" s="96"/>
      <c r="K39" s="96"/>
      <c r="L39" s="96"/>
      <c r="M39" s="153"/>
      <c r="N39" s="96"/>
      <c r="O39" s="156"/>
      <c r="P39" s="149"/>
      <c r="Q39" s="150"/>
      <c r="R39" s="84"/>
      <c r="S39" s="188" t="str">
        <f>+IF(Tabla258790120135[[#This Row],[Equipment]]="","",Q39*R39/10^6)</f>
        <v/>
      </c>
      <c r="T39" s="577" t="e">
        <f t="shared" ca="1" si="0"/>
        <v>#VALUE!</v>
      </c>
      <c r="U39" s="83"/>
      <c r="V39" s="301"/>
      <c r="AO39" s="104"/>
      <c r="AP39" s="83"/>
      <c r="AQ39" s="209"/>
      <c r="AR39" s="362"/>
    </row>
    <row r="40" spans="1:44" ht="16.2" customHeight="1" x14ac:dyDescent="0.3">
      <c r="A40" s="83"/>
      <c r="B40" s="103"/>
      <c r="C40" s="92"/>
      <c r="D40" s="203"/>
      <c r="E40" s="203"/>
      <c r="F40" s="96"/>
      <c r="G40" s="96"/>
      <c r="H40" s="96"/>
      <c r="I40" s="96"/>
      <c r="J40" s="96"/>
      <c r="K40" s="96"/>
      <c r="L40" s="96"/>
      <c r="M40" s="153"/>
      <c r="N40" s="96"/>
      <c r="O40" s="156"/>
      <c r="P40" s="149"/>
      <c r="Q40" s="150"/>
      <c r="R40" s="84"/>
      <c r="S40" s="188" t="str">
        <f>+IF(Tabla258790120135[[#This Row],[Equipment]]="","",Q40*R40/10^6)</f>
        <v/>
      </c>
      <c r="T40" s="577" t="e">
        <f t="shared" ca="1" si="0"/>
        <v>#VALUE!</v>
      </c>
      <c r="U40" s="83"/>
      <c r="V40" s="301"/>
      <c r="AO40" s="104"/>
      <c r="AP40" s="83"/>
      <c r="AQ40" s="209"/>
      <c r="AR40" s="362"/>
    </row>
    <row r="41" spans="1:44" ht="16.2" customHeight="1" x14ac:dyDescent="0.3">
      <c r="A41" s="83"/>
      <c r="B41" s="103"/>
      <c r="C41" s="99"/>
      <c r="D41" s="203"/>
      <c r="E41" s="203"/>
      <c r="F41" s="96"/>
      <c r="G41" s="96"/>
      <c r="H41" s="96"/>
      <c r="I41" s="96"/>
      <c r="J41" s="96"/>
      <c r="K41" s="96"/>
      <c r="L41" s="96"/>
      <c r="M41" s="153"/>
      <c r="N41" s="96"/>
      <c r="O41" s="156"/>
      <c r="P41" s="149"/>
      <c r="Q41" s="150"/>
      <c r="R41" s="97"/>
      <c r="S41" s="188" t="str">
        <f>+IF(Tabla258790120135[[#This Row],[Equipment]]="","",Q41*R41/10^6)</f>
        <v/>
      </c>
      <c r="T41" s="577" t="e">
        <f t="shared" ca="1" si="0"/>
        <v>#VALUE!</v>
      </c>
      <c r="U41" s="83"/>
      <c r="V41" s="301"/>
      <c r="AO41" s="104"/>
      <c r="AP41" s="83"/>
      <c r="AQ41" s="209"/>
      <c r="AR41" s="362"/>
    </row>
    <row r="42" spans="1:44" ht="16.2" customHeight="1" x14ac:dyDescent="0.3">
      <c r="A42" s="83"/>
      <c r="B42" s="103"/>
      <c r="C42" s="99"/>
      <c r="D42" s="203"/>
      <c r="E42" s="203"/>
      <c r="F42" s="96"/>
      <c r="G42" s="96"/>
      <c r="H42" s="96"/>
      <c r="I42" s="96"/>
      <c r="J42" s="96"/>
      <c r="K42" s="96"/>
      <c r="L42" s="96"/>
      <c r="M42" s="153"/>
      <c r="N42" s="96"/>
      <c r="O42" s="156"/>
      <c r="P42" s="149"/>
      <c r="Q42" s="150"/>
      <c r="R42" s="97"/>
      <c r="S42" s="188" t="str">
        <f>+IF(Tabla258790120135[[#This Row],[Equipment]]="","",Q42*R42/10^6)</f>
        <v/>
      </c>
      <c r="T42" s="577" t="e">
        <f t="shared" ca="1" si="0"/>
        <v>#VALUE!</v>
      </c>
      <c r="U42" s="83"/>
      <c r="V42" s="301"/>
      <c r="AO42" s="104"/>
      <c r="AP42" s="83"/>
      <c r="AQ42" s="209"/>
      <c r="AR42" s="362"/>
    </row>
    <row r="43" spans="1:44" ht="16.2" customHeight="1" x14ac:dyDescent="0.3">
      <c r="A43" s="83"/>
      <c r="B43" s="103"/>
      <c r="C43" s="354"/>
      <c r="D43" s="203"/>
      <c r="E43" s="203"/>
      <c r="F43" s="96"/>
      <c r="G43" s="96"/>
      <c r="H43" s="96"/>
      <c r="I43" s="96"/>
      <c r="J43" s="96"/>
      <c r="K43" s="96"/>
      <c r="L43" s="96"/>
      <c r="M43" s="153"/>
      <c r="N43" s="96"/>
      <c r="O43" s="156"/>
      <c r="P43" s="149"/>
      <c r="Q43" s="150"/>
      <c r="R43" s="97"/>
      <c r="S43" s="188" t="str">
        <f>+IF(Tabla258790120135[[#This Row],[Equipment]]="","",Q43*R43/10^6)</f>
        <v/>
      </c>
      <c r="T43" s="577" t="e">
        <f t="shared" ca="1" si="0"/>
        <v>#VALUE!</v>
      </c>
      <c r="U43" s="83"/>
      <c r="V43" s="301"/>
      <c r="AO43" s="104"/>
      <c r="AP43" s="83"/>
      <c r="AQ43" s="209"/>
      <c r="AR43" s="362"/>
    </row>
    <row r="44" spans="1:44" ht="16.2" customHeight="1" x14ac:dyDescent="0.3">
      <c r="A44" s="83"/>
      <c r="B44" s="103"/>
      <c r="C44" s="355"/>
      <c r="D44" s="750" t="s">
        <v>532</v>
      </c>
      <c r="E44" s="751"/>
      <c r="F44" s="751"/>
      <c r="G44" s="751"/>
      <c r="H44" s="751"/>
      <c r="I44" s="751"/>
      <c r="J44" s="751"/>
      <c r="K44" s="751"/>
      <c r="L44" s="751"/>
      <c r="M44" s="751"/>
      <c r="N44" s="751"/>
      <c r="O44" s="751"/>
      <c r="P44" s="751"/>
      <c r="Q44" s="751"/>
      <c r="R44" s="752"/>
      <c r="S44" s="175"/>
      <c r="T44" s="577"/>
      <c r="U44" s="83"/>
      <c r="V44" s="301"/>
      <c r="AO44" s="104"/>
      <c r="AP44" s="83"/>
      <c r="AQ44" s="209"/>
      <c r="AR44" s="362"/>
    </row>
    <row r="45" spans="1:44" ht="16.2" customHeight="1" x14ac:dyDescent="0.3">
      <c r="A45" s="83"/>
      <c r="B45" s="103"/>
      <c r="C45" s="420" t="s">
        <v>577</v>
      </c>
      <c r="D45" s="414" t="s">
        <v>494</v>
      </c>
      <c r="E45" s="414" t="s">
        <v>493</v>
      </c>
      <c r="F45" s="561" t="s">
        <v>459</v>
      </c>
      <c r="G45" s="561" t="s">
        <v>315</v>
      </c>
      <c r="H45" s="561" t="s">
        <v>504</v>
      </c>
      <c r="I45" s="414" t="s">
        <v>501</v>
      </c>
      <c r="J45" s="414" t="s">
        <v>235</v>
      </c>
      <c r="K45" s="414" t="s">
        <v>461</v>
      </c>
      <c r="L45" s="414" t="s">
        <v>462</v>
      </c>
      <c r="M45" s="421" t="s">
        <v>581</v>
      </c>
      <c r="N45" s="422" t="s">
        <v>464</v>
      </c>
      <c r="O45" s="418" t="s">
        <v>463</v>
      </c>
      <c r="P45" s="414" t="s">
        <v>460</v>
      </c>
      <c r="Q45" s="414" t="s">
        <v>466</v>
      </c>
      <c r="R45" s="419" t="s">
        <v>465</v>
      </c>
      <c r="S45" s="419" t="s">
        <v>492</v>
      </c>
      <c r="T45" s="577"/>
      <c r="U45" s="83"/>
      <c r="V45" s="301"/>
      <c r="AO45" s="104"/>
      <c r="AP45" s="83"/>
      <c r="AQ45" s="209"/>
      <c r="AR45" s="362"/>
    </row>
    <row r="46" spans="1:44" ht="16.2" customHeight="1" x14ac:dyDescent="0.3">
      <c r="A46" s="83"/>
      <c r="B46" s="103"/>
      <c r="C46" s="265"/>
      <c r="D46" s="268"/>
      <c r="E46" s="269"/>
      <c r="F46" s="269"/>
      <c r="G46" s="269"/>
      <c r="H46" s="269"/>
      <c r="I46" s="269"/>
      <c r="J46" s="236"/>
      <c r="K46" s="269"/>
      <c r="L46" s="269"/>
      <c r="M46" s="268"/>
      <c r="N46" s="269"/>
      <c r="O46" s="269"/>
      <c r="P46" s="269"/>
      <c r="Q46" s="269"/>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593" t="str">
        <f ca="1">+S46</f>
        <v/>
      </c>
      <c r="U46" s="83"/>
      <c r="V46" s="301"/>
      <c r="AO46" s="104"/>
      <c r="AP46" s="83"/>
      <c r="AQ46" s="209"/>
      <c r="AR46" s="362"/>
    </row>
    <row r="47" spans="1:44" ht="16.2" customHeight="1" x14ac:dyDescent="0.3">
      <c r="A47" s="83"/>
      <c r="B47" s="103"/>
      <c r="C47" s="265"/>
      <c r="D47" s="265"/>
      <c r="E47" s="96"/>
      <c r="F47" s="96"/>
      <c r="G47" s="96"/>
      <c r="H47" s="96"/>
      <c r="I47" s="118"/>
      <c r="J47" s="118"/>
      <c r="K47" s="96"/>
      <c r="L47" s="96"/>
      <c r="M47" s="265"/>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593" t="str">
        <f ca="1">+S47</f>
        <v/>
      </c>
      <c r="U47" s="83"/>
      <c r="V47" s="301"/>
      <c r="AO47" s="104"/>
      <c r="AP47" s="83"/>
      <c r="AQ47" s="209"/>
      <c r="AR47" s="362"/>
    </row>
    <row r="48" spans="1:44" ht="16.2" customHeight="1" x14ac:dyDescent="0.3">
      <c r="A48" s="83"/>
      <c r="B48" s="103"/>
      <c r="C48" s="187"/>
      <c r="D48" s="265"/>
      <c r="E48" s="96"/>
      <c r="F48" s="96"/>
      <c r="G48" s="96"/>
      <c r="H48" s="96"/>
      <c r="I48" s="96"/>
      <c r="J48" s="96"/>
      <c r="K48" s="96"/>
      <c r="L48" s="96"/>
      <c r="M48" s="265"/>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593" t="str">
        <f ca="1">+S48</f>
        <v/>
      </c>
      <c r="U48" s="83"/>
      <c r="V48" s="103"/>
      <c r="AG48" s="595" t="s">
        <v>690</v>
      </c>
      <c r="AH48" s="595" t="s">
        <v>359</v>
      </c>
      <c r="AI48" s="780" t="s">
        <v>575</v>
      </c>
      <c r="AJ48" s="781"/>
      <c r="AK48" s="781"/>
      <c r="AL48" s="781"/>
      <c r="AM48" s="781"/>
      <c r="AN48" s="782"/>
      <c r="AO48" s="104"/>
      <c r="AP48" s="83"/>
      <c r="AQ48" s="209"/>
      <c r="AR48" s="362"/>
    </row>
    <row r="49" spans="1:57" ht="16.2" customHeight="1" x14ac:dyDescent="0.3">
      <c r="A49" s="83"/>
      <c r="B49" s="103"/>
      <c r="C49" s="187"/>
      <c r="D49" s="265"/>
      <c r="E49" s="96"/>
      <c r="F49" s="96"/>
      <c r="G49" s="96"/>
      <c r="H49" s="96"/>
      <c r="I49" s="96"/>
      <c r="J49" s="96"/>
      <c r="K49" s="96"/>
      <c r="L49" s="96"/>
      <c r="M49" s="265"/>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593" t="str">
        <f ca="1">+S49</f>
        <v/>
      </c>
      <c r="U49" s="83"/>
      <c r="V49" s="103"/>
      <c r="AG49" s="596"/>
      <c r="AH49" s="597"/>
      <c r="AI49" s="598"/>
      <c r="AJ49" s="598"/>
      <c r="AK49" s="598"/>
      <c r="AL49" s="598"/>
      <c r="AM49" s="598"/>
      <c r="AN49" s="599"/>
      <c r="AO49" s="104"/>
      <c r="AP49" s="83"/>
      <c r="AQ49" s="209"/>
      <c r="AR49" s="362"/>
    </row>
    <row r="50" spans="1:57" ht="16.2" customHeight="1" x14ac:dyDescent="0.3">
      <c r="A50" s="83"/>
      <c r="B50" s="103"/>
      <c r="C50" s="187"/>
      <c r="D50" s="265"/>
      <c r="E50" s="96"/>
      <c r="F50" s="96"/>
      <c r="G50" s="96"/>
      <c r="H50" s="96"/>
      <c r="I50" s="96"/>
      <c r="J50" s="96"/>
      <c r="K50" s="96"/>
      <c r="L50" s="96"/>
      <c r="M50" s="266"/>
      <c r="N50" s="267"/>
      <c r="O50" s="267"/>
      <c r="P50" s="267"/>
      <c r="Q50" s="267"/>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593" t="str">
        <f ca="1">+S50</f>
        <v/>
      </c>
      <c r="U50" s="83"/>
      <c r="V50" s="103"/>
      <c r="AG50" s="600"/>
      <c r="AH50" s="601"/>
      <c r="AI50" s="602"/>
      <c r="AJ50" s="602"/>
      <c r="AK50" s="602"/>
      <c r="AL50" s="602"/>
      <c r="AM50" s="602"/>
      <c r="AN50" s="603"/>
      <c r="AO50" s="104"/>
      <c r="AP50" s="83"/>
      <c r="AQ50" s="209"/>
      <c r="AR50" s="362"/>
    </row>
    <row r="51" spans="1:57" ht="16.2" customHeight="1" x14ac:dyDescent="0.3">
      <c r="A51" s="83"/>
      <c r="B51" s="103"/>
      <c r="C51" s="195"/>
      <c r="D51" s="266"/>
      <c r="E51" s="267"/>
      <c r="F51" s="267"/>
      <c r="G51" s="267"/>
      <c r="H51" s="267"/>
      <c r="I51" s="267"/>
      <c r="J51" s="267"/>
      <c r="K51" s="267"/>
      <c r="L51" s="98"/>
      <c r="M51" s="424" t="s">
        <v>580</v>
      </c>
      <c r="N51" s="417" t="s">
        <v>459</v>
      </c>
      <c r="O51" s="560" t="s">
        <v>315</v>
      </c>
      <c r="P51" s="792" t="s">
        <v>472</v>
      </c>
      <c r="Q51" s="793"/>
      <c r="R51" s="419" t="s">
        <v>635</v>
      </c>
      <c r="S51" s="425" t="s">
        <v>634</v>
      </c>
      <c r="T51" s="577"/>
      <c r="U51" s="83"/>
      <c r="V51" s="103"/>
      <c r="AG51" s="600"/>
      <c r="AH51" s="601"/>
      <c r="AI51" s="602"/>
      <c r="AJ51" s="602"/>
      <c r="AK51" s="602"/>
      <c r="AL51" s="602"/>
      <c r="AM51" s="602"/>
      <c r="AN51" s="603"/>
      <c r="AO51" s="104"/>
      <c r="AP51" s="83"/>
      <c r="AQ51" s="209"/>
      <c r="AR51" s="362"/>
    </row>
    <row r="52" spans="1:57" ht="16.2" customHeight="1" x14ac:dyDescent="0.3">
      <c r="A52" s="83"/>
      <c r="B52" s="103"/>
      <c r="C52" s="567"/>
      <c r="D52" s="356"/>
      <c r="E52" s="356"/>
      <c r="F52" s="356"/>
      <c r="G52" s="356"/>
      <c r="H52" s="356"/>
      <c r="I52" s="356"/>
      <c r="J52" s="356"/>
      <c r="K52" s="356"/>
      <c r="L52" s="563"/>
      <c r="M52" s="498" t="s">
        <v>484</v>
      </c>
      <c r="N52" s="408" t="s">
        <v>482</v>
      </c>
      <c r="O52" s="473">
        <v>2001</v>
      </c>
      <c r="P52" s="714" t="s">
        <v>473</v>
      </c>
      <c r="Q52" s="716"/>
      <c r="R52" s="426" t="str">
        <f>+IF(SUM(S13:S43)&gt;0,IF(G3="Equipment",SUM(S13:S43),"NaN"),"")</f>
        <v/>
      </c>
      <c r="S52" s="427" cm="1">
        <f t="array" aca="1" ref="S52" ca="1">+IF(R52="",0,R52*INDIRECT(ADDRESS(MATCH(O52,'Cost Conversion'!$B$3:$B$48,0)+2,4,1,1,"Cost conversion"))*INDIRECT(ADDRESS(MATCH(P52,'Cost Conversion'!$F$3:$F$22,0)+2,8,1,1,"Cost conversion"))/IF('Plant Overview'!$E$9="€",IF(N52="$",'Cost Conversion'!$L$2,1),IF('Plant Overview'!$E$9="$",1,1/'Cost Conversion'!$L$2)))</f>
        <v>0</v>
      </c>
      <c r="T52" s="577"/>
      <c r="U52" s="83"/>
      <c r="V52" s="103"/>
      <c r="AG52" s="600"/>
      <c r="AH52" s="601"/>
      <c r="AI52" s="602"/>
      <c r="AJ52" s="602"/>
      <c r="AK52" s="602"/>
      <c r="AL52" s="602"/>
      <c r="AM52" s="602"/>
      <c r="AN52" s="603"/>
      <c r="AO52" s="104"/>
      <c r="AP52" s="83"/>
      <c r="AQ52" s="209"/>
      <c r="AR52" s="362"/>
    </row>
    <row r="53" spans="1:57" ht="16.2" customHeight="1" x14ac:dyDescent="0.3">
      <c r="A53" s="83"/>
      <c r="B53" s="103"/>
      <c r="C53" s="564"/>
      <c r="D53" s="565"/>
      <c r="E53" s="565"/>
      <c r="F53" s="565"/>
      <c r="G53" s="565"/>
      <c r="H53" s="565"/>
      <c r="I53" s="565"/>
      <c r="J53" s="565"/>
      <c r="K53" s="565"/>
      <c r="L53" s="566"/>
      <c r="M53" s="408" t="s">
        <v>636</v>
      </c>
      <c r="N53" s="127"/>
      <c r="O53" s="133"/>
      <c r="P53" s="714"/>
      <c r="Q53" s="716"/>
      <c r="R53" s="426" t="s">
        <v>354</v>
      </c>
      <c r="S53" s="427">
        <f ca="1">+IF(SUM(S46:S50)&gt;=0,SUM(S46:S50),"")</f>
        <v>0</v>
      </c>
      <c r="T53" s="577"/>
      <c r="U53" s="83"/>
      <c r="V53" s="103"/>
      <c r="AG53" s="604"/>
      <c r="AH53" s="605"/>
      <c r="AI53" s="606"/>
      <c r="AJ53" s="606"/>
      <c r="AK53" s="606"/>
      <c r="AL53" s="606"/>
      <c r="AM53" s="606"/>
      <c r="AN53" s="607"/>
      <c r="AO53" s="104"/>
      <c r="AP53" s="83"/>
      <c r="AQ53" s="209"/>
      <c r="AR53" s="362"/>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09"/>
      <c r="AR54" s="362"/>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09"/>
      <c r="AR55" s="362"/>
    </row>
    <row r="56" spans="1:57" ht="16.2" customHeight="1" x14ac:dyDescent="0.3">
      <c r="A56" s="83"/>
      <c r="B56" s="750" t="str">
        <f>+"BEC Distribution: "&amp;E6</f>
        <v>BEC Distribution: Unit 1</v>
      </c>
      <c r="C56" s="751"/>
      <c r="D56" s="751"/>
      <c r="E56" s="751"/>
      <c r="F56" s="751"/>
      <c r="G56" s="752"/>
      <c r="H56" s="750" t="str">
        <f>"Estimate Benchmark: "&amp;E6</f>
        <v>Estimate Benchmark: Unit 1</v>
      </c>
      <c r="I56" s="751"/>
      <c r="J56" s="751"/>
      <c r="K56" s="751"/>
      <c r="L56" s="751"/>
      <c r="M56" s="751"/>
      <c r="N56" s="752"/>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09"/>
      <c r="AR56" s="362"/>
    </row>
    <row r="57" spans="1:57" ht="16.2" customHeight="1" x14ac:dyDescent="0.3">
      <c r="A57" s="83"/>
      <c r="B57" s="100"/>
      <c r="C57" s="101"/>
      <c r="D57" s="101"/>
      <c r="E57" s="101"/>
      <c r="F57" s="101"/>
      <c r="G57" s="102"/>
      <c r="H57" s="100"/>
      <c r="I57" s="101"/>
      <c r="J57" s="101"/>
      <c r="K57" s="101"/>
      <c r="L57" s="101"/>
      <c r="M57" s="101"/>
      <c r="N57" s="102"/>
      <c r="O57" s="158"/>
      <c r="P57" s="367"/>
      <c r="Q57" s="367"/>
      <c r="R57" s="209"/>
      <c r="S57" s="363"/>
      <c r="T57" s="209"/>
      <c r="U57" s="209"/>
      <c r="V57" s="209"/>
      <c r="W57" s="209"/>
      <c r="X57" s="209"/>
      <c r="Y57" s="209"/>
      <c r="Z57" s="209"/>
      <c r="AA57" s="209"/>
      <c r="AB57" s="209"/>
      <c r="AC57" s="209"/>
      <c r="AD57" s="209"/>
      <c r="AE57" s="209"/>
      <c r="AF57" s="209"/>
      <c r="AG57" s="209"/>
      <c r="AH57" s="209"/>
      <c r="AI57" s="209"/>
      <c r="AJ57" s="209"/>
      <c r="AK57" s="209"/>
      <c r="AL57" s="209"/>
      <c r="AM57" s="209"/>
      <c r="AN57" s="209"/>
      <c r="AO57" s="209"/>
      <c r="AP57" s="209"/>
      <c r="AQ57" s="209"/>
      <c r="AR57" s="362"/>
      <c r="AS57" s="363"/>
      <c r="AT57" s="363"/>
      <c r="AU57" s="363"/>
      <c r="AV57" s="363"/>
      <c r="AW57" s="363"/>
      <c r="AX57" s="363"/>
      <c r="AY57" s="363"/>
      <c r="AZ57" s="363"/>
      <c r="BA57" s="363"/>
      <c r="BB57" s="363"/>
      <c r="BC57" s="363"/>
      <c r="BD57" s="363"/>
      <c r="BE57" s="363"/>
    </row>
    <row r="58" spans="1:57" ht="16.2" customHeight="1" x14ac:dyDescent="0.3">
      <c r="A58" s="83"/>
      <c r="B58" s="103"/>
      <c r="C58" s="83"/>
      <c r="D58" s="83"/>
      <c r="E58" s="83"/>
      <c r="F58" s="83"/>
      <c r="G58" s="104"/>
      <c r="H58" s="103"/>
      <c r="I58" s="83"/>
      <c r="J58" s="83"/>
      <c r="K58" s="83"/>
      <c r="L58" s="83"/>
      <c r="M58" s="83"/>
      <c r="N58" s="104"/>
      <c r="O58" s="161"/>
      <c r="P58" s="367"/>
      <c r="Q58" s="367"/>
      <c r="R58" s="209"/>
      <c r="S58" s="363"/>
      <c r="T58" s="209"/>
      <c r="U58" s="209"/>
      <c r="V58" s="209"/>
      <c r="W58" s="209"/>
      <c r="X58" s="209"/>
      <c r="Y58" s="209"/>
      <c r="Z58" s="209"/>
      <c r="AA58" s="209"/>
      <c r="AB58" s="209"/>
      <c r="AC58" s="209"/>
      <c r="AD58" s="209"/>
      <c r="AE58" s="209"/>
      <c r="AF58" s="209"/>
      <c r="AG58" s="209"/>
      <c r="AH58" s="209"/>
      <c r="AI58" s="209"/>
      <c r="AJ58" s="209"/>
      <c r="AK58" s="209"/>
      <c r="AL58" s="209"/>
      <c r="AM58" s="209"/>
      <c r="AN58" s="209"/>
      <c r="AO58" s="209"/>
      <c r="AP58" s="209"/>
      <c r="AQ58" s="209"/>
      <c r="AR58" s="362"/>
      <c r="AS58" s="363"/>
      <c r="AT58" s="363"/>
      <c r="AU58" s="363"/>
      <c r="AV58" s="363"/>
      <c r="AW58" s="363"/>
      <c r="AX58" s="363"/>
      <c r="AY58" s="363"/>
      <c r="AZ58" s="363"/>
      <c r="BA58" s="363"/>
      <c r="BB58" s="363"/>
      <c r="BC58" s="363"/>
      <c r="BD58" s="363"/>
      <c r="BE58" s="363"/>
    </row>
    <row r="59" spans="1:57" ht="16.2" customHeight="1" x14ac:dyDescent="0.3">
      <c r="A59" s="83"/>
      <c r="B59" s="103"/>
      <c r="C59" s="83"/>
      <c r="D59" s="83"/>
      <c r="E59" s="83"/>
      <c r="F59" s="83"/>
      <c r="G59" s="104"/>
      <c r="H59" s="103"/>
      <c r="I59" s="83"/>
      <c r="J59" s="83"/>
      <c r="K59" s="83"/>
      <c r="L59" s="83"/>
      <c r="M59" s="83"/>
      <c r="N59" s="104"/>
      <c r="O59" s="157"/>
      <c r="P59" s="209"/>
      <c r="Q59" s="209"/>
      <c r="R59" s="209"/>
      <c r="S59" s="209"/>
      <c r="T59" s="209"/>
      <c r="U59" s="209"/>
      <c r="V59" s="209"/>
      <c r="W59" s="209"/>
      <c r="X59" s="209"/>
      <c r="Y59" s="209"/>
      <c r="Z59" s="209"/>
      <c r="AA59" s="209"/>
      <c r="AB59" s="209"/>
      <c r="AC59" s="209"/>
      <c r="AD59" s="209"/>
      <c r="AE59" s="209"/>
      <c r="AF59" s="209"/>
      <c r="AG59" s="209"/>
      <c r="AH59" s="209"/>
      <c r="AI59" s="209"/>
      <c r="AJ59" s="209"/>
      <c r="AK59" s="209"/>
      <c r="AL59" s="209"/>
      <c r="AM59" s="209"/>
      <c r="AN59" s="209"/>
      <c r="AO59" s="209"/>
      <c r="AP59" s="209"/>
      <c r="AQ59" s="209"/>
      <c r="AR59" s="362"/>
      <c r="AS59" s="363"/>
      <c r="AT59" s="363"/>
      <c r="AU59" s="363"/>
      <c r="AV59" s="363"/>
      <c r="AW59" s="363"/>
      <c r="AX59" s="363"/>
      <c r="AY59" s="363"/>
      <c r="AZ59" s="363"/>
      <c r="BA59" s="363"/>
      <c r="BB59" s="363"/>
      <c r="BC59" s="363"/>
      <c r="BD59" s="363"/>
      <c r="BE59" s="363"/>
    </row>
    <row r="60" spans="1:57" ht="16.2" customHeight="1" x14ac:dyDescent="0.3">
      <c r="A60" s="83"/>
      <c r="B60" s="103"/>
      <c r="C60" s="83"/>
      <c r="D60" s="83"/>
      <c r="E60" s="83"/>
      <c r="F60" s="83"/>
      <c r="G60" s="104"/>
      <c r="H60" s="103"/>
      <c r="I60" s="83"/>
      <c r="J60" s="83"/>
      <c r="K60" s="83"/>
      <c r="L60" s="83"/>
      <c r="M60" s="83"/>
      <c r="N60" s="104"/>
      <c r="O60" s="83"/>
      <c r="P60" s="209"/>
      <c r="Q60" s="209"/>
      <c r="R60" s="209"/>
      <c r="S60" s="209"/>
      <c r="T60" s="209"/>
      <c r="U60" s="209"/>
      <c r="V60" s="363"/>
      <c r="W60" s="209"/>
      <c r="X60" s="209"/>
      <c r="Y60" s="209"/>
      <c r="Z60" s="209"/>
      <c r="AA60" s="209"/>
      <c r="AB60" s="209"/>
      <c r="AC60" s="209"/>
      <c r="AD60" s="209"/>
      <c r="AE60" s="209"/>
      <c r="AF60" s="209"/>
      <c r="AG60" s="209"/>
      <c r="AH60" s="209"/>
      <c r="AI60" s="209"/>
      <c r="AJ60" s="209"/>
      <c r="AK60" s="209"/>
      <c r="AL60" s="209"/>
      <c r="AM60" s="209"/>
      <c r="AN60" s="209"/>
      <c r="AO60" s="209"/>
      <c r="AP60" s="209"/>
      <c r="AQ60" s="209"/>
      <c r="AR60" s="362"/>
      <c r="AS60" s="363"/>
      <c r="AT60" s="363"/>
      <c r="AU60" s="363"/>
      <c r="AV60" s="363"/>
      <c r="AW60" s="363"/>
      <c r="AX60" s="363"/>
      <c r="AY60" s="363"/>
      <c r="AZ60" s="363"/>
      <c r="BA60" s="363"/>
      <c r="BB60" s="363"/>
      <c r="BC60" s="363"/>
      <c r="BD60" s="363"/>
      <c r="BE60" s="363"/>
    </row>
    <row r="61" spans="1:57" ht="16.2" customHeight="1" x14ac:dyDescent="0.3">
      <c r="A61" s="83"/>
      <c r="B61" s="103"/>
      <c r="C61" s="83"/>
      <c r="D61" s="83"/>
      <c r="E61" s="83"/>
      <c r="F61" s="83"/>
      <c r="G61" s="104"/>
      <c r="H61" s="103"/>
      <c r="I61" s="83"/>
      <c r="J61" s="83"/>
      <c r="K61" s="83"/>
      <c r="L61" s="83"/>
      <c r="M61" s="83"/>
      <c r="N61" s="104"/>
      <c r="O61" s="83"/>
      <c r="P61" s="209"/>
      <c r="Q61" s="209"/>
      <c r="R61" s="209"/>
      <c r="S61" s="209"/>
      <c r="T61" s="209"/>
      <c r="U61" s="209"/>
      <c r="V61" s="209"/>
      <c r="W61" s="209"/>
      <c r="X61" s="209"/>
      <c r="Y61" s="209"/>
      <c r="Z61" s="209"/>
      <c r="AA61" s="209"/>
      <c r="AB61" s="209"/>
      <c r="AC61" s="209"/>
      <c r="AD61" s="209"/>
      <c r="AE61" s="209"/>
      <c r="AF61" s="209"/>
      <c r="AG61" s="209"/>
      <c r="AH61" s="209"/>
      <c r="AI61" s="209"/>
      <c r="AJ61" s="209"/>
      <c r="AK61" s="209"/>
      <c r="AL61" s="209"/>
      <c r="AM61" s="209"/>
      <c r="AN61" s="209"/>
      <c r="AO61" s="209"/>
      <c r="AP61" s="209"/>
      <c r="AQ61" s="209"/>
      <c r="AR61" s="362"/>
      <c r="AS61" s="363"/>
      <c r="AT61" s="363"/>
      <c r="AU61" s="363"/>
      <c r="AV61" s="363"/>
      <c r="AW61" s="363"/>
      <c r="AX61" s="363"/>
      <c r="AY61" s="363"/>
      <c r="AZ61" s="363"/>
      <c r="BA61" s="363"/>
      <c r="BB61" s="363"/>
      <c r="BC61" s="363"/>
      <c r="BD61" s="363"/>
      <c r="BE61" s="363"/>
    </row>
    <row r="62" spans="1:57" ht="16.2" customHeight="1" x14ac:dyDescent="0.3">
      <c r="A62" s="83"/>
      <c r="B62" s="103"/>
      <c r="C62" s="83"/>
      <c r="D62" s="83"/>
      <c r="E62" s="83"/>
      <c r="F62" s="83"/>
      <c r="G62" s="104"/>
      <c r="H62" s="103"/>
      <c r="I62" s="83"/>
      <c r="J62" s="83"/>
      <c r="K62" s="83"/>
      <c r="L62" s="83"/>
      <c r="M62" s="83"/>
      <c r="N62" s="104"/>
      <c r="O62" s="83"/>
      <c r="P62" s="209"/>
      <c r="Q62" s="209"/>
      <c r="R62" s="209"/>
      <c r="S62" s="209"/>
      <c r="T62" s="367"/>
      <c r="U62" s="209"/>
      <c r="V62" s="209"/>
      <c r="W62" s="209"/>
      <c r="X62" s="209"/>
      <c r="Y62" s="209"/>
      <c r="Z62" s="209"/>
      <c r="AA62" s="209"/>
      <c r="AB62" s="209"/>
      <c r="AC62" s="209"/>
      <c r="AD62" s="209"/>
      <c r="AE62" s="209"/>
      <c r="AF62" s="209"/>
      <c r="AG62" s="209"/>
      <c r="AH62" s="209"/>
      <c r="AI62" s="209"/>
      <c r="AJ62" s="209"/>
      <c r="AK62" s="209"/>
      <c r="AL62" s="209"/>
      <c r="AM62" s="209"/>
      <c r="AN62" s="209"/>
      <c r="AO62" s="209"/>
      <c r="AP62" s="209"/>
      <c r="AQ62" s="209"/>
      <c r="AR62" s="362"/>
      <c r="AS62" s="363"/>
      <c r="AT62" s="363"/>
      <c r="AU62" s="363"/>
      <c r="AV62" s="363"/>
      <c r="AW62" s="363"/>
      <c r="AX62" s="363"/>
      <c r="AY62" s="363"/>
      <c r="AZ62" s="363"/>
      <c r="BA62" s="363"/>
      <c r="BB62" s="363"/>
      <c r="BC62" s="363"/>
      <c r="BD62" s="363"/>
      <c r="BE62" s="363"/>
    </row>
    <row r="63" spans="1:57" ht="16.2" customHeight="1" x14ac:dyDescent="0.3">
      <c r="A63" s="83"/>
      <c r="B63" s="103"/>
      <c r="C63" s="83"/>
      <c r="D63" s="83"/>
      <c r="E63" s="83"/>
      <c r="F63" s="83"/>
      <c r="G63" s="104"/>
      <c r="H63" s="103"/>
      <c r="I63" s="83"/>
      <c r="J63" s="83"/>
      <c r="K63" s="83"/>
      <c r="L63" s="83"/>
      <c r="M63" s="83"/>
      <c r="N63" s="104"/>
      <c r="O63" s="83"/>
      <c r="P63" s="209"/>
      <c r="Q63" s="209"/>
      <c r="R63" s="209"/>
      <c r="S63" s="209"/>
      <c r="T63" s="367"/>
      <c r="U63" s="209"/>
      <c r="V63" s="209"/>
      <c r="W63" s="209"/>
      <c r="X63" s="209"/>
      <c r="Y63" s="209"/>
      <c r="Z63" s="209"/>
      <c r="AA63" s="209"/>
      <c r="AB63" s="209"/>
      <c r="AC63" s="209"/>
      <c r="AD63" s="209"/>
      <c r="AE63" s="209"/>
      <c r="AF63" s="209"/>
      <c r="AG63" s="209"/>
      <c r="AH63" s="209"/>
      <c r="AI63" s="209"/>
      <c r="AJ63" s="209"/>
      <c r="AK63" s="209"/>
      <c r="AL63" s="209"/>
      <c r="AM63" s="209"/>
      <c r="AN63" s="209"/>
      <c r="AO63" s="209"/>
      <c r="AP63" s="209"/>
      <c r="AQ63" s="209"/>
      <c r="AR63" s="362"/>
      <c r="AS63" s="363"/>
      <c r="AT63" s="363"/>
      <c r="AU63" s="363"/>
      <c r="AV63" s="363"/>
      <c r="AW63" s="363"/>
      <c r="AX63" s="363"/>
      <c r="AY63" s="363"/>
      <c r="AZ63" s="363"/>
      <c r="BA63" s="363"/>
      <c r="BB63" s="363"/>
      <c r="BC63" s="363"/>
      <c r="BD63" s="363"/>
      <c r="BE63" s="363"/>
    </row>
    <row r="64" spans="1:57" ht="16.2" customHeight="1" x14ac:dyDescent="0.3">
      <c r="A64" s="83"/>
      <c r="B64" s="103"/>
      <c r="C64" s="83"/>
      <c r="D64" s="83"/>
      <c r="E64" s="83"/>
      <c r="F64" s="83"/>
      <c r="G64" s="104"/>
      <c r="H64" s="103"/>
      <c r="I64" s="83"/>
      <c r="J64" s="83"/>
      <c r="K64" s="83"/>
      <c r="L64" s="83"/>
      <c r="M64" s="83"/>
      <c r="N64" s="104"/>
      <c r="O64" s="83"/>
      <c r="P64" s="209"/>
      <c r="Q64" s="209"/>
      <c r="R64" s="209"/>
      <c r="S64" s="209"/>
      <c r="T64" s="209"/>
      <c r="U64" s="209"/>
      <c r="V64" s="209"/>
      <c r="W64" s="209"/>
      <c r="X64" s="209"/>
      <c r="Y64" s="209"/>
      <c r="Z64" s="209"/>
      <c r="AA64" s="209"/>
      <c r="AB64" s="209"/>
      <c r="AC64" s="209"/>
      <c r="AD64" s="209"/>
      <c r="AE64" s="209"/>
      <c r="AF64" s="209"/>
      <c r="AG64" s="209"/>
      <c r="AH64" s="209"/>
      <c r="AI64" s="209"/>
      <c r="AJ64" s="209"/>
      <c r="AK64" s="209"/>
      <c r="AL64" s="209"/>
      <c r="AM64" s="209"/>
      <c r="AN64" s="209"/>
      <c r="AO64" s="209"/>
      <c r="AP64" s="209"/>
      <c r="AQ64" s="209"/>
      <c r="AR64" s="362"/>
      <c r="AS64" s="363"/>
      <c r="AT64" s="363"/>
      <c r="AU64" s="363"/>
      <c r="AV64" s="363"/>
      <c r="AW64" s="363"/>
      <c r="AX64" s="363"/>
      <c r="AY64" s="363"/>
      <c r="AZ64" s="363"/>
      <c r="BA64" s="363"/>
      <c r="BB64" s="363"/>
      <c r="BC64" s="363"/>
      <c r="BD64" s="363"/>
      <c r="BE64" s="363"/>
    </row>
    <row r="65" spans="1:57" ht="16.2" customHeight="1" x14ac:dyDescent="0.3">
      <c r="A65" s="83"/>
      <c r="B65" s="103"/>
      <c r="C65" s="83"/>
      <c r="D65" s="83"/>
      <c r="E65" s="83"/>
      <c r="F65" s="83"/>
      <c r="G65" s="104"/>
      <c r="H65" s="103"/>
      <c r="I65" s="83"/>
      <c r="J65" s="83"/>
      <c r="K65" s="83"/>
      <c r="L65" s="83"/>
      <c r="M65" s="83"/>
      <c r="N65" s="104"/>
      <c r="O65" s="83"/>
      <c r="P65" s="209"/>
      <c r="Q65" s="209"/>
      <c r="R65" s="209"/>
      <c r="S65" s="209"/>
      <c r="T65" s="209"/>
      <c r="U65" s="209"/>
      <c r="V65" s="209"/>
      <c r="W65" s="209"/>
      <c r="X65" s="209"/>
      <c r="Y65" s="209"/>
      <c r="Z65" s="209"/>
      <c r="AA65" s="209"/>
      <c r="AB65" s="209"/>
      <c r="AC65" s="209"/>
      <c r="AD65" s="209"/>
      <c r="AE65" s="209"/>
      <c r="AF65" s="209"/>
      <c r="AG65" s="209"/>
      <c r="AH65" s="209"/>
      <c r="AI65" s="209"/>
      <c r="AJ65" s="209"/>
      <c r="AK65" s="209"/>
      <c r="AL65" s="209"/>
      <c r="AM65" s="209"/>
      <c r="AN65" s="209"/>
      <c r="AO65" s="209"/>
      <c r="AP65" s="209"/>
      <c r="AQ65" s="209"/>
      <c r="AR65" s="362"/>
      <c r="AS65" s="363"/>
      <c r="AT65" s="363"/>
      <c r="AU65" s="363"/>
      <c r="AV65" s="363"/>
      <c r="AW65" s="363"/>
      <c r="AX65" s="363"/>
      <c r="AY65" s="363"/>
      <c r="AZ65" s="363"/>
      <c r="BA65" s="363"/>
      <c r="BB65" s="363"/>
      <c r="BC65" s="363"/>
      <c r="BD65" s="363"/>
      <c r="BE65" s="363"/>
    </row>
    <row r="66" spans="1:57" ht="16.2" customHeight="1" x14ac:dyDescent="0.3">
      <c r="A66" s="83"/>
      <c r="B66" s="103"/>
      <c r="C66" s="83"/>
      <c r="D66" s="83"/>
      <c r="E66" s="83"/>
      <c r="F66" s="83"/>
      <c r="G66" s="104"/>
      <c r="H66" s="103"/>
      <c r="I66" s="83"/>
      <c r="J66" s="83"/>
      <c r="K66" s="83"/>
      <c r="L66" s="83"/>
      <c r="M66" s="83"/>
      <c r="N66" s="104"/>
      <c r="O66" s="83"/>
      <c r="P66" s="209"/>
      <c r="Q66" s="209"/>
      <c r="R66" s="209"/>
      <c r="S66" s="209"/>
      <c r="T66" s="209"/>
      <c r="U66" s="209"/>
      <c r="V66" s="209"/>
      <c r="W66" s="209"/>
      <c r="X66" s="209"/>
      <c r="Y66" s="209"/>
      <c r="Z66" s="209"/>
      <c r="AA66" s="209"/>
      <c r="AB66" s="209"/>
      <c r="AC66" s="209"/>
      <c r="AD66" s="209"/>
      <c r="AE66" s="209"/>
      <c r="AF66" s="209"/>
      <c r="AG66" s="209"/>
      <c r="AH66" s="209"/>
      <c r="AI66" s="209"/>
      <c r="AJ66" s="209"/>
      <c r="AK66" s="209"/>
      <c r="AL66" s="209"/>
      <c r="AM66" s="209"/>
      <c r="AN66" s="209"/>
      <c r="AO66" s="209"/>
      <c r="AP66" s="209"/>
      <c r="AQ66" s="209"/>
      <c r="AR66" s="362"/>
      <c r="AS66" s="363"/>
      <c r="AT66" s="363"/>
      <c r="AU66" s="363"/>
      <c r="AV66" s="363"/>
      <c r="AW66" s="363"/>
      <c r="AX66" s="363"/>
      <c r="AY66" s="363"/>
      <c r="AZ66" s="363"/>
      <c r="BA66" s="363"/>
      <c r="BB66" s="363"/>
      <c r="BC66" s="363"/>
      <c r="BD66" s="363"/>
      <c r="BE66" s="363"/>
    </row>
    <row r="67" spans="1:57" ht="16.2" customHeight="1" x14ac:dyDescent="0.3">
      <c r="A67" s="83"/>
      <c r="B67" s="103"/>
      <c r="C67" s="83"/>
      <c r="D67" s="83"/>
      <c r="E67" s="83"/>
      <c r="F67" s="83"/>
      <c r="G67" s="104"/>
      <c r="H67" s="103"/>
      <c r="I67" s="83"/>
      <c r="J67" s="83"/>
      <c r="K67" s="83"/>
      <c r="L67" s="83"/>
      <c r="M67" s="83"/>
      <c r="N67" s="104"/>
      <c r="O67" s="83"/>
      <c r="P67" s="209"/>
      <c r="Q67" s="209"/>
      <c r="R67" s="209"/>
      <c r="S67" s="209"/>
      <c r="T67" s="209"/>
      <c r="U67" s="209"/>
      <c r="V67" s="209"/>
      <c r="W67" s="209"/>
      <c r="X67" s="209"/>
      <c r="Y67" s="209"/>
      <c r="Z67" s="209"/>
      <c r="AA67" s="209"/>
      <c r="AB67" s="209"/>
      <c r="AC67" s="209"/>
      <c r="AD67" s="209"/>
      <c r="AE67" s="209"/>
      <c r="AF67" s="209"/>
      <c r="AG67" s="209"/>
      <c r="AH67" s="209"/>
      <c r="AI67" s="209"/>
      <c r="AJ67" s="209"/>
      <c r="AK67" s="209"/>
      <c r="AL67" s="209"/>
      <c r="AM67" s="209"/>
      <c r="AN67" s="209"/>
      <c r="AO67" s="209"/>
      <c r="AP67" s="209"/>
      <c r="AQ67" s="209"/>
      <c r="AR67" s="362"/>
      <c r="AS67" s="363"/>
      <c r="AT67" s="363"/>
      <c r="AU67" s="363"/>
      <c r="AV67" s="363"/>
      <c r="AW67" s="363"/>
      <c r="AX67" s="363"/>
      <c r="AY67" s="363"/>
      <c r="AZ67" s="363"/>
      <c r="BA67" s="363"/>
      <c r="BB67" s="363"/>
      <c r="BC67" s="363"/>
      <c r="BD67" s="363"/>
      <c r="BE67" s="363"/>
    </row>
    <row r="68" spans="1:57" ht="16.2" customHeight="1" x14ac:dyDescent="0.3">
      <c r="A68" s="83"/>
      <c r="B68" s="103"/>
      <c r="C68" s="83"/>
      <c r="D68" s="83"/>
      <c r="E68" s="83"/>
      <c r="F68" s="83"/>
      <c r="G68" s="104"/>
      <c r="H68" s="103"/>
      <c r="I68" s="83"/>
      <c r="J68" s="83"/>
      <c r="K68" s="83"/>
      <c r="L68" s="83"/>
      <c r="M68" s="83"/>
      <c r="N68" s="104"/>
      <c r="O68" s="158"/>
      <c r="P68" s="367"/>
      <c r="Q68" s="367"/>
      <c r="R68" s="367"/>
      <c r="S68" s="367"/>
      <c r="T68" s="367"/>
      <c r="U68" s="368"/>
      <c r="V68" s="362"/>
      <c r="W68" s="362"/>
      <c r="X68" s="362"/>
      <c r="Y68" s="209"/>
      <c r="Z68" s="209"/>
      <c r="AA68" s="209"/>
      <c r="AB68" s="209"/>
      <c r="AC68" s="209"/>
      <c r="AD68" s="209"/>
      <c r="AE68" s="209"/>
      <c r="AF68" s="209"/>
      <c r="AG68" s="209"/>
      <c r="AH68" s="209"/>
      <c r="AI68" s="209"/>
      <c r="AJ68" s="209"/>
      <c r="AK68" s="209"/>
      <c r="AL68" s="209"/>
      <c r="AM68" s="209"/>
      <c r="AN68" s="209"/>
      <c r="AO68" s="209"/>
      <c r="AP68" s="209"/>
      <c r="AQ68" s="209"/>
      <c r="AR68" s="362"/>
      <c r="AS68" s="363"/>
      <c r="AT68" s="363"/>
      <c r="AU68" s="363"/>
      <c r="AV68" s="363"/>
      <c r="AW68" s="363"/>
      <c r="AX68" s="363"/>
      <c r="AY68" s="363"/>
      <c r="AZ68" s="363"/>
      <c r="BA68" s="363"/>
      <c r="BB68" s="363"/>
      <c r="BC68" s="363"/>
      <c r="BD68" s="363"/>
      <c r="BE68" s="363"/>
    </row>
    <row r="69" spans="1:57" ht="16.2" customHeight="1" x14ac:dyDescent="0.3">
      <c r="A69" s="83"/>
      <c r="B69" s="103"/>
      <c r="C69" s="83"/>
      <c r="D69" s="83"/>
      <c r="E69" s="83"/>
      <c r="F69" s="83"/>
      <c r="G69" s="104"/>
      <c r="H69" s="103"/>
      <c r="I69" s="83"/>
      <c r="J69" s="83"/>
      <c r="K69" s="83"/>
      <c r="L69" s="83"/>
      <c r="M69" s="83"/>
      <c r="N69" s="104"/>
      <c r="O69" s="158"/>
      <c r="P69" s="367"/>
      <c r="Q69" s="367"/>
      <c r="R69" s="367"/>
      <c r="S69" s="367"/>
      <c r="T69" s="367"/>
      <c r="U69" s="367"/>
      <c r="V69" s="367"/>
      <c r="W69" s="367"/>
      <c r="X69" s="367"/>
      <c r="Y69" s="209"/>
      <c r="Z69" s="209"/>
      <c r="AA69" s="209"/>
      <c r="AB69" s="209"/>
      <c r="AC69" s="209"/>
      <c r="AD69" s="209"/>
      <c r="AE69" s="209"/>
      <c r="AF69" s="209"/>
      <c r="AG69" s="209"/>
      <c r="AH69" s="209"/>
      <c r="AI69" s="209"/>
      <c r="AJ69" s="209"/>
      <c r="AK69" s="209"/>
      <c r="AL69" s="209"/>
      <c r="AM69" s="209"/>
      <c r="AN69" s="209"/>
      <c r="AO69" s="209"/>
      <c r="AP69" s="209"/>
      <c r="AQ69" s="209"/>
      <c r="AR69" s="362"/>
      <c r="AS69" s="363"/>
      <c r="AT69" s="363"/>
      <c r="AU69" s="363"/>
      <c r="AV69" s="363"/>
      <c r="AW69" s="363"/>
      <c r="AX69" s="363"/>
      <c r="AY69" s="363"/>
      <c r="AZ69" s="363"/>
      <c r="BA69" s="363"/>
      <c r="BB69" s="363"/>
      <c r="BC69" s="363"/>
      <c r="BD69" s="363"/>
      <c r="BE69" s="363"/>
    </row>
    <row r="70" spans="1:57" ht="16.2" customHeight="1" x14ac:dyDescent="0.3">
      <c r="A70" s="83"/>
      <c r="B70" s="103"/>
      <c r="C70" s="83"/>
      <c r="D70" s="83"/>
      <c r="E70" s="83"/>
      <c r="F70" s="83"/>
      <c r="G70" s="104"/>
      <c r="H70" s="103"/>
      <c r="I70" s="83"/>
      <c r="J70" s="83"/>
      <c r="K70" s="83"/>
      <c r="L70" s="83"/>
      <c r="M70" s="83"/>
      <c r="N70" s="104"/>
      <c r="O70" s="158"/>
      <c r="P70" s="365"/>
      <c r="Q70" s="367"/>
      <c r="R70" s="368"/>
      <c r="S70" s="368"/>
      <c r="T70" s="368"/>
      <c r="U70" s="368"/>
      <c r="V70" s="368"/>
      <c r="W70" s="367"/>
      <c r="X70" s="367"/>
      <c r="Y70" s="209"/>
      <c r="Z70" s="209"/>
      <c r="AA70" s="209"/>
      <c r="AB70" s="209"/>
      <c r="AC70" s="209"/>
      <c r="AD70" s="209"/>
      <c r="AE70" s="209"/>
      <c r="AF70" s="209"/>
      <c r="AG70" s="209"/>
      <c r="AH70" s="209"/>
      <c r="AI70" s="209"/>
      <c r="AJ70" s="209"/>
      <c r="AK70" s="209"/>
      <c r="AL70" s="209"/>
      <c r="AM70" s="209"/>
      <c r="AN70" s="209"/>
      <c r="AO70" s="209"/>
      <c r="AP70" s="209"/>
      <c r="AQ70" s="209"/>
      <c r="AR70" s="362"/>
      <c r="AS70" s="363"/>
      <c r="AT70" s="363"/>
      <c r="AU70" s="363"/>
      <c r="AV70" s="363"/>
      <c r="AW70" s="363"/>
      <c r="AX70" s="363"/>
      <c r="AY70" s="363"/>
      <c r="AZ70" s="363"/>
      <c r="BA70" s="363"/>
      <c r="BB70" s="363"/>
      <c r="BC70" s="363"/>
      <c r="BD70" s="363"/>
      <c r="BE70" s="363"/>
    </row>
    <row r="71" spans="1:57" ht="16.2" customHeight="1" x14ac:dyDescent="0.3">
      <c r="A71" s="83"/>
      <c r="B71" s="103"/>
      <c r="C71" s="83"/>
      <c r="D71" s="83"/>
      <c r="E71" s="83"/>
      <c r="F71" s="83"/>
      <c r="G71" s="104"/>
      <c r="H71" s="103"/>
      <c r="I71" s="83"/>
      <c r="J71" s="83"/>
      <c r="K71" s="83"/>
      <c r="L71" s="83"/>
      <c r="M71" s="83"/>
      <c r="N71" s="104"/>
      <c r="O71" s="83"/>
      <c r="P71" s="209"/>
      <c r="Q71" s="209"/>
      <c r="R71" s="209"/>
      <c r="S71" s="209"/>
      <c r="T71" s="209"/>
      <c r="U71" s="209"/>
      <c r="V71" s="209"/>
      <c r="W71" s="209"/>
      <c r="X71" s="209"/>
      <c r="Y71" s="209"/>
      <c r="Z71" s="209"/>
      <c r="AA71" s="209"/>
      <c r="AB71" s="209"/>
      <c r="AC71" s="209"/>
      <c r="AD71" s="209"/>
      <c r="AE71" s="209"/>
      <c r="AF71" s="209"/>
      <c r="AG71" s="209"/>
      <c r="AH71" s="209"/>
      <c r="AI71" s="209"/>
      <c r="AJ71" s="209"/>
      <c r="AK71" s="209"/>
      <c r="AL71" s="209"/>
      <c r="AM71" s="209"/>
      <c r="AN71" s="209"/>
      <c r="AO71" s="209"/>
      <c r="AP71" s="209"/>
      <c r="AQ71" s="209"/>
      <c r="AR71" s="362"/>
      <c r="AS71" s="363"/>
      <c r="AT71" s="363"/>
      <c r="AU71" s="363"/>
      <c r="AV71" s="363"/>
      <c r="AW71" s="363"/>
      <c r="AX71" s="363"/>
      <c r="AY71" s="363"/>
      <c r="AZ71" s="363"/>
      <c r="BA71" s="363"/>
      <c r="BB71" s="363"/>
      <c r="BC71" s="363"/>
      <c r="BD71" s="363"/>
      <c r="BE71" s="363"/>
    </row>
    <row r="72" spans="1:57" ht="16.2" customHeight="1" x14ac:dyDescent="0.3">
      <c r="A72" s="83"/>
      <c r="B72" s="103"/>
      <c r="C72" s="83"/>
      <c r="D72" s="83"/>
      <c r="E72" s="83"/>
      <c r="F72" s="83"/>
      <c r="G72" s="104"/>
      <c r="H72" s="103"/>
      <c r="I72" s="83"/>
      <c r="J72" s="83"/>
      <c r="K72" s="83"/>
      <c r="L72" s="83"/>
      <c r="M72" s="83"/>
      <c r="N72" s="104"/>
      <c r="O72" s="159"/>
      <c r="P72" s="362"/>
      <c r="Q72" s="362"/>
      <c r="R72" s="362"/>
      <c r="S72" s="362"/>
      <c r="T72" s="209"/>
      <c r="U72" s="209"/>
      <c r="V72" s="209"/>
      <c r="W72" s="209"/>
      <c r="X72" s="209"/>
      <c r="Y72" s="209"/>
      <c r="Z72" s="209"/>
      <c r="AA72" s="209"/>
      <c r="AB72" s="209"/>
      <c r="AC72" s="209"/>
      <c r="AD72" s="209"/>
      <c r="AE72" s="209"/>
      <c r="AF72" s="209"/>
      <c r="AG72" s="209"/>
      <c r="AH72" s="209"/>
      <c r="AI72" s="209"/>
      <c r="AJ72" s="209"/>
      <c r="AK72" s="209"/>
      <c r="AL72" s="209"/>
      <c r="AM72" s="209"/>
      <c r="AN72" s="209"/>
      <c r="AO72" s="209"/>
      <c r="AP72" s="209"/>
      <c r="AQ72" s="209"/>
      <c r="AR72" s="362"/>
      <c r="AS72" s="363"/>
      <c r="AT72" s="363"/>
      <c r="AU72" s="363"/>
      <c r="AV72" s="363"/>
      <c r="AW72" s="363"/>
      <c r="AX72" s="363"/>
      <c r="AY72" s="363"/>
      <c r="AZ72" s="363"/>
      <c r="BA72" s="363"/>
      <c r="BB72" s="363"/>
      <c r="BC72" s="363"/>
      <c r="BD72" s="363"/>
      <c r="BE72" s="363"/>
    </row>
    <row r="73" spans="1:57" ht="16.2" customHeight="1" x14ac:dyDescent="0.3">
      <c r="A73" s="83"/>
      <c r="B73" s="103"/>
      <c r="C73" s="83"/>
      <c r="D73" s="83"/>
      <c r="E73" s="83"/>
      <c r="F73" s="83"/>
      <c r="G73" s="104"/>
      <c r="H73" s="103"/>
      <c r="I73" s="83"/>
      <c r="J73" s="83"/>
      <c r="K73" s="83"/>
      <c r="L73" s="83"/>
      <c r="M73" s="83"/>
      <c r="N73" s="104"/>
      <c r="O73" s="159"/>
      <c r="P73" s="362"/>
      <c r="Q73" s="362"/>
      <c r="R73" s="362"/>
      <c r="S73" s="362"/>
      <c r="T73" s="209"/>
      <c r="U73" s="209"/>
      <c r="V73" s="209"/>
      <c r="W73" s="209"/>
      <c r="X73" s="209"/>
      <c r="Y73" s="209"/>
      <c r="Z73" s="209"/>
      <c r="AA73" s="209"/>
      <c r="AB73" s="209"/>
      <c r="AC73" s="209"/>
      <c r="AD73" s="209"/>
      <c r="AE73" s="209"/>
      <c r="AF73" s="209"/>
      <c r="AG73" s="209"/>
      <c r="AH73" s="209"/>
      <c r="AI73" s="209"/>
      <c r="AJ73" s="209"/>
      <c r="AK73" s="209"/>
      <c r="AL73" s="209"/>
      <c r="AM73" s="209"/>
      <c r="AN73" s="209"/>
      <c r="AO73" s="209"/>
      <c r="AP73" s="209"/>
      <c r="AQ73" s="209"/>
      <c r="AR73" s="362"/>
      <c r="AS73" s="363"/>
      <c r="AT73" s="363"/>
      <c r="AU73" s="363"/>
      <c r="AV73" s="363"/>
      <c r="AW73" s="363"/>
      <c r="AX73" s="363"/>
      <c r="AY73" s="363"/>
      <c r="AZ73" s="363"/>
      <c r="BA73" s="363"/>
      <c r="BB73" s="363"/>
      <c r="BC73" s="363"/>
      <c r="BD73" s="363"/>
      <c r="BE73" s="363"/>
    </row>
    <row r="74" spans="1:57" ht="16.2" customHeight="1" x14ac:dyDescent="0.3">
      <c r="A74" s="83"/>
      <c r="B74" s="103"/>
      <c r="C74" s="83"/>
      <c r="D74" s="83"/>
      <c r="E74" s="83"/>
      <c r="F74" s="83"/>
      <c r="G74" s="104"/>
      <c r="H74" s="103"/>
      <c r="I74" s="83"/>
      <c r="J74" s="83"/>
      <c r="K74" s="83"/>
      <c r="L74" s="83"/>
      <c r="M74" s="83"/>
      <c r="N74" s="104"/>
      <c r="O74" s="158"/>
      <c r="P74" s="367"/>
      <c r="Q74" s="367"/>
      <c r="R74" s="367"/>
      <c r="S74" s="367"/>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c r="AR74" s="362"/>
      <c r="AS74" s="363"/>
      <c r="AT74" s="363"/>
      <c r="AU74" s="363"/>
      <c r="AV74" s="363"/>
      <c r="AW74" s="363"/>
      <c r="AX74" s="363"/>
      <c r="AY74" s="363"/>
      <c r="AZ74" s="363"/>
      <c r="BA74" s="363"/>
      <c r="BB74" s="363"/>
      <c r="BC74" s="363"/>
      <c r="BD74" s="363"/>
      <c r="BE74" s="363"/>
    </row>
    <row r="75" spans="1:57" ht="16.2" customHeight="1" x14ac:dyDescent="0.3">
      <c r="A75" s="83"/>
      <c r="B75" s="103"/>
      <c r="C75" s="83"/>
      <c r="D75" s="83"/>
      <c r="E75" s="83"/>
      <c r="F75" s="83"/>
      <c r="G75" s="104"/>
      <c r="H75" s="103"/>
      <c r="I75" s="83"/>
      <c r="J75" s="83"/>
      <c r="K75" s="83"/>
      <c r="L75" s="83"/>
      <c r="M75" s="83"/>
      <c r="N75" s="104"/>
      <c r="O75" s="160"/>
      <c r="P75" s="364"/>
      <c r="Q75" s="368"/>
      <c r="R75" s="367"/>
      <c r="S75" s="367"/>
      <c r="T75" s="209"/>
      <c r="U75" s="209"/>
      <c r="V75" s="209"/>
      <c r="W75" s="209"/>
      <c r="X75" s="209"/>
      <c r="Y75" s="209"/>
      <c r="Z75" s="209"/>
      <c r="AA75" s="209"/>
      <c r="AB75" s="209"/>
      <c r="AC75" s="209"/>
      <c r="AD75" s="209"/>
      <c r="AE75" s="209"/>
      <c r="AF75" s="209"/>
      <c r="AG75" s="209"/>
      <c r="AH75" s="209"/>
      <c r="AI75" s="209"/>
      <c r="AJ75" s="209"/>
      <c r="AK75" s="209"/>
      <c r="AL75" s="209"/>
      <c r="AM75" s="209"/>
      <c r="AN75" s="209"/>
      <c r="AO75" s="209"/>
      <c r="AP75" s="209"/>
      <c r="AQ75" s="209"/>
      <c r="AR75" s="362"/>
      <c r="AS75" s="363"/>
      <c r="AT75" s="363"/>
      <c r="AU75" s="363"/>
      <c r="AV75" s="363"/>
      <c r="AW75" s="363"/>
      <c r="AX75" s="363"/>
      <c r="AY75" s="363"/>
      <c r="AZ75" s="363"/>
      <c r="BA75" s="363"/>
      <c r="BB75" s="363"/>
      <c r="BC75" s="363"/>
      <c r="BD75" s="363"/>
      <c r="BE75" s="363"/>
    </row>
    <row r="76" spans="1:57" ht="16.2" customHeight="1" x14ac:dyDescent="0.3">
      <c r="A76" s="83"/>
      <c r="B76" s="103"/>
      <c r="C76" s="83"/>
      <c r="D76" s="83"/>
      <c r="E76" s="83"/>
      <c r="F76" s="83"/>
      <c r="G76" s="104"/>
      <c r="H76" s="103"/>
      <c r="I76" s="83"/>
      <c r="J76" s="83"/>
      <c r="K76" s="83"/>
      <c r="L76" s="83"/>
      <c r="M76" s="83"/>
      <c r="N76" s="104"/>
      <c r="O76" s="159"/>
      <c r="P76" s="362"/>
      <c r="Q76" s="362"/>
      <c r="R76" s="362"/>
      <c r="S76" s="362"/>
      <c r="T76" s="209"/>
      <c r="U76" s="209"/>
      <c r="V76" s="209"/>
      <c r="W76" s="209"/>
      <c r="X76" s="209"/>
      <c r="Y76" s="209"/>
      <c r="Z76" s="209"/>
      <c r="AA76" s="209"/>
      <c r="AB76" s="209"/>
      <c r="AC76" s="209"/>
      <c r="AD76" s="209"/>
      <c r="AE76" s="209"/>
      <c r="AF76" s="209"/>
      <c r="AG76" s="209"/>
      <c r="AH76" s="209"/>
      <c r="AI76" s="209"/>
      <c r="AJ76" s="209"/>
      <c r="AK76" s="209"/>
      <c r="AL76" s="209"/>
      <c r="AM76" s="209"/>
      <c r="AN76" s="209"/>
      <c r="AO76" s="209"/>
      <c r="AP76" s="209"/>
      <c r="AQ76" s="209"/>
      <c r="AR76" s="362"/>
      <c r="AS76" s="363"/>
      <c r="AT76" s="363"/>
      <c r="AU76" s="363"/>
      <c r="AV76" s="363"/>
      <c r="AW76" s="363"/>
      <c r="AX76" s="363"/>
      <c r="AY76" s="363"/>
      <c r="AZ76" s="363"/>
      <c r="BA76" s="363"/>
      <c r="BB76" s="363"/>
      <c r="BC76" s="363"/>
      <c r="BD76" s="363"/>
      <c r="BE76" s="363"/>
    </row>
    <row r="77" spans="1:57" ht="16.2" customHeight="1" x14ac:dyDescent="0.3">
      <c r="A77" s="83"/>
      <c r="B77" s="103"/>
      <c r="C77" s="83"/>
      <c r="D77" s="83"/>
      <c r="E77" s="83"/>
      <c r="F77" s="83"/>
      <c r="G77" s="104"/>
      <c r="H77" s="103"/>
      <c r="I77" s="83"/>
      <c r="J77" s="83"/>
      <c r="K77" s="83"/>
      <c r="L77" s="83"/>
      <c r="M77" s="83"/>
      <c r="N77" s="104"/>
      <c r="O77" s="159"/>
      <c r="P77" s="362"/>
      <c r="Q77" s="362"/>
      <c r="R77" s="362"/>
      <c r="S77" s="362"/>
      <c r="T77" s="209"/>
      <c r="U77" s="209"/>
      <c r="V77" s="209"/>
      <c r="W77" s="209"/>
      <c r="X77" s="209"/>
      <c r="Y77" s="209"/>
      <c r="Z77" s="209"/>
      <c r="AA77" s="209"/>
      <c r="AB77" s="209"/>
      <c r="AC77" s="209"/>
      <c r="AD77" s="209"/>
      <c r="AE77" s="209"/>
      <c r="AF77" s="209"/>
      <c r="AG77" s="209"/>
      <c r="AH77" s="209"/>
      <c r="AI77" s="209"/>
      <c r="AJ77" s="209"/>
      <c r="AK77" s="209"/>
      <c r="AL77" s="209"/>
      <c r="AM77" s="209"/>
      <c r="AN77" s="209"/>
      <c r="AO77" s="209"/>
      <c r="AP77" s="209"/>
      <c r="AQ77" s="209"/>
      <c r="AR77" s="362"/>
      <c r="AS77" s="363"/>
      <c r="AT77" s="363"/>
      <c r="AU77" s="363"/>
      <c r="AV77" s="363"/>
      <c r="AW77" s="363"/>
      <c r="AX77" s="363"/>
      <c r="AY77" s="363"/>
      <c r="AZ77" s="363"/>
      <c r="BA77" s="363"/>
      <c r="BB77" s="363"/>
      <c r="BC77" s="363"/>
      <c r="BD77" s="363"/>
      <c r="BE77" s="363"/>
    </row>
    <row r="78" spans="1:57" ht="16.2" customHeight="1" x14ac:dyDescent="0.3">
      <c r="A78" s="83"/>
      <c r="B78" s="103"/>
      <c r="C78" s="83"/>
      <c r="D78" s="83"/>
      <c r="E78" s="83"/>
      <c r="F78" s="83"/>
      <c r="G78" s="104"/>
      <c r="H78" s="103"/>
      <c r="I78" s="83"/>
      <c r="J78" s="83"/>
      <c r="K78" s="83"/>
      <c r="L78" s="83"/>
      <c r="M78" s="83"/>
      <c r="N78" s="104"/>
      <c r="O78" s="159"/>
      <c r="P78" s="362"/>
      <c r="Q78" s="362"/>
      <c r="R78" s="362"/>
      <c r="S78" s="362"/>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362"/>
      <c r="AS78" s="363"/>
      <c r="AT78" s="363"/>
      <c r="AU78" s="363"/>
      <c r="AV78" s="363"/>
      <c r="AW78" s="363"/>
      <c r="AX78" s="363"/>
      <c r="AY78" s="363"/>
      <c r="AZ78" s="363"/>
      <c r="BA78" s="363"/>
      <c r="BB78" s="363"/>
      <c r="BC78" s="363"/>
      <c r="BD78" s="363"/>
      <c r="BE78" s="363"/>
    </row>
    <row r="79" spans="1:57" ht="16.2" customHeight="1" x14ac:dyDescent="0.3">
      <c r="A79" s="83"/>
      <c r="B79" s="103"/>
      <c r="C79" s="83"/>
      <c r="D79" s="83"/>
      <c r="E79" s="83"/>
      <c r="F79" s="83"/>
      <c r="G79" s="104"/>
      <c r="H79" s="103"/>
      <c r="I79" s="83"/>
      <c r="J79" s="83"/>
      <c r="K79" s="83"/>
      <c r="L79" s="83"/>
      <c r="M79" s="83"/>
      <c r="N79" s="104"/>
      <c r="O79" s="159"/>
      <c r="P79" s="362"/>
      <c r="Q79" s="362"/>
      <c r="R79" s="362"/>
      <c r="S79" s="362"/>
      <c r="T79" s="209"/>
      <c r="U79" s="209"/>
      <c r="V79" s="209"/>
      <c r="W79" s="209"/>
      <c r="X79" s="209"/>
      <c r="Y79" s="209"/>
      <c r="Z79" s="209"/>
      <c r="AA79" s="209"/>
      <c r="AB79" s="209"/>
      <c r="AC79" s="209"/>
      <c r="AD79" s="209"/>
      <c r="AE79" s="209"/>
      <c r="AF79" s="209"/>
      <c r="AG79" s="209"/>
      <c r="AH79" s="209"/>
      <c r="AI79" s="209"/>
      <c r="AJ79" s="209"/>
      <c r="AK79" s="209"/>
      <c r="AL79" s="209"/>
      <c r="AM79" s="209"/>
      <c r="AN79" s="209"/>
      <c r="AO79" s="209"/>
      <c r="AP79" s="209"/>
      <c r="AQ79" s="209"/>
      <c r="AR79" s="362"/>
      <c r="AS79" s="363"/>
      <c r="AT79" s="363"/>
      <c r="AU79" s="363"/>
      <c r="AV79" s="363"/>
      <c r="AW79" s="363"/>
      <c r="AX79" s="363"/>
      <c r="AY79" s="363"/>
      <c r="AZ79" s="363"/>
      <c r="BA79" s="363"/>
      <c r="BB79" s="363"/>
      <c r="BC79" s="363"/>
      <c r="BD79" s="363"/>
      <c r="BE79" s="363"/>
    </row>
    <row r="80" spans="1:57" ht="16.2" customHeight="1" x14ac:dyDescent="0.3">
      <c r="A80" s="83"/>
      <c r="B80" s="803" t="s">
        <v>748</v>
      </c>
      <c r="C80" s="804"/>
      <c r="D80" s="804"/>
      <c r="E80" s="804"/>
      <c r="F80" s="804"/>
      <c r="G80" s="805"/>
      <c r="H80" s="116" t="s">
        <v>690</v>
      </c>
      <c r="I80" s="117" t="s">
        <v>359</v>
      </c>
      <c r="J80" s="796" t="s">
        <v>575</v>
      </c>
      <c r="K80" s="797"/>
      <c r="L80" s="797"/>
      <c r="M80" s="797"/>
      <c r="N80" s="798"/>
      <c r="O80" s="159"/>
      <c r="P80" s="362"/>
      <c r="Q80" s="362"/>
      <c r="R80" s="362"/>
      <c r="S80" s="362"/>
      <c r="T80" s="209"/>
      <c r="U80" s="209"/>
      <c r="V80" s="209"/>
      <c r="W80" s="209"/>
      <c r="X80" s="209"/>
      <c r="Y80" s="209"/>
      <c r="Z80" s="209"/>
      <c r="AA80" s="209"/>
      <c r="AB80" s="209"/>
      <c r="AC80" s="209"/>
      <c r="AD80" s="209"/>
      <c r="AE80" s="209"/>
      <c r="AF80" s="209"/>
      <c r="AG80" s="209"/>
      <c r="AH80" s="209"/>
      <c r="AI80" s="209"/>
      <c r="AJ80" s="209"/>
      <c r="AK80" s="209"/>
      <c r="AL80" s="209"/>
      <c r="AM80" s="209"/>
      <c r="AN80" s="209"/>
      <c r="AO80" s="209"/>
      <c r="AP80" s="209"/>
      <c r="AQ80" s="209"/>
      <c r="AR80" s="362"/>
      <c r="AS80" s="363"/>
      <c r="AT80" s="363"/>
      <c r="AU80" s="363"/>
      <c r="AV80" s="363"/>
      <c r="AW80" s="363"/>
      <c r="AX80" s="363"/>
      <c r="AY80" s="363"/>
      <c r="AZ80" s="363"/>
      <c r="BA80" s="363"/>
      <c r="BB80" s="363"/>
      <c r="BC80" s="363"/>
      <c r="BD80" s="363"/>
      <c r="BE80" s="363"/>
    </row>
    <row r="81" spans="1:57" ht="16.2" customHeight="1" x14ac:dyDescent="0.3">
      <c r="A81" s="83"/>
      <c r="B81" s="806"/>
      <c r="C81" s="807"/>
      <c r="D81" s="807"/>
      <c r="E81" s="807"/>
      <c r="F81" s="807"/>
      <c r="G81" s="808"/>
      <c r="H81" s="489"/>
      <c r="I81" s="110"/>
      <c r="J81" s="789"/>
      <c r="K81" s="790"/>
      <c r="L81" s="790"/>
      <c r="M81" s="790"/>
      <c r="N81" s="791"/>
      <c r="O81" s="83"/>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362"/>
      <c r="AS81" s="363"/>
      <c r="AT81" s="363"/>
      <c r="AU81" s="363"/>
      <c r="AV81" s="363"/>
      <c r="AW81" s="363"/>
      <c r="AX81" s="363"/>
      <c r="AY81" s="363"/>
      <c r="AZ81" s="363"/>
      <c r="BA81" s="363"/>
      <c r="BB81" s="363"/>
      <c r="BC81" s="363"/>
      <c r="BD81" s="363"/>
      <c r="BE81" s="363"/>
    </row>
    <row r="82" spans="1:57" ht="16.2" customHeight="1" x14ac:dyDescent="0.3">
      <c r="A82" s="83"/>
      <c r="B82" s="83"/>
      <c r="C82" s="83"/>
      <c r="D82" s="83"/>
      <c r="E82" s="83"/>
      <c r="F82" s="83"/>
      <c r="G82" s="83"/>
      <c r="H82" s="83"/>
      <c r="I82" s="83"/>
      <c r="J82" s="83"/>
      <c r="K82" s="83"/>
      <c r="L82" s="83"/>
      <c r="M82" s="159"/>
      <c r="N82" s="162"/>
      <c r="O82" s="83"/>
      <c r="P82" s="209"/>
      <c r="Q82" s="209"/>
      <c r="R82" s="209"/>
      <c r="S82" s="209"/>
      <c r="T82" s="209"/>
      <c r="U82" s="209"/>
      <c r="V82" s="209"/>
      <c r="W82" s="209"/>
      <c r="X82" s="209"/>
      <c r="Y82" s="209"/>
      <c r="Z82" s="209"/>
      <c r="AA82" s="209"/>
      <c r="AB82" s="209"/>
      <c r="AC82" s="209"/>
      <c r="AD82" s="209"/>
      <c r="AE82" s="209"/>
      <c r="AF82" s="209"/>
      <c r="AG82" s="209"/>
      <c r="AH82" s="209"/>
      <c r="AI82" s="209"/>
      <c r="AJ82" s="209"/>
      <c r="AK82" s="209"/>
      <c r="AL82" s="209"/>
      <c r="AM82" s="209"/>
      <c r="AN82" s="209"/>
      <c r="AO82" s="209"/>
      <c r="AP82" s="209"/>
      <c r="AQ82" s="209"/>
      <c r="AR82" s="362"/>
      <c r="AS82" s="363"/>
      <c r="AT82" s="363"/>
      <c r="AU82" s="363"/>
      <c r="AV82" s="363"/>
      <c r="AW82" s="363"/>
      <c r="AX82" s="363"/>
      <c r="AY82" s="363"/>
      <c r="AZ82" s="363"/>
      <c r="BA82" s="363"/>
      <c r="BB82" s="363"/>
      <c r="BC82" s="363"/>
      <c r="BD82" s="363"/>
      <c r="BE82" s="363"/>
    </row>
    <row r="83" spans="1:57" x14ac:dyDescent="0.3">
      <c r="A83" s="83"/>
      <c r="B83" s="83"/>
      <c r="C83" s="83"/>
      <c r="D83" s="83"/>
      <c r="E83" s="83"/>
      <c r="F83" s="83"/>
      <c r="G83" s="83"/>
      <c r="H83" s="83"/>
      <c r="I83" s="83"/>
      <c r="J83" s="83"/>
      <c r="K83" s="83"/>
      <c r="L83" s="83"/>
      <c r="M83" s="159"/>
      <c r="N83" s="162"/>
      <c r="O83" s="83"/>
      <c r="P83" s="209"/>
      <c r="Q83" s="209"/>
      <c r="R83" s="209"/>
      <c r="S83" s="209"/>
      <c r="T83" s="209"/>
      <c r="U83" s="209"/>
      <c r="V83" s="209"/>
      <c r="W83" s="209"/>
      <c r="X83" s="209"/>
      <c r="Y83" s="209"/>
      <c r="Z83" s="209"/>
      <c r="AA83" s="209"/>
      <c r="AB83" s="209"/>
      <c r="AC83" s="209"/>
      <c r="AD83" s="209"/>
      <c r="AE83" s="209"/>
      <c r="AF83" s="209"/>
      <c r="AG83" s="209"/>
      <c r="AH83" s="209"/>
      <c r="AI83" s="209"/>
      <c r="AJ83" s="209"/>
      <c r="AK83" s="209"/>
      <c r="AL83" s="209"/>
      <c r="AM83" s="209"/>
      <c r="AN83" s="209"/>
      <c r="AO83" s="209"/>
      <c r="AP83" s="209"/>
      <c r="AQ83" s="209"/>
      <c r="AR83" s="362"/>
      <c r="AS83" s="363"/>
      <c r="AT83" s="363"/>
      <c r="AU83" s="363"/>
      <c r="AV83" s="363"/>
      <c r="AW83" s="363"/>
      <c r="AX83" s="363"/>
      <c r="AY83" s="363"/>
      <c r="AZ83" s="363"/>
      <c r="BA83" s="363"/>
      <c r="BB83" s="363"/>
      <c r="BC83" s="363"/>
      <c r="BD83" s="363"/>
      <c r="BE83" s="363"/>
    </row>
    <row r="84" spans="1:57" x14ac:dyDescent="0.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S84" s="363"/>
      <c r="AT84" s="363"/>
      <c r="AU84" s="363"/>
      <c r="AV84" s="363"/>
      <c r="AW84" s="363"/>
      <c r="AX84" s="363"/>
      <c r="AY84" s="363"/>
      <c r="AZ84" s="363"/>
      <c r="BA84" s="363"/>
      <c r="BB84" s="363"/>
      <c r="BC84" s="363"/>
      <c r="BD84" s="363"/>
      <c r="BE84" s="363"/>
    </row>
    <row r="85" spans="1:57" x14ac:dyDescent="0.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S85" s="363"/>
      <c r="AT85" s="363"/>
      <c r="AU85" s="363"/>
      <c r="AV85" s="363"/>
      <c r="AW85" s="363"/>
      <c r="AX85" s="363"/>
      <c r="AY85" s="363"/>
      <c r="AZ85" s="363"/>
      <c r="BA85" s="363"/>
      <c r="BB85" s="363"/>
      <c r="BC85" s="363"/>
      <c r="BD85" s="363"/>
      <c r="BE85" s="363"/>
    </row>
    <row r="86" spans="1:57" x14ac:dyDescent="0.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S86" s="363"/>
      <c r="AT86" s="363"/>
      <c r="AU86" s="363"/>
      <c r="AV86" s="363"/>
      <c r="AW86" s="363"/>
      <c r="AX86" s="363"/>
      <c r="AY86" s="363"/>
      <c r="AZ86" s="363"/>
      <c r="BA86" s="363"/>
      <c r="BB86" s="363"/>
      <c r="BC86" s="363"/>
      <c r="BD86" s="363"/>
      <c r="BE86" s="363"/>
    </row>
    <row r="87" spans="1:57" x14ac:dyDescent="0.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S87" s="363"/>
      <c r="AT87" s="363"/>
      <c r="AU87" s="363"/>
      <c r="AV87" s="363"/>
      <c r="AW87" s="363"/>
      <c r="AX87" s="363"/>
      <c r="AY87" s="363"/>
      <c r="AZ87" s="363"/>
      <c r="BA87" s="363"/>
      <c r="BB87" s="363"/>
      <c r="BC87" s="363"/>
      <c r="BD87" s="363"/>
      <c r="BE87" s="363"/>
    </row>
    <row r="88" spans="1:57" x14ac:dyDescent="0.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S88" s="363"/>
      <c r="AT88" s="363"/>
      <c r="AU88" s="363"/>
      <c r="AV88" s="363"/>
      <c r="AW88" s="363"/>
      <c r="AX88" s="363"/>
      <c r="AY88" s="363"/>
      <c r="AZ88" s="363"/>
      <c r="BA88" s="363"/>
      <c r="BB88" s="363"/>
      <c r="BC88" s="363"/>
      <c r="BD88" s="363"/>
      <c r="BE88" s="363"/>
    </row>
    <row r="89" spans="1:57" x14ac:dyDescent="0.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S89" s="363"/>
      <c r="AT89" s="363"/>
      <c r="AU89" s="363"/>
      <c r="AV89" s="363"/>
      <c r="AW89" s="363"/>
      <c r="AX89" s="363"/>
      <c r="AY89" s="363"/>
      <c r="AZ89" s="363"/>
      <c r="BA89" s="363"/>
      <c r="BB89" s="363"/>
      <c r="BC89" s="363"/>
      <c r="BD89" s="363"/>
      <c r="BE89" s="363"/>
    </row>
    <row r="90" spans="1:57" x14ac:dyDescent="0.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S90" s="363"/>
      <c r="AT90" s="363"/>
      <c r="AU90" s="363"/>
      <c r="AV90" s="363"/>
      <c r="AW90" s="363"/>
      <c r="AX90" s="363"/>
      <c r="AY90" s="363"/>
      <c r="AZ90" s="363"/>
      <c r="BA90" s="363"/>
      <c r="BB90" s="363"/>
      <c r="BC90" s="363"/>
      <c r="BD90" s="363"/>
      <c r="BE90" s="363"/>
    </row>
    <row r="91" spans="1:57" x14ac:dyDescent="0.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S91" s="363"/>
      <c r="AT91" s="363"/>
      <c r="AU91" s="363"/>
      <c r="AV91" s="363"/>
      <c r="AW91" s="363"/>
      <c r="AX91" s="363"/>
      <c r="AY91" s="363"/>
      <c r="AZ91" s="363"/>
      <c r="BA91" s="363"/>
      <c r="BB91" s="363"/>
      <c r="BC91" s="363"/>
      <c r="BD91" s="363"/>
      <c r="BE91" s="363"/>
    </row>
    <row r="92" spans="1:57" x14ac:dyDescent="0.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S92" s="363"/>
      <c r="AT92" s="363"/>
      <c r="AU92" s="363"/>
      <c r="AV92" s="363"/>
      <c r="AW92" s="363"/>
      <c r="AX92" s="363"/>
      <c r="AY92" s="363"/>
      <c r="AZ92" s="363"/>
      <c r="BA92" s="363"/>
      <c r="BB92" s="363"/>
      <c r="BC92" s="363"/>
      <c r="BD92" s="363"/>
      <c r="BE92" s="363"/>
    </row>
    <row r="93" spans="1:57" x14ac:dyDescent="0.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S93" s="363"/>
      <c r="AT93" s="363"/>
      <c r="AU93" s="363"/>
      <c r="AV93" s="363"/>
      <c r="AW93" s="363"/>
      <c r="AX93" s="363"/>
      <c r="AY93" s="363"/>
      <c r="AZ93" s="363"/>
      <c r="BA93" s="363"/>
      <c r="BB93" s="363"/>
      <c r="BC93" s="363"/>
      <c r="BD93" s="363"/>
      <c r="BE93" s="363"/>
    </row>
    <row r="94" spans="1:57" x14ac:dyDescent="0.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S94" s="363"/>
      <c r="AT94" s="363"/>
      <c r="AU94" s="363"/>
      <c r="AV94" s="363"/>
      <c r="AW94" s="363"/>
      <c r="AX94" s="363"/>
      <c r="AY94" s="363"/>
      <c r="AZ94" s="363"/>
      <c r="BA94" s="363"/>
      <c r="BB94" s="363"/>
      <c r="BC94" s="363"/>
      <c r="BD94" s="363"/>
      <c r="BE94" s="363"/>
    </row>
    <row r="95" spans="1:57" x14ac:dyDescent="0.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S95" s="363"/>
      <c r="AT95" s="363"/>
      <c r="AU95" s="363"/>
      <c r="AV95" s="363"/>
      <c r="AW95" s="363"/>
      <c r="AX95" s="363"/>
      <c r="AY95" s="363"/>
      <c r="AZ95" s="363"/>
      <c r="BA95" s="363"/>
      <c r="BB95" s="363"/>
      <c r="BC95" s="363"/>
      <c r="BD95" s="363"/>
      <c r="BE95" s="363"/>
    </row>
    <row r="96" spans="1:57" x14ac:dyDescent="0.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S96" s="363"/>
      <c r="AT96" s="363"/>
      <c r="AU96" s="363"/>
      <c r="AV96" s="363"/>
      <c r="AW96" s="363"/>
      <c r="AX96" s="363"/>
      <c r="AY96" s="363"/>
      <c r="AZ96" s="363"/>
      <c r="BA96" s="363"/>
      <c r="BB96" s="363"/>
      <c r="BC96" s="363"/>
      <c r="BD96" s="363"/>
      <c r="BE96" s="363"/>
    </row>
    <row r="97" spans="16:57" x14ac:dyDescent="0.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S97" s="363"/>
      <c r="AT97" s="363"/>
      <c r="AU97" s="363"/>
      <c r="AV97" s="363"/>
      <c r="AW97" s="363"/>
      <c r="AX97" s="363"/>
      <c r="AY97" s="363"/>
      <c r="AZ97" s="363"/>
      <c r="BA97" s="363"/>
      <c r="BB97" s="363"/>
      <c r="BC97" s="363"/>
      <c r="BD97" s="363"/>
      <c r="BE97" s="363"/>
    </row>
    <row r="98" spans="16:57" x14ac:dyDescent="0.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S98" s="363"/>
      <c r="AT98" s="363"/>
      <c r="AU98" s="363"/>
      <c r="AV98" s="363"/>
      <c r="AW98" s="363"/>
      <c r="AX98" s="363"/>
      <c r="AY98" s="363"/>
      <c r="AZ98" s="363"/>
      <c r="BA98" s="363"/>
      <c r="BB98" s="363"/>
      <c r="BC98" s="363"/>
      <c r="BD98" s="363"/>
      <c r="BE98" s="363"/>
    </row>
    <row r="99" spans="16:57" x14ac:dyDescent="0.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S99" s="363"/>
      <c r="AT99" s="363"/>
      <c r="AU99" s="363"/>
      <c r="AV99" s="363"/>
      <c r="AW99" s="363"/>
      <c r="AX99" s="363"/>
      <c r="AY99" s="363"/>
      <c r="AZ99" s="363"/>
      <c r="BA99" s="363"/>
      <c r="BB99" s="363"/>
      <c r="BC99" s="363"/>
      <c r="BD99" s="363"/>
      <c r="BE99" s="363"/>
    </row>
    <row r="100" spans="16:57" x14ac:dyDescent="0.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S100" s="363"/>
      <c r="AT100" s="363"/>
      <c r="AU100" s="363"/>
      <c r="AV100" s="363"/>
      <c r="AW100" s="363"/>
      <c r="AX100" s="363"/>
      <c r="AY100" s="363"/>
      <c r="AZ100" s="363"/>
      <c r="BA100" s="363"/>
      <c r="BB100" s="363"/>
      <c r="BC100" s="363"/>
      <c r="BD100" s="363"/>
      <c r="BE100" s="363"/>
    </row>
  </sheetData>
  <mergeCells count="28">
    <mergeCell ref="J81:N81"/>
    <mergeCell ref="P51:Q51"/>
    <mergeCell ref="P52:Q52"/>
    <mergeCell ref="P53:Q53"/>
    <mergeCell ref="C6:C7"/>
    <mergeCell ref="C8:C9"/>
    <mergeCell ref="B56:G56"/>
    <mergeCell ref="H56:N56"/>
    <mergeCell ref="J80:N80"/>
    <mergeCell ref="D8:D9"/>
    <mergeCell ref="E8:E9"/>
    <mergeCell ref="B80:G81"/>
    <mergeCell ref="O8:O9"/>
    <mergeCell ref="P8:P9"/>
    <mergeCell ref="W3:AN3"/>
    <mergeCell ref="AI48:AN48"/>
    <mergeCell ref="D11:L11"/>
    <mergeCell ref="M11:R11"/>
    <mergeCell ref="W34:AN34"/>
    <mergeCell ref="D44:R44"/>
    <mergeCell ref="C3:F3"/>
    <mergeCell ref="G3:H3"/>
    <mergeCell ref="J3:M3"/>
    <mergeCell ref="J5:K9"/>
    <mergeCell ref="O3:S3"/>
    <mergeCell ref="G5:H5"/>
    <mergeCell ref="D5:E5"/>
    <mergeCell ref="Q5:S5"/>
  </mergeCells>
  <dataValidations count="12">
    <dataValidation type="list" allowBlank="1" showInputMessage="1" showErrorMessage="1" sqref="D22:D43 D13:D20 P5"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 type="list" allowBlank="1" showInputMessage="1" showErrorMessage="1" sqref="P6" xr:uid="{AD8FCDCE-1560-43DF-9F74-F135B0B69F87}">
      <formula1>INDIRECT(SUBSTITUTE($P5," ",""))</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mc:AlternateContent xmlns:mc="http://schemas.openxmlformats.org/markup-compatibility/2006">
          <mc:Choice Requires="x14">
            <control shapeId="199683" r:id="rId5" name="Button 3">
              <controlPr defaultSize="0" print="0" autoFill="0" autoPict="0" macro="[0]!AddEquip">
                <anchor moveWithCells="1" sizeWithCells="1">
                  <from>
                    <xdr:col>14</xdr:col>
                    <xdr:colOff>15240</xdr:colOff>
                    <xdr:row>7</xdr:row>
                    <xdr:rowOff>15240</xdr:rowOff>
                  </from>
                  <to>
                    <xdr:col>14</xdr:col>
                    <xdr:colOff>1333500</xdr:colOff>
                    <xdr:row>8</xdr:row>
                    <xdr:rowOff>190500</xdr:rowOff>
                  </to>
                </anchor>
              </controlPr>
            </control>
          </mc:Choice>
        </mc:AlternateContent>
        <mc:AlternateContent xmlns:mc="http://schemas.openxmlformats.org/markup-compatibility/2006">
          <mc:Choice Requires="x14">
            <control shapeId="199684" r:id="rId6" name="Button 4">
              <controlPr defaultSize="0" print="0" autoFill="0" autoPict="0" macro="[0]!RemEq">
                <anchor moveWithCells="1" sizeWithCells="1">
                  <from>
                    <xdr:col>15</xdr:col>
                    <xdr:colOff>15240</xdr:colOff>
                    <xdr:row>7</xdr:row>
                    <xdr:rowOff>15240</xdr:rowOff>
                  </from>
                  <to>
                    <xdr:col>15</xdr:col>
                    <xdr:colOff>1333500</xdr:colOff>
                    <xdr:row>8</xdr:row>
                    <xdr:rowOff>190500</xdr:rowOff>
                  </to>
                </anchor>
              </controlPr>
            </control>
          </mc:Choice>
        </mc:AlternateContent>
      </controls>
    </mc:Choice>
  </mc:AlternateContent>
  <tableParts count="3">
    <tablePart r:id="rId7"/>
    <tablePart r:id="rId8"/>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CB4DF-80B9-487F-8B74-85116FF31D75}">
  <sheetPr codeName="Hoja24"/>
  <dimension ref="A1:BE100"/>
  <sheetViews>
    <sheetView showGridLines="0" zoomScale="55" zoomScaleNormal="55" workbookViewId="0">
      <selection activeCell="D44" sqref="D44:R44"/>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363"/>
    <col min="44" max="44" width="11.109375" style="363"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09"/>
      <c r="AR1" s="362"/>
    </row>
    <row r="2" spans="1:44" ht="16.2" customHeight="1" x14ac:dyDescent="0.3">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09"/>
      <c r="AR2" s="362"/>
    </row>
    <row r="3" spans="1:44" ht="16.2" customHeight="1" x14ac:dyDescent="0.3">
      <c r="A3" s="83"/>
      <c r="B3" s="103"/>
      <c r="C3" s="750" t="s">
        <v>804</v>
      </c>
      <c r="D3" s="751"/>
      <c r="E3" s="751"/>
      <c r="F3" s="751"/>
      <c r="G3" s="750" t="s">
        <v>229</v>
      </c>
      <c r="H3" s="752"/>
      <c r="J3" s="750" t="s">
        <v>665</v>
      </c>
      <c r="K3" s="751"/>
      <c r="L3" s="751"/>
      <c r="M3" s="752"/>
      <c r="N3" s="181"/>
      <c r="O3" s="750" t="str">
        <f>+E6</f>
        <v>Unit 2</v>
      </c>
      <c r="P3" s="751"/>
      <c r="Q3" s="751"/>
      <c r="R3" s="751"/>
      <c r="S3" s="752"/>
      <c r="T3" s="104"/>
      <c r="U3" s="104"/>
      <c r="V3" s="83"/>
      <c r="W3" s="777" t="str">
        <f>+E6&amp;" Diagram"</f>
        <v>Unit 2 Diagram</v>
      </c>
      <c r="X3" s="778"/>
      <c r="Y3" s="778"/>
      <c r="Z3" s="778"/>
      <c r="AA3" s="778"/>
      <c r="AB3" s="778"/>
      <c r="AC3" s="778"/>
      <c r="AD3" s="778"/>
      <c r="AE3" s="778"/>
      <c r="AF3" s="778"/>
      <c r="AG3" s="778"/>
      <c r="AH3" s="778"/>
      <c r="AI3" s="778"/>
      <c r="AJ3" s="778"/>
      <c r="AK3" s="778"/>
      <c r="AL3" s="778"/>
      <c r="AM3" s="778"/>
      <c r="AN3" s="779"/>
      <c r="AO3" s="104"/>
      <c r="AP3" s="83"/>
      <c r="AQ3" s="209"/>
      <c r="AR3" s="362"/>
    </row>
    <row r="4" spans="1:44" ht="16.2" customHeight="1" x14ac:dyDescent="0.3">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09"/>
      <c r="AR4" s="362"/>
    </row>
    <row r="5" spans="1:44" ht="16.2" customHeight="1" x14ac:dyDescent="0.3">
      <c r="A5" s="83"/>
      <c r="B5" s="103"/>
      <c r="C5" s="83"/>
      <c r="D5" s="753" t="s">
        <v>265</v>
      </c>
      <c r="E5" s="754"/>
      <c r="F5" s="83"/>
      <c r="G5" s="753" t="s">
        <v>267</v>
      </c>
      <c r="H5" s="754"/>
      <c r="J5" s="783"/>
      <c r="K5" s="784"/>
      <c r="L5" s="185" t="s">
        <v>465</v>
      </c>
      <c r="M5" s="186" t="s">
        <v>500</v>
      </c>
      <c r="N5" s="394"/>
      <c r="O5" s="652" t="s">
        <v>229</v>
      </c>
      <c r="P5" s="594" t="s">
        <v>508</v>
      </c>
      <c r="Q5" s="676" t="s">
        <v>575</v>
      </c>
      <c r="R5" s="677"/>
      <c r="S5" s="678"/>
      <c r="T5" s="104"/>
      <c r="U5" s="104"/>
      <c r="V5" s="83"/>
      <c r="W5" s="83"/>
      <c r="X5" s="83"/>
      <c r="Y5" s="83"/>
      <c r="Z5" s="83"/>
      <c r="AA5" s="83"/>
      <c r="AB5" s="83"/>
      <c r="AC5" s="83"/>
      <c r="AD5" s="83"/>
      <c r="AE5" s="83"/>
      <c r="AF5" s="83"/>
      <c r="AG5" s="83"/>
      <c r="AH5" s="83"/>
      <c r="AI5" s="83"/>
      <c r="AJ5" s="83"/>
      <c r="AK5" s="83"/>
      <c r="AL5" s="83"/>
      <c r="AM5" s="83"/>
      <c r="AN5" s="83"/>
      <c r="AO5" s="104"/>
      <c r="AP5" s="83"/>
      <c r="AQ5" s="209"/>
      <c r="AR5" s="362"/>
    </row>
    <row r="6" spans="1:44" ht="16.2" customHeight="1" x14ac:dyDescent="0.3">
      <c r="A6" s="83"/>
      <c r="B6" s="103"/>
      <c r="C6" s="794" t="s">
        <v>491</v>
      </c>
      <c r="D6" s="234" t="s">
        <v>680</v>
      </c>
      <c r="E6" s="408" t="str">
        <f>+'Plant Overview'!V38</f>
        <v>Unit 2</v>
      </c>
      <c r="F6" s="83"/>
      <c r="G6" s="85"/>
      <c r="H6" s="314" t="s">
        <v>262</v>
      </c>
      <c r="J6" s="785"/>
      <c r="K6" s="786"/>
      <c r="L6" s="166" t="s">
        <v>466</v>
      </c>
      <c r="M6" s="86" t="s">
        <v>499</v>
      </c>
      <c r="N6" s="394"/>
      <c r="O6" s="652" t="s">
        <v>348</v>
      </c>
      <c r="P6" s="467" t="s">
        <v>7</v>
      </c>
      <c r="Q6" s="484"/>
      <c r="R6" s="394"/>
      <c r="S6" s="485"/>
      <c r="T6" s="104"/>
      <c r="U6" s="104"/>
      <c r="V6" s="83"/>
      <c r="W6" s="83"/>
      <c r="X6" s="83"/>
      <c r="Y6" s="83"/>
      <c r="Z6" s="83"/>
      <c r="AA6" s="83"/>
      <c r="AB6" s="83"/>
      <c r="AC6" s="83"/>
      <c r="AD6" s="83"/>
      <c r="AE6" s="83"/>
      <c r="AF6" s="83"/>
      <c r="AG6" s="83"/>
      <c r="AH6" s="83"/>
      <c r="AI6" s="83"/>
      <c r="AJ6" s="83"/>
      <c r="AK6" s="83"/>
      <c r="AL6" s="83"/>
      <c r="AM6" s="83"/>
      <c r="AN6" s="83"/>
      <c r="AO6" s="104"/>
      <c r="AP6" s="83"/>
      <c r="AQ6" s="209"/>
      <c r="AR6" s="362"/>
    </row>
    <row r="7" spans="1:44" ht="16.2" customHeight="1" x14ac:dyDescent="0.3">
      <c r="A7" s="83"/>
      <c r="B7" s="103"/>
      <c r="C7" s="795"/>
      <c r="D7" s="234" t="s">
        <v>679</v>
      </c>
      <c r="E7" s="408" t="str">
        <f>+'Plant Overview'!W38</f>
        <v>U-200</v>
      </c>
      <c r="F7" s="83"/>
      <c r="G7" s="95"/>
      <c r="H7" s="314" t="s">
        <v>263</v>
      </c>
      <c r="J7" s="785"/>
      <c r="K7" s="786"/>
      <c r="L7" s="185" t="s">
        <v>460</v>
      </c>
      <c r="M7" s="186" t="s">
        <v>498</v>
      </c>
      <c r="N7" s="394"/>
      <c r="O7" s="653" t="s">
        <v>573</v>
      </c>
      <c r="P7" s="654" t="s">
        <v>574</v>
      </c>
      <c r="Q7" s="484"/>
      <c r="R7" s="394"/>
      <c r="S7" s="485"/>
      <c r="T7" s="104"/>
      <c r="U7" s="104"/>
      <c r="V7" s="83"/>
      <c r="W7" s="83"/>
      <c r="X7" s="83"/>
      <c r="Y7" s="83"/>
      <c r="Z7" s="83"/>
      <c r="AA7" s="83"/>
      <c r="AB7" s="83"/>
      <c r="AC7" s="83"/>
      <c r="AD7" s="83"/>
      <c r="AE7" s="83"/>
      <c r="AF7" s="83"/>
      <c r="AG7" s="83"/>
      <c r="AH7" s="83"/>
      <c r="AI7" s="83"/>
      <c r="AJ7" s="83"/>
      <c r="AK7" s="83"/>
      <c r="AL7" s="83"/>
      <c r="AM7" s="83"/>
      <c r="AN7" s="83"/>
      <c r="AO7" s="104"/>
      <c r="AP7" s="83"/>
      <c r="AQ7" s="209"/>
      <c r="AR7" s="362"/>
    </row>
    <row r="8" spans="1:44" ht="16.2" customHeight="1" x14ac:dyDescent="0.3">
      <c r="A8" s="83"/>
      <c r="B8" s="103"/>
      <c r="C8" s="764"/>
      <c r="D8" s="799" t="s">
        <v>312</v>
      </c>
      <c r="E8" s="801"/>
      <c r="F8" s="83"/>
      <c r="G8" s="94"/>
      <c r="H8" s="98" t="s">
        <v>264</v>
      </c>
      <c r="J8" s="785"/>
      <c r="K8" s="786"/>
      <c r="L8" s="185" t="s">
        <v>461</v>
      </c>
      <c r="M8" s="186" t="s">
        <v>496</v>
      </c>
      <c r="N8" s="394"/>
      <c r="O8" s="809"/>
      <c r="P8" s="809"/>
      <c r="Q8" s="484"/>
      <c r="R8" s="394"/>
      <c r="S8" s="485"/>
      <c r="T8" s="104"/>
      <c r="U8" s="104"/>
      <c r="V8" s="83"/>
      <c r="W8" s="83"/>
      <c r="X8" s="83"/>
      <c r="Y8" s="83"/>
      <c r="Z8" s="83"/>
      <c r="AA8" s="83"/>
      <c r="AB8" s="83"/>
      <c r="AC8" s="83"/>
      <c r="AD8" s="83"/>
      <c r="AE8" s="83"/>
      <c r="AF8" s="83"/>
      <c r="AG8" s="83"/>
      <c r="AH8" s="83"/>
      <c r="AI8" s="83"/>
      <c r="AJ8" s="83"/>
      <c r="AK8" s="83"/>
      <c r="AL8" s="83"/>
      <c r="AM8" s="83"/>
      <c r="AN8" s="83"/>
      <c r="AO8" s="104"/>
      <c r="AP8" s="83"/>
      <c r="AQ8" s="209"/>
      <c r="AR8" s="362"/>
    </row>
    <row r="9" spans="1:44" ht="16.2" customHeight="1" x14ac:dyDescent="0.3">
      <c r="A9" s="83"/>
      <c r="B9" s="103"/>
      <c r="C9" s="765"/>
      <c r="D9" s="800"/>
      <c r="E9" s="802"/>
      <c r="F9" s="83"/>
      <c r="G9" s="108"/>
      <c r="H9" s="300" t="s">
        <v>268</v>
      </c>
      <c r="J9" s="787"/>
      <c r="K9" s="788"/>
      <c r="L9" s="185" t="s">
        <v>462</v>
      </c>
      <c r="M9" s="186" t="s">
        <v>497</v>
      </c>
      <c r="N9" s="394"/>
      <c r="O9" s="810"/>
      <c r="P9" s="810"/>
      <c r="Q9" s="486"/>
      <c r="R9" s="487"/>
      <c r="S9" s="488"/>
      <c r="T9" s="104"/>
      <c r="U9" s="104"/>
      <c r="V9" s="83"/>
      <c r="W9" s="83"/>
      <c r="X9" s="83"/>
      <c r="Y9" s="83"/>
      <c r="Z9" s="83"/>
      <c r="AA9" s="83"/>
      <c r="AB9" s="83"/>
      <c r="AC9" s="83"/>
      <c r="AD9" s="83"/>
      <c r="AE9" s="83"/>
      <c r="AF9" s="83"/>
      <c r="AG9" s="83"/>
      <c r="AH9" s="83"/>
      <c r="AI9" s="83"/>
      <c r="AJ9" s="83"/>
      <c r="AK9" s="83"/>
      <c r="AL9" s="83"/>
      <c r="AM9" s="83"/>
      <c r="AN9" s="83"/>
      <c r="AO9" s="104"/>
      <c r="AP9" s="83"/>
      <c r="AQ9" s="209"/>
      <c r="AR9" s="362"/>
    </row>
    <row r="10" spans="1:44" ht="16.2" customHeight="1" x14ac:dyDescent="0.3">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09"/>
      <c r="AR10" s="362"/>
    </row>
    <row r="11" spans="1:44" ht="16.2" customHeight="1" x14ac:dyDescent="0.3">
      <c r="A11" s="83"/>
      <c r="B11" s="103"/>
      <c r="C11" s="83"/>
      <c r="D11" s="750" t="s">
        <v>567</v>
      </c>
      <c r="E11" s="751"/>
      <c r="F11" s="751"/>
      <c r="G11" s="751"/>
      <c r="H11" s="751"/>
      <c r="I11" s="751"/>
      <c r="J11" s="751"/>
      <c r="K11" s="751"/>
      <c r="L11" s="752"/>
      <c r="M11" s="750" t="s">
        <v>576</v>
      </c>
      <c r="N11" s="751"/>
      <c r="O11" s="751"/>
      <c r="P11" s="751"/>
      <c r="Q11" s="751"/>
      <c r="R11" s="752"/>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09"/>
      <c r="AR11" s="362"/>
    </row>
    <row r="12" spans="1:44" ht="16.2" customHeight="1" x14ac:dyDescent="0.3">
      <c r="A12" s="83"/>
      <c r="B12" s="103"/>
      <c r="C12" s="415" t="s">
        <v>239</v>
      </c>
      <c r="D12" s="562" t="s">
        <v>229</v>
      </c>
      <c r="E12" s="562" t="s">
        <v>348</v>
      </c>
      <c r="F12" s="416" t="s">
        <v>234</v>
      </c>
      <c r="G12" s="416" t="s">
        <v>471</v>
      </c>
      <c r="H12" s="417" t="s">
        <v>235</v>
      </c>
      <c r="I12" s="562" t="s">
        <v>236</v>
      </c>
      <c r="J12" s="559" t="s">
        <v>341</v>
      </c>
      <c r="K12" s="416" t="s">
        <v>340</v>
      </c>
      <c r="L12" s="416" t="s">
        <v>530</v>
      </c>
      <c r="M12" s="419" t="s">
        <v>230</v>
      </c>
      <c r="N12" s="419" t="s">
        <v>231</v>
      </c>
      <c r="O12" s="419" t="s">
        <v>232</v>
      </c>
      <c r="P12" s="419" t="s">
        <v>225</v>
      </c>
      <c r="Q12" s="419" t="s">
        <v>233</v>
      </c>
      <c r="R12" s="418" t="s">
        <v>266</v>
      </c>
      <c r="S12" s="419" t="s">
        <v>655</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09"/>
      <c r="AR12" s="362"/>
    </row>
    <row r="13" spans="1:44" ht="16.2" customHeight="1" x14ac:dyDescent="0.3">
      <c r="A13" s="83"/>
      <c r="B13" s="103"/>
      <c r="C13" s="177"/>
      <c r="D13" s="203"/>
      <c r="E13" s="203"/>
      <c r="F13" s="96"/>
      <c r="G13" s="96"/>
      <c r="H13" s="96"/>
      <c r="I13" s="96"/>
      <c r="J13" s="96"/>
      <c r="K13" s="96"/>
      <c r="L13" s="96"/>
      <c r="M13" s="153"/>
      <c r="N13" s="96"/>
      <c r="O13" s="96"/>
      <c r="P13" s="149"/>
      <c r="Q13" s="150"/>
      <c r="R13" s="148"/>
      <c r="S13" s="188" t="str">
        <f>+IF(Tabla25879012013530[[#This Row],[Equipment]]="","",Q13*R13/10^6)</f>
        <v/>
      </c>
      <c r="T13" s="577"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09"/>
      <c r="AR13" s="362"/>
    </row>
    <row r="14" spans="1:44" ht="16.2" customHeight="1" x14ac:dyDescent="0.3">
      <c r="A14" s="83"/>
      <c r="B14" s="103"/>
      <c r="C14" s="99"/>
      <c r="D14" s="203"/>
      <c r="E14" s="203"/>
      <c r="F14" s="96"/>
      <c r="G14" s="96"/>
      <c r="H14" s="96"/>
      <c r="I14" s="96"/>
      <c r="J14" s="96"/>
      <c r="K14" s="96"/>
      <c r="L14" s="96"/>
      <c r="M14" s="153"/>
      <c r="N14" s="96"/>
      <c r="O14" s="96"/>
      <c r="P14" s="149"/>
      <c r="Q14" s="150"/>
      <c r="R14" s="97"/>
      <c r="S14" s="188" t="str">
        <f>+IF(Tabla25879012013530[[#This Row],[Equipment]]="","",Q14*R14/10^6)</f>
        <v/>
      </c>
      <c r="T14" s="577"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09"/>
      <c r="AR14" s="362"/>
    </row>
    <row r="15" spans="1:44" ht="16.2" customHeight="1" x14ac:dyDescent="0.3">
      <c r="A15" s="83"/>
      <c r="B15" s="103"/>
      <c r="C15" s="99"/>
      <c r="D15" s="203"/>
      <c r="E15" s="203"/>
      <c r="F15" s="96"/>
      <c r="G15" s="96"/>
      <c r="H15" s="96"/>
      <c r="I15" s="96"/>
      <c r="J15" s="96"/>
      <c r="K15" s="96"/>
      <c r="L15" s="96"/>
      <c r="M15" s="153"/>
      <c r="N15" s="96"/>
      <c r="O15" s="96"/>
      <c r="P15" s="96"/>
      <c r="Q15" s="150"/>
      <c r="R15" s="97"/>
      <c r="S15" s="188" t="str">
        <f>+IF(Tabla25879012013530[[#This Row],[Equipment]]="","",Q15*R15/10^6)</f>
        <v/>
      </c>
      <c r="T15" s="577"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09"/>
      <c r="AR15" s="362"/>
    </row>
    <row r="16" spans="1:44" ht="16.2" customHeight="1" x14ac:dyDescent="0.3">
      <c r="A16" s="83"/>
      <c r="B16" s="103"/>
      <c r="C16" s="99"/>
      <c r="D16" s="203"/>
      <c r="E16" s="203"/>
      <c r="F16" s="96"/>
      <c r="G16" s="96"/>
      <c r="H16" s="96"/>
      <c r="I16" s="96"/>
      <c r="J16" s="96"/>
      <c r="K16" s="96"/>
      <c r="L16" s="96"/>
      <c r="M16" s="153"/>
      <c r="N16" s="156"/>
      <c r="O16" s="96"/>
      <c r="P16" s="96"/>
      <c r="Q16" s="150"/>
      <c r="R16" s="97"/>
      <c r="S16" s="188" t="str">
        <f>+IF(Tabla25879012013530[[#This Row],[Equipment]]="","",Q16*R16/10^6)</f>
        <v/>
      </c>
      <c r="T16" s="577"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09"/>
      <c r="AR16" s="362"/>
    </row>
    <row r="17" spans="1:44" ht="16.2" customHeight="1" x14ac:dyDescent="0.3">
      <c r="A17" s="83"/>
      <c r="B17" s="103"/>
      <c r="C17" s="99"/>
      <c r="D17" s="203"/>
      <c r="E17" s="203"/>
      <c r="F17" s="96"/>
      <c r="G17" s="96"/>
      <c r="H17" s="96"/>
      <c r="I17" s="96"/>
      <c r="J17" s="96"/>
      <c r="K17" s="96"/>
      <c r="L17" s="96"/>
      <c r="M17" s="153"/>
      <c r="N17" s="96"/>
      <c r="O17" s="96"/>
      <c r="P17" s="149"/>
      <c r="Q17" s="150"/>
      <c r="R17" s="97"/>
      <c r="S17" s="188" t="str">
        <f>+IF(Tabla25879012013530[[#This Row],[Equipment]]="","",Q17*R17/10^6)</f>
        <v/>
      </c>
      <c r="T17" s="577"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09"/>
      <c r="AR17" s="362"/>
    </row>
    <row r="18" spans="1:44" ht="16.2" customHeight="1" x14ac:dyDescent="0.3">
      <c r="A18" s="83"/>
      <c r="B18" s="103"/>
      <c r="C18" s="99"/>
      <c r="D18" s="203"/>
      <c r="E18" s="203"/>
      <c r="F18" s="96"/>
      <c r="G18" s="96"/>
      <c r="H18" s="96"/>
      <c r="I18" s="96"/>
      <c r="J18" s="96"/>
      <c r="K18" s="96"/>
      <c r="L18" s="96"/>
      <c r="M18" s="153"/>
      <c r="N18" s="96"/>
      <c r="O18" s="96"/>
      <c r="P18" s="149"/>
      <c r="Q18" s="150"/>
      <c r="R18" s="97"/>
      <c r="S18" s="188" t="str">
        <f>+IF(Tabla25879012013530[[#This Row],[Equipment]]="","",Q18*R18/10^6)</f>
        <v/>
      </c>
      <c r="T18" s="577"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09"/>
      <c r="AR18" s="362"/>
    </row>
    <row r="19" spans="1:44" ht="16.2" customHeight="1" x14ac:dyDescent="0.3">
      <c r="A19" s="83"/>
      <c r="B19" s="103"/>
      <c r="C19" s="99"/>
      <c r="D19" s="203"/>
      <c r="E19" s="203"/>
      <c r="F19" s="96"/>
      <c r="G19" s="96"/>
      <c r="H19" s="96"/>
      <c r="I19" s="96"/>
      <c r="J19" s="96"/>
      <c r="K19" s="96"/>
      <c r="L19" s="96"/>
      <c r="M19" s="153"/>
      <c r="N19" s="96"/>
      <c r="O19" s="96"/>
      <c r="P19" s="149"/>
      <c r="Q19" s="150"/>
      <c r="R19" s="97"/>
      <c r="S19" s="188" t="str">
        <f>+IF(Tabla25879012013530[[#This Row],[Equipment]]="","",Q19*R19/10^6)</f>
        <v/>
      </c>
      <c r="T19" s="577"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09"/>
      <c r="AR19" s="362"/>
    </row>
    <row r="20" spans="1:44" ht="16.2" customHeight="1" x14ac:dyDescent="0.3">
      <c r="A20" s="83"/>
      <c r="B20" s="103"/>
      <c r="C20" s="99"/>
      <c r="D20" s="203"/>
      <c r="E20" s="203"/>
      <c r="F20" s="96"/>
      <c r="G20" s="96"/>
      <c r="H20" s="96"/>
      <c r="I20" s="96"/>
      <c r="J20" s="96"/>
      <c r="K20" s="96"/>
      <c r="L20" s="96"/>
      <c r="M20" s="153"/>
      <c r="N20" s="96"/>
      <c r="O20" s="96"/>
      <c r="P20" s="149"/>
      <c r="Q20" s="150"/>
      <c r="R20" s="97"/>
      <c r="S20" s="188" t="str">
        <f>+IF(Tabla25879012013530[[#This Row],[Equipment]]="","",Q20*R20/10^6)</f>
        <v/>
      </c>
      <c r="T20" s="577"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09"/>
      <c r="AR20" s="362"/>
    </row>
    <row r="21" spans="1:44" ht="16.2" customHeight="1" x14ac:dyDescent="0.3">
      <c r="A21" s="83"/>
      <c r="B21" s="103"/>
      <c r="C21" s="99"/>
      <c r="D21" s="203"/>
      <c r="E21" s="203"/>
      <c r="F21" s="96"/>
      <c r="G21" s="96"/>
      <c r="H21" s="96"/>
      <c r="I21" s="96"/>
      <c r="J21" s="96"/>
      <c r="K21" s="96"/>
      <c r="L21" s="96"/>
      <c r="M21" s="153"/>
      <c r="N21" s="96"/>
      <c r="O21" s="96"/>
      <c r="P21" s="149"/>
      <c r="Q21" s="150"/>
      <c r="R21" s="97"/>
      <c r="S21" s="188" t="str">
        <f>+IF(Tabla25879012013530[[#This Row],[Equipment]]="","",Q21*R21/10^6)</f>
        <v/>
      </c>
      <c r="T21" s="577"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09"/>
      <c r="AR21" s="362"/>
    </row>
    <row r="22" spans="1:44" ht="16.2" customHeight="1" x14ac:dyDescent="0.3">
      <c r="A22" s="83"/>
      <c r="B22" s="103"/>
      <c r="C22" s="99"/>
      <c r="D22" s="203"/>
      <c r="E22" s="203"/>
      <c r="F22" s="96"/>
      <c r="G22" s="96"/>
      <c r="H22" s="96"/>
      <c r="I22" s="96"/>
      <c r="J22" s="96"/>
      <c r="K22" s="96"/>
      <c r="L22" s="96"/>
      <c r="M22" s="153"/>
      <c r="N22" s="96"/>
      <c r="O22" s="96"/>
      <c r="P22" s="149"/>
      <c r="Q22" s="150"/>
      <c r="R22" s="97"/>
      <c r="S22" s="188" t="str">
        <f>+IF(Tabla25879012013530[[#This Row],[Equipment]]="","",Q22*R22/10^6)</f>
        <v/>
      </c>
      <c r="T22" s="577"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09"/>
      <c r="AR22" s="362"/>
    </row>
    <row r="23" spans="1:44" ht="16.2" customHeight="1" x14ac:dyDescent="0.3">
      <c r="A23" s="83"/>
      <c r="B23" s="103"/>
      <c r="C23" s="99"/>
      <c r="D23" s="203"/>
      <c r="E23" s="203"/>
      <c r="F23" s="96"/>
      <c r="G23" s="96"/>
      <c r="H23" s="96"/>
      <c r="I23" s="96"/>
      <c r="J23" s="96"/>
      <c r="K23" s="96"/>
      <c r="L23" s="96"/>
      <c r="M23" s="153"/>
      <c r="N23" s="149"/>
      <c r="O23" s="208"/>
      <c r="P23" s="149"/>
      <c r="Q23" s="150"/>
      <c r="R23" s="97"/>
      <c r="S23" s="188" t="str">
        <f>+IF(Tabla25879012013530[[#This Row],[Equipment]]="","",Q23*R23/10^6)</f>
        <v/>
      </c>
      <c r="T23" s="577"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09"/>
      <c r="AR23" s="362"/>
    </row>
    <row r="24" spans="1:44" ht="16.2" customHeight="1" x14ac:dyDescent="0.3">
      <c r="A24" s="83"/>
      <c r="B24" s="103"/>
      <c r="C24" s="99"/>
      <c r="D24" s="203"/>
      <c r="E24" s="203"/>
      <c r="F24" s="96"/>
      <c r="G24" s="96"/>
      <c r="H24" s="96"/>
      <c r="I24" s="96"/>
      <c r="J24" s="96"/>
      <c r="K24" s="96"/>
      <c r="L24" s="96"/>
      <c r="M24" s="153"/>
      <c r="N24" s="149"/>
      <c r="O24" s="208"/>
      <c r="P24" s="149"/>
      <c r="Q24" s="150"/>
      <c r="R24" s="97"/>
      <c r="S24" s="188" t="str">
        <f>+IF(Tabla25879012013530[[#This Row],[Equipment]]="","",Q24*R24/10^6)</f>
        <v/>
      </c>
      <c r="T24" s="577"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09"/>
      <c r="AR24" s="362"/>
    </row>
    <row r="25" spans="1:44" ht="16.2" customHeight="1" x14ac:dyDescent="0.3">
      <c r="A25" s="83"/>
      <c r="B25" s="103"/>
      <c r="C25" s="99"/>
      <c r="D25" s="203"/>
      <c r="E25" s="203"/>
      <c r="F25" s="96"/>
      <c r="G25" s="96"/>
      <c r="H25" s="96"/>
      <c r="I25" s="96"/>
      <c r="J25" s="96"/>
      <c r="K25" s="96"/>
      <c r="L25" s="96"/>
      <c r="M25" s="153"/>
      <c r="N25" s="96"/>
      <c r="O25" s="96"/>
      <c r="P25" s="96"/>
      <c r="Q25" s="150"/>
      <c r="R25" s="97"/>
      <c r="S25" s="188" t="str">
        <f>+IF(Tabla25879012013530[[#This Row],[Equipment]]="","",Q25*R25/10^6)</f>
        <v/>
      </c>
      <c r="T25" s="577"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09"/>
      <c r="AR25" s="362"/>
    </row>
    <row r="26" spans="1:44" ht="16.2" customHeight="1" x14ac:dyDescent="0.3">
      <c r="A26" s="83"/>
      <c r="B26" s="103"/>
      <c r="C26" s="99"/>
      <c r="D26" s="203"/>
      <c r="E26" s="203"/>
      <c r="F26" s="96"/>
      <c r="G26" s="96"/>
      <c r="H26" s="96"/>
      <c r="I26" s="96"/>
      <c r="J26" s="96"/>
      <c r="K26" s="96"/>
      <c r="L26" s="96"/>
      <c r="M26" s="153"/>
      <c r="N26" s="96"/>
      <c r="O26" s="96"/>
      <c r="P26" s="96"/>
      <c r="Q26" s="150"/>
      <c r="R26" s="97"/>
      <c r="S26" s="188" t="str">
        <f>+IF(Tabla25879012013530[[#This Row],[Equipment]]="","",Q26*R26/10^6)</f>
        <v/>
      </c>
      <c r="T26" s="577"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09"/>
      <c r="AR26" s="362"/>
    </row>
    <row r="27" spans="1:44" ht="16.2" customHeight="1" x14ac:dyDescent="0.3">
      <c r="A27" s="83"/>
      <c r="B27" s="103"/>
      <c r="C27" s="99"/>
      <c r="D27" s="203"/>
      <c r="E27" s="203"/>
      <c r="F27" s="96"/>
      <c r="G27" s="96"/>
      <c r="H27" s="96"/>
      <c r="I27" s="96"/>
      <c r="J27" s="96"/>
      <c r="K27" s="96"/>
      <c r="L27" s="96"/>
      <c r="M27" s="153"/>
      <c r="N27" s="149"/>
      <c r="O27" s="96"/>
      <c r="P27" s="150"/>
      <c r="Q27" s="150"/>
      <c r="R27" s="97"/>
      <c r="S27" s="188" t="str">
        <f>+IF(Tabla25879012013530[[#This Row],[Equipment]]="","",Q27*R27/10^6)</f>
        <v/>
      </c>
      <c r="T27" s="577"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09"/>
      <c r="AR27" s="362"/>
    </row>
    <row r="28" spans="1:44" ht="16.2" customHeight="1" x14ac:dyDescent="0.3">
      <c r="A28" s="83"/>
      <c r="B28" s="103"/>
      <c r="C28" s="99"/>
      <c r="D28" s="203"/>
      <c r="E28" s="203"/>
      <c r="F28" s="96"/>
      <c r="G28" s="96"/>
      <c r="H28" s="96"/>
      <c r="I28" s="96"/>
      <c r="J28" s="96"/>
      <c r="K28" s="96"/>
      <c r="L28" s="96"/>
      <c r="M28" s="153"/>
      <c r="N28" s="149"/>
      <c r="O28" s="96"/>
      <c r="P28" s="150"/>
      <c r="Q28" s="150"/>
      <c r="R28" s="97"/>
      <c r="S28" s="188" t="str">
        <f>+IF(Tabla25879012013530[[#This Row],[Equipment]]="","",Q28*R28/10^6)</f>
        <v/>
      </c>
      <c r="T28" s="577"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09"/>
      <c r="AR28" s="362"/>
    </row>
    <row r="29" spans="1:44" ht="16.2" customHeight="1" x14ac:dyDescent="0.3">
      <c r="A29" s="83"/>
      <c r="B29" s="103"/>
      <c r="C29" s="99"/>
      <c r="D29" s="203"/>
      <c r="E29" s="203"/>
      <c r="F29" s="96"/>
      <c r="G29" s="96"/>
      <c r="H29" s="96"/>
      <c r="I29" s="96"/>
      <c r="J29" s="96"/>
      <c r="K29" s="96"/>
      <c r="L29" s="96"/>
      <c r="M29" s="153"/>
      <c r="N29" s="149"/>
      <c r="O29" s="208"/>
      <c r="P29" s="149"/>
      <c r="Q29" s="150"/>
      <c r="R29" s="97"/>
      <c r="S29" s="188" t="str">
        <f>+IF(Tabla25879012013530[[#This Row],[Equipment]]="","",Q29*R29/10^6)</f>
        <v/>
      </c>
      <c r="T29" s="577"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09"/>
      <c r="AR29" s="362"/>
    </row>
    <row r="30" spans="1:44" ht="16.2" customHeight="1" x14ac:dyDescent="0.3">
      <c r="A30" s="83"/>
      <c r="B30" s="103"/>
      <c r="C30" s="99"/>
      <c r="D30" s="203"/>
      <c r="E30" s="203"/>
      <c r="F30" s="96"/>
      <c r="G30" s="96"/>
      <c r="H30" s="96"/>
      <c r="I30" s="96"/>
      <c r="J30" s="96"/>
      <c r="K30" s="96"/>
      <c r="L30" s="96"/>
      <c r="M30" s="153"/>
      <c r="N30" s="96"/>
      <c r="O30" s="156"/>
      <c r="P30" s="149"/>
      <c r="Q30" s="150"/>
      <c r="R30" s="97"/>
      <c r="S30" s="188" t="str">
        <f>+IF(Tabla25879012013530[[#This Row],[Equipment]]="","",Q30*R30/10^6)</f>
        <v/>
      </c>
      <c r="T30" s="577"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09"/>
      <c r="AR30" s="362"/>
    </row>
    <row r="31" spans="1:44" ht="16.2" customHeight="1" x14ac:dyDescent="0.3">
      <c r="A31" s="83"/>
      <c r="B31" s="103"/>
      <c r="C31" s="99"/>
      <c r="D31" s="203"/>
      <c r="E31" s="203"/>
      <c r="F31" s="96"/>
      <c r="G31" s="96"/>
      <c r="H31" s="96"/>
      <c r="I31" s="96"/>
      <c r="J31" s="96"/>
      <c r="K31" s="96"/>
      <c r="L31" s="96"/>
      <c r="M31" s="153"/>
      <c r="N31" s="96"/>
      <c r="O31" s="156"/>
      <c r="P31" s="149"/>
      <c r="Q31" s="150"/>
      <c r="R31" s="97"/>
      <c r="S31" s="188" t="str">
        <f>+IF(Tabla25879012013530[[#This Row],[Equipment]]="","",Q31*R31/10^6)</f>
        <v/>
      </c>
      <c r="T31" s="577"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09"/>
      <c r="AR31" s="362"/>
    </row>
    <row r="32" spans="1:44" ht="16.2" customHeight="1" x14ac:dyDescent="0.3">
      <c r="A32" s="83"/>
      <c r="B32" s="103"/>
      <c r="C32" s="99"/>
      <c r="D32" s="203"/>
      <c r="E32" s="203"/>
      <c r="F32" s="96"/>
      <c r="G32" s="96"/>
      <c r="H32" s="96"/>
      <c r="I32" s="96"/>
      <c r="J32" s="96"/>
      <c r="K32" s="96"/>
      <c r="L32" s="96"/>
      <c r="M32" s="153"/>
      <c r="N32" s="96"/>
      <c r="O32" s="156"/>
      <c r="P32" s="149"/>
      <c r="Q32" s="150"/>
      <c r="R32" s="97"/>
      <c r="S32" s="188" t="str">
        <f>+IF(Tabla25879012013530[[#This Row],[Equipment]]="","",Q32*R32/10^6)</f>
        <v/>
      </c>
      <c r="T32" s="577"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09"/>
      <c r="AR32" s="362"/>
    </row>
    <row r="33" spans="1:44" ht="16.2" customHeight="1" x14ac:dyDescent="0.3">
      <c r="A33" s="83"/>
      <c r="B33" s="103"/>
      <c r="C33" s="99"/>
      <c r="D33" s="203"/>
      <c r="E33" s="203"/>
      <c r="F33" s="96"/>
      <c r="G33" s="96"/>
      <c r="H33" s="96"/>
      <c r="I33" s="96"/>
      <c r="J33" s="96"/>
      <c r="K33" s="96"/>
      <c r="L33" s="96"/>
      <c r="M33" s="153"/>
      <c r="N33" s="96"/>
      <c r="O33" s="156"/>
      <c r="P33" s="149"/>
      <c r="Q33" s="150"/>
      <c r="R33" s="97"/>
      <c r="S33" s="188" t="str">
        <f>+IF(Tabla25879012013530[[#This Row],[Equipment]]="","",Q33*R33/10^6)</f>
        <v/>
      </c>
      <c r="T33" s="577"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09"/>
      <c r="AR33" s="362"/>
    </row>
    <row r="34" spans="1:44" ht="16.2" customHeight="1" x14ac:dyDescent="0.3">
      <c r="A34" s="83"/>
      <c r="B34" s="103"/>
      <c r="C34" s="354"/>
      <c r="D34" s="203"/>
      <c r="E34" s="203"/>
      <c r="F34" s="96"/>
      <c r="G34" s="96"/>
      <c r="H34" s="96"/>
      <c r="I34" s="96"/>
      <c r="J34" s="96"/>
      <c r="K34" s="96"/>
      <c r="L34" s="96"/>
      <c r="M34" s="153"/>
      <c r="N34" s="96"/>
      <c r="O34" s="156"/>
      <c r="P34" s="149"/>
      <c r="Q34" s="150"/>
      <c r="R34" s="97"/>
      <c r="S34" s="188" t="str">
        <f>+IF(Tabla25879012013530[[#This Row],[Equipment]]="","",Q34*R34/10^6)</f>
        <v/>
      </c>
      <c r="T34" s="577" t="e">
        <f t="shared" ca="1" si="0"/>
        <v>#VALUE!</v>
      </c>
      <c r="U34" s="83"/>
      <c r="V34" s="112"/>
      <c r="W34" s="744" t="str">
        <f>+E6&amp;" Calculations"</f>
        <v>Unit 2 Calculations</v>
      </c>
      <c r="X34" s="745"/>
      <c r="Y34" s="745"/>
      <c r="Z34" s="745"/>
      <c r="AA34" s="745"/>
      <c r="AB34" s="745"/>
      <c r="AC34" s="745"/>
      <c r="AD34" s="745"/>
      <c r="AE34" s="745"/>
      <c r="AF34" s="745"/>
      <c r="AG34" s="745"/>
      <c r="AH34" s="745"/>
      <c r="AI34" s="745"/>
      <c r="AJ34" s="745"/>
      <c r="AK34" s="745"/>
      <c r="AL34" s="745"/>
      <c r="AM34" s="745"/>
      <c r="AN34" s="746"/>
      <c r="AO34" s="104"/>
      <c r="AP34" s="83"/>
      <c r="AQ34" s="209"/>
      <c r="AR34" s="362"/>
    </row>
    <row r="35" spans="1:44" ht="16.2" customHeight="1" x14ac:dyDescent="0.3">
      <c r="A35" s="83"/>
      <c r="B35" s="103"/>
      <c r="C35" s="354"/>
      <c r="D35" s="203"/>
      <c r="E35" s="203"/>
      <c r="F35" s="96"/>
      <c r="G35" s="96"/>
      <c r="H35" s="96"/>
      <c r="I35" s="96"/>
      <c r="J35" s="96"/>
      <c r="K35" s="96"/>
      <c r="L35" s="96"/>
      <c r="M35" s="153"/>
      <c r="N35" s="96"/>
      <c r="O35" s="156"/>
      <c r="P35" s="149"/>
      <c r="Q35" s="150"/>
      <c r="R35" s="97"/>
      <c r="S35" s="188" t="str">
        <f>+IF(Tabla25879012013530[[#This Row],[Equipment]]="","",Q35*R35/10^6)</f>
        <v/>
      </c>
      <c r="T35" s="577" t="e">
        <f t="shared" ca="1" si="0"/>
        <v>#VALUE!</v>
      </c>
      <c r="U35" s="83"/>
      <c r="V35" s="301"/>
      <c r="AO35" s="104"/>
      <c r="AP35" s="83"/>
      <c r="AQ35" s="209"/>
      <c r="AR35" s="362"/>
    </row>
    <row r="36" spans="1:44" ht="16.2" customHeight="1" x14ac:dyDescent="0.3">
      <c r="A36" s="83"/>
      <c r="B36" s="103"/>
      <c r="C36" s="354"/>
      <c r="D36" s="203"/>
      <c r="E36" s="203"/>
      <c r="F36" s="96"/>
      <c r="G36" s="96"/>
      <c r="H36" s="96"/>
      <c r="I36" s="96"/>
      <c r="J36" s="96"/>
      <c r="K36" s="96"/>
      <c r="L36" s="96"/>
      <c r="M36" s="153"/>
      <c r="N36" s="96"/>
      <c r="O36" s="156"/>
      <c r="P36" s="149"/>
      <c r="Q36" s="150"/>
      <c r="R36" s="97"/>
      <c r="S36" s="188" t="str">
        <f>+IF(Tabla25879012013530[[#This Row],[Equipment]]="","",Q36*R36/10^6)</f>
        <v/>
      </c>
      <c r="T36" s="577" t="e">
        <f t="shared" ca="1" si="0"/>
        <v>#VALUE!</v>
      </c>
      <c r="U36" s="83"/>
      <c r="V36" s="301"/>
      <c r="AO36" s="104"/>
      <c r="AP36" s="83"/>
      <c r="AQ36" s="209"/>
      <c r="AR36" s="362"/>
    </row>
    <row r="37" spans="1:44" ht="16.2" customHeight="1" x14ac:dyDescent="0.3">
      <c r="A37" s="83"/>
      <c r="B37" s="103"/>
      <c r="C37" s="354"/>
      <c r="D37" s="203"/>
      <c r="E37" s="203"/>
      <c r="F37" s="96"/>
      <c r="G37" s="96"/>
      <c r="H37" s="96"/>
      <c r="I37" s="96"/>
      <c r="J37" s="96"/>
      <c r="K37" s="96"/>
      <c r="L37" s="96"/>
      <c r="M37" s="153"/>
      <c r="N37" s="96"/>
      <c r="O37" s="156"/>
      <c r="P37" s="149"/>
      <c r="Q37" s="150"/>
      <c r="R37" s="97"/>
      <c r="S37" s="188" t="str">
        <f>+IF(Tabla25879012013530[[#This Row],[Equipment]]="","",Q37*R37/10^6)</f>
        <v/>
      </c>
      <c r="T37" s="577" t="e">
        <f t="shared" ca="1" si="0"/>
        <v>#VALUE!</v>
      </c>
      <c r="U37" s="83"/>
      <c r="V37" s="301"/>
      <c r="AO37" s="104"/>
      <c r="AP37" s="83"/>
      <c r="AQ37" s="209"/>
      <c r="AR37" s="362"/>
    </row>
    <row r="38" spans="1:44" ht="16.2" customHeight="1" x14ac:dyDescent="0.3">
      <c r="A38" s="83"/>
      <c r="B38" s="103"/>
      <c r="C38" s="354"/>
      <c r="D38" s="203"/>
      <c r="E38" s="203"/>
      <c r="F38" s="96"/>
      <c r="G38" s="96"/>
      <c r="H38" s="96"/>
      <c r="I38" s="96"/>
      <c r="J38" s="96"/>
      <c r="K38" s="96"/>
      <c r="L38" s="96"/>
      <c r="M38" s="153"/>
      <c r="N38" s="96"/>
      <c r="O38" s="156"/>
      <c r="P38" s="149"/>
      <c r="Q38" s="150"/>
      <c r="R38" s="97"/>
      <c r="S38" s="188" t="str">
        <f>+IF(Tabla25879012013530[[#This Row],[Equipment]]="","",Q38*R38/10^6)</f>
        <v/>
      </c>
      <c r="T38" s="577" t="e">
        <f t="shared" ca="1" si="0"/>
        <v>#VALUE!</v>
      </c>
      <c r="U38" s="83"/>
      <c r="V38" s="301"/>
      <c r="AO38" s="84"/>
      <c r="AP38" s="83"/>
      <c r="AQ38" s="209"/>
      <c r="AR38" s="362"/>
    </row>
    <row r="39" spans="1:44" ht="16.2" customHeight="1" x14ac:dyDescent="0.3">
      <c r="A39" s="83"/>
      <c r="B39" s="103"/>
      <c r="C39" s="92"/>
      <c r="D39" s="203"/>
      <c r="E39" s="203"/>
      <c r="F39" s="96"/>
      <c r="G39" s="96"/>
      <c r="H39" s="96"/>
      <c r="I39" s="96"/>
      <c r="J39" s="96"/>
      <c r="K39" s="96"/>
      <c r="L39" s="96"/>
      <c r="M39" s="153"/>
      <c r="N39" s="96"/>
      <c r="O39" s="156"/>
      <c r="P39" s="149"/>
      <c r="Q39" s="150"/>
      <c r="R39" s="84"/>
      <c r="S39" s="188" t="str">
        <f>+IF(Tabla25879012013530[[#This Row],[Equipment]]="","",Q39*R39/10^6)</f>
        <v/>
      </c>
      <c r="T39" s="577" t="e">
        <f t="shared" ca="1" si="0"/>
        <v>#VALUE!</v>
      </c>
      <c r="U39" s="83"/>
      <c r="V39" s="301"/>
      <c r="AO39" s="104"/>
      <c r="AP39" s="83"/>
      <c r="AQ39" s="209"/>
      <c r="AR39" s="362"/>
    </row>
    <row r="40" spans="1:44" ht="16.2" customHeight="1" x14ac:dyDescent="0.3">
      <c r="A40" s="83"/>
      <c r="B40" s="103"/>
      <c r="C40" s="92"/>
      <c r="D40" s="203"/>
      <c r="E40" s="203"/>
      <c r="F40" s="96"/>
      <c r="G40" s="96"/>
      <c r="H40" s="96"/>
      <c r="I40" s="96"/>
      <c r="J40" s="96"/>
      <c r="K40" s="96"/>
      <c r="L40" s="96"/>
      <c r="M40" s="153"/>
      <c r="N40" s="96"/>
      <c r="O40" s="156"/>
      <c r="P40" s="149"/>
      <c r="Q40" s="150"/>
      <c r="R40" s="84"/>
      <c r="S40" s="188" t="str">
        <f>+IF(Tabla25879012013530[[#This Row],[Equipment]]="","",Q40*R40/10^6)</f>
        <v/>
      </c>
      <c r="T40" s="577" t="e">
        <f t="shared" ca="1" si="0"/>
        <v>#VALUE!</v>
      </c>
      <c r="U40" s="83"/>
      <c r="V40" s="301"/>
      <c r="AO40" s="104"/>
      <c r="AP40" s="83"/>
      <c r="AQ40" s="209"/>
      <c r="AR40" s="362"/>
    </row>
    <row r="41" spans="1:44" ht="16.2" customHeight="1" x14ac:dyDescent="0.3">
      <c r="A41" s="83"/>
      <c r="B41" s="103"/>
      <c r="C41" s="99"/>
      <c r="D41" s="203"/>
      <c r="E41" s="203"/>
      <c r="F41" s="96"/>
      <c r="G41" s="96"/>
      <c r="H41" s="96"/>
      <c r="I41" s="96"/>
      <c r="J41" s="96"/>
      <c r="K41" s="96"/>
      <c r="L41" s="96"/>
      <c r="M41" s="153"/>
      <c r="N41" s="96"/>
      <c r="O41" s="156"/>
      <c r="P41" s="149"/>
      <c r="Q41" s="150"/>
      <c r="R41" s="97"/>
      <c r="S41" s="188" t="str">
        <f>+IF(Tabla25879012013530[[#This Row],[Equipment]]="","",Q41*R41/10^6)</f>
        <v/>
      </c>
      <c r="T41" s="577" t="e">
        <f t="shared" ca="1" si="0"/>
        <v>#VALUE!</v>
      </c>
      <c r="U41" s="83"/>
      <c r="V41" s="301"/>
      <c r="AO41" s="104"/>
      <c r="AP41" s="83"/>
      <c r="AQ41" s="209"/>
      <c r="AR41" s="362"/>
    </row>
    <row r="42" spans="1:44" ht="16.2" customHeight="1" x14ac:dyDescent="0.3">
      <c r="A42" s="83"/>
      <c r="B42" s="103"/>
      <c r="C42" s="99"/>
      <c r="D42" s="203"/>
      <c r="E42" s="203"/>
      <c r="F42" s="96"/>
      <c r="G42" s="96"/>
      <c r="H42" s="96"/>
      <c r="I42" s="96"/>
      <c r="J42" s="96"/>
      <c r="K42" s="96"/>
      <c r="L42" s="96"/>
      <c r="M42" s="153"/>
      <c r="N42" s="96"/>
      <c r="O42" s="156"/>
      <c r="P42" s="149"/>
      <c r="Q42" s="150"/>
      <c r="R42" s="97"/>
      <c r="S42" s="188" t="str">
        <f>+IF(Tabla25879012013530[[#This Row],[Equipment]]="","",Q42*R42/10^6)</f>
        <v/>
      </c>
      <c r="T42" s="577" t="e">
        <f t="shared" ca="1" si="0"/>
        <v>#VALUE!</v>
      </c>
      <c r="U42" s="83"/>
      <c r="V42" s="301"/>
      <c r="AO42" s="104"/>
      <c r="AP42" s="83"/>
      <c r="AQ42" s="209"/>
      <c r="AR42" s="362"/>
    </row>
    <row r="43" spans="1:44" ht="16.2" customHeight="1" x14ac:dyDescent="0.3">
      <c r="A43" s="83"/>
      <c r="B43" s="103"/>
      <c r="C43" s="354"/>
      <c r="D43" s="203"/>
      <c r="E43" s="203"/>
      <c r="F43" s="96"/>
      <c r="G43" s="96"/>
      <c r="H43" s="96"/>
      <c r="I43" s="96"/>
      <c r="J43" s="96"/>
      <c r="K43" s="96"/>
      <c r="L43" s="96"/>
      <c r="M43" s="153"/>
      <c r="N43" s="96"/>
      <c r="O43" s="156"/>
      <c r="P43" s="149"/>
      <c r="Q43" s="150"/>
      <c r="R43" s="97"/>
      <c r="S43" s="188" t="str">
        <f>+IF(Tabla25879012013530[[#This Row],[Equipment]]="","",Q43*R43/10^6)</f>
        <v/>
      </c>
      <c r="T43" s="577" t="e">
        <f t="shared" ca="1" si="0"/>
        <v>#VALUE!</v>
      </c>
      <c r="U43" s="83"/>
      <c r="V43" s="301"/>
      <c r="AO43" s="104"/>
      <c r="AP43" s="83"/>
      <c r="AQ43" s="209"/>
      <c r="AR43" s="362"/>
    </row>
    <row r="44" spans="1:44" ht="16.2" customHeight="1" x14ac:dyDescent="0.3">
      <c r="A44" s="83"/>
      <c r="B44" s="103"/>
      <c r="C44" s="355"/>
      <c r="D44" s="750" t="s">
        <v>532</v>
      </c>
      <c r="E44" s="751"/>
      <c r="F44" s="751"/>
      <c r="G44" s="751"/>
      <c r="H44" s="751"/>
      <c r="I44" s="751"/>
      <c r="J44" s="751"/>
      <c r="K44" s="751"/>
      <c r="L44" s="751"/>
      <c r="M44" s="751"/>
      <c r="N44" s="751"/>
      <c r="O44" s="751"/>
      <c r="P44" s="751"/>
      <c r="Q44" s="751"/>
      <c r="R44" s="752"/>
      <c r="S44" s="175"/>
      <c r="T44" s="577"/>
      <c r="U44" s="83"/>
      <c r="V44" s="301"/>
      <c r="AO44" s="104"/>
      <c r="AP44" s="83"/>
      <c r="AQ44" s="209"/>
      <c r="AR44" s="362"/>
    </row>
    <row r="45" spans="1:44" ht="16.2" customHeight="1" x14ac:dyDescent="0.3">
      <c r="A45" s="83"/>
      <c r="B45" s="103"/>
      <c r="C45" s="420" t="s">
        <v>577</v>
      </c>
      <c r="D45" s="414" t="s">
        <v>494</v>
      </c>
      <c r="E45" s="414" t="s">
        <v>493</v>
      </c>
      <c r="F45" s="561" t="s">
        <v>459</v>
      </c>
      <c r="G45" s="561" t="s">
        <v>315</v>
      </c>
      <c r="H45" s="561" t="s">
        <v>504</v>
      </c>
      <c r="I45" s="414" t="s">
        <v>501</v>
      </c>
      <c r="J45" s="414" t="s">
        <v>235</v>
      </c>
      <c r="K45" s="414" t="s">
        <v>461</v>
      </c>
      <c r="L45" s="414" t="s">
        <v>462</v>
      </c>
      <c r="M45" s="421" t="s">
        <v>581</v>
      </c>
      <c r="N45" s="422" t="s">
        <v>464</v>
      </c>
      <c r="O45" s="418" t="s">
        <v>463</v>
      </c>
      <c r="P45" s="414" t="s">
        <v>460</v>
      </c>
      <c r="Q45" s="414" t="s">
        <v>466</v>
      </c>
      <c r="R45" s="419" t="s">
        <v>465</v>
      </c>
      <c r="S45" s="419" t="s">
        <v>492</v>
      </c>
      <c r="T45" s="577"/>
      <c r="U45" s="83"/>
      <c r="V45" s="301"/>
      <c r="AO45" s="104"/>
      <c r="AP45" s="83"/>
      <c r="AQ45" s="209"/>
      <c r="AR45" s="362"/>
    </row>
    <row r="46" spans="1:44" ht="16.2" customHeight="1" x14ac:dyDescent="0.3">
      <c r="A46" s="83"/>
      <c r="B46" s="103"/>
      <c r="C46" s="265"/>
      <c r="D46" s="268"/>
      <c r="E46" s="269"/>
      <c r="F46" s="269"/>
      <c r="G46" s="269"/>
      <c r="H46" s="269"/>
      <c r="I46" s="269"/>
      <c r="J46" s="236"/>
      <c r="K46" s="269"/>
      <c r="L46" s="269"/>
      <c r="M46" s="268"/>
      <c r="N46" s="269"/>
      <c r="O46" s="269"/>
      <c r="P46" s="269"/>
      <c r="Q46" s="269"/>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593" t="str">
        <f ca="1">+S46</f>
        <v/>
      </c>
      <c r="U46" s="83"/>
      <c r="V46" s="301"/>
      <c r="AO46" s="104"/>
      <c r="AP46" s="83"/>
      <c r="AQ46" s="209"/>
      <c r="AR46" s="362"/>
    </row>
    <row r="47" spans="1:44" ht="16.2" customHeight="1" x14ac:dyDescent="0.3">
      <c r="A47" s="83"/>
      <c r="B47" s="103"/>
      <c r="C47" s="265"/>
      <c r="D47" s="265"/>
      <c r="E47" s="96"/>
      <c r="F47" s="96"/>
      <c r="G47" s="96"/>
      <c r="H47" s="96"/>
      <c r="I47" s="118"/>
      <c r="J47" s="118"/>
      <c r="K47" s="96"/>
      <c r="L47" s="96"/>
      <c r="M47" s="265"/>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593" t="str">
        <f ca="1">+S47</f>
        <v/>
      </c>
      <c r="U47" s="83"/>
      <c r="V47" s="301"/>
      <c r="AO47" s="104"/>
      <c r="AP47" s="83"/>
      <c r="AQ47" s="209"/>
      <c r="AR47" s="362"/>
    </row>
    <row r="48" spans="1:44" ht="16.2" customHeight="1" x14ac:dyDescent="0.3">
      <c r="A48" s="83"/>
      <c r="B48" s="103"/>
      <c r="C48" s="187"/>
      <c r="D48" s="265"/>
      <c r="E48" s="96"/>
      <c r="F48" s="96"/>
      <c r="G48" s="96"/>
      <c r="H48" s="96"/>
      <c r="I48" s="96"/>
      <c r="J48" s="96"/>
      <c r="K48" s="96"/>
      <c r="L48" s="96"/>
      <c r="M48" s="265"/>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593" t="str">
        <f ca="1">+S48</f>
        <v/>
      </c>
      <c r="U48" s="83"/>
      <c r="V48" s="103"/>
      <c r="AG48" s="595" t="s">
        <v>690</v>
      </c>
      <c r="AH48" s="595" t="s">
        <v>359</v>
      </c>
      <c r="AI48" s="780" t="s">
        <v>575</v>
      </c>
      <c r="AJ48" s="781"/>
      <c r="AK48" s="781"/>
      <c r="AL48" s="781"/>
      <c r="AM48" s="781"/>
      <c r="AN48" s="782"/>
      <c r="AO48" s="104"/>
      <c r="AP48" s="83"/>
      <c r="AQ48" s="209"/>
      <c r="AR48" s="362"/>
    </row>
    <row r="49" spans="1:57" ht="16.2" customHeight="1" x14ac:dyDescent="0.3">
      <c r="A49" s="83"/>
      <c r="B49" s="103"/>
      <c r="C49" s="187"/>
      <c r="D49" s="265"/>
      <c r="E49" s="96"/>
      <c r="F49" s="96"/>
      <c r="G49" s="96"/>
      <c r="H49" s="96"/>
      <c r="I49" s="96"/>
      <c r="J49" s="96"/>
      <c r="K49" s="96"/>
      <c r="L49" s="96"/>
      <c r="M49" s="265"/>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593" t="str">
        <f ca="1">+S49</f>
        <v/>
      </c>
      <c r="U49" s="83"/>
      <c r="V49" s="103"/>
      <c r="AG49" s="596"/>
      <c r="AH49" s="597"/>
      <c r="AI49" s="598"/>
      <c r="AJ49" s="598"/>
      <c r="AK49" s="598"/>
      <c r="AL49" s="598"/>
      <c r="AM49" s="598"/>
      <c r="AN49" s="599"/>
      <c r="AO49" s="104"/>
      <c r="AP49" s="83"/>
      <c r="AQ49" s="209"/>
      <c r="AR49" s="362"/>
    </row>
    <row r="50" spans="1:57" ht="16.2" customHeight="1" x14ac:dyDescent="0.3">
      <c r="A50" s="83"/>
      <c r="B50" s="103"/>
      <c r="C50" s="187"/>
      <c r="D50" s="265"/>
      <c r="E50" s="96"/>
      <c r="F50" s="96"/>
      <c r="G50" s="96"/>
      <c r="H50" s="96"/>
      <c r="I50" s="96"/>
      <c r="J50" s="96"/>
      <c r="K50" s="96"/>
      <c r="L50" s="96"/>
      <c r="M50" s="266"/>
      <c r="N50" s="267"/>
      <c r="O50" s="267"/>
      <c r="P50" s="267"/>
      <c r="Q50" s="267"/>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593" t="str">
        <f ca="1">+S50</f>
        <v/>
      </c>
      <c r="U50" s="83"/>
      <c r="V50" s="103"/>
      <c r="AG50" s="600"/>
      <c r="AH50" s="601"/>
      <c r="AI50" s="602"/>
      <c r="AJ50" s="602"/>
      <c r="AK50" s="602"/>
      <c r="AL50" s="602"/>
      <c r="AM50" s="602"/>
      <c r="AN50" s="603"/>
      <c r="AO50" s="104"/>
      <c r="AP50" s="83"/>
      <c r="AQ50" s="209"/>
      <c r="AR50" s="362"/>
    </row>
    <row r="51" spans="1:57" ht="16.2" customHeight="1" x14ac:dyDescent="0.3">
      <c r="A51" s="83"/>
      <c r="B51" s="103"/>
      <c r="C51" s="195"/>
      <c r="D51" s="266"/>
      <c r="E51" s="267"/>
      <c r="F51" s="267"/>
      <c r="G51" s="267"/>
      <c r="H51" s="267"/>
      <c r="I51" s="267"/>
      <c r="J51" s="267"/>
      <c r="K51" s="267"/>
      <c r="L51" s="98"/>
      <c r="M51" s="424" t="s">
        <v>580</v>
      </c>
      <c r="N51" s="417" t="s">
        <v>459</v>
      </c>
      <c r="O51" s="560" t="s">
        <v>315</v>
      </c>
      <c r="P51" s="792" t="s">
        <v>472</v>
      </c>
      <c r="Q51" s="793"/>
      <c r="R51" s="419" t="s">
        <v>635</v>
      </c>
      <c r="S51" s="425" t="s">
        <v>634</v>
      </c>
      <c r="T51" s="577"/>
      <c r="U51" s="83"/>
      <c r="V51" s="103"/>
      <c r="AG51" s="600"/>
      <c r="AH51" s="601"/>
      <c r="AI51" s="602"/>
      <c r="AJ51" s="602"/>
      <c r="AK51" s="602"/>
      <c r="AL51" s="602"/>
      <c r="AM51" s="602"/>
      <c r="AN51" s="603"/>
      <c r="AO51" s="104"/>
      <c r="AP51" s="83"/>
      <c r="AQ51" s="209"/>
      <c r="AR51" s="362"/>
    </row>
    <row r="52" spans="1:57" ht="16.2" customHeight="1" x14ac:dyDescent="0.3">
      <c r="A52" s="83"/>
      <c r="B52" s="103"/>
      <c r="C52" s="567"/>
      <c r="D52" s="356"/>
      <c r="E52" s="356"/>
      <c r="F52" s="356"/>
      <c r="G52" s="356"/>
      <c r="H52" s="356"/>
      <c r="I52" s="356"/>
      <c r="J52" s="356"/>
      <c r="K52" s="356"/>
      <c r="L52" s="563"/>
      <c r="M52" s="498" t="s">
        <v>484</v>
      </c>
      <c r="N52" s="408" t="s">
        <v>482</v>
      </c>
      <c r="O52" s="473">
        <v>2001</v>
      </c>
      <c r="P52" s="714" t="s">
        <v>473</v>
      </c>
      <c r="Q52" s="716"/>
      <c r="R52" s="426" t="str">
        <f>+IF(SUM(S13:S43)&gt;0,IF(G3="Equipment",SUM(S13:S43),"NaN"),"")</f>
        <v/>
      </c>
      <c r="S52" s="427" cm="1">
        <f t="array" aca="1" ref="S52" ca="1">+IF(R52="",0,R52*INDIRECT(ADDRESS(MATCH(O52,'Cost Conversion'!$B$3:$B$48,0)+2,4,1,1,"Cost conversion"))*INDIRECT(ADDRESS(MATCH(P52,'Cost Conversion'!$F$3:$F$22,0)+2,8,1,1,"Cost conversion"))/IF('Plant Overview'!$E$9="€",IF(N52="$",'Cost Conversion'!$L$2,1),IF('Plant Overview'!$E$9="$",1,1/'Cost Conversion'!$L$2)))</f>
        <v>0</v>
      </c>
      <c r="T52" s="577"/>
      <c r="U52" s="83"/>
      <c r="V52" s="103"/>
      <c r="AG52" s="600"/>
      <c r="AH52" s="601"/>
      <c r="AI52" s="602"/>
      <c r="AJ52" s="602"/>
      <c r="AK52" s="602"/>
      <c r="AL52" s="602"/>
      <c r="AM52" s="602"/>
      <c r="AN52" s="603"/>
      <c r="AO52" s="104"/>
      <c r="AP52" s="83"/>
      <c r="AQ52" s="209"/>
      <c r="AR52" s="362"/>
    </row>
    <row r="53" spans="1:57" ht="16.2" customHeight="1" x14ac:dyDescent="0.3">
      <c r="A53" s="83"/>
      <c r="B53" s="103"/>
      <c r="C53" s="564"/>
      <c r="D53" s="565"/>
      <c r="E53" s="565"/>
      <c r="F53" s="565"/>
      <c r="G53" s="565"/>
      <c r="H53" s="565"/>
      <c r="I53" s="565"/>
      <c r="J53" s="565"/>
      <c r="K53" s="565"/>
      <c r="L53" s="566"/>
      <c r="M53" s="408" t="s">
        <v>636</v>
      </c>
      <c r="N53" s="127"/>
      <c r="O53" s="133"/>
      <c r="P53" s="714"/>
      <c r="Q53" s="716"/>
      <c r="R53" s="426" t="s">
        <v>354</v>
      </c>
      <c r="S53" s="427">
        <f ca="1">+IF(SUM(S46:S50)&gt;=0,SUM(S46:S50),"")</f>
        <v>0</v>
      </c>
      <c r="T53" s="577"/>
      <c r="U53" s="83"/>
      <c r="V53" s="103"/>
      <c r="AG53" s="604"/>
      <c r="AH53" s="605"/>
      <c r="AI53" s="606"/>
      <c r="AJ53" s="606"/>
      <c r="AK53" s="606"/>
      <c r="AL53" s="606"/>
      <c r="AM53" s="606"/>
      <c r="AN53" s="607"/>
      <c r="AO53" s="104"/>
      <c r="AP53" s="83"/>
      <c r="AQ53" s="209"/>
      <c r="AR53" s="362"/>
    </row>
    <row r="54" spans="1:57" ht="16.2" customHeight="1" x14ac:dyDescent="0.3">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09"/>
      <c r="AR54" s="362"/>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09"/>
      <c r="AR55" s="362"/>
    </row>
    <row r="56" spans="1:57" ht="16.2" customHeight="1" x14ac:dyDescent="0.3">
      <c r="A56" s="83"/>
      <c r="B56" s="750" t="str">
        <f>+"BEC Distribution: "&amp;E6</f>
        <v>BEC Distribution: Unit 2</v>
      </c>
      <c r="C56" s="751"/>
      <c r="D56" s="751"/>
      <c r="E56" s="751"/>
      <c r="F56" s="751"/>
      <c r="G56" s="752"/>
      <c r="H56" s="750" t="str">
        <f>"Estimate Benchmark: "&amp;E6</f>
        <v>Estimate Benchmark: Unit 2</v>
      </c>
      <c r="I56" s="751"/>
      <c r="J56" s="751"/>
      <c r="K56" s="751"/>
      <c r="L56" s="751"/>
      <c r="M56" s="751"/>
      <c r="N56" s="752"/>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09"/>
      <c r="AR56" s="362"/>
    </row>
    <row r="57" spans="1:57" ht="16.2" customHeight="1" x14ac:dyDescent="0.3">
      <c r="A57" s="83"/>
      <c r="B57" s="100"/>
      <c r="C57" s="101"/>
      <c r="D57" s="101"/>
      <c r="E57" s="101"/>
      <c r="F57" s="101"/>
      <c r="G57" s="102"/>
      <c r="H57" s="100"/>
      <c r="I57" s="101"/>
      <c r="J57" s="101"/>
      <c r="K57" s="101"/>
      <c r="L57" s="101"/>
      <c r="M57" s="101"/>
      <c r="N57" s="102"/>
      <c r="O57" s="158"/>
      <c r="P57" s="367"/>
      <c r="Q57" s="367"/>
      <c r="R57" s="209"/>
      <c r="S57" s="363"/>
      <c r="T57" s="209"/>
      <c r="U57" s="209"/>
      <c r="V57" s="209"/>
      <c r="W57" s="209"/>
      <c r="X57" s="209"/>
      <c r="Y57" s="209"/>
      <c r="Z57" s="209"/>
      <c r="AA57" s="209"/>
      <c r="AB57" s="209"/>
      <c r="AC57" s="209"/>
      <c r="AD57" s="209"/>
      <c r="AE57" s="209"/>
      <c r="AF57" s="209"/>
      <c r="AG57" s="209"/>
      <c r="AH57" s="209"/>
      <c r="AI57" s="209"/>
      <c r="AJ57" s="209"/>
      <c r="AK57" s="209"/>
      <c r="AL57" s="209"/>
      <c r="AM57" s="209"/>
      <c r="AN57" s="209"/>
      <c r="AO57" s="209"/>
      <c r="AP57" s="209"/>
      <c r="AQ57" s="209"/>
      <c r="AR57" s="362"/>
      <c r="AS57" s="363"/>
      <c r="AT57" s="363"/>
      <c r="AU57" s="363"/>
      <c r="AV57" s="363"/>
      <c r="AW57" s="363"/>
      <c r="AX57" s="363"/>
      <c r="AY57" s="363"/>
      <c r="AZ57" s="363"/>
      <c r="BA57" s="363"/>
      <c r="BB57" s="363"/>
      <c r="BC57" s="363"/>
      <c r="BD57" s="363"/>
      <c r="BE57" s="363"/>
    </row>
    <row r="58" spans="1:57" ht="16.2" customHeight="1" x14ac:dyDescent="0.3">
      <c r="A58" s="83"/>
      <c r="B58" s="103"/>
      <c r="C58" s="83"/>
      <c r="D58" s="83"/>
      <c r="E58" s="83"/>
      <c r="F58" s="83"/>
      <c r="G58" s="104"/>
      <c r="H58" s="103"/>
      <c r="I58" s="83"/>
      <c r="J58" s="83"/>
      <c r="K58" s="83"/>
      <c r="L58" s="83"/>
      <c r="M58" s="83"/>
      <c r="N58" s="104"/>
      <c r="O58" s="161"/>
      <c r="P58" s="367"/>
      <c r="Q58" s="367"/>
      <c r="R58" s="209"/>
      <c r="S58" s="363"/>
      <c r="T58" s="209"/>
      <c r="U58" s="209"/>
      <c r="V58" s="209"/>
      <c r="W58" s="209"/>
      <c r="X58" s="209"/>
      <c r="Y58" s="209"/>
      <c r="Z58" s="209"/>
      <c r="AA58" s="209"/>
      <c r="AB58" s="209"/>
      <c r="AC58" s="209"/>
      <c r="AD58" s="209"/>
      <c r="AE58" s="209"/>
      <c r="AF58" s="209"/>
      <c r="AG58" s="209"/>
      <c r="AH58" s="209"/>
      <c r="AI58" s="209"/>
      <c r="AJ58" s="209"/>
      <c r="AK58" s="209"/>
      <c r="AL58" s="209"/>
      <c r="AM58" s="209"/>
      <c r="AN58" s="209"/>
      <c r="AO58" s="209"/>
      <c r="AP58" s="209"/>
      <c r="AQ58" s="209"/>
      <c r="AR58" s="362"/>
      <c r="AS58" s="363"/>
      <c r="AT58" s="363"/>
      <c r="AU58" s="363"/>
      <c r="AV58" s="363"/>
      <c r="AW58" s="363"/>
      <c r="AX58" s="363"/>
      <c r="AY58" s="363"/>
      <c r="AZ58" s="363"/>
      <c r="BA58" s="363"/>
      <c r="BB58" s="363"/>
      <c r="BC58" s="363"/>
      <c r="BD58" s="363"/>
      <c r="BE58" s="363"/>
    </row>
    <row r="59" spans="1:57" ht="16.2" customHeight="1" x14ac:dyDescent="0.3">
      <c r="A59" s="83"/>
      <c r="B59" s="103"/>
      <c r="C59" s="83"/>
      <c r="D59" s="83"/>
      <c r="E59" s="83"/>
      <c r="F59" s="83"/>
      <c r="G59" s="104"/>
      <c r="H59" s="103"/>
      <c r="I59" s="83"/>
      <c r="J59" s="83"/>
      <c r="K59" s="83"/>
      <c r="L59" s="83"/>
      <c r="M59" s="83"/>
      <c r="N59" s="104"/>
      <c r="O59" s="157"/>
      <c r="P59" s="209"/>
      <c r="Q59" s="209"/>
      <c r="R59" s="209"/>
      <c r="S59" s="209"/>
      <c r="T59" s="209"/>
      <c r="U59" s="209"/>
      <c r="V59" s="209"/>
      <c r="W59" s="209"/>
      <c r="X59" s="209"/>
      <c r="Y59" s="209"/>
      <c r="Z59" s="209"/>
      <c r="AA59" s="209"/>
      <c r="AB59" s="209"/>
      <c r="AC59" s="209"/>
      <c r="AD59" s="209"/>
      <c r="AE59" s="209"/>
      <c r="AF59" s="209"/>
      <c r="AG59" s="209"/>
      <c r="AH59" s="209"/>
      <c r="AI59" s="209"/>
      <c r="AJ59" s="209"/>
      <c r="AK59" s="209"/>
      <c r="AL59" s="209"/>
      <c r="AM59" s="209"/>
      <c r="AN59" s="209"/>
      <c r="AO59" s="209"/>
      <c r="AP59" s="209"/>
      <c r="AQ59" s="209"/>
      <c r="AR59" s="362"/>
      <c r="AS59" s="363"/>
      <c r="AT59" s="363"/>
      <c r="AU59" s="363"/>
      <c r="AV59" s="363"/>
      <c r="AW59" s="363"/>
      <c r="AX59" s="363"/>
      <c r="AY59" s="363"/>
      <c r="AZ59" s="363"/>
      <c r="BA59" s="363"/>
      <c r="BB59" s="363"/>
      <c r="BC59" s="363"/>
      <c r="BD59" s="363"/>
      <c r="BE59" s="363"/>
    </row>
    <row r="60" spans="1:57" ht="16.2" customHeight="1" x14ac:dyDescent="0.3">
      <c r="A60" s="83"/>
      <c r="B60" s="103"/>
      <c r="C60" s="83"/>
      <c r="D60" s="83"/>
      <c r="E60" s="83"/>
      <c r="F60" s="83"/>
      <c r="G60" s="104"/>
      <c r="H60" s="103"/>
      <c r="I60" s="83"/>
      <c r="J60" s="83"/>
      <c r="K60" s="83"/>
      <c r="L60" s="83"/>
      <c r="M60" s="83"/>
      <c r="N60" s="104"/>
      <c r="O60" s="83"/>
      <c r="P60" s="209"/>
      <c r="Q60" s="209"/>
      <c r="R60" s="209"/>
      <c r="S60" s="209"/>
      <c r="T60" s="209"/>
      <c r="U60" s="209"/>
      <c r="V60" s="363"/>
      <c r="W60" s="209"/>
      <c r="X60" s="209"/>
      <c r="Y60" s="209"/>
      <c r="Z60" s="209"/>
      <c r="AA60" s="209"/>
      <c r="AB60" s="209"/>
      <c r="AC60" s="209"/>
      <c r="AD60" s="209"/>
      <c r="AE60" s="209"/>
      <c r="AF60" s="209"/>
      <c r="AG60" s="209"/>
      <c r="AH60" s="209"/>
      <c r="AI60" s="209"/>
      <c r="AJ60" s="209"/>
      <c r="AK60" s="209"/>
      <c r="AL60" s="209"/>
      <c r="AM60" s="209"/>
      <c r="AN60" s="209"/>
      <c r="AO60" s="209"/>
      <c r="AP60" s="209"/>
      <c r="AQ60" s="209"/>
      <c r="AR60" s="362"/>
      <c r="AS60" s="363"/>
      <c r="AT60" s="363"/>
      <c r="AU60" s="363"/>
      <c r="AV60" s="363"/>
      <c r="AW60" s="363"/>
      <c r="AX60" s="363"/>
      <c r="AY60" s="363"/>
      <c r="AZ60" s="363"/>
      <c r="BA60" s="363"/>
      <c r="BB60" s="363"/>
      <c r="BC60" s="363"/>
      <c r="BD60" s="363"/>
      <c r="BE60" s="363"/>
    </row>
    <row r="61" spans="1:57" ht="16.2" customHeight="1" x14ac:dyDescent="0.3">
      <c r="A61" s="83"/>
      <c r="B61" s="103"/>
      <c r="C61" s="83"/>
      <c r="D61" s="83"/>
      <c r="E61" s="83"/>
      <c r="F61" s="83"/>
      <c r="G61" s="104"/>
      <c r="H61" s="103"/>
      <c r="I61" s="83"/>
      <c r="J61" s="83"/>
      <c r="K61" s="83"/>
      <c r="L61" s="83"/>
      <c r="M61" s="83"/>
      <c r="N61" s="104"/>
      <c r="O61" s="83"/>
      <c r="P61" s="209"/>
      <c r="Q61" s="209"/>
      <c r="R61" s="209"/>
      <c r="S61" s="209"/>
      <c r="T61" s="209"/>
      <c r="U61" s="209"/>
      <c r="V61" s="209"/>
      <c r="W61" s="209"/>
      <c r="X61" s="209"/>
      <c r="Y61" s="209"/>
      <c r="Z61" s="209"/>
      <c r="AA61" s="209"/>
      <c r="AB61" s="209"/>
      <c r="AC61" s="209"/>
      <c r="AD61" s="209"/>
      <c r="AE61" s="209"/>
      <c r="AF61" s="209"/>
      <c r="AG61" s="209"/>
      <c r="AH61" s="209"/>
      <c r="AI61" s="209"/>
      <c r="AJ61" s="209"/>
      <c r="AK61" s="209"/>
      <c r="AL61" s="209"/>
      <c r="AM61" s="209"/>
      <c r="AN61" s="209"/>
      <c r="AO61" s="209"/>
      <c r="AP61" s="209"/>
      <c r="AQ61" s="209"/>
      <c r="AR61" s="362"/>
      <c r="AS61" s="363"/>
      <c r="AT61" s="363"/>
      <c r="AU61" s="363"/>
      <c r="AV61" s="363"/>
      <c r="AW61" s="363"/>
      <c r="AX61" s="363"/>
      <c r="AY61" s="363"/>
      <c r="AZ61" s="363"/>
      <c r="BA61" s="363"/>
      <c r="BB61" s="363"/>
      <c r="BC61" s="363"/>
      <c r="BD61" s="363"/>
      <c r="BE61" s="363"/>
    </row>
    <row r="62" spans="1:57" ht="16.2" customHeight="1" x14ac:dyDescent="0.3">
      <c r="A62" s="83"/>
      <c r="B62" s="103"/>
      <c r="C62" s="83"/>
      <c r="D62" s="83"/>
      <c r="E62" s="83"/>
      <c r="F62" s="83"/>
      <c r="G62" s="104"/>
      <c r="H62" s="103"/>
      <c r="I62" s="83"/>
      <c r="J62" s="83"/>
      <c r="K62" s="83"/>
      <c r="L62" s="83"/>
      <c r="M62" s="83"/>
      <c r="N62" s="104"/>
      <c r="O62" s="83"/>
      <c r="P62" s="209"/>
      <c r="Q62" s="209"/>
      <c r="R62" s="209"/>
      <c r="S62" s="209"/>
      <c r="T62" s="367"/>
      <c r="U62" s="209"/>
      <c r="V62" s="209"/>
      <c r="W62" s="209"/>
      <c r="X62" s="209"/>
      <c r="Y62" s="209"/>
      <c r="Z62" s="209"/>
      <c r="AA62" s="209"/>
      <c r="AB62" s="209"/>
      <c r="AC62" s="209"/>
      <c r="AD62" s="209"/>
      <c r="AE62" s="209"/>
      <c r="AF62" s="209"/>
      <c r="AG62" s="209"/>
      <c r="AH62" s="209"/>
      <c r="AI62" s="209"/>
      <c r="AJ62" s="209"/>
      <c r="AK62" s="209"/>
      <c r="AL62" s="209"/>
      <c r="AM62" s="209"/>
      <c r="AN62" s="209"/>
      <c r="AO62" s="209"/>
      <c r="AP62" s="209"/>
      <c r="AQ62" s="209"/>
      <c r="AR62" s="362"/>
      <c r="AS62" s="363"/>
      <c r="AT62" s="363"/>
      <c r="AU62" s="363"/>
      <c r="AV62" s="363"/>
      <c r="AW62" s="363"/>
      <c r="AX62" s="363"/>
      <c r="AY62" s="363"/>
      <c r="AZ62" s="363"/>
      <c r="BA62" s="363"/>
      <c r="BB62" s="363"/>
      <c r="BC62" s="363"/>
      <c r="BD62" s="363"/>
      <c r="BE62" s="363"/>
    </row>
    <row r="63" spans="1:57" ht="16.2" customHeight="1" x14ac:dyDescent="0.3">
      <c r="A63" s="83"/>
      <c r="B63" s="103"/>
      <c r="C63" s="83"/>
      <c r="D63" s="83"/>
      <c r="E63" s="83"/>
      <c r="F63" s="83"/>
      <c r="G63" s="104"/>
      <c r="H63" s="103"/>
      <c r="I63" s="83"/>
      <c r="J63" s="83"/>
      <c r="K63" s="83"/>
      <c r="L63" s="83"/>
      <c r="M63" s="83"/>
      <c r="N63" s="104"/>
      <c r="O63" s="83"/>
      <c r="P63" s="209"/>
      <c r="Q63" s="209"/>
      <c r="R63" s="209"/>
      <c r="S63" s="209"/>
      <c r="T63" s="367"/>
      <c r="U63" s="209"/>
      <c r="V63" s="209"/>
      <c r="W63" s="209"/>
      <c r="X63" s="209"/>
      <c r="Y63" s="209"/>
      <c r="Z63" s="209"/>
      <c r="AA63" s="209"/>
      <c r="AB63" s="209"/>
      <c r="AC63" s="209"/>
      <c r="AD63" s="209"/>
      <c r="AE63" s="209"/>
      <c r="AF63" s="209"/>
      <c r="AG63" s="209"/>
      <c r="AH63" s="209"/>
      <c r="AI63" s="209"/>
      <c r="AJ63" s="209"/>
      <c r="AK63" s="209"/>
      <c r="AL63" s="209"/>
      <c r="AM63" s="209"/>
      <c r="AN63" s="209"/>
      <c r="AO63" s="209"/>
      <c r="AP63" s="209"/>
      <c r="AQ63" s="209"/>
      <c r="AR63" s="362"/>
      <c r="AS63" s="363"/>
      <c r="AT63" s="363"/>
      <c r="AU63" s="363"/>
      <c r="AV63" s="363"/>
      <c r="AW63" s="363"/>
      <c r="AX63" s="363"/>
      <c r="AY63" s="363"/>
      <c r="AZ63" s="363"/>
      <c r="BA63" s="363"/>
      <c r="BB63" s="363"/>
      <c r="BC63" s="363"/>
      <c r="BD63" s="363"/>
      <c r="BE63" s="363"/>
    </row>
    <row r="64" spans="1:57" ht="16.2" customHeight="1" x14ac:dyDescent="0.3">
      <c r="A64" s="83"/>
      <c r="B64" s="103"/>
      <c r="C64" s="83"/>
      <c r="D64" s="83"/>
      <c r="E64" s="83"/>
      <c r="F64" s="83"/>
      <c r="G64" s="104"/>
      <c r="H64" s="103"/>
      <c r="I64" s="83"/>
      <c r="J64" s="83"/>
      <c r="K64" s="83"/>
      <c r="L64" s="83"/>
      <c r="M64" s="83"/>
      <c r="N64" s="104"/>
      <c r="O64" s="83"/>
      <c r="P64" s="209"/>
      <c r="Q64" s="209"/>
      <c r="R64" s="209"/>
      <c r="S64" s="209"/>
      <c r="T64" s="209"/>
      <c r="U64" s="209"/>
      <c r="V64" s="209"/>
      <c r="W64" s="209"/>
      <c r="X64" s="209"/>
      <c r="Y64" s="209"/>
      <c r="Z64" s="209"/>
      <c r="AA64" s="209"/>
      <c r="AB64" s="209"/>
      <c r="AC64" s="209"/>
      <c r="AD64" s="209"/>
      <c r="AE64" s="209"/>
      <c r="AF64" s="209"/>
      <c r="AG64" s="209"/>
      <c r="AH64" s="209"/>
      <c r="AI64" s="209"/>
      <c r="AJ64" s="209"/>
      <c r="AK64" s="209"/>
      <c r="AL64" s="209"/>
      <c r="AM64" s="209"/>
      <c r="AN64" s="209"/>
      <c r="AO64" s="209"/>
      <c r="AP64" s="209"/>
      <c r="AQ64" s="209"/>
      <c r="AR64" s="362"/>
      <c r="AS64" s="363"/>
      <c r="AT64" s="363"/>
      <c r="AU64" s="363"/>
      <c r="AV64" s="363"/>
      <c r="AW64" s="363"/>
      <c r="AX64" s="363"/>
      <c r="AY64" s="363"/>
      <c r="AZ64" s="363"/>
      <c r="BA64" s="363"/>
      <c r="BB64" s="363"/>
      <c r="BC64" s="363"/>
      <c r="BD64" s="363"/>
      <c r="BE64" s="363"/>
    </row>
    <row r="65" spans="1:57" ht="16.2" customHeight="1" x14ac:dyDescent="0.3">
      <c r="A65" s="83"/>
      <c r="B65" s="103"/>
      <c r="C65" s="83"/>
      <c r="D65" s="83"/>
      <c r="E65" s="83"/>
      <c r="F65" s="83"/>
      <c r="G65" s="104"/>
      <c r="H65" s="103"/>
      <c r="I65" s="83"/>
      <c r="J65" s="83"/>
      <c r="K65" s="83"/>
      <c r="L65" s="83"/>
      <c r="M65" s="83"/>
      <c r="N65" s="104"/>
      <c r="O65" s="83"/>
      <c r="P65" s="209"/>
      <c r="Q65" s="209"/>
      <c r="R65" s="209"/>
      <c r="S65" s="209"/>
      <c r="T65" s="209"/>
      <c r="U65" s="209"/>
      <c r="V65" s="209"/>
      <c r="W65" s="209"/>
      <c r="X65" s="209"/>
      <c r="Y65" s="209"/>
      <c r="Z65" s="209"/>
      <c r="AA65" s="209"/>
      <c r="AB65" s="209"/>
      <c r="AC65" s="209"/>
      <c r="AD65" s="209"/>
      <c r="AE65" s="209"/>
      <c r="AF65" s="209"/>
      <c r="AG65" s="209"/>
      <c r="AH65" s="209"/>
      <c r="AI65" s="209"/>
      <c r="AJ65" s="209"/>
      <c r="AK65" s="209"/>
      <c r="AL65" s="209"/>
      <c r="AM65" s="209"/>
      <c r="AN65" s="209"/>
      <c r="AO65" s="209"/>
      <c r="AP65" s="209"/>
      <c r="AQ65" s="209"/>
      <c r="AR65" s="362"/>
      <c r="AS65" s="363"/>
      <c r="AT65" s="363"/>
      <c r="AU65" s="363"/>
      <c r="AV65" s="363"/>
      <c r="AW65" s="363"/>
      <c r="AX65" s="363"/>
      <c r="AY65" s="363"/>
      <c r="AZ65" s="363"/>
      <c r="BA65" s="363"/>
      <c r="BB65" s="363"/>
      <c r="BC65" s="363"/>
      <c r="BD65" s="363"/>
      <c r="BE65" s="363"/>
    </row>
    <row r="66" spans="1:57" ht="16.2" customHeight="1" x14ac:dyDescent="0.3">
      <c r="A66" s="83"/>
      <c r="B66" s="103"/>
      <c r="C66" s="83"/>
      <c r="D66" s="83"/>
      <c r="E66" s="83"/>
      <c r="F66" s="83"/>
      <c r="G66" s="104"/>
      <c r="H66" s="103"/>
      <c r="I66" s="83"/>
      <c r="J66" s="83"/>
      <c r="K66" s="83"/>
      <c r="L66" s="83"/>
      <c r="M66" s="83"/>
      <c r="N66" s="104"/>
      <c r="O66" s="83"/>
      <c r="P66" s="209"/>
      <c r="Q66" s="209"/>
      <c r="R66" s="209"/>
      <c r="S66" s="209"/>
      <c r="T66" s="209"/>
      <c r="U66" s="209"/>
      <c r="V66" s="209"/>
      <c r="W66" s="209"/>
      <c r="X66" s="209"/>
      <c r="Y66" s="209"/>
      <c r="Z66" s="209"/>
      <c r="AA66" s="209"/>
      <c r="AB66" s="209"/>
      <c r="AC66" s="209"/>
      <c r="AD66" s="209"/>
      <c r="AE66" s="209"/>
      <c r="AF66" s="209"/>
      <c r="AG66" s="209"/>
      <c r="AH66" s="209"/>
      <c r="AI66" s="209"/>
      <c r="AJ66" s="209"/>
      <c r="AK66" s="209"/>
      <c r="AL66" s="209"/>
      <c r="AM66" s="209"/>
      <c r="AN66" s="209"/>
      <c r="AO66" s="209"/>
      <c r="AP66" s="209"/>
      <c r="AQ66" s="209"/>
      <c r="AR66" s="362"/>
      <c r="AS66" s="363"/>
      <c r="AT66" s="363"/>
      <c r="AU66" s="363"/>
      <c r="AV66" s="363"/>
      <c r="AW66" s="363"/>
      <c r="AX66" s="363"/>
      <c r="AY66" s="363"/>
      <c r="AZ66" s="363"/>
      <c r="BA66" s="363"/>
      <c r="BB66" s="363"/>
      <c r="BC66" s="363"/>
      <c r="BD66" s="363"/>
      <c r="BE66" s="363"/>
    </row>
    <row r="67" spans="1:57" ht="16.2" customHeight="1" x14ac:dyDescent="0.3">
      <c r="A67" s="83"/>
      <c r="B67" s="103"/>
      <c r="C67" s="83"/>
      <c r="D67" s="83"/>
      <c r="E67" s="83"/>
      <c r="F67" s="83"/>
      <c r="G67" s="104"/>
      <c r="H67" s="103"/>
      <c r="I67" s="83"/>
      <c r="J67" s="83"/>
      <c r="K67" s="83"/>
      <c r="L67" s="83"/>
      <c r="M67" s="83"/>
      <c r="N67" s="104"/>
      <c r="O67" s="83"/>
      <c r="P67" s="209"/>
      <c r="Q67" s="209"/>
      <c r="R67" s="209"/>
      <c r="S67" s="209"/>
      <c r="T67" s="209"/>
      <c r="U67" s="209"/>
      <c r="V67" s="209"/>
      <c r="W67" s="209"/>
      <c r="X67" s="209"/>
      <c r="Y67" s="209"/>
      <c r="Z67" s="209"/>
      <c r="AA67" s="209"/>
      <c r="AB67" s="209"/>
      <c r="AC67" s="209"/>
      <c r="AD67" s="209"/>
      <c r="AE67" s="209"/>
      <c r="AF67" s="209"/>
      <c r="AG67" s="209"/>
      <c r="AH67" s="209"/>
      <c r="AI67" s="209"/>
      <c r="AJ67" s="209"/>
      <c r="AK67" s="209"/>
      <c r="AL67" s="209"/>
      <c r="AM67" s="209"/>
      <c r="AN67" s="209"/>
      <c r="AO67" s="209"/>
      <c r="AP67" s="209"/>
      <c r="AQ67" s="209"/>
      <c r="AR67" s="362"/>
      <c r="AS67" s="363"/>
      <c r="AT67" s="363"/>
      <c r="AU67" s="363"/>
      <c r="AV67" s="363"/>
      <c r="AW67" s="363"/>
      <c r="AX67" s="363"/>
      <c r="AY67" s="363"/>
      <c r="AZ67" s="363"/>
      <c r="BA67" s="363"/>
      <c r="BB67" s="363"/>
      <c r="BC67" s="363"/>
      <c r="BD67" s="363"/>
      <c r="BE67" s="363"/>
    </row>
    <row r="68" spans="1:57" ht="16.2" customHeight="1" x14ac:dyDescent="0.3">
      <c r="A68" s="83"/>
      <c r="B68" s="103"/>
      <c r="C68" s="83"/>
      <c r="D68" s="83"/>
      <c r="E68" s="83"/>
      <c r="F68" s="83"/>
      <c r="G68" s="104"/>
      <c r="H68" s="103"/>
      <c r="I68" s="83"/>
      <c r="J68" s="83"/>
      <c r="K68" s="83"/>
      <c r="L68" s="83"/>
      <c r="M68" s="83"/>
      <c r="N68" s="104"/>
      <c r="O68" s="158"/>
      <c r="P68" s="367"/>
      <c r="Q68" s="367"/>
      <c r="R68" s="367"/>
      <c r="S68" s="367"/>
      <c r="T68" s="367"/>
      <c r="U68" s="368"/>
      <c r="V68" s="362"/>
      <c r="W68" s="362"/>
      <c r="X68" s="362"/>
      <c r="Y68" s="209"/>
      <c r="Z68" s="209"/>
      <c r="AA68" s="209"/>
      <c r="AB68" s="209"/>
      <c r="AC68" s="209"/>
      <c r="AD68" s="209"/>
      <c r="AE68" s="209"/>
      <c r="AF68" s="209"/>
      <c r="AG68" s="209"/>
      <c r="AH68" s="209"/>
      <c r="AI68" s="209"/>
      <c r="AJ68" s="209"/>
      <c r="AK68" s="209"/>
      <c r="AL68" s="209"/>
      <c r="AM68" s="209"/>
      <c r="AN68" s="209"/>
      <c r="AO68" s="209"/>
      <c r="AP68" s="209"/>
      <c r="AQ68" s="209"/>
      <c r="AR68" s="362"/>
      <c r="AS68" s="363"/>
      <c r="AT68" s="363"/>
      <c r="AU68" s="363"/>
      <c r="AV68" s="363"/>
      <c r="AW68" s="363"/>
      <c r="AX68" s="363"/>
      <c r="AY68" s="363"/>
      <c r="AZ68" s="363"/>
      <c r="BA68" s="363"/>
      <c r="BB68" s="363"/>
      <c r="BC68" s="363"/>
      <c r="BD68" s="363"/>
      <c r="BE68" s="363"/>
    </row>
    <row r="69" spans="1:57" ht="16.2" customHeight="1" x14ac:dyDescent="0.3">
      <c r="A69" s="83"/>
      <c r="B69" s="103"/>
      <c r="C69" s="83"/>
      <c r="D69" s="83"/>
      <c r="E69" s="83"/>
      <c r="F69" s="83"/>
      <c r="G69" s="104"/>
      <c r="H69" s="103"/>
      <c r="I69" s="83"/>
      <c r="J69" s="83"/>
      <c r="K69" s="83"/>
      <c r="L69" s="83"/>
      <c r="M69" s="83"/>
      <c r="N69" s="104"/>
      <c r="O69" s="158"/>
      <c r="P69" s="367"/>
      <c r="Q69" s="367"/>
      <c r="R69" s="367"/>
      <c r="S69" s="367"/>
      <c r="T69" s="367"/>
      <c r="U69" s="367"/>
      <c r="V69" s="367"/>
      <c r="W69" s="367"/>
      <c r="X69" s="367"/>
      <c r="Y69" s="209"/>
      <c r="Z69" s="209"/>
      <c r="AA69" s="209"/>
      <c r="AB69" s="209"/>
      <c r="AC69" s="209"/>
      <c r="AD69" s="209"/>
      <c r="AE69" s="209"/>
      <c r="AF69" s="209"/>
      <c r="AG69" s="209"/>
      <c r="AH69" s="209"/>
      <c r="AI69" s="209"/>
      <c r="AJ69" s="209"/>
      <c r="AK69" s="209"/>
      <c r="AL69" s="209"/>
      <c r="AM69" s="209"/>
      <c r="AN69" s="209"/>
      <c r="AO69" s="209"/>
      <c r="AP69" s="209"/>
      <c r="AQ69" s="209"/>
      <c r="AR69" s="362"/>
      <c r="AS69" s="363"/>
      <c r="AT69" s="363"/>
      <c r="AU69" s="363"/>
      <c r="AV69" s="363"/>
      <c r="AW69" s="363"/>
      <c r="AX69" s="363"/>
      <c r="AY69" s="363"/>
      <c r="AZ69" s="363"/>
      <c r="BA69" s="363"/>
      <c r="BB69" s="363"/>
      <c r="BC69" s="363"/>
      <c r="BD69" s="363"/>
      <c r="BE69" s="363"/>
    </row>
    <row r="70" spans="1:57" ht="16.2" customHeight="1" x14ac:dyDescent="0.3">
      <c r="A70" s="83"/>
      <c r="B70" s="103"/>
      <c r="C70" s="83"/>
      <c r="D70" s="83"/>
      <c r="E70" s="83"/>
      <c r="F70" s="83"/>
      <c r="G70" s="104"/>
      <c r="H70" s="103"/>
      <c r="I70" s="83"/>
      <c r="J70" s="83"/>
      <c r="K70" s="83"/>
      <c r="L70" s="83"/>
      <c r="M70" s="83"/>
      <c r="N70" s="104"/>
      <c r="O70" s="158"/>
      <c r="P70" s="365"/>
      <c r="Q70" s="367"/>
      <c r="R70" s="368"/>
      <c r="S70" s="368"/>
      <c r="T70" s="368"/>
      <c r="U70" s="368"/>
      <c r="V70" s="368"/>
      <c r="W70" s="367"/>
      <c r="X70" s="367"/>
      <c r="Y70" s="209"/>
      <c r="Z70" s="209"/>
      <c r="AA70" s="209"/>
      <c r="AB70" s="209"/>
      <c r="AC70" s="209"/>
      <c r="AD70" s="209"/>
      <c r="AE70" s="209"/>
      <c r="AF70" s="209"/>
      <c r="AG70" s="209"/>
      <c r="AH70" s="209"/>
      <c r="AI70" s="209"/>
      <c r="AJ70" s="209"/>
      <c r="AK70" s="209"/>
      <c r="AL70" s="209"/>
      <c r="AM70" s="209"/>
      <c r="AN70" s="209"/>
      <c r="AO70" s="209"/>
      <c r="AP70" s="209"/>
      <c r="AQ70" s="209"/>
      <c r="AR70" s="362"/>
      <c r="AS70" s="363"/>
      <c r="AT70" s="363"/>
      <c r="AU70" s="363"/>
      <c r="AV70" s="363"/>
      <c r="AW70" s="363"/>
      <c r="AX70" s="363"/>
      <c r="AY70" s="363"/>
      <c r="AZ70" s="363"/>
      <c r="BA70" s="363"/>
      <c r="BB70" s="363"/>
      <c r="BC70" s="363"/>
      <c r="BD70" s="363"/>
      <c r="BE70" s="363"/>
    </row>
    <row r="71" spans="1:57" ht="16.2" customHeight="1" x14ac:dyDescent="0.3">
      <c r="A71" s="83"/>
      <c r="B71" s="103"/>
      <c r="C71" s="83"/>
      <c r="D71" s="83"/>
      <c r="E71" s="83"/>
      <c r="F71" s="83"/>
      <c r="G71" s="104"/>
      <c r="H71" s="103"/>
      <c r="I71" s="83"/>
      <c r="J71" s="83"/>
      <c r="K71" s="83"/>
      <c r="L71" s="83"/>
      <c r="M71" s="83"/>
      <c r="N71" s="104"/>
      <c r="O71" s="83"/>
      <c r="P71" s="209"/>
      <c r="Q71" s="209"/>
      <c r="R71" s="209"/>
      <c r="S71" s="209"/>
      <c r="T71" s="209"/>
      <c r="U71" s="209"/>
      <c r="V71" s="209"/>
      <c r="W71" s="209"/>
      <c r="X71" s="209"/>
      <c r="Y71" s="209"/>
      <c r="Z71" s="209"/>
      <c r="AA71" s="209"/>
      <c r="AB71" s="209"/>
      <c r="AC71" s="209"/>
      <c r="AD71" s="209"/>
      <c r="AE71" s="209"/>
      <c r="AF71" s="209"/>
      <c r="AG71" s="209"/>
      <c r="AH71" s="209"/>
      <c r="AI71" s="209"/>
      <c r="AJ71" s="209"/>
      <c r="AK71" s="209"/>
      <c r="AL71" s="209"/>
      <c r="AM71" s="209"/>
      <c r="AN71" s="209"/>
      <c r="AO71" s="209"/>
      <c r="AP71" s="209"/>
      <c r="AQ71" s="209"/>
      <c r="AR71" s="362"/>
      <c r="AS71" s="363"/>
      <c r="AT71" s="363"/>
      <c r="AU71" s="363"/>
      <c r="AV71" s="363"/>
      <c r="AW71" s="363"/>
      <c r="AX71" s="363"/>
      <c r="AY71" s="363"/>
      <c r="AZ71" s="363"/>
      <c r="BA71" s="363"/>
      <c r="BB71" s="363"/>
      <c r="BC71" s="363"/>
      <c r="BD71" s="363"/>
      <c r="BE71" s="363"/>
    </row>
    <row r="72" spans="1:57" ht="16.2" customHeight="1" x14ac:dyDescent="0.3">
      <c r="A72" s="83"/>
      <c r="B72" s="103"/>
      <c r="C72" s="83"/>
      <c r="D72" s="83"/>
      <c r="E72" s="83"/>
      <c r="F72" s="83"/>
      <c r="G72" s="104"/>
      <c r="H72" s="103"/>
      <c r="I72" s="83"/>
      <c r="J72" s="83"/>
      <c r="K72" s="83"/>
      <c r="L72" s="83"/>
      <c r="M72" s="83"/>
      <c r="N72" s="104"/>
      <c r="O72" s="159"/>
      <c r="P72" s="362"/>
      <c r="Q72" s="362"/>
      <c r="R72" s="362"/>
      <c r="S72" s="362"/>
      <c r="T72" s="209"/>
      <c r="U72" s="209"/>
      <c r="V72" s="209"/>
      <c r="W72" s="209"/>
      <c r="X72" s="209"/>
      <c r="Y72" s="209"/>
      <c r="Z72" s="209"/>
      <c r="AA72" s="209"/>
      <c r="AB72" s="209"/>
      <c r="AC72" s="209"/>
      <c r="AD72" s="209"/>
      <c r="AE72" s="209"/>
      <c r="AF72" s="209"/>
      <c r="AG72" s="209"/>
      <c r="AH72" s="209"/>
      <c r="AI72" s="209"/>
      <c r="AJ72" s="209"/>
      <c r="AK72" s="209"/>
      <c r="AL72" s="209"/>
      <c r="AM72" s="209"/>
      <c r="AN72" s="209"/>
      <c r="AO72" s="209"/>
      <c r="AP72" s="209"/>
      <c r="AQ72" s="209"/>
      <c r="AR72" s="362"/>
      <c r="AS72" s="363"/>
      <c r="AT72" s="363"/>
      <c r="AU72" s="363"/>
      <c r="AV72" s="363"/>
      <c r="AW72" s="363"/>
      <c r="AX72" s="363"/>
      <c r="AY72" s="363"/>
      <c r="AZ72" s="363"/>
      <c r="BA72" s="363"/>
      <c r="BB72" s="363"/>
      <c r="BC72" s="363"/>
      <c r="BD72" s="363"/>
      <c r="BE72" s="363"/>
    </row>
    <row r="73" spans="1:57" ht="16.2" customHeight="1" x14ac:dyDescent="0.3">
      <c r="A73" s="83"/>
      <c r="B73" s="103"/>
      <c r="C73" s="83"/>
      <c r="D73" s="83"/>
      <c r="E73" s="83"/>
      <c r="F73" s="83"/>
      <c r="G73" s="104"/>
      <c r="H73" s="103"/>
      <c r="I73" s="83"/>
      <c r="J73" s="83"/>
      <c r="K73" s="83"/>
      <c r="L73" s="83"/>
      <c r="M73" s="83"/>
      <c r="N73" s="104"/>
      <c r="O73" s="159"/>
      <c r="P73" s="362"/>
      <c r="Q73" s="362"/>
      <c r="R73" s="362"/>
      <c r="S73" s="362"/>
      <c r="T73" s="209"/>
      <c r="U73" s="209"/>
      <c r="V73" s="209"/>
      <c r="W73" s="209"/>
      <c r="X73" s="209"/>
      <c r="Y73" s="209"/>
      <c r="Z73" s="209"/>
      <c r="AA73" s="209"/>
      <c r="AB73" s="209"/>
      <c r="AC73" s="209"/>
      <c r="AD73" s="209"/>
      <c r="AE73" s="209"/>
      <c r="AF73" s="209"/>
      <c r="AG73" s="209"/>
      <c r="AH73" s="209"/>
      <c r="AI73" s="209"/>
      <c r="AJ73" s="209"/>
      <c r="AK73" s="209"/>
      <c r="AL73" s="209"/>
      <c r="AM73" s="209"/>
      <c r="AN73" s="209"/>
      <c r="AO73" s="209"/>
      <c r="AP73" s="209"/>
      <c r="AQ73" s="209"/>
      <c r="AR73" s="362"/>
      <c r="AS73" s="363"/>
      <c r="AT73" s="363"/>
      <c r="AU73" s="363"/>
      <c r="AV73" s="363"/>
      <c r="AW73" s="363"/>
      <c r="AX73" s="363"/>
      <c r="AY73" s="363"/>
      <c r="AZ73" s="363"/>
      <c r="BA73" s="363"/>
      <c r="BB73" s="363"/>
      <c r="BC73" s="363"/>
      <c r="BD73" s="363"/>
      <c r="BE73" s="363"/>
    </row>
    <row r="74" spans="1:57" ht="16.2" customHeight="1" x14ac:dyDescent="0.3">
      <c r="A74" s="83"/>
      <c r="B74" s="103"/>
      <c r="C74" s="83"/>
      <c r="D74" s="83"/>
      <c r="E74" s="83"/>
      <c r="F74" s="83"/>
      <c r="G74" s="104"/>
      <c r="H74" s="103"/>
      <c r="I74" s="83"/>
      <c r="J74" s="83"/>
      <c r="K74" s="83"/>
      <c r="L74" s="83"/>
      <c r="M74" s="83"/>
      <c r="N74" s="104"/>
      <c r="O74" s="158"/>
      <c r="P74" s="367"/>
      <c r="Q74" s="367"/>
      <c r="R74" s="367"/>
      <c r="S74" s="367"/>
      <c r="T74" s="209"/>
      <c r="U74" s="209"/>
      <c r="V74" s="209"/>
      <c r="W74" s="209"/>
      <c r="X74" s="209"/>
      <c r="Y74" s="209"/>
      <c r="Z74" s="209"/>
      <c r="AA74" s="209"/>
      <c r="AB74" s="209"/>
      <c r="AC74" s="209"/>
      <c r="AD74" s="209"/>
      <c r="AE74" s="209"/>
      <c r="AF74" s="209"/>
      <c r="AG74" s="209"/>
      <c r="AH74" s="209"/>
      <c r="AI74" s="209"/>
      <c r="AJ74" s="209"/>
      <c r="AK74" s="209"/>
      <c r="AL74" s="209"/>
      <c r="AM74" s="209"/>
      <c r="AN74" s="209"/>
      <c r="AO74" s="209"/>
      <c r="AP74" s="209"/>
      <c r="AQ74" s="209"/>
      <c r="AR74" s="362"/>
      <c r="AS74" s="363"/>
      <c r="AT74" s="363"/>
      <c r="AU74" s="363"/>
      <c r="AV74" s="363"/>
      <c r="AW74" s="363"/>
      <c r="AX74" s="363"/>
      <c r="AY74" s="363"/>
      <c r="AZ74" s="363"/>
      <c r="BA74" s="363"/>
      <c r="BB74" s="363"/>
      <c r="BC74" s="363"/>
      <c r="BD74" s="363"/>
      <c r="BE74" s="363"/>
    </row>
    <row r="75" spans="1:57" ht="16.2" customHeight="1" x14ac:dyDescent="0.3">
      <c r="A75" s="83"/>
      <c r="B75" s="103"/>
      <c r="C75" s="83"/>
      <c r="D75" s="83"/>
      <c r="E75" s="83"/>
      <c r="F75" s="83"/>
      <c r="G75" s="104"/>
      <c r="H75" s="103"/>
      <c r="I75" s="83"/>
      <c r="J75" s="83"/>
      <c r="K75" s="83"/>
      <c r="L75" s="83"/>
      <c r="M75" s="83"/>
      <c r="N75" s="104"/>
      <c r="O75" s="160"/>
      <c r="P75" s="364"/>
      <c r="Q75" s="368"/>
      <c r="R75" s="367"/>
      <c r="S75" s="367"/>
      <c r="T75" s="209"/>
      <c r="U75" s="209"/>
      <c r="V75" s="209"/>
      <c r="W75" s="209"/>
      <c r="X75" s="209"/>
      <c r="Y75" s="209"/>
      <c r="Z75" s="209"/>
      <c r="AA75" s="209"/>
      <c r="AB75" s="209"/>
      <c r="AC75" s="209"/>
      <c r="AD75" s="209"/>
      <c r="AE75" s="209"/>
      <c r="AF75" s="209"/>
      <c r="AG75" s="209"/>
      <c r="AH75" s="209"/>
      <c r="AI75" s="209"/>
      <c r="AJ75" s="209"/>
      <c r="AK75" s="209"/>
      <c r="AL75" s="209"/>
      <c r="AM75" s="209"/>
      <c r="AN75" s="209"/>
      <c r="AO75" s="209"/>
      <c r="AP75" s="209"/>
      <c r="AQ75" s="209"/>
      <c r="AR75" s="362"/>
      <c r="AS75" s="363"/>
      <c r="AT75" s="363"/>
      <c r="AU75" s="363"/>
      <c r="AV75" s="363"/>
      <c r="AW75" s="363"/>
      <c r="AX75" s="363"/>
      <c r="AY75" s="363"/>
      <c r="AZ75" s="363"/>
      <c r="BA75" s="363"/>
      <c r="BB75" s="363"/>
      <c r="BC75" s="363"/>
      <c r="BD75" s="363"/>
      <c r="BE75" s="363"/>
    </row>
    <row r="76" spans="1:57" ht="16.2" customHeight="1" x14ac:dyDescent="0.3">
      <c r="A76" s="83"/>
      <c r="B76" s="103"/>
      <c r="C76" s="83"/>
      <c r="D76" s="83"/>
      <c r="E76" s="83"/>
      <c r="F76" s="83"/>
      <c r="G76" s="104"/>
      <c r="H76" s="103"/>
      <c r="I76" s="83"/>
      <c r="J76" s="83"/>
      <c r="K76" s="83"/>
      <c r="L76" s="83"/>
      <c r="M76" s="83"/>
      <c r="N76" s="104"/>
      <c r="O76" s="159"/>
      <c r="P76" s="362"/>
      <c r="Q76" s="362"/>
      <c r="R76" s="362"/>
      <c r="S76" s="362"/>
      <c r="T76" s="209"/>
      <c r="U76" s="209"/>
      <c r="V76" s="209"/>
      <c r="W76" s="209"/>
      <c r="X76" s="209"/>
      <c r="Y76" s="209"/>
      <c r="Z76" s="209"/>
      <c r="AA76" s="209"/>
      <c r="AB76" s="209"/>
      <c r="AC76" s="209"/>
      <c r="AD76" s="209"/>
      <c r="AE76" s="209"/>
      <c r="AF76" s="209"/>
      <c r="AG76" s="209"/>
      <c r="AH76" s="209"/>
      <c r="AI76" s="209"/>
      <c r="AJ76" s="209"/>
      <c r="AK76" s="209"/>
      <c r="AL76" s="209"/>
      <c r="AM76" s="209"/>
      <c r="AN76" s="209"/>
      <c r="AO76" s="209"/>
      <c r="AP76" s="209"/>
      <c r="AQ76" s="209"/>
      <c r="AR76" s="362"/>
      <c r="AS76" s="363"/>
      <c r="AT76" s="363"/>
      <c r="AU76" s="363"/>
      <c r="AV76" s="363"/>
      <c r="AW76" s="363"/>
      <c r="AX76" s="363"/>
      <c r="AY76" s="363"/>
      <c r="AZ76" s="363"/>
      <c r="BA76" s="363"/>
      <c r="BB76" s="363"/>
      <c r="BC76" s="363"/>
      <c r="BD76" s="363"/>
      <c r="BE76" s="363"/>
    </row>
    <row r="77" spans="1:57" ht="16.2" customHeight="1" x14ac:dyDescent="0.3">
      <c r="A77" s="83"/>
      <c r="B77" s="103"/>
      <c r="C77" s="83"/>
      <c r="D77" s="83"/>
      <c r="E77" s="83"/>
      <c r="F77" s="83"/>
      <c r="G77" s="104"/>
      <c r="H77" s="103"/>
      <c r="I77" s="83"/>
      <c r="J77" s="83"/>
      <c r="K77" s="83"/>
      <c r="L77" s="83"/>
      <c r="M77" s="83"/>
      <c r="N77" s="104"/>
      <c r="O77" s="159"/>
      <c r="P77" s="362"/>
      <c r="Q77" s="362"/>
      <c r="R77" s="362"/>
      <c r="S77" s="362"/>
      <c r="T77" s="209"/>
      <c r="U77" s="209"/>
      <c r="V77" s="209"/>
      <c r="W77" s="209"/>
      <c r="X77" s="209"/>
      <c r="Y77" s="209"/>
      <c r="Z77" s="209"/>
      <c r="AA77" s="209"/>
      <c r="AB77" s="209"/>
      <c r="AC77" s="209"/>
      <c r="AD77" s="209"/>
      <c r="AE77" s="209"/>
      <c r="AF77" s="209"/>
      <c r="AG77" s="209"/>
      <c r="AH77" s="209"/>
      <c r="AI77" s="209"/>
      <c r="AJ77" s="209"/>
      <c r="AK77" s="209"/>
      <c r="AL77" s="209"/>
      <c r="AM77" s="209"/>
      <c r="AN77" s="209"/>
      <c r="AO77" s="209"/>
      <c r="AP77" s="209"/>
      <c r="AQ77" s="209"/>
      <c r="AR77" s="362"/>
      <c r="AS77" s="363"/>
      <c r="AT77" s="363"/>
      <c r="AU77" s="363"/>
      <c r="AV77" s="363"/>
      <c r="AW77" s="363"/>
      <c r="AX77" s="363"/>
      <c r="AY77" s="363"/>
      <c r="AZ77" s="363"/>
      <c r="BA77" s="363"/>
      <c r="BB77" s="363"/>
      <c r="BC77" s="363"/>
      <c r="BD77" s="363"/>
      <c r="BE77" s="363"/>
    </row>
    <row r="78" spans="1:57" ht="16.2" customHeight="1" x14ac:dyDescent="0.3">
      <c r="A78" s="83"/>
      <c r="B78" s="103"/>
      <c r="C78" s="83"/>
      <c r="D78" s="83"/>
      <c r="E78" s="83"/>
      <c r="F78" s="83"/>
      <c r="G78" s="104"/>
      <c r="H78" s="103"/>
      <c r="I78" s="83"/>
      <c r="J78" s="83"/>
      <c r="K78" s="83"/>
      <c r="L78" s="83"/>
      <c r="M78" s="83"/>
      <c r="N78" s="104"/>
      <c r="O78" s="159"/>
      <c r="P78" s="362"/>
      <c r="Q78" s="362"/>
      <c r="R78" s="362"/>
      <c r="S78" s="362"/>
      <c r="T78" s="209"/>
      <c r="U78" s="209"/>
      <c r="V78" s="209"/>
      <c r="W78" s="209"/>
      <c r="X78" s="209"/>
      <c r="Y78" s="209"/>
      <c r="Z78" s="209"/>
      <c r="AA78" s="209"/>
      <c r="AB78" s="209"/>
      <c r="AC78" s="209"/>
      <c r="AD78" s="209"/>
      <c r="AE78" s="209"/>
      <c r="AF78" s="209"/>
      <c r="AG78" s="209"/>
      <c r="AH78" s="209"/>
      <c r="AI78" s="209"/>
      <c r="AJ78" s="209"/>
      <c r="AK78" s="209"/>
      <c r="AL78" s="209"/>
      <c r="AM78" s="209"/>
      <c r="AN78" s="209"/>
      <c r="AO78" s="209"/>
      <c r="AP78" s="209"/>
      <c r="AQ78" s="209"/>
      <c r="AR78" s="362"/>
      <c r="AS78" s="363"/>
      <c r="AT78" s="363"/>
      <c r="AU78" s="363"/>
      <c r="AV78" s="363"/>
      <c r="AW78" s="363"/>
      <c r="AX78" s="363"/>
      <c r="AY78" s="363"/>
      <c r="AZ78" s="363"/>
      <c r="BA78" s="363"/>
      <c r="BB78" s="363"/>
      <c r="BC78" s="363"/>
      <c r="BD78" s="363"/>
      <c r="BE78" s="363"/>
    </row>
    <row r="79" spans="1:57" ht="16.2" customHeight="1" x14ac:dyDescent="0.3">
      <c r="A79" s="83"/>
      <c r="B79" s="103"/>
      <c r="C79" s="83"/>
      <c r="D79" s="83"/>
      <c r="E79" s="83"/>
      <c r="F79" s="83"/>
      <c r="G79" s="104"/>
      <c r="H79" s="103"/>
      <c r="I79" s="83"/>
      <c r="J79" s="83"/>
      <c r="K79" s="83"/>
      <c r="L79" s="83"/>
      <c r="M79" s="83"/>
      <c r="N79" s="104"/>
      <c r="O79" s="159"/>
      <c r="P79" s="362"/>
      <c r="Q79" s="362"/>
      <c r="R79" s="362"/>
      <c r="S79" s="362"/>
      <c r="T79" s="209"/>
      <c r="U79" s="209"/>
      <c r="V79" s="209"/>
      <c r="W79" s="209"/>
      <c r="X79" s="209"/>
      <c r="Y79" s="209"/>
      <c r="Z79" s="209"/>
      <c r="AA79" s="209"/>
      <c r="AB79" s="209"/>
      <c r="AC79" s="209"/>
      <c r="AD79" s="209"/>
      <c r="AE79" s="209"/>
      <c r="AF79" s="209"/>
      <c r="AG79" s="209"/>
      <c r="AH79" s="209"/>
      <c r="AI79" s="209"/>
      <c r="AJ79" s="209"/>
      <c r="AK79" s="209"/>
      <c r="AL79" s="209"/>
      <c r="AM79" s="209"/>
      <c r="AN79" s="209"/>
      <c r="AO79" s="209"/>
      <c r="AP79" s="209"/>
      <c r="AQ79" s="209"/>
      <c r="AR79" s="362"/>
      <c r="AS79" s="363"/>
      <c r="AT79" s="363"/>
      <c r="AU79" s="363"/>
      <c r="AV79" s="363"/>
      <c r="AW79" s="363"/>
      <c r="AX79" s="363"/>
      <c r="AY79" s="363"/>
      <c r="AZ79" s="363"/>
      <c r="BA79" s="363"/>
      <c r="BB79" s="363"/>
      <c r="BC79" s="363"/>
      <c r="BD79" s="363"/>
      <c r="BE79" s="363"/>
    </row>
    <row r="80" spans="1:57" ht="16.2" customHeight="1" x14ac:dyDescent="0.3">
      <c r="A80" s="83"/>
      <c r="B80" s="803" t="s">
        <v>748</v>
      </c>
      <c r="C80" s="804"/>
      <c r="D80" s="804"/>
      <c r="E80" s="804"/>
      <c r="F80" s="804"/>
      <c r="G80" s="805"/>
      <c r="H80" s="116" t="s">
        <v>690</v>
      </c>
      <c r="I80" s="117" t="s">
        <v>359</v>
      </c>
      <c r="J80" s="796" t="s">
        <v>575</v>
      </c>
      <c r="K80" s="797"/>
      <c r="L80" s="797"/>
      <c r="M80" s="797"/>
      <c r="N80" s="798"/>
      <c r="O80" s="159"/>
      <c r="P80" s="362"/>
      <c r="Q80" s="362"/>
      <c r="R80" s="362"/>
      <c r="S80" s="362"/>
      <c r="T80" s="209"/>
      <c r="U80" s="209"/>
      <c r="V80" s="209"/>
      <c r="W80" s="209"/>
      <c r="X80" s="209"/>
      <c r="Y80" s="209"/>
      <c r="Z80" s="209"/>
      <c r="AA80" s="209"/>
      <c r="AB80" s="209"/>
      <c r="AC80" s="209"/>
      <c r="AD80" s="209"/>
      <c r="AE80" s="209"/>
      <c r="AF80" s="209"/>
      <c r="AG80" s="209"/>
      <c r="AH80" s="209"/>
      <c r="AI80" s="209"/>
      <c r="AJ80" s="209"/>
      <c r="AK80" s="209"/>
      <c r="AL80" s="209"/>
      <c r="AM80" s="209"/>
      <c r="AN80" s="209"/>
      <c r="AO80" s="209"/>
      <c r="AP80" s="209"/>
      <c r="AQ80" s="209"/>
      <c r="AR80" s="362"/>
      <c r="AS80" s="363"/>
      <c r="AT80" s="363"/>
      <c r="AU80" s="363"/>
      <c r="AV80" s="363"/>
      <c r="AW80" s="363"/>
      <c r="AX80" s="363"/>
      <c r="AY80" s="363"/>
      <c r="AZ80" s="363"/>
      <c r="BA80" s="363"/>
      <c r="BB80" s="363"/>
      <c r="BC80" s="363"/>
      <c r="BD80" s="363"/>
      <c r="BE80" s="363"/>
    </row>
    <row r="81" spans="1:57" ht="16.2" customHeight="1" x14ac:dyDescent="0.3">
      <c r="A81" s="83"/>
      <c r="B81" s="806"/>
      <c r="C81" s="807"/>
      <c r="D81" s="807"/>
      <c r="E81" s="807"/>
      <c r="F81" s="807"/>
      <c r="G81" s="808"/>
      <c r="H81" s="489"/>
      <c r="I81" s="110"/>
      <c r="J81" s="789"/>
      <c r="K81" s="790"/>
      <c r="L81" s="790"/>
      <c r="M81" s="790"/>
      <c r="N81" s="791"/>
      <c r="O81" s="83"/>
      <c r="P81" s="209"/>
      <c r="Q81" s="209"/>
      <c r="R81" s="209"/>
      <c r="S81" s="209"/>
      <c r="T81" s="209"/>
      <c r="U81" s="209"/>
      <c r="V81" s="209"/>
      <c r="W81" s="209"/>
      <c r="X81" s="209"/>
      <c r="Y81" s="209"/>
      <c r="Z81" s="209"/>
      <c r="AA81" s="209"/>
      <c r="AB81" s="209"/>
      <c r="AC81" s="209"/>
      <c r="AD81" s="209"/>
      <c r="AE81" s="209"/>
      <c r="AF81" s="209"/>
      <c r="AG81" s="209"/>
      <c r="AH81" s="209"/>
      <c r="AI81" s="209"/>
      <c r="AJ81" s="209"/>
      <c r="AK81" s="209"/>
      <c r="AL81" s="209"/>
      <c r="AM81" s="209"/>
      <c r="AN81" s="209"/>
      <c r="AO81" s="209"/>
      <c r="AP81" s="209"/>
      <c r="AQ81" s="209"/>
      <c r="AR81" s="362"/>
      <c r="AS81" s="363"/>
      <c r="AT81" s="363"/>
      <c r="AU81" s="363"/>
      <c r="AV81" s="363"/>
      <c r="AW81" s="363"/>
      <c r="AX81" s="363"/>
      <c r="AY81" s="363"/>
      <c r="AZ81" s="363"/>
      <c r="BA81" s="363"/>
      <c r="BB81" s="363"/>
      <c r="BC81" s="363"/>
      <c r="BD81" s="363"/>
      <c r="BE81" s="363"/>
    </row>
    <row r="82" spans="1:57" ht="16.2" customHeight="1" x14ac:dyDescent="0.3">
      <c r="A82" s="83"/>
      <c r="B82" s="83"/>
      <c r="C82" s="83"/>
      <c r="D82" s="83"/>
      <c r="E82" s="83"/>
      <c r="F82" s="83"/>
      <c r="G82" s="83"/>
      <c r="H82" s="83"/>
      <c r="I82" s="83"/>
      <c r="J82" s="83"/>
      <c r="K82" s="83"/>
      <c r="L82" s="83"/>
      <c r="M82" s="159"/>
      <c r="N82" s="162"/>
      <c r="O82" s="83"/>
      <c r="P82" s="209"/>
      <c r="Q82" s="209"/>
      <c r="R82" s="209"/>
      <c r="S82" s="209"/>
      <c r="T82" s="209"/>
      <c r="U82" s="209"/>
      <c r="V82" s="209"/>
      <c r="W82" s="209"/>
      <c r="X82" s="209"/>
      <c r="Y82" s="209"/>
      <c r="Z82" s="209"/>
      <c r="AA82" s="209"/>
      <c r="AB82" s="209"/>
      <c r="AC82" s="209"/>
      <c r="AD82" s="209"/>
      <c r="AE82" s="209"/>
      <c r="AF82" s="209"/>
      <c r="AG82" s="209"/>
      <c r="AH82" s="209"/>
      <c r="AI82" s="209"/>
      <c r="AJ82" s="209"/>
      <c r="AK82" s="209"/>
      <c r="AL82" s="209"/>
      <c r="AM82" s="209"/>
      <c r="AN82" s="209"/>
      <c r="AO82" s="209"/>
      <c r="AP82" s="209"/>
      <c r="AQ82" s="209"/>
      <c r="AR82" s="362"/>
      <c r="AS82" s="363"/>
      <c r="AT82" s="363"/>
      <c r="AU82" s="363"/>
      <c r="AV82" s="363"/>
      <c r="AW82" s="363"/>
      <c r="AX82" s="363"/>
      <c r="AY82" s="363"/>
      <c r="AZ82" s="363"/>
      <c r="BA82" s="363"/>
      <c r="BB82" s="363"/>
      <c r="BC82" s="363"/>
      <c r="BD82" s="363"/>
      <c r="BE82" s="363"/>
    </row>
    <row r="83" spans="1:57" x14ac:dyDescent="0.3">
      <c r="A83" s="83"/>
      <c r="B83" s="83"/>
      <c r="C83" s="83"/>
      <c r="D83" s="83"/>
      <c r="E83" s="83"/>
      <c r="F83" s="83"/>
      <c r="G83" s="83"/>
      <c r="H83" s="83"/>
      <c r="I83" s="83"/>
      <c r="J83" s="83"/>
      <c r="K83" s="83"/>
      <c r="L83" s="83"/>
      <c r="M83" s="159"/>
      <c r="N83" s="162"/>
      <c r="O83" s="83"/>
      <c r="P83" s="209"/>
      <c r="Q83" s="209"/>
      <c r="R83" s="209"/>
      <c r="S83" s="209"/>
      <c r="T83" s="209"/>
      <c r="U83" s="209"/>
      <c r="V83" s="209"/>
      <c r="W83" s="209"/>
      <c r="X83" s="209"/>
      <c r="Y83" s="209"/>
      <c r="Z83" s="209"/>
      <c r="AA83" s="209"/>
      <c r="AB83" s="209"/>
      <c r="AC83" s="209"/>
      <c r="AD83" s="209"/>
      <c r="AE83" s="209"/>
      <c r="AF83" s="209"/>
      <c r="AG83" s="209"/>
      <c r="AH83" s="209"/>
      <c r="AI83" s="209"/>
      <c r="AJ83" s="209"/>
      <c r="AK83" s="209"/>
      <c r="AL83" s="209"/>
      <c r="AM83" s="209"/>
      <c r="AN83" s="209"/>
      <c r="AO83" s="209"/>
      <c r="AP83" s="209"/>
      <c r="AQ83" s="209"/>
      <c r="AR83" s="362"/>
      <c r="AS83" s="363"/>
      <c r="AT83" s="363"/>
      <c r="AU83" s="363"/>
      <c r="AV83" s="363"/>
      <c r="AW83" s="363"/>
      <c r="AX83" s="363"/>
      <c r="AY83" s="363"/>
      <c r="AZ83" s="363"/>
      <c r="BA83" s="363"/>
      <c r="BB83" s="363"/>
      <c r="BC83" s="363"/>
      <c r="BD83" s="363"/>
      <c r="BE83" s="363"/>
    </row>
    <row r="84" spans="1:57" x14ac:dyDescent="0.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S84" s="363"/>
      <c r="AT84" s="363"/>
      <c r="AU84" s="363"/>
      <c r="AV84" s="363"/>
      <c r="AW84" s="363"/>
      <c r="AX84" s="363"/>
      <c r="AY84" s="363"/>
      <c r="AZ84" s="363"/>
      <c r="BA84" s="363"/>
      <c r="BB84" s="363"/>
      <c r="BC84" s="363"/>
      <c r="BD84" s="363"/>
      <c r="BE84" s="363"/>
    </row>
    <row r="85" spans="1:57" x14ac:dyDescent="0.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S85" s="363"/>
      <c r="AT85" s="363"/>
      <c r="AU85" s="363"/>
      <c r="AV85" s="363"/>
      <c r="AW85" s="363"/>
      <c r="AX85" s="363"/>
      <c r="AY85" s="363"/>
      <c r="AZ85" s="363"/>
      <c r="BA85" s="363"/>
      <c r="BB85" s="363"/>
      <c r="BC85" s="363"/>
      <c r="BD85" s="363"/>
      <c r="BE85" s="363"/>
    </row>
    <row r="86" spans="1:57" x14ac:dyDescent="0.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S86" s="363"/>
      <c r="AT86" s="363"/>
      <c r="AU86" s="363"/>
      <c r="AV86" s="363"/>
      <c r="AW86" s="363"/>
      <c r="AX86" s="363"/>
      <c r="AY86" s="363"/>
      <c r="AZ86" s="363"/>
      <c r="BA86" s="363"/>
      <c r="BB86" s="363"/>
      <c r="BC86" s="363"/>
      <c r="BD86" s="363"/>
      <c r="BE86" s="363"/>
    </row>
    <row r="87" spans="1:57" x14ac:dyDescent="0.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S87" s="363"/>
      <c r="AT87" s="363"/>
      <c r="AU87" s="363"/>
      <c r="AV87" s="363"/>
      <c r="AW87" s="363"/>
      <c r="AX87" s="363"/>
      <c r="AY87" s="363"/>
      <c r="AZ87" s="363"/>
      <c r="BA87" s="363"/>
      <c r="BB87" s="363"/>
      <c r="BC87" s="363"/>
      <c r="BD87" s="363"/>
      <c r="BE87" s="363"/>
    </row>
    <row r="88" spans="1:57" x14ac:dyDescent="0.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S88" s="363"/>
      <c r="AT88" s="363"/>
      <c r="AU88" s="363"/>
      <c r="AV88" s="363"/>
      <c r="AW88" s="363"/>
      <c r="AX88" s="363"/>
      <c r="AY88" s="363"/>
      <c r="AZ88" s="363"/>
      <c r="BA88" s="363"/>
      <c r="BB88" s="363"/>
      <c r="BC88" s="363"/>
      <c r="BD88" s="363"/>
      <c r="BE88" s="363"/>
    </row>
    <row r="89" spans="1:57" x14ac:dyDescent="0.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S89" s="363"/>
      <c r="AT89" s="363"/>
      <c r="AU89" s="363"/>
      <c r="AV89" s="363"/>
      <c r="AW89" s="363"/>
      <c r="AX89" s="363"/>
      <c r="AY89" s="363"/>
      <c r="AZ89" s="363"/>
      <c r="BA89" s="363"/>
      <c r="BB89" s="363"/>
      <c r="BC89" s="363"/>
      <c r="BD89" s="363"/>
      <c r="BE89" s="363"/>
    </row>
    <row r="90" spans="1:57" x14ac:dyDescent="0.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S90" s="363"/>
      <c r="AT90" s="363"/>
      <c r="AU90" s="363"/>
      <c r="AV90" s="363"/>
      <c r="AW90" s="363"/>
      <c r="AX90" s="363"/>
      <c r="AY90" s="363"/>
      <c r="AZ90" s="363"/>
      <c r="BA90" s="363"/>
      <c r="BB90" s="363"/>
      <c r="BC90" s="363"/>
      <c r="BD90" s="363"/>
      <c r="BE90" s="363"/>
    </row>
    <row r="91" spans="1:57" x14ac:dyDescent="0.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S91" s="363"/>
      <c r="AT91" s="363"/>
      <c r="AU91" s="363"/>
      <c r="AV91" s="363"/>
      <c r="AW91" s="363"/>
      <c r="AX91" s="363"/>
      <c r="AY91" s="363"/>
      <c r="AZ91" s="363"/>
      <c r="BA91" s="363"/>
      <c r="BB91" s="363"/>
      <c r="BC91" s="363"/>
      <c r="BD91" s="363"/>
      <c r="BE91" s="363"/>
    </row>
    <row r="92" spans="1:57" x14ac:dyDescent="0.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S92" s="363"/>
      <c r="AT92" s="363"/>
      <c r="AU92" s="363"/>
      <c r="AV92" s="363"/>
      <c r="AW92" s="363"/>
      <c r="AX92" s="363"/>
      <c r="AY92" s="363"/>
      <c r="AZ92" s="363"/>
      <c r="BA92" s="363"/>
      <c r="BB92" s="363"/>
      <c r="BC92" s="363"/>
      <c r="BD92" s="363"/>
      <c r="BE92" s="363"/>
    </row>
    <row r="93" spans="1:57" x14ac:dyDescent="0.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S93" s="363"/>
      <c r="AT93" s="363"/>
      <c r="AU93" s="363"/>
      <c r="AV93" s="363"/>
      <c r="AW93" s="363"/>
      <c r="AX93" s="363"/>
      <c r="AY93" s="363"/>
      <c r="AZ93" s="363"/>
      <c r="BA93" s="363"/>
      <c r="BB93" s="363"/>
      <c r="BC93" s="363"/>
      <c r="BD93" s="363"/>
      <c r="BE93" s="363"/>
    </row>
    <row r="94" spans="1:57" x14ac:dyDescent="0.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S94" s="363"/>
      <c r="AT94" s="363"/>
      <c r="AU94" s="363"/>
      <c r="AV94" s="363"/>
      <c r="AW94" s="363"/>
      <c r="AX94" s="363"/>
      <c r="AY94" s="363"/>
      <c r="AZ94" s="363"/>
      <c r="BA94" s="363"/>
      <c r="BB94" s="363"/>
      <c r="BC94" s="363"/>
      <c r="BD94" s="363"/>
      <c r="BE94" s="363"/>
    </row>
    <row r="95" spans="1:57" x14ac:dyDescent="0.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S95" s="363"/>
      <c r="AT95" s="363"/>
      <c r="AU95" s="363"/>
      <c r="AV95" s="363"/>
      <c r="AW95" s="363"/>
      <c r="AX95" s="363"/>
      <c r="AY95" s="363"/>
      <c r="AZ95" s="363"/>
      <c r="BA95" s="363"/>
      <c r="BB95" s="363"/>
      <c r="BC95" s="363"/>
      <c r="BD95" s="363"/>
      <c r="BE95" s="363"/>
    </row>
    <row r="96" spans="1:57" x14ac:dyDescent="0.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S96" s="363"/>
      <c r="AT96" s="363"/>
      <c r="AU96" s="363"/>
      <c r="AV96" s="363"/>
      <c r="AW96" s="363"/>
      <c r="AX96" s="363"/>
      <c r="AY96" s="363"/>
      <c r="AZ96" s="363"/>
      <c r="BA96" s="363"/>
      <c r="BB96" s="363"/>
      <c r="BC96" s="363"/>
      <c r="BD96" s="363"/>
      <c r="BE96" s="363"/>
    </row>
    <row r="97" spans="16:57" x14ac:dyDescent="0.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S97" s="363"/>
      <c r="AT97" s="363"/>
      <c r="AU97" s="363"/>
      <c r="AV97" s="363"/>
      <c r="AW97" s="363"/>
      <c r="AX97" s="363"/>
      <c r="AY97" s="363"/>
      <c r="AZ97" s="363"/>
      <c r="BA97" s="363"/>
      <c r="BB97" s="363"/>
      <c r="BC97" s="363"/>
      <c r="BD97" s="363"/>
      <c r="BE97" s="363"/>
    </row>
    <row r="98" spans="16:57" x14ac:dyDescent="0.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S98" s="363"/>
      <c r="AT98" s="363"/>
      <c r="AU98" s="363"/>
      <c r="AV98" s="363"/>
      <c r="AW98" s="363"/>
      <c r="AX98" s="363"/>
      <c r="AY98" s="363"/>
      <c r="AZ98" s="363"/>
      <c r="BA98" s="363"/>
      <c r="BB98" s="363"/>
      <c r="BC98" s="363"/>
      <c r="BD98" s="363"/>
      <c r="BE98" s="363"/>
    </row>
    <row r="99" spans="16:57" x14ac:dyDescent="0.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S99" s="363"/>
      <c r="AT99" s="363"/>
      <c r="AU99" s="363"/>
      <c r="AV99" s="363"/>
      <c r="AW99" s="363"/>
      <c r="AX99" s="363"/>
      <c r="AY99" s="363"/>
      <c r="AZ99" s="363"/>
      <c r="BA99" s="363"/>
      <c r="BB99" s="363"/>
      <c r="BC99" s="363"/>
      <c r="BD99" s="363"/>
      <c r="BE99" s="363"/>
    </row>
    <row r="100" spans="16:57" x14ac:dyDescent="0.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S100" s="363"/>
      <c r="AT100" s="363"/>
      <c r="AU100" s="363"/>
      <c r="AV100" s="363"/>
      <c r="AW100" s="363"/>
      <c r="AX100" s="363"/>
      <c r="AY100" s="363"/>
      <c r="AZ100" s="363"/>
      <c r="BA100" s="363"/>
      <c r="BB100" s="363"/>
      <c r="BC100" s="363"/>
      <c r="BD100" s="363"/>
      <c r="BE100" s="363"/>
    </row>
  </sheetData>
  <mergeCells count="28">
    <mergeCell ref="D5:E5"/>
    <mergeCell ref="G5:H5"/>
    <mergeCell ref="J5:K9"/>
    <mergeCell ref="Q5:S5"/>
    <mergeCell ref="C6:C7"/>
    <mergeCell ref="C3:F3"/>
    <mergeCell ref="G3:H3"/>
    <mergeCell ref="J3:M3"/>
    <mergeCell ref="O3:S3"/>
    <mergeCell ref="W3:AN3"/>
    <mergeCell ref="P53:Q53"/>
    <mergeCell ref="C8:C9"/>
    <mergeCell ref="D8:D9"/>
    <mergeCell ref="E8:E9"/>
    <mergeCell ref="O8:O9"/>
    <mergeCell ref="P8:P9"/>
    <mergeCell ref="D11:L11"/>
    <mergeCell ref="M11:R11"/>
    <mergeCell ref="W34:AN34"/>
    <mergeCell ref="D44:R44"/>
    <mergeCell ref="AI48:AN48"/>
    <mergeCell ref="P51:Q51"/>
    <mergeCell ref="P52:Q52"/>
    <mergeCell ref="B56:G56"/>
    <mergeCell ref="H56:N56"/>
    <mergeCell ref="B80:G81"/>
    <mergeCell ref="J80:N80"/>
    <mergeCell ref="J81:N81"/>
  </mergeCells>
  <dataValidations count="12">
    <dataValidation type="list" allowBlank="1" showInputMessage="1" showErrorMessage="1" sqref="P6" xr:uid="{097A5E8D-3B1F-49B1-BE6C-8CB3C05FBDF8}">
      <formula1>INDIRECT(SUBSTITUTE($P5," ",""))</formula1>
    </dataValidation>
    <dataValidation type="list" allowBlank="1" showInputMessage="1" showErrorMessage="1" sqref="B53" xr:uid="{28DEB44D-ED7E-4658-8B56-CC146C7F1DE0}">
      <formula1>Lifetime</formula1>
    </dataValidation>
    <dataValidation type="list" allowBlank="1" showInputMessage="1" showErrorMessage="1" sqref="B54" xr:uid="{560FCD63-BD96-4AB1-A600-15F71ADC55F5}">
      <formula1>Construction</formula1>
    </dataValidation>
    <dataValidation type="list" allowBlank="1" showInputMessage="1" showErrorMessage="1" sqref="F46:F51" xr:uid="{F05B5168-1B80-4A22-ADD5-E6DCA679741E}">
      <formula1>Currency</formula1>
    </dataValidation>
    <dataValidation type="list" allowBlank="1" showInputMessage="1" showErrorMessage="1" sqref="G46:G51" xr:uid="{788D59A5-279D-4A62-BE63-490F7C966C3B}">
      <formula1>Year</formula1>
    </dataValidation>
    <dataValidation type="list" allowBlank="1" showInputMessage="1" showErrorMessage="1" sqref="H46:H51" xr:uid="{AEDFC987-1E9B-41C4-A101-5399B40C265F}">
      <formula1>Location</formula1>
    </dataValidation>
    <dataValidation type="list" allowBlank="1" showInputMessage="1" showErrorMessage="1" sqref="I13:I43" xr:uid="{A0FAE14C-77B1-46F8-BA80-35FBE92B2F9F}">
      <formula1>INDIRECT(IF($D13="Heat Exchanger",SUBSTITUTE($D13," ","")&amp;"_"&amp;SUBSTITUTE(SUBSTITUTE($E13,",","")," ","")&amp;"_Material",SUBSTITUTE($D13," ","")&amp;"_Material"))</formula1>
    </dataValidation>
    <dataValidation type="list" allowBlank="1" showInputMessage="1" showErrorMessage="1" sqref="E21" xr:uid="{F7FAFA7F-90DC-4695-AC56-AC5843D800FD}">
      <formula1>INDIRECT(SUBSTITUTE($D22," ",""))</formula1>
    </dataValidation>
    <dataValidation type="list" allowBlank="1" showInputMessage="1" showErrorMessage="1" sqref="I49:J49" xr:uid="{D0CDB6CD-5704-4B6A-8A9D-A460709E4F10}">
      <formula1>INDIRECT(IF($D13="Heat Exchanger",SUBSTITUTE($D13," ","")&amp;"_"&amp;SUBSTITUTE(SUBSTITUTE($E13,",","")," ","")&amp;"_Material",SUBSTITUTE($D13," ","")&amp;"_Material"))</formula1>
    </dataValidation>
    <dataValidation type="list" allowBlank="1" showInputMessage="1" showErrorMessage="1" sqref="E8:E9" xr:uid="{F465170A-D75F-4CAE-8FBB-14C7C1ADB252}">
      <formula1>Case</formula1>
    </dataValidation>
    <dataValidation type="list" allowBlank="1" showInputMessage="1" showErrorMessage="1" sqref="E22:E43 E13:E20" xr:uid="{D373558B-520D-43A9-935B-228FE3CAFB23}">
      <formula1>INDIRECT(SUBSTITUTE($D13," ",""))</formula1>
    </dataValidation>
    <dataValidation type="list" allowBlank="1" showInputMessage="1" showErrorMessage="1" sqref="D22:D43 D13:D20 P5" xr:uid="{1BDB93F8-BE94-4A43-89C0-BCA1FB6571FA}">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95937"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mc:AlternateContent xmlns:mc="http://schemas.openxmlformats.org/markup-compatibility/2006">
          <mc:Choice Requires="x14">
            <control shapeId="295938" r:id="rId5" name="Button 2">
              <controlPr defaultSize="0" print="0" autoFill="0" autoPict="0" macro="[0]!AddEquip">
                <anchor moveWithCells="1" sizeWithCells="1">
                  <from>
                    <xdr:col>14</xdr:col>
                    <xdr:colOff>15240</xdr:colOff>
                    <xdr:row>7</xdr:row>
                    <xdr:rowOff>15240</xdr:rowOff>
                  </from>
                  <to>
                    <xdr:col>14</xdr:col>
                    <xdr:colOff>1333500</xdr:colOff>
                    <xdr:row>8</xdr:row>
                    <xdr:rowOff>190500</xdr:rowOff>
                  </to>
                </anchor>
              </controlPr>
            </control>
          </mc:Choice>
        </mc:AlternateContent>
        <mc:AlternateContent xmlns:mc="http://schemas.openxmlformats.org/markup-compatibility/2006">
          <mc:Choice Requires="x14">
            <control shapeId="295939" r:id="rId6" name="Button 3">
              <controlPr defaultSize="0" print="0" autoFill="0" autoPict="0" macro="[0]!RemEq">
                <anchor moveWithCells="1" sizeWithCells="1">
                  <from>
                    <xdr:col>15</xdr:col>
                    <xdr:colOff>15240</xdr:colOff>
                    <xdr:row>7</xdr:row>
                    <xdr:rowOff>15240</xdr:rowOff>
                  </from>
                  <to>
                    <xdr:col>15</xdr:col>
                    <xdr:colOff>1333500</xdr:colOff>
                    <xdr:row>8</xdr:row>
                    <xdr:rowOff>190500</xdr:rowOff>
                  </to>
                </anchor>
              </controlPr>
            </control>
          </mc:Choice>
        </mc:AlternateContent>
      </controls>
    </mc:Choice>
  </mc:AlternateContent>
  <tableParts count="3">
    <tablePart r:id="rId7"/>
    <tablePart r:id="rId8"/>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54F92-584C-457B-B8BF-0B3E495BDA51}">
  <sheetPr codeName="Hoja31"/>
  <dimension ref="A1:AJ69"/>
  <sheetViews>
    <sheetView showGridLines="0" zoomScale="40" zoomScaleNormal="40" workbookViewId="0">
      <selection activeCell="E7" sqref="E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50" t="s">
        <v>804</v>
      </c>
      <c r="D3" s="751"/>
      <c r="E3" s="751"/>
      <c r="F3" s="751"/>
      <c r="G3" s="750" t="s">
        <v>341</v>
      </c>
      <c r="H3" s="752"/>
      <c r="J3" s="750" t="s">
        <v>495</v>
      </c>
      <c r="K3" s="751"/>
      <c r="L3" s="751"/>
      <c r="M3" s="752"/>
      <c r="O3" s="750" t="str">
        <f>+E6</f>
        <v>Unit 3</v>
      </c>
      <c r="P3" s="751"/>
      <c r="Q3" s="751"/>
      <c r="R3" s="751"/>
      <c r="S3" s="752"/>
      <c r="T3" s="104"/>
      <c r="U3" s="103"/>
      <c r="V3" s="103"/>
      <c r="W3" s="777" t="str">
        <f>+E6&amp;" Diagram"</f>
        <v>Unit 3 Diagram</v>
      </c>
      <c r="X3" s="778"/>
      <c r="Y3" s="778"/>
      <c r="Z3" s="778"/>
      <c r="AA3" s="778"/>
      <c r="AB3" s="778"/>
      <c r="AC3" s="778"/>
      <c r="AD3" s="778"/>
      <c r="AE3" s="778"/>
      <c r="AF3" s="778"/>
      <c r="AG3" s="778"/>
      <c r="AH3" s="779"/>
      <c r="AI3" s="104"/>
      <c r="AJ3" s="351"/>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1"/>
    </row>
    <row r="5" spans="1:36" ht="18.600000000000001" customHeight="1" x14ac:dyDescent="0.35">
      <c r="A5" s="83"/>
      <c r="B5" s="103"/>
      <c r="C5" s="83"/>
      <c r="D5" s="753" t="s">
        <v>265</v>
      </c>
      <c r="E5" s="754"/>
      <c r="F5" s="182"/>
      <c r="G5" s="753" t="s">
        <v>267</v>
      </c>
      <c r="H5" s="754"/>
      <c r="J5" s="388"/>
      <c r="K5" s="389"/>
      <c r="L5" s="185" t="s">
        <v>465</v>
      </c>
      <c r="M5" s="186" t="s">
        <v>500</v>
      </c>
      <c r="O5" s="676" t="s">
        <v>575</v>
      </c>
      <c r="P5" s="677"/>
      <c r="Q5" s="677"/>
      <c r="R5" s="677"/>
      <c r="S5" s="678"/>
      <c r="T5" s="104"/>
      <c r="U5" s="103"/>
      <c r="V5" s="103"/>
      <c r="W5" s="103"/>
      <c r="X5" s="83"/>
      <c r="Y5" s="83"/>
      <c r="Z5" s="83"/>
      <c r="AA5" s="83"/>
      <c r="AB5" s="83"/>
      <c r="AC5" s="83"/>
      <c r="AD5" s="83"/>
      <c r="AE5" s="83"/>
      <c r="AF5" s="83"/>
      <c r="AG5" s="83"/>
      <c r="AH5" s="104"/>
      <c r="AI5" s="104"/>
      <c r="AJ5" s="351"/>
    </row>
    <row r="6" spans="1:36" ht="18.600000000000001" customHeight="1" x14ac:dyDescent="0.3">
      <c r="A6" s="83"/>
      <c r="B6" s="103"/>
      <c r="C6" s="794" t="s">
        <v>491</v>
      </c>
      <c r="D6" s="419" t="s">
        <v>680</v>
      </c>
      <c r="E6" s="473" t="str">
        <f>+'Plant Overview'!V39</f>
        <v>Unit 3</v>
      </c>
      <c r="F6" s="183"/>
      <c r="G6" s="85"/>
      <c r="H6" s="314" t="s">
        <v>262</v>
      </c>
      <c r="J6" s="390"/>
      <c r="K6" s="391"/>
      <c r="L6" s="93" t="s">
        <v>466</v>
      </c>
      <c r="M6" s="86" t="s">
        <v>499</v>
      </c>
      <c r="O6" s="679"/>
      <c r="P6" s="731"/>
      <c r="Q6" s="731"/>
      <c r="R6" s="731"/>
      <c r="S6" s="732"/>
      <c r="T6" s="104"/>
      <c r="U6" s="103"/>
      <c r="V6" s="103"/>
      <c r="W6" s="103"/>
      <c r="X6" s="83"/>
      <c r="Y6" s="83"/>
      <c r="Z6" s="83"/>
      <c r="AA6" s="83"/>
      <c r="AB6" s="83"/>
      <c r="AC6" s="83"/>
      <c r="AD6" s="83"/>
      <c r="AE6" s="83"/>
      <c r="AF6" s="83"/>
      <c r="AG6" s="83"/>
      <c r="AH6" s="104"/>
      <c r="AI6" s="104"/>
      <c r="AJ6" s="351"/>
    </row>
    <row r="7" spans="1:36" ht="18.600000000000001" customHeight="1" x14ac:dyDescent="0.3">
      <c r="A7" s="83"/>
      <c r="B7" s="103"/>
      <c r="C7" s="795"/>
      <c r="D7" s="419" t="s">
        <v>679</v>
      </c>
      <c r="E7" s="408" t="str">
        <f>+'Plant Overview'!W39</f>
        <v>U-300</v>
      </c>
      <c r="F7" s="183"/>
      <c r="G7" s="179"/>
      <c r="H7" s="314" t="s">
        <v>263</v>
      </c>
      <c r="J7" s="390"/>
      <c r="K7" s="391"/>
      <c r="L7" s="185" t="s">
        <v>460</v>
      </c>
      <c r="M7" s="186" t="s">
        <v>498</v>
      </c>
      <c r="O7" s="733"/>
      <c r="P7" s="734"/>
      <c r="Q7" s="734"/>
      <c r="R7" s="734"/>
      <c r="S7" s="735"/>
      <c r="T7" s="104"/>
      <c r="U7" s="103"/>
      <c r="V7" s="103"/>
      <c r="W7" s="103"/>
      <c r="X7" s="83"/>
      <c r="Y7" s="83"/>
      <c r="Z7" s="83"/>
      <c r="AA7" s="83"/>
      <c r="AB7" s="83"/>
      <c r="AC7" s="83"/>
      <c r="AD7" s="83"/>
      <c r="AE7" s="83"/>
      <c r="AF7" s="83"/>
      <c r="AG7" s="83"/>
      <c r="AH7" s="104"/>
      <c r="AI7" s="104"/>
      <c r="AJ7" s="351"/>
    </row>
    <row r="8" spans="1:36" ht="18.600000000000001" customHeight="1" x14ac:dyDescent="0.3">
      <c r="A8" s="83"/>
      <c r="B8" s="103"/>
      <c r="C8" s="818"/>
      <c r="D8" s="819" t="s">
        <v>312</v>
      </c>
      <c r="E8" s="801"/>
      <c r="F8" s="184"/>
      <c r="G8" s="94"/>
      <c r="H8" s="98" t="s">
        <v>264</v>
      </c>
      <c r="J8" s="390"/>
      <c r="K8" s="391"/>
      <c r="L8" s="185" t="s">
        <v>461</v>
      </c>
      <c r="M8" s="186" t="s">
        <v>496</v>
      </c>
      <c r="O8" s="733"/>
      <c r="P8" s="734"/>
      <c r="Q8" s="734"/>
      <c r="R8" s="734"/>
      <c r="S8" s="735"/>
      <c r="T8" s="104"/>
      <c r="U8" s="103"/>
      <c r="V8" s="103"/>
      <c r="W8" s="103"/>
      <c r="X8" s="83"/>
      <c r="Y8" s="83"/>
      <c r="Z8" s="83"/>
      <c r="AA8" s="83"/>
      <c r="AB8" s="83"/>
      <c r="AC8" s="83"/>
      <c r="AD8" s="83"/>
      <c r="AE8" s="83"/>
      <c r="AF8" s="83"/>
      <c r="AG8" s="83"/>
      <c r="AH8" s="104"/>
      <c r="AI8" s="104"/>
      <c r="AJ8" s="351"/>
    </row>
    <row r="9" spans="1:36" ht="18.600000000000001" customHeight="1" x14ac:dyDescent="0.3">
      <c r="A9" s="83"/>
      <c r="B9" s="103"/>
      <c r="C9" s="765"/>
      <c r="D9" s="820"/>
      <c r="E9" s="802"/>
      <c r="F9" s="184"/>
      <c r="G9" s="108"/>
      <c r="H9" s="300" t="s">
        <v>268</v>
      </c>
      <c r="J9" s="392"/>
      <c r="K9" s="393"/>
      <c r="L9" s="185" t="s">
        <v>462</v>
      </c>
      <c r="M9" s="186" t="s">
        <v>497</v>
      </c>
      <c r="O9" s="736"/>
      <c r="P9" s="737"/>
      <c r="Q9" s="737"/>
      <c r="R9" s="737"/>
      <c r="S9" s="738"/>
      <c r="T9" s="104"/>
      <c r="U9" s="103"/>
      <c r="V9" s="103"/>
      <c r="W9" s="103"/>
      <c r="X9" s="83"/>
      <c r="Y9" s="83"/>
      <c r="Z9" s="83"/>
      <c r="AA9" s="83"/>
      <c r="AB9" s="83"/>
      <c r="AC9" s="83"/>
      <c r="AD9" s="83"/>
      <c r="AE9" s="83"/>
      <c r="AF9" s="83"/>
      <c r="AG9" s="83"/>
      <c r="AH9" s="104"/>
      <c r="AI9" s="104"/>
      <c r="AJ9" s="351"/>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1"/>
    </row>
    <row r="11" spans="1:36" ht="18.600000000000001" customHeight="1" x14ac:dyDescent="0.3">
      <c r="A11" s="83"/>
      <c r="B11" s="103"/>
      <c r="C11" s="83"/>
      <c r="D11" s="750" t="s">
        <v>503</v>
      </c>
      <c r="E11" s="751"/>
      <c r="F11" s="751"/>
      <c r="G11" s="751"/>
      <c r="H11" s="751"/>
      <c r="I11" s="751"/>
      <c r="J11" s="751"/>
      <c r="K11" s="750" t="s">
        <v>502</v>
      </c>
      <c r="L11" s="751"/>
      <c r="M11" s="751"/>
      <c r="N11" s="751"/>
      <c r="O11" s="752"/>
      <c r="P11" s="750" t="s">
        <v>505</v>
      </c>
      <c r="Q11" s="751"/>
      <c r="R11" s="752"/>
      <c r="S11" s="83"/>
      <c r="T11" s="104"/>
      <c r="U11" s="103"/>
      <c r="V11" s="103"/>
      <c r="W11" s="103"/>
      <c r="X11" s="83"/>
      <c r="Y11" s="83"/>
      <c r="Z11" s="83"/>
      <c r="AA11" s="83"/>
      <c r="AB11" s="83"/>
      <c r="AC11" s="83"/>
      <c r="AD11" s="83"/>
      <c r="AE11" s="83"/>
      <c r="AF11" s="83"/>
      <c r="AG11" s="83"/>
      <c r="AH11" s="104"/>
      <c r="AI11" s="104"/>
      <c r="AJ11" s="351"/>
    </row>
    <row r="12" spans="1:36" ht="18.600000000000001" customHeight="1" x14ac:dyDescent="0.3">
      <c r="A12" s="83"/>
      <c r="B12" s="103"/>
      <c r="C12" s="423" t="s">
        <v>239</v>
      </c>
      <c r="D12" s="423" t="s">
        <v>494</v>
      </c>
      <c r="E12" s="423" t="s">
        <v>493</v>
      </c>
      <c r="F12" s="428" t="s">
        <v>459</v>
      </c>
      <c r="G12" s="428" t="s">
        <v>578</v>
      </c>
      <c r="H12" s="428" t="s">
        <v>504</v>
      </c>
      <c r="I12" s="423" t="s">
        <v>501</v>
      </c>
      <c r="J12" s="423" t="s">
        <v>235</v>
      </c>
      <c r="K12" s="414" t="s">
        <v>461</v>
      </c>
      <c r="L12" s="423" t="s">
        <v>462</v>
      </c>
      <c r="M12" s="421" t="s">
        <v>581</v>
      </c>
      <c r="N12" s="422" t="s">
        <v>464</v>
      </c>
      <c r="O12" s="418" t="s">
        <v>463</v>
      </c>
      <c r="P12" s="414" t="s">
        <v>460</v>
      </c>
      <c r="Q12" s="414" t="s">
        <v>466</v>
      </c>
      <c r="R12" s="421" t="s">
        <v>465</v>
      </c>
      <c r="S12" s="418" t="s">
        <v>492</v>
      </c>
      <c r="T12" s="104"/>
      <c r="U12" s="103"/>
      <c r="V12" s="103"/>
      <c r="W12" s="103"/>
      <c r="X12" s="83"/>
      <c r="Y12" s="83"/>
      <c r="Z12" s="83"/>
      <c r="AA12" s="83"/>
      <c r="AB12" s="83"/>
      <c r="AC12" s="83"/>
      <c r="AD12" s="83"/>
      <c r="AE12" s="83"/>
      <c r="AF12" s="83"/>
      <c r="AG12" s="83"/>
      <c r="AH12" s="104"/>
      <c r="AI12" s="104"/>
      <c r="AJ12" s="351"/>
    </row>
    <row r="13" spans="1:36" ht="18.600000000000001" customHeight="1" x14ac:dyDescent="0.3">
      <c r="A13" s="83"/>
      <c r="B13" s="103"/>
      <c r="C13" s="353"/>
      <c r="D13" s="268"/>
      <c r="E13" s="269"/>
      <c r="F13" s="269"/>
      <c r="G13" s="269"/>
      <c r="H13" s="269"/>
      <c r="I13" s="269"/>
      <c r="J13" s="148"/>
      <c r="K13" s="269"/>
      <c r="L13" s="96"/>
      <c r="M13" s="269"/>
      <c r="N13" s="190"/>
      <c r="O13" s="193"/>
      <c r="P13" s="192"/>
      <c r="Q13" s="269"/>
      <c r="R13" s="190" t="str">
        <f>+IF(C13="","",(P13/M13)^K13*O13*(Q13/(N13/M13))^L13)</f>
        <v/>
      </c>
      <c r="S13" s="381"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1"/>
    </row>
    <row r="14" spans="1:36" ht="18.600000000000001" customHeight="1" x14ac:dyDescent="0.3">
      <c r="A14" s="83"/>
      <c r="B14" s="103"/>
      <c r="C14" s="354"/>
      <c r="D14" s="265"/>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1"/>
    </row>
    <row r="15" spans="1:36" ht="18.600000000000001" customHeight="1" x14ac:dyDescent="0.3">
      <c r="A15" s="83"/>
      <c r="B15" s="103"/>
      <c r="C15" s="354"/>
      <c r="D15" s="265"/>
      <c r="E15" s="96"/>
      <c r="F15" s="96"/>
      <c r="G15" s="96"/>
      <c r="H15" s="96"/>
      <c r="I15" s="96"/>
      <c r="J15" s="97"/>
      <c r="K15" s="96"/>
      <c r="L15" s="96"/>
      <c r="M15" s="96"/>
      <c r="N15" s="156"/>
      <c r="O15" s="96"/>
      <c r="P15" s="265"/>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1"/>
    </row>
    <row r="16" spans="1:36" ht="18.600000000000001" customHeight="1" x14ac:dyDescent="0.3">
      <c r="A16" s="83"/>
      <c r="B16" s="103"/>
      <c r="C16" s="354"/>
      <c r="D16" s="265"/>
      <c r="E16" s="96"/>
      <c r="F16" s="96"/>
      <c r="G16" s="96"/>
      <c r="H16" s="96"/>
      <c r="I16" s="96"/>
      <c r="J16" s="97"/>
      <c r="K16" s="96"/>
      <c r="L16" s="96"/>
      <c r="M16" s="96"/>
      <c r="O16" s="96"/>
      <c r="P16" s="265"/>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1"/>
    </row>
    <row r="17" spans="1:36" ht="18.600000000000001" customHeight="1" x14ac:dyDescent="0.3">
      <c r="A17" s="83"/>
      <c r="B17" s="103"/>
      <c r="C17" s="354"/>
      <c r="D17" s="265"/>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1"/>
    </row>
    <row r="18" spans="1:36" ht="18.600000000000001" customHeight="1" x14ac:dyDescent="0.3">
      <c r="A18" s="83"/>
      <c r="B18" s="103"/>
      <c r="C18" s="354"/>
      <c r="D18" s="265"/>
      <c r="E18" s="96"/>
      <c r="F18" s="96"/>
      <c r="G18" s="96"/>
      <c r="H18" s="96"/>
      <c r="I18" s="96"/>
      <c r="J18" s="97"/>
      <c r="M18" s="96"/>
      <c r="O18" s="96"/>
      <c r="P18" s="265"/>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1"/>
    </row>
    <row r="19" spans="1:36" ht="18.600000000000001" customHeight="1" x14ac:dyDescent="0.3">
      <c r="A19" s="83"/>
      <c r="B19" s="103"/>
      <c r="C19" s="354"/>
      <c r="D19" s="265"/>
      <c r="E19" s="96"/>
      <c r="F19" s="96"/>
      <c r="G19" s="96"/>
      <c r="H19" s="96"/>
      <c r="I19" s="96"/>
      <c r="J19" s="97"/>
      <c r="M19" s="96"/>
      <c r="N19" s="96"/>
      <c r="O19" s="96"/>
      <c r="P19" s="265"/>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1"/>
    </row>
    <row r="20" spans="1:36" ht="18.600000000000001" customHeight="1" x14ac:dyDescent="0.3">
      <c r="A20" s="83"/>
      <c r="B20" s="103"/>
      <c r="C20" s="354"/>
      <c r="D20" s="265"/>
      <c r="E20" s="96"/>
      <c r="F20" s="96"/>
      <c r="G20" s="96"/>
      <c r="H20" s="96"/>
      <c r="I20" s="96"/>
      <c r="J20" s="97"/>
      <c r="M20" s="96"/>
      <c r="N20" s="96"/>
      <c r="O20" s="96"/>
      <c r="P20" s="265"/>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1"/>
    </row>
    <row r="21" spans="1:36" ht="18.600000000000001" customHeight="1" x14ac:dyDescent="0.3">
      <c r="A21" s="83"/>
      <c r="B21" s="103"/>
      <c r="C21" s="354"/>
      <c r="D21" s="91"/>
      <c r="E21" s="96"/>
      <c r="F21" s="96"/>
      <c r="G21" s="96"/>
      <c r="H21" s="96"/>
      <c r="I21" s="96"/>
      <c r="J21" s="97"/>
      <c r="K21" s="96"/>
      <c r="L21" s="96"/>
      <c r="M21" s="96"/>
      <c r="N21" s="96"/>
      <c r="O21" s="96"/>
      <c r="P21" s="265"/>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1"/>
    </row>
    <row r="22" spans="1:36" ht="18.600000000000001" customHeight="1" x14ac:dyDescent="0.3">
      <c r="A22" s="83"/>
      <c r="B22" s="103"/>
      <c r="C22" s="354"/>
      <c r="D22" s="265"/>
      <c r="E22" s="96"/>
      <c r="F22" s="96"/>
      <c r="G22" s="96"/>
      <c r="H22" s="96"/>
      <c r="I22" s="96"/>
      <c r="J22" s="97"/>
      <c r="K22" s="96"/>
      <c r="L22" s="96"/>
      <c r="M22" s="96"/>
      <c r="N22" s="96"/>
      <c r="O22" s="96"/>
      <c r="P22" s="265"/>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1"/>
    </row>
    <row r="23" spans="1:36" ht="18.600000000000001" customHeight="1" x14ac:dyDescent="0.3">
      <c r="A23" s="83"/>
      <c r="B23" s="103"/>
      <c r="C23" s="354"/>
      <c r="D23" s="265"/>
      <c r="E23" s="96"/>
      <c r="F23" s="96"/>
      <c r="G23" s="96"/>
      <c r="H23" s="96"/>
      <c r="I23" s="96"/>
      <c r="J23" s="97"/>
      <c r="K23" s="96"/>
      <c r="L23" s="96"/>
      <c r="M23" s="96"/>
      <c r="N23" s="96"/>
      <c r="O23" s="96"/>
      <c r="P23" s="265"/>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1"/>
    </row>
    <row r="24" spans="1:36" ht="18.600000000000001" customHeight="1" x14ac:dyDescent="0.3">
      <c r="A24" s="83"/>
      <c r="B24" s="103"/>
      <c r="C24" s="354"/>
      <c r="D24" s="265"/>
      <c r="E24" s="96"/>
      <c r="F24" s="96"/>
      <c r="G24" s="96"/>
      <c r="H24" s="96"/>
      <c r="I24" s="96"/>
      <c r="J24" s="97"/>
      <c r="K24" s="96"/>
      <c r="L24" s="96"/>
      <c r="M24" s="96"/>
      <c r="N24" s="96"/>
      <c r="O24" s="96"/>
      <c r="P24" s="265"/>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1"/>
    </row>
    <row r="25" spans="1:36" ht="18.600000000000001" customHeight="1" x14ac:dyDescent="0.3">
      <c r="A25" s="83"/>
      <c r="B25" s="103"/>
      <c r="C25" s="354"/>
      <c r="D25" s="265"/>
      <c r="E25" s="96"/>
      <c r="F25" s="96"/>
      <c r="G25" s="96"/>
      <c r="H25" s="96"/>
      <c r="I25" s="96"/>
      <c r="J25" s="97"/>
      <c r="K25" s="96"/>
      <c r="L25" s="96"/>
      <c r="M25" s="96"/>
      <c r="N25" s="96"/>
      <c r="O25" s="96"/>
      <c r="P25" s="265"/>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1"/>
    </row>
    <row r="26" spans="1:36" ht="18.600000000000001" customHeight="1" x14ac:dyDescent="0.3">
      <c r="A26" s="83"/>
      <c r="B26" s="103"/>
      <c r="C26" s="354"/>
      <c r="D26" s="265"/>
      <c r="E26" s="96"/>
      <c r="F26" s="96"/>
      <c r="G26" s="96"/>
      <c r="H26" s="96"/>
      <c r="I26" s="96"/>
      <c r="J26" s="97"/>
      <c r="K26" s="96"/>
      <c r="L26" s="96"/>
      <c r="M26" s="96"/>
      <c r="N26" s="96"/>
      <c r="O26" s="96"/>
      <c r="P26" s="265"/>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1"/>
    </row>
    <row r="27" spans="1:36" ht="18.600000000000001" customHeight="1" x14ac:dyDescent="0.3">
      <c r="A27" s="83"/>
      <c r="B27" s="103"/>
      <c r="C27" s="328"/>
      <c r="D27" s="317"/>
      <c r="E27" s="181"/>
      <c r="F27" s="181"/>
      <c r="G27" s="181"/>
      <c r="H27" s="181"/>
      <c r="I27" s="181"/>
      <c r="J27" s="309"/>
      <c r="K27" s="181"/>
      <c r="L27" s="181"/>
      <c r="M27" s="181"/>
      <c r="N27" s="181"/>
      <c r="O27" s="181"/>
      <c r="P27" s="317"/>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1"/>
    </row>
    <row r="28" spans="1:36" ht="18.600000000000001" customHeight="1" x14ac:dyDescent="0.3">
      <c r="A28" s="83"/>
      <c r="B28" s="103"/>
      <c r="C28" s="328"/>
      <c r="D28" s="317"/>
      <c r="E28" s="181"/>
      <c r="F28" s="181"/>
      <c r="G28" s="181"/>
      <c r="H28" s="181"/>
      <c r="I28" s="181"/>
      <c r="J28" s="309"/>
      <c r="K28" s="181"/>
      <c r="L28" s="181"/>
      <c r="M28" s="181"/>
      <c r="N28" s="181"/>
      <c r="O28" s="181"/>
      <c r="P28" s="317"/>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1"/>
    </row>
    <row r="29" spans="1:36" ht="18.600000000000001" customHeight="1" x14ac:dyDescent="0.3">
      <c r="A29" s="83"/>
      <c r="B29" s="103"/>
      <c r="C29" s="354"/>
      <c r="D29" s="265"/>
      <c r="E29" s="96"/>
      <c r="F29" s="96"/>
      <c r="G29" s="96"/>
      <c r="H29" s="96"/>
      <c r="I29" s="96"/>
      <c r="J29" s="97"/>
      <c r="K29" s="310"/>
      <c r="L29" s="310"/>
      <c r="M29" s="310"/>
      <c r="N29" s="310"/>
      <c r="O29" s="310"/>
      <c r="P29" s="301"/>
      <c r="Q29" s="378"/>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1"/>
    </row>
    <row r="30" spans="1:36" ht="18.600000000000001" customHeight="1" x14ac:dyDescent="0.3">
      <c r="A30" s="83"/>
      <c r="B30" s="103"/>
      <c r="C30" s="354"/>
      <c r="D30" s="265"/>
      <c r="E30" s="96"/>
      <c r="F30" s="96"/>
      <c r="G30" s="96"/>
      <c r="H30" s="96"/>
      <c r="I30" s="96"/>
      <c r="J30" s="97"/>
      <c r="K30" s="310"/>
      <c r="L30" s="310"/>
      <c r="M30" s="310"/>
      <c r="N30" s="310"/>
      <c r="O30" s="310"/>
      <c r="P30" s="301"/>
      <c r="Q30" s="378"/>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1"/>
    </row>
    <row r="31" spans="1:36" ht="18.600000000000001" customHeight="1" x14ac:dyDescent="0.3">
      <c r="A31" s="83"/>
      <c r="B31" s="103"/>
      <c r="C31" s="354"/>
      <c r="D31" s="265"/>
      <c r="E31" s="96"/>
      <c r="F31" s="96"/>
      <c r="G31" s="96"/>
      <c r="H31" s="96"/>
      <c r="I31" s="96"/>
      <c r="J31" s="97"/>
      <c r="K31" s="310"/>
      <c r="L31" s="310"/>
      <c r="M31" s="310"/>
      <c r="N31" s="310"/>
      <c r="O31" s="310"/>
      <c r="P31" s="301"/>
      <c r="Q31" s="378"/>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1"/>
    </row>
    <row r="32" spans="1:36" ht="18.600000000000001" customHeight="1" x14ac:dyDescent="0.3">
      <c r="A32" s="83"/>
      <c r="B32" s="103"/>
      <c r="C32" s="354"/>
      <c r="D32" s="265"/>
      <c r="E32" s="96"/>
      <c r="F32" s="96"/>
      <c r="G32" s="96"/>
      <c r="H32" s="96"/>
      <c r="I32" s="96"/>
      <c r="J32" s="97"/>
      <c r="K32" s="310"/>
      <c r="L32" s="310"/>
      <c r="M32" s="310"/>
      <c r="N32" s="310"/>
      <c r="O32" s="310"/>
      <c r="P32" s="301"/>
      <c r="Q32" s="378"/>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1"/>
    </row>
    <row r="33" spans="1:36" ht="18.600000000000001" customHeight="1" x14ac:dyDescent="0.3">
      <c r="A33" s="83"/>
      <c r="B33" s="103"/>
      <c r="C33" s="354"/>
      <c r="D33" s="265"/>
      <c r="E33" s="96"/>
      <c r="F33" s="96"/>
      <c r="G33" s="96"/>
      <c r="H33" s="96"/>
      <c r="I33" s="96"/>
      <c r="J33" s="97"/>
      <c r="K33" s="310"/>
      <c r="L33" s="310"/>
      <c r="M33" s="320"/>
      <c r="N33" s="320"/>
      <c r="O33" s="320"/>
      <c r="P33" s="265"/>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1"/>
    </row>
    <row r="34" spans="1:36" ht="18.600000000000001" customHeight="1" x14ac:dyDescent="0.3">
      <c r="A34" s="83"/>
      <c r="B34" s="103"/>
      <c r="C34" s="355"/>
      <c r="D34" s="319"/>
      <c r="E34" s="191"/>
      <c r="F34" s="191"/>
      <c r="G34" s="96"/>
      <c r="H34" s="96"/>
      <c r="I34" s="96"/>
      <c r="J34" s="97"/>
      <c r="K34" s="96"/>
      <c r="M34" s="356"/>
      <c r="N34" s="356"/>
      <c r="O34" s="356"/>
      <c r="P34" s="720"/>
      <c r="Q34" s="721"/>
      <c r="R34" s="156" t="str">
        <f t="shared" si="0"/>
        <v/>
      </c>
      <c r="S34" s="651"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1"/>
    </row>
    <row r="35" spans="1:36" ht="18.600000000000001" customHeight="1" x14ac:dyDescent="0.3">
      <c r="A35" s="83"/>
      <c r="B35" s="103"/>
      <c r="C35" s="322"/>
      <c r="D35" s="323"/>
      <c r="E35" s="323"/>
      <c r="F35" s="323"/>
      <c r="G35" s="323"/>
      <c r="H35" s="323"/>
      <c r="I35" s="323"/>
      <c r="J35" s="323"/>
      <c r="K35" s="323"/>
      <c r="L35" s="323"/>
      <c r="M35" s="323"/>
      <c r="N35" s="323"/>
      <c r="O35" s="323"/>
      <c r="P35" s="323"/>
      <c r="Q35" s="323"/>
      <c r="R35" s="324"/>
      <c r="S35" s="417" t="s">
        <v>634</v>
      </c>
      <c r="T35" s="104"/>
      <c r="U35" s="83"/>
      <c r="V35" s="103"/>
      <c r="W35" s="103"/>
      <c r="X35" s="83"/>
      <c r="Y35" s="83"/>
      <c r="Z35" s="83"/>
      <c r="AA35" s="83"/>
      <c r="AB35" s="83"/>
      <c r="AC35" s="83"/>
      <c r="AD35" s="83"/>
      <c r="AE35" s="83"/>
      <c r="AF35" s="83"/>
      <c r="AG35" s="83"/>
      <c r="AH35" s="104"/>
      <c r="AI35" s="104"/>
      <c r="AJ35" s="351"/>
    </row>
    <row r="36" spans="1:36" ht="18.600000000000001" customHeight="1" x14ac:dyDescent="0.3">
      <c r="A36" s="83"/>
      <c r="B36" s="103"/>
      <c r="C36" s="325"/>
      <c r="D36" s="326"/>
      <c r="E36" s="326"/>
      <c r="F36" s="326"/>
      <c r="G36" s="326"/>
      <c r="H36" s="326"/>
      <c r="I36" s="326"/>
      <c r="J36" s="326"/>
      <c r="K36" s="326"/>
      <c r="L36" s="326"/>
      <c r="M36" s="326"/>
      <c r="N36" s="326"/>
      <c r="O36" s="326"/>
      <c r="P36" s="326"/>
      <c r="Q36" s="326"/>
      <c r="R36" s="327"/>
      <c r="S36" s="241">
        <f ca="1">IF(SUM(S13:S34)&gt;=0,SUM(S13:S34),"")</f>
        <v>0</v>
      </c>
      <c r="T36" s="104"/>
      <c r="U36" s="83"/>
      <c r="V36" s="103"/>
      <c r="W36" s="105"/>
      <c r="X36" s="106"/>
      <c r="Y36" s="106"/>
      <c r="Z36" s="106"/>
      <c r="AA36" s="106"/>
      <c r="AB36" s="106"/>
      <c r="AC36" s="106"/>
      <c r="AD36" s="106"/>
      <c r="AE36" s="106"/>
      <c r="AF36" s="106"/>
      <c r="AG36" s="106"/>
      <c r="AH36" s="107"/>
      <c r="AI36" s="104"/>
      <c r="AJ36" s="351"/>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16"/>
      <c r="T37" s="107"/>
      <c r="U37" s="83"/>
      <c r="V37" s="105"/>
      <c r="W37" s="106"/>
      <c r="X37" s="106"/>
      <c r="Y37" s="106"/>
      <c r="Z37" s="106"/>
      <c r="AA37" s="106"/>
      <c r="AB37" s="106"/>
      <c r="AC37" s="106"/>
      <c r="AD37" s="106"/>
      <c r="AE37" s="106"/>
      <c r="AF37" s="106"/>
      <c r="AG37" s="106"/>
      <c r="AH37" s="106"/>
      <c r="AI37" s="107"/>
      <c r="AJ37" s="351"/>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1"/>
    </row>
    <row r="39" spans="1:36" ht="18.600000000000001" customHeight="1" x14ac:dyDescent="0.3">
      <c r="A39" s="83"/>
      <c r="B39" s="750" t="str">
        <f>+"BEC Distribution: "&amp;E6</f>
        <v>BEC Distribution: Unit 3</v>
      </c>
      <c r="C39" s="751"/>
      <c r="D39" s="751"/>
      <c r="E39" s="751"/>
      <c r="F39" s="751"/>
      <c r="G39" s="750" t="str">
        <f>+"Estimate Benchmark: "&amp;E6</f>
        <v>Estimate Benchmark: Unit 3</v>
      </c>
      <c r="H39" s="751"/>
      <c r="I39" s="751"/>
      <c r="J39" s="752"/>
      <c r="K39" s="750" t="s">
        <v>629</v>
      </c>
      <c r="L39" s="751"/>
      <c r="M39" s="752"/>
      <c r="N39" s="157"/>
      <c r="O39" s="157"/>
      <c r="P39" s="157"/>
      <c r="Q39" s="83"/>
      <c r="R39" s="83"/>
      <c r="S39" s="83"/>
      <c r="T39" s="83"/>
      <c r="U39" s="83"/>
      <c r="V39" s="83"/>
      <c r="W39" s="83"/>
      <c r="X39" s="155"/>
      <c r="Y39" s="155"/>
      <c r="Z39" s="155"/>
      <c r="AA39" s="155"/>
      <c r="AB39" s="155"/>
      <c r="AC39" s="155"/>
      <c r="AD39" s="155"/>
      <c r="AE39" s="155"/>
      <c r="AF39" s="155"/>
      <c r="AG39" s="155"/>
      <c r="AH39" s="155"/>
      <c r="AI39" s="83"/>
      <c r="AJ39" s="351"/>
    </row>
    <row r="40" spans="1:36" ht="18.600000000000001" customHeight="1" x14ac:dyDescent="0.3">
      <c r="A40" s="83"/>
      <c r="B40" s="100"/>
      <c r="C40" s="286"/>
      <c r="D40" s="273"/>
      <c r="E40" s="273"/>
      <c r="F40" s="113"/>
      <c r="G40" s="289"/>
      <c r="H40" s="286"/>
      <c r="I40" s="286"/>
      <c r="J40" s="290"/>
      <c r="K40" s="423" t="s">
        <v>584</v>
      </c>
      <c r="L40" s="766" t="s">
        <v>628</v>
      </c>
      <c r="M40" s="766"/>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1"/>
    </row>
    <row r="41" spans="1:36" ht="18.600000000000001" customHeight="1" x14ac:dyDescent="0.3">
      <c r="A41" s="83"/>
      <c r="B41" s="103"/>
      <c r="C41" s="157"/>
      <c r="F41" s="84"/>
      <c r="G41" s="291"/>
      <c r="H41" s="157"/>
      <c r="I41" s="157"/>
      <c r="J41" s="157"/>
      <c r="K41" s="468" t="str">
        <f>+IF(C13="","",TEXT(C13,0))</f>
        <v/>
      </c>
      <c r="L41" s="816"/>
      <c r="M41" s="817"/>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1"/>
    </row>
    <row r="42" spans="1:36" ht="18.600000000000001" customHeight="1" x14ac:dyDescent="0.3">
      <c r="A42" s="83"/>
      <c r="B42" s="103"/>
      <c r="C42" s="157"/>
      <c r="F42" s="84"/>
      <c r="G42" s="291"/>
      <c r="H42" s="157"/>
      <c r="I42" s="157"/>
      <c r="J42" s="157"/>
      <c r="K42" s="469"/>
      <c r="L42" s="811"/>
      <c r="M42" s="812"/>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1"/>
    </row>
    <row r="43" spans="1:36" ht="18.600000000000001" customHeight="1" x14ac:dyDescent="0.3">
      <c r="A43" s="83"/>
      <c r="B43" s="103"/>
      <c r="C43" s="157"/>
      <c r="F43" s="84"/>
      <c r="G43" s="291"/>
      <c r="H43" s="157"/>
      <c r="I43" s="157"/>
      <c r="J43" s="157"/>
      <c r="K43" s="469"/>
      <c r="L43" s="811"/>
      <c r="M43" s="812"/>
      <c r="N43" s="157"/>
      <c r="O43" s="157"/>
      <c r="P43" s="157"/>
      <c r="Q43" s="83"/>
      <c r="R43" s="83"/>
      <c r="S43" s="83"/>
      <c r="T43" s="83"/>
      <c r="U43" s="83"/>
      <c r="V43" s="83"/>
      <c r="W43" s="83"/>
      <c r="X43" s="155"/>
      <c r="Y43" s="155"/>
      <c r="Z43" s="155"/>
      <c r="AA43" s="155"/>
      <c r="AB43" s="155"/>
      <c r="AC43" s="155"/>
      <c r="AD43" s="155"/>
      <c r="AE43" s="155"/>
      <c r="AF43" s="155"/>
      <c r="AG43" s="155"/>
      <c r="AH43" s="155"/>
      <c r="AI43" s="83"/>
      <c r="AJ43" s="351"/>
    </row>
    <row r="44" spans="1:36" ht="18.600000000000001" customHeight="1" x14ac:dyDescent="0.3">
      <c r="A44" s="83"/>
      <c r="B44" s="103"/>
      <c r="C44" s="157"/>
      <c r="F44" s="84"/>
      <c r="G44" s="291"/>
      <c r="H44" s="157"/>
      <c r="I44" s="157"/>
      <c r="J44" s="157"/>
      <c r="K44" s="469"/>
      <c r="L44" s="811"/>
      <c r="M44" s="812"/>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1"/>
      <c r="H45" s="157"/>
      <c r="I45" s="157"/>
      <c r="J45" s="157"/>
      <c r="K45" s="469"/>
      <c r="L45" s="310"/>
      <c r="M45" s="287"/>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1"/>
      <c r="H46" s="157"/>
      <c r="I46" s="157"/>
      <c r="J46" s="157"/>
      <c r="K46" s="469"/>
      <c r="L46" s="310"/>
      <c r="M46" s="287"/>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1"/>
      <c r="H47" s="157"/>
      <c r="I47" s="157"/>
      <c r="J47" s="157"/>
      <c r="K47" s="469" t="str">
        <f>+IF(C19="","",TEXT(C19,0))</f>
        <v/>
      </c>
      <c r="L47" s="310"/>
      <c r="M47" s="287"/>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1"/>
      <c r="H48" s="157"/>
      <c r="I48" s="157"/>
      <c r="J48" s="157"/>
      <c r="K48" s="469"/>
      <c r="L48" s="310"/>
      <c r="M48" s="287"/>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1"/>
      <c r="H49" s="157"/>
      <c r="I49" s="157"/>
      <c r="J49" s="157"/>
      <c r="K49" s="469"/>
      <c r="L49" s="310"/>
      <c r="M49" s="287"/>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1"/>
      <c r="H50" s="157"/>
      <c r="I50" s="157"/>
      <c r="J50" s="157"/>
      <c r="K50" s="469"/>
      <c r="L50" s="310"/>
      <c r="M50" s="287"/>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1"/>
      <c r="H51" s="157"/>
      <c r="I51" s="157"/>
      <c r="J51" s="157"/>
      <c r="K51" s="469"/>
      <c r="L51" s="310"/>
      <c r="M51" s="287"/>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1"/>
      <c r="H52" s="157"/>
      <c r="I52" s="157"/>
      <c r="J52" s="157"/>
      <c r="K52" s="469"/>
      <c r="L52" s="310"/>
      <c r="M52" s="287"/>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1"/>
      <c r="H53" s="157"/>
      <c r="I53" s="157"/>
      <c r="J53" s="157"/>
      <c r="K53" s="470"/>
      <c r="L53" s="310"/>
      <c r="M53" s="287"/>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1"/>
      <c r="H54" s="157"/>
      <c r="I54" s="157"/>
      <c r="J54" s="157"/>
      <c r="K54" s="470"/>
      <c r="L54" s="310"/>
      <c r="M54" s="287"/>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1"/>
      <c r="H55" s="157"/>
      <c r="I55" s="157"/>
      <c r="J55" s="157"/>
      <c r="K55" s="470"/>
      <c r="L55" s="310"/>
      <c r="M55" s="287"/>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1"/>
      <c r="H56" s="157"/>
      <c r="I56" s="157"/>
      <c r="J56" s="157"/>
      <c r="K56" s="470"/>
      <c r="L56" s="310"/>
      <c r="M56" s="287"/>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87"/>
      <c r="G57" s="291"/>
      <c r="H57" s="157"/>
      <c r="I57" s="157"/>
      <c r="J57" s="157"/>
      <c r="K57" s="470"/>
      <c r="L57" s="310"/>
      <c r="M57" s="287"/>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87"/>
      <c r="G58" s="291"/>
      <c r="H58" s="157"/>
      <c r="I58" s="157"/>
      <c r="J58" s="157"/>
      <c r="K58" s="470"/>
      <c r="L58" s="310"/>
      <c r="M58" s="287"/>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87"/>
      <c r="G59" s="291"/>
      <c r="H59" s="157"/>
      <c r="I59" s="157"/>
      <c r="J59" s="157"/>
      <c r="K59" s="470"/>
      <c r="L59" s="310"/>
      <c r="M59" s="287"/>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87"/>
      <c r="G60" s="291"/>
      <c r="H60" s="157"/>
      <c r="I60" s="157"/>
      <c r="J60" s="157"/>
      <c r="K60" s="470"/>
      <c r="L60" s="310"/>
      <c r="M60" s="287"/>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87"/>
      <c r="G61" s="291"/>
      <c r="H61" s="157"/>
      <c r="I61" s="157"/>
      <c r="J61" s="157"/>
      <c r="K61" s="470"/>
      <c r="L61" s="310"/>
      <c r="M61" s="287"/>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87"/>
      <c r="G62" s="291"/>
      <c r="H62" s="157"/>
      <c r="I62" s="157"/>
      <c r="J62" s="157"/>
      <c r="K62" s="470"/>
      <c r="L62" s="310"/>
      <c r="M62" s="287"/>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87"/>
      <c r="G63" s="291"/>
      <c r="H63" s="157"/>
      <c r="I63" s="157"/>
      <c r="J63" s="157"/>
      <c r="K63" s="470"/>
      <c r="L63" s="310"/>
      <c r="M63" s="287"/>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03" t="s">
        <v>749</v>
      </c>
      <c r="C64" s="804"/>
      <c r="D64" s="804"/>
      <c r="E64" s="804"/>
      <c r="F64" s="805"/>
      <c r="G64" s="88" t="s">
        <v>690</v>
      </c>
      <c r="H64" s="88" t="s">
        <v>359</v>
      </c>
      <c r="I64" s="813" t="s">
        <v>575</v>
      </c>
      <c r="J64" s="813"/>
      <c r="K64" s="470"/>
      <c r="L64" s="310"/>
      <c r="M64" s="287"/>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06"/>
      <c r="C65" s="807"/>
      <c r="D65" s="807"/>
      <c r="E65" s="807"/>
      <c r="F65" s="808"/>
      <c r="G65" s="490"/>
      <c r="H65" s="490"/>
      <c r="I65" s="814"/>
      <c r="J65" s="815"/>
      <c r="K65" s="471"/>
      <c r="L65" s="472"/>
      <c r="M65" s="288"/>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82"/>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82"/>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B64:F65"/>
    <mergeCell ref="I64:J64"/>
    <mergeCell ref="I65:J65"/>
  </mergeCells>
  <dataValidations count="4">
    <dataValidation type="list" allowBlank="1" showInputMessage="1" showErrorMessage="1" sqref="E8:E9" xr:uid="{0B0BC1C5-ADE9-43C1-BD9B-F20F195F1077}">
      <formula1>Case</formula1>
    </dataValidation>
    <dataValidation type="list" allowBlank="1" showInputMessage="1" showErrorMessage="1" sqref="H13:H34" xr:uid="{C4A53559-5CBD-468C-99F6-5D366AF8BA88}">
      <formula1>Location</formula1>
    </dataValidation>
    <dataValidation type="list" allowBlank="1" showInputMessage="1" showErrorMessage="1" sqref="G13:G34" xr:uid="{103F0F52-90AA-4773-8BF0-FCA3A37620BD}">
      <formula1>Year</formula1>
    </dataValidation>
    <dataValidation type="list" allowBlank="1" showInputMessage="1" showErrorMessage="1" sqref="F13:F34" xr:uid="{59E2AA0A-00C5-48FF-8DC3-82E8E231959F}">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33033-EC33-47E3-BA8C-CD078BE0DF55}">
  <sheetPr codeName="Hoja32"/>
  <dimension ref="A1:AJ69"/>
  <sheetViews>
    <sheetView showGridLines="0" zoomScale="40" zoomScaleNormal="40" workbookViewId="0">
      <selection activeCell="E8" sqref="E8:E9"/>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3">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3">
      <c r="A3" s="83"/>
      <c r="B3" s="103"/>
      <c r="C3" s="750" t="s">
        <v>804</v>
      </c>
      <c r="D3" s="751"/>
      <c r="E3" s="751"/>
      <c r="F3" s="751"/>
      <c r="G3" s="750" t="s">
        <v>341</v>
      </c>
      <c r="H3" s="752"/>
      <c r="J3" s="750" t="s">
        <v>495</v>
      </c>
      <c r="K3" s="751"/>
      <c r="L3" s="751"/>
      <c r="M3" s="752"/>
      <c r="O3" s="750" t="str">
        <f>+E6</f>
        <v>Unit 4</v>
      </c>
      <c r="P3" s="751"/>
      <c r="Q3" s="751"/>
      <c r="R3" s="751"/>
      <c r="S3" s="752"/>
      <c r="T3" s="104"/>
      <c r="U3" s="103"/>
      <c r="V3" s="103"/>
      <c r="W3" s="777" t="str">
        <f>+E6&amp;" Diagram"</f>
        <v>Unit 4 Diagram</v>
      </c>
      <c r="X3" s="778"/>
      <c r="Y3" s="778"/>
      <c r="Z3" s="778"/>
      <c r="AA3" s="778"/>
      <c r="AB3" s="778"/>
      <c r="AC3" s="778"/>
      <c r="AD3" s="778"/>
      <c r="AE3" s="778"/>
      <c r="AF3" s="778"/>
      <c r="AG3" s="778"/>
      <c r="AH3" s="779"/>
      <c r="AI3" s="104"/>
      <c r="AJ3" s="351"/>
    </row>
    <row r="4" spans="1:36" ht="18.600000000000001" customHeight="1" x14ac:dyDescent="0.3">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1"/>
    </row>
    <row r="5" spans="1:36" ht="18.600000000000001" customHeight="1" x14ac:dyDescent="0.35">
      <c r="A5" s="83"/>
      <c r="B5" s="103"/>
      <c r="C5" s="83"/>
      <c r="D5" s="753" t="s">
        <v>265</v>
      </c>
      <c r="E5" s="754"/>
      <c r="F5" s="182"/>
      <c r="G5" s="753" t="s">
        <v>267</v>
      </c>
      <c r="H5" s="754"/>
      <c r="J5" s="388"/>
      <c r="K5" s="389"/>
      <c r="L5" s="185" t="s">
        <v>465</v>
      </c>
      <c r="M5" s="186" t="s">
        <v>500</v>
      </c>
      <c r="O5" s="676" t="s">
        <v>575</v>
      </c>
      <c r="P5" s="677"/>
      <c r="Q5" s="677"/>
      <c r="R5" s="677"/>
      <c r="S5" s="678"/>
      <c r="T5" s="104"/>
      <c r="U5" s="103"/>
      <c r="V5" s="103"/>
      <c r="W5" s="103"/>
      <c r="X5" s="83"/>
      <c r="Y5" s="83"/>
      <c r="Z5" s="83"/>
      <c r="AA5" s="83"/>
      <c r="AB5" s="83"/>
      <c r="AC5" s="83"/>
      <c r="AD5" s="83"/>
      <c r="AE5" s="83"/>
      <c r="AF5" s="83"/>
      <c r="AG5" s="83"/>
      <c r="AH5" s="104"/>
      <c r="AI5" s="104"/>
      <c r="AJ5" s="351"/>
    </row>
    <row r="6" spans="1:36" ht="18.600000000000001" customHeight="1" x14ac:dyDescent="0.3">
      <c r="A6" s="83"/>
      <c r="B6" s="103"/>
      <c r="C6" s="794" t="s">
        <v>491</v>
      </c>
      <c r="D6" s="419" t="s">
        <v>680</v>
      </c>
      <c r="E6" s="473" t="str">
        <f>+'Plant Overview'!V40</f>
        <v>Unit 4</v>
      </c>
      <c r="F6" s="183"/>
      <c r="G6" s="85"/>
      <c r="H6" s="314" t="s">
        <v>262</v>
      </c>
      <c r="J6" s="390"/>
      <c r="K6" s="391"/>
      <c r="L6" s="93" t="s">
        <v>466</v>
      </c>
      <c r="M6" s="86" t="s">
        <v>499</v>
      </c>
      <c r="O6" s="679"/>
      <c r="P6" s="731"/>
      <c r="Q6" s="731"/>
      <c r="R6" s="731"/>
      <c r="S6" s="732"/>
      <c r="T6" s="104"/>
      <c r="U6" s="103"/>
      <c r="V6" s="103"/>
      <c r="W6" s="103"/>
      <c r="X6" s="83"/>
      <c r="Y6" s="83"/>
      <c r="Z6" s="83"/>
      <c r="AA6" s="83"/>
      <c r="AB6" s="83"/>
      <c r="AC6" s="83"/>
      <c r="AD6" s="83"/>
      <c r="AE6" s="83"/>
      <c r="AF6" s="83"/>
      <c r="AG6" s="83"/>
      <c r="AH6" s="104"/>
      <c r="AI6" s="104"/>
      <c r="AJ6" s="351"/>
    </row>
    <row r="7" spans="1:36" ht="18.600000000000001" customHeight="1" x14ac:dyDescent="0.3">
      <c r="A7" s="83"/>
      <c r="B7" s="103"/>
      <c r="C7" s="795"/>
      <c r="D7" s="419" t="s">
        <v>679</v>
      </c>
      <c r="E7" s="408" t="str">
        <f>+'Plant Overview'!W40</f>
        <v>U-400</v>
      </c>
      <c r="F7" s="183"/>
      <c r="G7" s="179"/>
      <c r="H7" s="314" t="s">
        <v>263</v>
      </c>
      <c r="J7" s="390"/>
      <c r="K7" s="391"/>
      <c r="L7" s="185" t="s">
        <v>460</v>
      </c>
      <c r="M7" s="186" t="s">
        <v>498</v>
      </c>
      <c r="O7" s="733"/>
      <c r="P7" s="734"/>
      <c r="Q7" s="734"/>
      <c r="R7" s="734"/>
      <c r="S7" s="735"/>
      <c r="T7" s="104"/>
      <c r="U7" s="103"/>
      <c r="V7" s="103"/>
      <c r="W7" s="103"/>
      <c r="X7" s="83"/>
      <c r="Y7" s="83"/>
      <c r="Z7" s="83"/>
      <c r="AA7" s="83"/>
      <c r="AB7" s="83"/>
      <c r="AC7" s="83"/>
      <c r="AD7" s="83"/>
      <c r="AE7" s="83"/>
      <c r="AF7" s="83"/>
      <c r="AG7" s="83"/>
      <c r="AH7" s="104"/>
      <c r="AI7" s="104"/>
      <c r="AJ7" s="351"/>
    </row>
    <row r="8" spans="1:36" ht="18.600000000000001" customHeight="1" x14ac:dyDescent="0.3">
      <c r="A8" s="83"/>
      <c r="B8" s="103"/>
      <c r="C8" s="818"/>
      <c r="D8" s="819" t="s">
        <v>312</v>
      </c>
      <c r="E8" s="801"/>
      <c r="F8" s="184"/>
      <c r="G8" s="94"/>
      <c r="H8" s="98" t="s">
        <v>264</v>
      </c>
      <c r="J8" s="390"/>
      <c r="K8" s="391"/>
      <c r="L8" s="185" t="s">
        <v>461</v>
      </c>
      <c r="M8" s="186" t="s">
        <v>496</v>
      </c>
      <c r="O8" s="733"/>
      <c r="P8" s="734"/>
      <c r="Q8" s="734"/>
      <c r="R8" s="734"/>
      <c r="S8" s="735"/>
      <c r="T8" s="104"/>
      <c r="U8" s="103"/>
      <c r="V8" s="103"/>
      <c r="W8" s="103"/>
      <c r="X8" s="83"/>
      <c r="Y8" s="83"/>
      <c r="Z8" s="83"/>
      <c r="AA8" s="83"/>
      <c r="AB8" s="83"/>
      <c r="AC8" s="83"/>
      <c r="AD8" s="83"/>
      <c r="AE8" s="83"/>
      <c r="AF8" s="83"/>
      <c r="AG8" s="83"/>
      <c r="AH8" s="104"/>
      <c r="AI8" s="104"/>
      <c r="AJ8" s="351"/>
    </row>
    <row r="9" spans="1:36" ht="18.600000000000001" customHeight="1" x14ac:dyDescent="0.3">
      <c r="A9" s="83"/>
      <c r="B9" s="103"/>
      <c r="C9" s="765"/>
      <c r="D9" s="820"/>
      <c r="E9" s="802"/>
      <c r="F9" s="184"/>
      <c r="G9" s="108"/>
      <c r="H9" s="300" t="s">
        <v>268</v>
      </c>
      <c r="J9" s="392"/>
      <c r="K9" s="393"/>
      <c r="L9" s="185" t="s">
        <v>462</v>
      </c>
      <c r="M9" s="186" t="s">
        <v>497</v>
      </c>
      <c r="O9" s="736"/>
      <c r="P9" s="737"/>
      <c r="Q9" s="737"/>
      <c r="R9" s="737"/>
      <c r="S9" s="738"/>
      <c r="T9" s="104"/>
      <c r="U9" s="103"/>
      <c r="V9" s="103"/>
      <c r="W9" s="103"/>
      <c r="X9" s="83"/>
      <c r="Y9" s="83"/>
      <c r="Z9" s="83"/>
      <c r="AA9" s="83"/>
      <c r="AB9" s="83"/>
      <c r="AC9" s="83"/>
      <c r="AD9" s="83"/>
      <c r="AE9" s="83"/>
      <c r="AF9" s="83"/>
      <c r="AG9" s="83"/>
      <c r="AH9" s="104"/>
      <c r="AI9" s="104"/>
      <c r="AJ9" s="351"/>
    </row>
    <row r="10" spans="1:36" ht="18.600000000000001" customHeight="1" x14ac:dyDescent="0.3">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1"/>
    </row>
    <row r="11" spans="1:36" ht="18.600000000000001" customHeight="1" x14ac:dyDescent="0.3">
      <c r="A11" s="83"/>
      <c r="B11" s="103"/>
      <c r="C11" s="83"/>
      <c r="D11" s="750" t="s">
        <v>503</v>
      </c>
      <c r="E11" s="751"/>
      <c r="F11" s="751"/>
      <c r="G11" s="751"/>
      <c r="H11" s="751"/>
      <c r="I11" s="751"/>
      <c r="J11" s="751"/>
      <c r="K11" s="750" t="s">
        <v>502</v>
      </c>
      <c r="L11" s="751"/>
      <c r="M11" s="751"/>
      <c r="N11" s="751"/>
      <c r="O11" s="752"/>
      <c r="P11" s="750" t="s">
        <v>505</v>
      </c>
      <c r="Q11" s="751"/>
      <c r="R11" s="752"/>
      <c r="S11" s="83"/>
      <c r="T11" s="104"/>
      <c r="U11" s="103"/>
      <c r="V11" s="103"/>
      <c r="W11" s="103"/>
      <c r="X11" s="83"/>
      <c r="Y11" s="83"/>
      <c r="Z11" s="83"/>
      <c r="AA11" s="83"/>
      <c r="AB11" s="83"/>
      <c r="AC11" s="83"/>
      <c r="AD11" s="83"/>
      <c r="AE11" s="83"/>
      <c r="AF11" s="83"/>
      <c r="AG11" s="83"/>
      <c r="AH11" s="104"/>
      <c r="AI11" s="104"/>
      <c r="AJ11" s="351"/>
    </row>
    <row r="12" spans="1:36" ht="18.600000000000001" customHeight="1" x14ac:dyDescent="0.3">
      <c r="A12" s="83"/>
      <c r="B12" s="103"/>
      <c r="C12" s="423" t="s">
        <v>239</v>
      </c>
      <c r="D12" s="423" t="s">
        <v>494</v>
      </c>
      <c r="E12" s="423" t="s">
        <v>493</v>
      </c>
      <c r="F12" s="428" t="s">
        <v>459</v>
      </c>
      <c r="G12" s="428" t="s">
        <v>578</v>
      </c>
      <c r="H12" s="428" t="s">
        <v>504</v>
      </c>
      <c r="I12" s="423" t="s">
        <v>501</v>
      </c>
      <c r="J12" s="423" t="s">
        <v>235</v>
      </c>
      <c r="K12" s="414" t="s">
        <v>461</v>
      </c>
      <c r="L12" s="423" t="s">
        <v>462</v>
      </c>
      <c r="M12" s="421" t="s">
        <v>581</v>
      </c>
      <c r="N12" s="422" t="s">
        <v>464</v>
      </c>
      <c r="O12" s="418" t="s">
        <v>463</v>
      </c>
      <c r="P12" s="414" t="s">
        <v>460</v>
      </c>
      <c r="Q12" s="414" t="s">
        <v>466</v>
      </c>
      <c r="R12" s="421" t="s">
        <v>465</v>
      </c>
      <c r="S12" s="418" t="s">
        <v>492</v>
      </c>
      <c r="T12" s="104"/>
      <c r="U12" s="103"/>
      <c r="V12" s="103"/>
      <c r="W12" s="103"/>
      <c r="X12" s="83"/>
      <c r="Y12" s="83"/>
      <c r="Z12" s="83"/>
      <c r="AA12" s="83"/>
      <c r="AB12" s="83"/>
      <c r="AC12" s="83"/>
      <c r="AD12" s="83"/>
      <c r="AE12" s="83"/>
      <c r="AF12" s="83"/>
      <c r="AG12" s="83"/>
      <c r="AH12" s="104"/>
      <c r="AI12" s="104"/>
      <c r="AJ12" s="351"/>
    </row>
    <row r="13" spans="1:36" ht="18.600000000000001" customHeight="1" x14ac:dyDescent="0.3">
      <c r="A13" s="83"/>
      <c r="B13" s="103"/>
      <c r="C13" s="353"/>
      <c r="D13" s="268"/>
      <c r="E13" s="269"/>
      <c r="F13" s="269"/>
      <c r="G13" s="269"/>
      <c r="H13" s="269"/>
      <c r="I13" s="269"/>
      <c r="J13" s="148"/>
      <c r="K13" s="269"/>
      <c r="L13" s="96"/>
      <c r="M13" s="269"/>
      <c r="N13" s="190"/>
      <c r="O13" s="193"/>
      <c r="P13" s="192"/>
      <c r="Q13" s="269"/>
      <c r="R13" s="190" t="str">
        <f>+IF(C13="","",(P13/M13)^K13*O13*(Q13/(N13/M13))^L13)</f>
        <v/>
      </c>
      <c r="S13" s="381"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1"/>
    </row>
    <row r="14" spans="1:36" ht="18.600000000000001" customHeight="1" x14ac:dyDescent="0.3">
      <c r="A14" s="83"/>
      <c r="B14" s="103"/>
      <c r="C14" s="354"/>
      <c r="D14" s="265"/>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1"/>
    </row>
    <row r="15" spans="1:36" ht="18.600000000000001" customHeight="1" x14ac:dyDescent="0.3">
      <c r="A15" s="83"/>
      <c r="B15" s="103"/>
      <c r="C15" s="354"/>
      <c r="D15" s="265"/>
      <c r="E15" s="96"/>
      <c r="F15" s="96"/>
      <c r="G15" s="96"/>
      <c r="H15" s="96"/>
      <c r="I15" s="96"/>
      <c r="J15" s="97"/>
      <c r="K15" s="96"/>
      <c r="L15" s="96"/>
      <c r="M15" s="96"/>
      <c r="N15" s="156"/>
      <c r="O15" s="96"/>
      <c r="P15" s="265"/>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1"/>
    </row>
    <row r="16" spans="1:36" ht="18.600000000000001" customHeight="1" x14ac:dyDescent="0.3">
      <c r="A16" s="83"/>
      <c r="B16" s="103"/>
      <c r="C16" s="354"/>
      <c r="D16" s="265"/>
      <c r="E16" s="96"/>
      <c r="F16" s="96"/>
      <c r="G16" s="96"/>
      <c r="H16" s="96"/>
      <c r="I16" s="96"/>
      <c r="J16" s="97"/>
      <c r="K16" s="96"/>
      <c r="L16" s="96"/>
      <c r="M16" s="96"/>
      <c r="O16" s="96"/>
      <c r="P16" s="265"/>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1"/>
    </row>
    <row r="17" spans="1:36" ht="18.600000000000001" customHeight="1" x14ac:dyDescent="0.3">
      <c r="A17" s="83"/>
      <c r="B17" s="103"/>
      <c r="C17" s="354"/>
      <c r="D17" s="265"/>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1"/>
    </row>
    <row r="18" spans="1:36" ht="18.600000000000001" customHeight="1" x14ac:dyDescent="0.3">
      <c r="A18" s="83"/>
      <c r="B18" s="103"/>
      <c r="C18" s="354"/>
      <c r="D18" s="265"/>
      <c r="E18" s="96"/>
      <c r="F18" s="96"/>
      <c r="G18" s="96"/>
      <c r="H18" s="96"/>
      <c r="I18" s="96"/>
      <c r="J18" s="97"/>
      <c r="M18" s="96"/>
      <c r="O18" s="96"/>
      <c r="P18" s="265"/>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1"/>
    </row>
    <row r="19" spans="1:36" ht="18.600000000000001" customHeight="1" x14ac:dyDescent="0.3">
      <c r="A19" s="83"/>
      <c r="B19" s="103"/>
      <c r="C19" s="354"/>
      <c r="D19" s="265"/>
      <c r="E19" s="96"/>
      <c r="F19" s="96"/>
      <c r="G19" s="96"/>
      <c r="H19" s="96"/>
      <c r="I19" s="96"/>
      <c r="J19" s="97"/>
      <c r="M19" s="96"/>
      <c r="N19" s="96"/>
      <c r="O19" s="96"/>
      <c r="P19" s="265"/>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1"/>
    </row>
    <row r="20" spans="1:36" ht="18.600000000000001" customHeight="1" x14ac:dyDescent="0.3">
      <c r="A20" s="83"/>
      <c r="B20" s="103"/>
      <c r="C20" s="354"/>
      <c r="D20" s="265"/>
      <c r="E20" s="96"/>
      <c r="F20" s="96"/>
      <c r="G20" s="96"/>
      <c r="H20" s="96"/>
      <c r="I20" s="96"/>
      <c r="J20" s="97"/>
      <c r="M20" s="96"/>
      <c r="N20" s="96"/>
      <c r="O20" s="96"/>
      <c r="P20" s="265"/>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1"/>
    </row>
    <row r="21" spans="1:36" ht="18.600000000000001" customHeight="1" x14ac:dyDescent="0.3">
      <c r="A21" s="83"/>
      <c r="B21" s="103"/>
      <c r="C21" s="354"/>
      <c r="D21" s="91"/>
      <c r="E21" s="96"/>
      <c r="F21" s="96"/>
      <c r="G21" s="96"/>
      <c r="H21" s="96"/>
      <c r="I21" s="96"/>
      <c r="J21" s="97"/>
      <c r="K21" s="96"/>
      <c r="L21" s="96"/>
      <c r="M21" s="96"/>
      <c r="N21" s="96"/>
      <c r="O21" s="96"/>
      <c r="P21" s="265"/>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1"/>
    </row>
    <row r="22" spans="1:36" ht="18.600000000000001" customHeight="1" x14ac:dyDescent="0.3">
      <c r="A22" s="83"/>
      <c r="B22" s="103"/>
      <c r="C22" s="354"/>
      <c r="D22" s="265"/>
      <c r="E22" s="96"/>
      <c r="F22" s="96"/>
      <c r="G22" s="96"/>
      <c r="H22" s="96"/>
      <c r="I22" s="96"/>
      <c r="J22" s="97"/>
      <c r="K22" s="96"/>
      <c r="L22" s="96"/>
      <c r="M22" s="96"/>
      <c r="N22" s="96"/>
      <c r="O22" s="96"/>
      <c r="P22" s="265"/>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1"/>
    </row>
    <row r="23" spans="1:36" ht="18.600000000000001" customHeight="1" x14ac:dyDescent="0.3">
      <c r="A23" s="83"/>
      <c r="B23" s="103"/>
      <c r="C23" s="354"/>
      <c r="D23" s="265"/>
      <c r="E23" s="96"/>
      <c r="F23" s="96"/>
      <c r="G23" s="96"/>
      <c r="H23" s="96"/>
      <c r="I23" s="96"/>
      <c r="J23" s="97"/>
      <c r="K23" s="96"/>
      <c r="L23" s="96"/>
      <c r="M23" s="96"/>
      <c r="N23" s="96"/>
      <c r="O23" s="96"/>
      <c r="P23" s="265"/>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1"/>
    </row>
    <row r="24" spans="1:36" ht="18.600000000000001" customHeight="1" x14ac:dyDescent="0.3">
      <c r="A24" s="83"/>
      <c r="B24" s="103"/>
      <c r="C24" s="354"/>
      <c r="D24" s="265"/>
      <c r="E24" s="96"/>
      <c r="F24" s="96"/>
      <c r="G24" s="96"/>
      <c r="H24" s="96"/>
      <c r="I24" s="96"/>
      <c r="J24" s="97"/>
      <c r="K24" s="96"/>
      <c r="L24" s="96"/>
      <c r="M24" s="96"/>
      <c r="N24" s="96"/>
      <c r="O24" s="96"/>
      <c r="P24" s="265"/>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1"/>
    </row>
    <row r="25" spans="1:36" ht="18.600000000000001" customHeight="1" x14ac:dyDescent="0.3">
      <c r="A25" s="83"/>
      <c r="B25" s="103"/>
      <c r="C25" s="354"/>
      <c r="D25" s="265"/>
      <c r="E25" s="96"/>
      <c r="F25" s="96"/>
      <c r="G25" s="96"/>
      <c r="H25" s="96"/>
      <c r="I25" s="96"/>
      <c r="J25" s="97"/>
      <c r="K25" s="96"/>
      <c r="L25" s="96"/>
      <c r="M25" s="96"/>
      <c r="N25" s="96"/>
      <c r="O25" s="96"/>
      <c r="P25" s="265"/>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1"/>
    </row>
    <row r="26" spans="1:36" ht="18.600000000000001" customHeight="1" x14ac:dyDescent="0.3">
      <c r="A26" s="83"/>
      <c r="B26" s="103"/>
      <c r="C26" s="354"/>
      <c r="D26" s="265"/>
      <c r="E26" s="96"/>
      <c r="F26" s="96"/>
      <c r="G26" s="96"/>
      <c r="H26" s="96"/>
      <c r="I26" s="96"/>
      <c r="J26" s="97"/>
      <c r="K26" s="96"/>
      <c r="L26" s="96"/>
      <c r="M26" s="96"/>
      <c r="N26" s="96"/>
      <c r="O26" s="96"/>
      <c r="P26" s="265"/>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1"/>
    </row>
    <row r="27" spans="1:36" ht="18.600000000000001" customHeight="1" x14ac:dyDescent="0.3">
      <c r="A27" s="83"/>
      <c r="B27" s="103"/>
      <c r="C27" s="328"/>
      <c r="D27" s="317"/>
      <c r="E27" s="181"/>
      <c r="F27" s="181"/>
      <c r="G27" s="181"/>
      <c r="H27" s="181"/>
      <c r="I27" s="181"/>
      <c r="J27" s="309"/>
      <c r="K27" s="181"/>
      <c r="L27" s="181"/>
      <c r="M27" s="181"/>
      <c r="N27" s="181"/>
      <c r="O27" s="181"/>
      <c r="P27" s="317"/>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1"/>
    </row>
    <row r="28" spans="1:36" ht="18.600000000000001" customHeight="1" x14ac:dyDescent="0.3">
      <c r="A28" s="83"/>
      <c r="B28" s="103"/>
      <c r="C28" s="328"/>
      <c r="D28" s="317"/>
      <c r="E28" s="181"/>
      <c r="F28" s="181"/>
      <c r="G28" s="181"/>
      <c r="H28" s="181"/>
      <c r="I28" s="181"/>
      <c r="J28" s="309"/>
      <c r="K28" s="181"/>
      <c r="L28" s="181"/>
      <c r="M28" s="181"/>
      <c r="N28" s="181"/>
      <c r="O28" s="181"/>
      <c r="P28" s="317"/>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1"/>
    </row>
    <row r="29" spans="1:36" ht="18.600000000000001" customHeight="1" x14ac:dyDescent="0.3">
      <c r="A29" s="83"/>
      <c r="B29" s="103"/>
      <c r="C29" s="354"/>
      <c r="D29" s="265"/>
      <c r="E29" s="96"/>
      <c r="F29" s="96"/>
      <c r="G29" s="96"/>
      <c r="H29" s="96"/>
      <c r="I29" s="96"/>
      <c r="J29" s="97"/>
      <c r="K29" s="310"/>
      <c r="L29" s="310"/>
      <c r="M29" s="310"/>
      <c r="N29" s="310"/>
      <c r="O29" s="310"/>
      <c r="P29" s="301"/>
      <c r="Q29" s="378"/>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1"/>
    </row>
    <row r="30" spans="1:36" ht="18.600000000000001" customHeight="1" x14ac:dyDescent="0.3">
      <c r="A30" s="83"/>
      <c r="B30" s="103"/>
      <c r="C30" s="354"/>
      <c r="D30" s="265"/>
      <c r="E30" s="96"/>
      <c r="F30" s="96"/>
      <c r="G30" s="96"/>
      <c r="H30" s="96"/>
      <c r="I30" s="96"/>
      <c r="J30" s="97"/>
      <c r="K30" s="310"/>
      <c r="L30" s="310"/>
      <c r="M30" s="310"/>
      <c r="N30" s="310"/>
      <c r="O30" s="310"/>
      <c r="P30" s="301"/>
      <c r="Q30" s="378"/>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1"/>
    </row>
    <row r="31" spans="1:36" ht="18.600000000000001" customHeight="1" x14ac:dyDescent="0.3">
      <c r="A31" s="83"/>
      <c r="B31" s="103"/>
      <c r="C31" s="354"/>
      <c r="D31" s="265"/>
      <c r="E31" s="96"/>
      <c r="F31" s="96"/>
      <c r="G31" s="96"/>
      <c r="H31" s="96"/>
      <c r="I31" s="96"/>
      <c r="J31" s="97"/>
      <c r="K31" s="310"/>
      <c r="L31" s="310"/>
      <c r="M31" s="310"/>
      <c r="N31" s="310"/>
      <c r="O31" s="310"/>
      <c r="P31" s="301"/>
      <c r="Q31" s="378"/>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1"/>
    </row>
    <row r="32" spans="1:36" ht="18.600000000000001" customHeight="1" x14ac:dyDescent="0.3">
      <c r="A32" s="83"/>
      <c r="B32" s="103"/>
      <c r="C32" s="354"/>
      <c r="D32" s="265"/>
      <c r="E32" s="96"/>
      <c r="F32" s="96"/>
      <c r="G32" s="96"/>
      <c r="H32" s="96"/>
      <c r="I32" s="96"/>
      <c r="J32" s="97"/>
      <c r="K32" s="310"/>
      <c r="L32" s="310"/>
      <c r="M32" s="310"/>
      <c r="N32" s="310"/>
      <c r="O32" s="310"/>
      <c r="P32" s="301"/>
      <c r="Q32" s="378"/>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1"/>
    </row>
    <row r="33" spans="1:36" ht="18.600000000000001" customHeight="1" x14ac:dyDescent="0.3">
      <c r="A33" s="83"/>
      <c r="B33" s="103"/>
      <c r="C33" s="354"/>
      <c r="D33" s="265"/>
      <c r="E33" s="96"/>
      <c r="F33" s="96"/>
      <c r="G33" s="96"/>
      <c r="H33" s="96"/>
      <c r="I33" s="96"/>
      <c r="J33" s="97"/>
      <c r="K33" s="310"/>
      <c r="L33" s="310"/>
      <c r="M33" s="320"/>
      <c r="N33" s="320"/>
      <c r="O33" s="320"/>
      <c r="P33" s="265"/>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1"/>
    </row>
    <row r="34" spans="1:36" ht="18.600000000000001" customHeight="1" x14ac:dyDescent="0.3">
      <c r="A34" s="83"/>
      <c r="B34" s="103"/>
      <c r="C34" s="355"/>
      <c r="D34" s="319"/>
      <c r="E34" s="191"/>
      <c r="F34" s="191"/>
      <c r="G34" s="96"/>
      <c r="H34" s="96"/>
      <c r="I34" s="96"/>
      <c r="J34" s="97"/>
      <c r="K34" s="96"/>
      <c r="M34" s="356"/>
      <c r="N34" s="356"/>
      <c r="O34" s="356"/>
      <c r="P34" s="720"/>
      <c r="Q34" s="721"/>
      <c r="R34" s="156" t="str">
        <f t="shared" si="0"/>
        <v/>
      </c>
      <c r="S34" s="651"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1"/>
    </row>
    <row r="35" spans="1:36" ht="18.600000000000001" customHeight="1" x14ac:dyDescent="0.3">
      <c r="A35" s="83"/>
      <c r="B35" s="103"/>
      <c r="C35" s="322"/>
      <c r="D35" s="323"/>
      <c r="E35" s="323"/>
      <c r="F35" s="323"/>
      <c r="G35" s="323"/>
      <c r="H35" s="323"/>
      <c r="I35" s="323"/>
      <c r="J35" s="323"/>
      <c r="K35" s="323"/>
      <c r="L35" s="323"/>
      <c r="M35" s="323"/>
      <c r="N35" s="323"/>
      <c r="O35" s="323"/>
      <c r="P35" s="323"/>
      <c r="Q35" s="323"/>
      <c r="R35" s="324"/>
      <c r="S35" s="417" t="s">
        <v>634</v>
      </c>
      <c r="T35" s="104"/>
      <c r="U35" s="83"/>
      <c r="V35" s="103"/>
      <c r="W35" s="103"/>
      <c r="X35" s="83"/>
      <c r="Y35" s="83"/>
      <c r="Z35" s="83"/>
      <c r="AA35" s="83"/>
      <c r="AB35" s="83"/>
      <c r="AC35" s="83"/>
      <c r="AD35" s="83"/>
      <c r="AE35" s="83"/>
      <c r="AF35" s="83"/>
      <c r="AG35" s="83"/>
      <c r="AH35" s="104"/>
      <c r="AI35" s="104"/>
      <c r="AJ35" s="351"/>
    </row>
    <row r="36" spans="1:36" ht="18.600000000000001" customHeight="1" x14ac:dyDescent="0.3">
      <c r="A36" s="83"/>
      <c r="B36" s="103"/>
      <c r="C36" s="325"/>
      <c r="D36" s="326"/>
      <c r="E36" s="326"/>
      <c r="F36" s="326"/>
      <c r="G36" s="326"/>
      <c r="H36" s="326"/>
      <c r="I36" s="326"/>
      <c r="J36" s="326"/>
      <c r="K36" s="326"/>
      <c r="L36" s="326"/>
      <c r="M36" s="326"/>
      <c r="N36" s="326"/>
      <c r="O36" s="326"/>
      <c r="P36" s="326"/>
      <c r="Q36" s="326"/>
      <c r="R36" s="327"/>
      <c r="S36" s="241">
        <f ca="1">IF(SUM(S13:S34)&gt;=0,SUM(S13:S34),"")</f>
        <v>0</v>
      </c>
      <c r="T36" s="104"/>
      <c r="U36" s="83"/>
      <c r="V36" s="103"/>
      <c r="W36" s="105"/>
      <c r="X36" s="106"/>
      <c r="Y36" s="106"/>
      <c r="Z36" s="106"/>
      <c r="AA36" s="106"/>
      <c r="AB36" s="106"/>
      <c r="AC36" s="106"/>
      <c r="AD36" s="106"/>
      <c r="AE36" s="106"/>
      <c r="AF36" s="106"/>
      <c r="AG36" s="106"/>
      <c r="AH36" s="107"/>
      <c r="AI36" s="104"/>
      <c r="AJ36" s="351"/>
    </row>
    <row r="37" spans="1:36" ht="18.600000000000001" customHeight="1" x14ac:dyDescent="0.3">
      <c r="A37" s="83"/>
      <c r="B37" s="105"/>
      <c r="C37" s="106"/>
      <c r="D37" s="106"/>
      <c r="E37" s="106"/>
      <c r="F37" s="106"/>
      <c r="G37" s="106"/>
      <c r="H37" s="106"/>
      <c r="I37" s="106"/>
      <c r="J37" s="106"/>
      <c r="K37" s="106"/>
      <c r="L37" s="106"/>
      <c r="M37" s="106"/>
      <c r="N37" s="106"/>
      <c r="O37" s="106"/>
      <c r="P37" s="106"/>
      <c r="Q37" s="106"/>
      <c r="R37" s="106"/>
      <c r="S37" s="316"/>
      <c r="T37" s="107"/>
      <c r="U37" s="83"/>
      <c r="V37" s="105"/>
      <c r="W37" s="106"/>
      <c r="X37" s="106"/>
      <c r="Y37" s="106"/>
      <c r="Z37" s="106"/>
      <c r="AA37" s="106"/>
      <c r="AB37" s="106"/>
      <c r="AC37" s="106"/>
      <c r="AD37" s="106"/>
      <c r="AE37" s="106"/>
      <c r="AF37" s="106"/>
      <c r="AG37" s="106"/>
      <c r="AH37" s="106"/>
      <c r="AI37" s="107"/>
      <c r="AJ37" s="351"/>
    </row>
    <row r="38" spans="1:36" ht="18.600000000000001" customHeight="1" x14ac:dyDescent="0.3">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1"/>
    </row>
    <row r="39" spans="1:36" ht="18.600000000000001" customHeight="1" x14ac:dyDescent="0.3">
      <c r="A39" s="83"/>
      <c r="B39" s="750" t="str">
        <f>+"BEC Distribution: "&amp;E6</f>
        <v>BEC Distribution: Unit 4</v>
      </c>
      <c r="C39" s="751"/>
      <c r="D39" s="751"/>
      <c r="E39" s="751"/>
      <c r="F39" s="751"/>
      <c r="G39" s="750" t="str">
        <f>+"Estimate Benchmark: "&amp;E6</f>
        <v>Estimate Benchmark: Unit 4</v>
      </c>
      <c r="H39" s="751"/>
      <c r="I39" s="751"/>
      <c r="J39" s="752"/>
      <c r="K39" s="750" t="s">
        <v>629</v>
      </c>
      <c r="L39" s="751"/>
      <c r="M39" s="752"/>
      <c r="N39" s="157"/>
      <c r="O39" s="157"/>
      <c r="P39" s="157"/>
      <c r="Q39" s="83"/>
      <c r="R39" s="83"/>
      <c r="S39" s="83"/>
      <c r="T39" s="83"/>
      <c r="U39" s="83"/>
      <c r="V39" s="83"/>
      <c r="W39" s="83"/>
      <c r="X39" s="155"/>
      <c r="Y39" s="155"/>
      <c r="Z39" s="155"/>
      <c r="AA39" s="155"/>
      <c r="AB39" s="155"/>
      <c r="AC39" s="155"/>
      <c r="AD39" s="155"/>
      <c r="AE39" s="155"/>
      <c r="AF39" s="155"/>
      <c r="AG39" s="155"/>
      <c r="AH39" s="155"/>
      <c r="AI39" s="83"/>
      <c r="AJ39" s="351"/>
    </row>
    <row r="40" spans="1:36" ht="18.600000000000001" customHeight="1" x14ac:dyDescent="0.3">
      <c r="A40" s="83"/>
      <c r="B40" s="100"/>
      <c r="C40" s="286"/>
      <c r="D40" s="273"/>
      <c r="E40" s="273"/>
      <c r="F40" s="113"/>
      <c r="G40" s="289"/>
      <c r="H40" s="286"/>
      <c r="I40" s="286"/>
      <c r="J40" s="290"/>
      <c r="K40" s="423" t="s">
        <v>584</v>
      </c>
      <c r="L40" s="766" t="s">
        <v>628</v>
      </c>
      <c r="M40" s="766"/>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1"/>
    </row>
    <row r="41" spans="1:36" ht="18.600000000000001" customHeight="1" x14ac:dyDescent="0.3">
      <c r="A41" s="83"/>
      <c r="B41" s="103"/>
      <c r="C41" s="157"/>
      <c r="F41" s="84"/>
      <c r="G41" s="291"/>
      <c r="H41" s="157"/>
      <c r="I41" s="157"/>
      <c r="J41" s="157"/>
      <c r="K41" s="468" t="str">
        <f>+IF(C13="","",TEXT(C13,0))</f>
        <v/>
      </c>
      <c r="L41" s="816"/>
      <c r="M41" s="817"/>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1"/>
    </row>
    <row r="42" spans="1:36" ht="18.600000000000001" customHeight="1" x14ac:dyDescent="0.3">
      <c r="A42" s="83"/>
      <c r="B42" s="103"/>
      <c r="C42" s="157"/>
      <c r="F42" s="84"/>
      <c r="G42" s="291"/>
      <c r="H42" s="157"/>
      <c r="I42" s="157"/>
      <c r="J42" s="157"/>
      <c r="K42" s="469"/>
      <c r="L42" s="811"/>
      <c r="M42" s="812"/>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1"/>
    </row>
    <row r="43" spans="1:36" ht="18.600000000000001" customHeight="1" x14ac:dyDescent="0.3">
      <c r="A43" s="83"/>
      <c r="B43" s="103"/>
      <c r="C43" s="157"/>
      <c r="F43" s="84"/>
      <c r="G43" s="291"/>
      <c r="H43" s="157"/>
      <c r="I43" s="157"/>
      <c r="J43" s="157"/>
      <c r="K43" s="469"/>
      <c r="L43" s="811"/>
      <c r="M43" s="812"/>
      <c r="N43" s="157"/>
      <c r="O43" s="157"/>
      <c r="P43" s="157"/>
      <c r="Q43" s="83"/>
      <c r="R43" s="83"/>
      <c r="S43" s="83"/>
      <c r="T43" s="83"/>
      <c r="U43" s="83"/>
      <c r="V43" s="83"/>
      <c r="W43" s="83"/>
      <c r="X43" s="155"/>
      <c r="Y43" s="155"/>
      <c r="Z43" s="155"/>
      <c r="AA43" s="155"/>
      <c r="AB43" s="155"/>
      <c r="AC43" s="155"/>
      <c r="AD43" s="155"/>
      <c r="AE43" s="155"/>
      <c r="AF43" s="155"/>
      <c r="AG43" s="155"/>
      <c r="AH43" s="155"/>
      <c r="AI43" s="83"/>
      <c r="AJ43" s="351"/>
    </row>
    <row r="44" spans="1:36" ht="18.600000000000001" customHeight="1" x14ac:dyDescent="0.3">
      <c r="A44" s="83"/>
      <c r="B44" s="103"/>
      <c r="C44" s="157"/>
      <c r="F44" s="84"/>
      <c r="G44" s="291"/>
      <c r="H44" s="157"/>
      <c r="I44" s="157"/>
      <c r="J44" s="157"/>
      <c r="K44" s="469"/>
      <c r="L44" s="811"/>
      <c r="M44" s="812"/>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3">
      <c r="A45" s="83"/>
      <c r="B45" s="103"/>
      <c r="C45" s="157"/>
      <c r="F45" s="84"/>
      <c r="G45" s="291"/>
      <c r="H45" s="157"/>
      <c r="I45" s="157"/>
      <c r="J45" s="157"/>
      <c r="K45" s="469"/>
      <c r="L45" s="310"/>
      <c r="M45" s="287"/>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3">
      <c r="A46" s="83"/>
      <c r="B46" s="103"/>
      <c r="C46" s="157"/>
      <c r="F46" s="84"/>
      <c r="G46" s="291"/>
      <c r="H46" s="157"/>
      <c r="I46" s="157"/>
      <c r="J46" s="157"/>
      <c r="K46" s="469"/>
      <c r="L46" s="310"/>
      <c r="M46" s="287"/>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3">
      <c r="A47" s="83"/>
      <c r="B47" s="103"/>
      <c r="C47" s="157"/>
      <c r="F47" s="84"/>
      <c r="G47" s="291"/>
      <c r="H47" s="157"/>
      <c r="I47" s="157"/>
      <c r="J47" s="157"/>
      <c r="K47" s="469" t="str">
        <f>+IF(C19="","",TEXT(C19,0))</f>
        <v/>
      </c>
      <c r="L47" s="310"/>
      <c r="M47" s="287"/>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3">
      <c r="A48" s="83"/>
      <c r="B48" s="103"/>
      <c r="C48" s="157"/>
      <c r="F48" s="84"/>
      <c r="G48" s="291"/>
      <c r="H48" s="157"/>
      <c r="I48" s="157"/>
      <c r="J48" s="157"/>
      <c r="K48" s="469"/>
      <c r="L48" s="310"/>
      <c r="M48" s="287"/>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3">
      <c r="A49" s="83"/>
      <c r="B49" s="103"/>
      <c r="C49" s="157"/>
      <c r="F49" s="84"/>
      <c r="G49" s="291"/>
      <c r="H49" s="157"/>
      <c r="I49" s="157"/>
      <c r="J49" s="157"/>
      <c r="K49" s="469"/>
      <c r="L49" s="310"/>
      <c r="M49" s="287"/>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3">
      <c r="A50" s="83"/>
      <c r="B50" s="103"/>
      <c r="C50" s="157"/>
      <c r="F50" s="84"/>
      <c r="G50" s="291"/>
      <c r="H50" s="157"/>
      <c r="I50" s="157"/>
      <c r="J50" s="157"/>
      <c r="K50" s="469"/>
      <c r="L50" s="310"/>
      <c r="M50" s="287"/>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3">
      <c r="A51" s="83"/>
      <c r="B51" s="103"/>
      <c r="C51" s="157"/>
      <c r="F51" s="84"/>
      <c r="G51" s="291"/>
      <c r="H51" s="157"/>
      <c r="I51" s="157"/>
      <c r="J51" s="157"/>
      <c r="K51" s="469"/>
      <c r="L51" s="310"/>
      <c r="M51" s="287"/>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3">
      <c r="A52" s="83"/>
      <c r="B52" s="103"/>
      <c r="C52" s="157"/>
      <c r="F52" s="84"/>
      <c r="G52" s="291"/>
      <c r="H52" s="157"/>
      <c r="I52" s="157"/>
      <c r="J52" s="157"/>
      <c r="K52" s="469"/>
      <c r="L52" s="310"/>
      <c r="M52" s="287"/>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3">
      <c r="A53" s="83"/>
      <c r="B53" s="103"/>
      <c r="C53" s="157"/>
      <c r="F53" s="84"/>
      <c r="G53" s="291"/>
      <c r="H53" s="157"/>
      <c r="I53" s="157"/>
      <c r="J53" s="157"/>
      <c r="K53" s="470"/>
      <c r="L53" s="310"/>
      <c r="M53" s="287"/>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3">
      <c r="A54" s="83"/>
      <c r="B54" s="103"/>
      <c r="C54" s="157"/>
      <c r="F54" s="84"/>
      <c r="G54" s="291"/>
      <c r="H54" s="157"/>
      <c r="I54" s="157"/>
      <c r="J54" s="157"/>
      <c r="K54" s="470"/>
      <c r="L54" s="310"/>
      <c r="M54" s="287"/>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3">
      <c r="A55" s="83"/>
      <c r="B55" s="103"/>
      <c r="C55" s="157"/>
      <c r="F55" s="84"/>
      <c r="G55" s="291"/>
      <c r="H55" s="157"/>
      <c r="I55" s="157"/>
      <c r="J55" s="157"/>
      <c r="K55" s="470"/>
      <c r="L55" s="310"/>
      <c r="M55" s="287"/>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3">
      <c r="A56" s="83"/>
      <c r="B56" s="103"/>
      <c r="C56" s="157"/>
      <c r="F56" s="84"/>
      <c r="G56" s="291"/>
      <c r="H56" s="157"/>
      <c r="I56" s="157"/>
      <c r="J56" s="157"/>
      <c r="K56" s="470"/>
      <c r="L56" s="310"/>
      <c r="M56" s="287"/>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3">
      <c r="A57" s="83"/>
      <c r="B57" s="103"/>
      <c r="C57" s="157"/>
      <c r="D57" s="157"/>
      <c r="E57" s="157"/>
      <c r="F57" s="287"/>
      <c r="G57" s="291"/>
      <c r="H57" s="157"/>
      <c r="I57" s="157"/>
      <c r="J57" s="157"/>
      <c r="K57" s="470"/>
      <c r="L57" s="310"/>
      <c r="M57" s="287"/>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3">
      <c r="A58" s="83"/>
      <c r="B58" s="103"/>
      <c r="C58" s="157"/>
      <c r="D58" s="157"/>
      <c r="E58" s="157"/>
      <c r="F58" s="287"/>
      <c r="G58" s="291"/>
      <c r="H58" s="157"/>
      <c r="I58" s="157"/>
      <c r="J58" s="157"/>
      <c r="K58" s="470"/>
      <c r="L58" s="310"/>
      <c r="M58" s="287"/>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3">
      <c r="A59" s="83"/>
      <c r="B59" s="103"/>
      <c r="C59" s="157"/>
      <c r="D59" s="157"/>
      <c r="E59" s="157"/>
      <c r="F59" s="287"/>
      <c r="G59" s="291"/>
      <c r="H59" s="157"/>
      <c r="I59" s="157"/>
      <c r="J59" s="157"/>
      <c r="K59" s="470"/>
      <c r="L59" s="310"/>
      <c r="M59" s="287"/>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3">
      <c r="A60" s="83"/>
      <c r="B60" s="103"/>
      <c r="C60" s="157"/>
      <c r="D60" s="157"/>
      <c r="E60" s="157"/>
      <c r="F60" s="287"/>
      <c r="G60" s="291"/>
      <c r="H60" s="157"/>
      <c r="I60" s="157"/>
      <c r="J60" s="157"/>
      <c r="K60" s="470"/>
      <c r="L60" s="310"/>
      <c r="M60" s="287"/>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3">
      <c r="A61" s="83"/>
      <c r="B61" s="103"/>
      <c r="C61" s="157"/>
      <c r="D61" s="157"/>
      <c r="E61" s="157"/>
      <c r="F61" s="287"/>
      <c r="G61" s="291"/>
      <c r="H61" s="157"/>
      <c r="I61" s="157"/>
      <c r="J61" s="157"/>
      <c r="K61" s="470"/>
      <c r="L61" s="310"/>
      <c r="M61" s="287"/>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3">
      <c r="A62" s="83"/>
      <c r="B62" s="103"/>
      <c r="C62" s="157"/>
      <c r="D62" s="157"/>
      <c r="E62" s="157"/>
      <c r="F62" s="287"/>
      <c r="G62" s="291"/>
      <c r="H62" s="157"/>
      <c r="I62" s="157"/>
      <c r="J62" s="157"/>
      <c r="K62" s="470"/>
      <c r="L62" s="310"/>
      <c r="M62" s="287"/>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3">
      <c r="A63" s="83"/>
      <c r="B63" s="103"/>
      <c r="C63" s="157"/>
      <c r="D63" s="157"/>
      <c r="E63" s="157"/>
      <c r="F63" s="287"/>
      <c r="G63" s="291"/>
      <c r="H63" s="157"/>
      <c r="I63" s="157"/>
      <c r="J63" s="157"/>
      <c r="K63" s="470"/>
      <c r="L63" s="310"/>
      <c r="M63" s="287"/>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3">
      <c r="A64" s="83"/>
      <c r="B64" s="803" t="s">
        <v>749</v>
      </c>
      <c r="C64" s="804"/>
      <c r="D64" s="804"/>
      <c r="E64" s="804"/>
      <c r="F64" s="805"/>
      <c r="G64" s="88" t="s">
        <v>690</v>
      </c>
      <c r="H64" s="88" t="s">
        <v>359</v>
      </c>
      <c r="I64" s="813" t="s">
        <v>575</v>
      </c>
      <c r="J64" s="813"/>
      <c r="K64" s="470"/>
      <c r="L64" s="310"/>
      <c r="M64" s="287"/>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3">
      <c r="A65" s="83"/>
      <c r="B65" s="806"/>
      <c r="C65" s="807"/>
      <c r="D65" s="807"/>
      <c r="E65" s="807"/>
      <c r="F65" s="808"/>
      <c r="G65" s="490"/>
      <c r="H65" s="490"/>
      <c r="I65" s="814"/>
      <c r="J65" s="815"/>
      <c r="K65" s="471"/>
      <c r="L65" s="472"/>
      <c r="M65" s="288"/>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3">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3">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3">
      <c r="A68" s="83"/>
      <c r="G68" s="582"/>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3">
      <c r="A69" s="83"/>
      <c r="G69" s="582"/>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G5:H5"/>
    <mergeCell ref="O5:S5"/>
    <mergeCell ref="C3:F3"/>
    <mergeCell ref="G3:H3"/>
    <mergeCell ref="J3:M3"/>
    <mergeCell ref="O3:S3"/>
    <mergeCell ref="W3:AH3"/>
    <mergeCell ref="L41:M41"/>
    <mergeCell ref="C6:C7"/>
    <mergeCell ref="O6:S9"/>
    <mergeCell ref="C8:C9"/>
    <mergeCell ref="D8:D9"/>
    <mergeCell ref="E8:E9"/>
    <mergeCell ref="D11:J11"/>
    <mergeCell ref="K11:O11"/>
    <mergeCell ref="P11:R11"/>
    <mergeCell ref="P34:Q34"/>
    <mergeCell ref="B39:F39"/>
    <mergeCell ref="G39:J39"/>
    <mergeCell ref="K39:M39"/>
    <mergeCell ref="L40:M40"/>
    <mergeCell ref="D5:E5"/>
    <mergeCell ref="L42:M42"/>
    <mergeCell ref="L43:M43"/>
    <mergeCell ref="L44:M44"/>
    <mergeCell ref="B64:F65"/>
    <mergeCell ref="I64:J64"/>
    <mergeCell ref="I65:J65"/>
  </mergeCells>
  <dataValidations count="4">
    <dataValidation type="list" allowBlank="1" showInputMessage="1" showErrorMessage="1" sqref="F13:F34" xr:uid="{F76F3878-B5B1-45F6-88F7-487B1F89C2A3}">
      <formula1>Currency</formula1>
    </dataValidation>
    <dataValidation type="list" allowBlank="1" showInputMessage="1" showErrorMessage="1" sqref="G13:G34" xr:uid="{75F8B3DB-957B-4049-AEE7-F0929A6E19A4}">
      <formula1>Year</formula1>
    </dataValidation>
    <dataValidation type="list" allowBlank="1" showInputMessage="1" showErrorMessage="1" sqref="H13:H34" xr:uid="{3B4BA740-500F-44D7-AB7F-CD731C0C28A7}">
      <formula1>Location</formula1>
    </dataValidation>
    <dataValidation type="list" allowBlank="1" showInputMessage="1" showErrorMessage="1" sqref="E8:E9" xr:uid="{3504C511-885C-44E2-893D-1D0DBAB06D36}">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G7" sqref="G7"/>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514" t="s">
        <v>569</v>
      </c>
      <c r="C1" s="219"/>
      <c r="D1" s="83"/>
      <c r="E1" s="83"/>
      <c r="F1" s="83"/>
      <c r="G1" s="83"/>
      <c r="H1" s="83"/>
      <c r="I1" s="83"/>
      <c r="J1" s="83"/>
      <c r="K1" s="83"/>
      <c r="L1" s="83"/>
      <c r="M1" s="83"/>
      <c r="N1" s="83"/>
      <c r="O1" s="83"/>
    </row>
    <row r="2" spans="1:15" ht="24" customHeight="1" x14ac:dyDescent="0.3">
      <c r="B2" s="244"/>
      <c r="C2" s="244"/>
      <c r="D2" s="244"/>
      <c r="E2" s="244"/>
      <c r="F2" s="244"/>
      <c r="G2" s="244"/>
      <c r="H2" s="244"/>
      <c r="I2" s="360"/>
      <c r="J2" s="360"/>
      <c r="K2" s="360"/>
      <c r="L2" s="83"/>
      <c r="M2" s="83"/>
      <c r="N2" s="155"/>
      <c r="O2" s="155"/>
    </row>
    <row r="3" spans="1:15" ht="38.4" customHeight="1" x14ac:dyDescent="0.3">
      <c r="A3" s="83"/>
      <c r="B3" s="430" t="s">
        <v>457</v>
      </c>
      <c r="C3" s="431" t="s">
        <v>458</v>
      </c>
      <c r="D3" s="429" t="s">
        <v>658</v>
      </c>
      <c r="E3" s="429" t="s">
        <v>659</v>
      </c>
      <c r="F3" s="429" t="s">
        <v>683</v>
      </c>
      <c r="G3" s="429" t="s">
        <v>684</v>
      </c>
      <c r="H3" s="429" t="s">
        <v>440</v>
      </c>
      <c r="I3" s="155"/>
    </row>
    <row r="4" spans="1:15" ht="38.4" customHeight="1" x14ac:dyDescent="0.3">
      <c r="A4" s="83"/>
      <c r="B4" s="87" t="s">
        <v>668</v>
      </c>
      <c r="C4" s="406" t="s">
        <v>356</v>
      </c>
      <c r="D4" s="407" t="str">
        <f>+'Unit-100'!E6</f>
        <v>Unit 1</v>
      </c>
      <c r="E4" s="407" t="str">
        <f>+'Unit-200'!E6</f>
        <v>Unit 2</v>
      </c>
      <c r="F4" s="407" t="str">
        <f>+'Unit-300'!$E$6</f>
        <v>Unit 3</v>
      </c>
      <c r="G4" s="407" t="str">
        <f>+'Unit-400'!E6</f>
        <v>Unit 4</v>
      </c>
      <c r="H4" s="376" t="str">
        <f>+'Plant Overview'!E6</f>
        <v>Plant A</v>
      </c>
      <c r="I4" s="155"/>
    </row>
    <row r="5" spans="1:15" ht="38.4" customHeight="1" x14ac:dyDescent="0.3">
      <c r="A5" s="83"/>
      <c r="B5" s="405" t="s">
        <v>239</v>
      </c>
      <c r="C5" s="406" t="s">
        <v>356</v>
      </c>
      <c r="D5" s="377" t="s">
        <v>240</v>
      </c>
      <c r="E5" s="377" t="str">
        <f>+'Unit-200'!E7</f>
        <v>U-200</v>
      </c>
      <c r="F5" s="377" t="str">
        <f>+'Unit-300'!$E$7</f>
        <v>U-300</v>
      </c>
      <c r="G5" s="377" t="str">
        <f>+'Unit-400'!E7</f>
        <v>U-400</v>
      </c>
      <c r="H5" s="376" t="s">
        <v>585</v>
      </c>
      <c r="I5" s="155"/>
    </row>
    <row r="6" spans="1:15" ht="38.4" customHeight="1" thickBot="1" x14ac:dyDescent="0.35">
      <c r="A6" s="83"/>
      <c r="B6" s="233" t="s">
        <v>582</v>
      </c>
      <c r="C6" s="165" t="s">
        <v>583</v>
      </c>
      <c r="D6" s="384">
        <f ca="1">+'Unit-100'!S52+'Unit-100'!S53</f>
        <v>0</v>
      </c>
      <c r="E6" s="384">
        <f ca="1">+'Unit-200'!S52+'Unit-200'!S53</f>
        <v>0</v>
      </c>
      <c r="F6" s="384">
        <f ca="1">+'Unit-300'!$S$36</f>
        <v>0</v>
      </c>
      <c r="G6" s="384">
        <f ca="1">+'Unit-400'!S36</f>
        <v>0</v>
      </c>
      <c r="H6" s="385">
        <f ca="1">+SUM(Tabla71[[#This Row],[Item 1]:[Item 4]])</f>
        <v>0</v>
      </c>
      <c r="I6" s="155"/>
    </row>
    <row r="7" spans="1:15" ht="38.4" customHeight="1" thickTop="1" x14ac:dyDescent="0.3">
      <c r="A7" s="83"/>
      <c r="B7" s="246" t="s">
        <v>273</v>
      </c>
      <c r="C7" s="144" t="s">
        <v>652</v>
      </c>
      <c r="D7" s="385">
        <f ca="1">+D6*D18</f>
        <v>0</v>
      </c>
      <c r="E7" s="385">
        <f ca="1">+E6*E18</f>
        <v>0</v>
      </c>
      <c r="F7" s="385">
        <f ca="1">+F6*F18</f>
        <v>0</v>
      </c>
      <c r="G7" s="385">
        <f ca="1">+G6*G18</f>
        <v>0</v>
      </c>
      <c r="H7" s="385">
        <f ca="1">+SUM(Tabla71[[#This Row],[Item 1]:[Item 4]])</f>
        <v>0</v>
      </c>
      <c r="I7" s="155"/>
    </row>
    <row r="8" spans="1:15" ht="38.4" customHeight="1" x14ac:dyDescent="0.3">
      <c r="A8" s="83"/>
      <c r="B8" s="142" t="s">
        <v>274</v>
      </c>
      <c r="C8" s="145" t="s">
        <v>652</v>
      </c>
      <c r="D8" s="385">
        <f ca="1">+D19*D6</f>
        <v>0</v>
      </c>
      <c r="E8" s="385">
        <f ca="1">+E19*E6</f>
        <v>0</v>
      </c>
      <c r="F8" s="385">
        <f ca="1">+F19*F6</f>
        <v>0</v>
      </c>
      <c r="G8" s="385">
        <f ca="1">+G19*G6</f>
        <v>0</v>
      </c>
      <c r="H8" s="385">
        <f ca="1">+SUM(Tabla71[[#This Row],[Item 1]:[Item 4]])</f>
        <v>0</v>
      </c>
      <c r="I8" s="83"/>
    </row>
    <row r="9" spans="1:15" ht="38.4" customHeight="1" x14ac:dyDescent="0.3">
      <c r="A9" s="83"/>
      <c r="B9" s="142" t="s">
        <v>275</v>
      </c>
      <c r="C9" s="242" t="s">
        <v>653</v>
      </c>
      <c r="D9" s="385">
        <f ca="1">+D20*(D6+D7+D8)</f>
        <v>0</v>
      </c>
      <c r="E9" s="385">
        <f ca="1">+E20*(E6+E7+E8)</f>
        <v>0</v>
      </c>
      <c r="F9" s="385">
        <f ca="1">+F20*(F6+F7+F8)</f>
        <v>0</v>
      </c>
      <c r="G9" s="385">
        <f ca="1">+G20*(G6+G7+G8)</f>
        <v>0</v>
      </c>
      <c r="H9" s="385">
        <f ca="1">+SUM(Tabla71[[#This Row],[Item 1]:[Item 4]])</f>
        <v>0</v>
      </c>
      <c r="I9" s="83"/>
    </row>
    <row r="10" spans="1:15" ht="38.4" customHeight="1" x14ac:dyDescent="0.3">
      <c r="A10" s="83"/>
      <c r="B10" s="142" t="s">
        <v>276</v>
      </c>
      <c r="C10" s="143" t="s">
        <v>277</v>
      </c>
      <c r="D10" s="385">
        <f ca="1">+SUM(D8+D9)</f>
        <v>0</v>
      </c>
      <c r="E10" s="385">
        <f ca="1">+SUM(E8+E9)</f>
        <v>0</v>
      </c>
      <c r="F10" s="385">
        <f ca="1">+SUM(F8+F9)</f>
        <v>0</v>
      </c>
      <c r="G10" s="385">
        <f ca="1">+SUM(G8+G9)</f>
        <v>0</v>
      </c>
      <c r="H10" s="385">
        <f ca="1">+SUM(Tabla71[[#This Row],[Item 1]:[Item 4]])</f>
        <v>0</v>
      </c>
      <c r="I10" s="83"/>
    </row>
    <row r="11" spans="1:15" ht="38.4" customHeight="1" x14ac:dyDescent="0.3">
      <c r="A11" s="83"/>
      <c r="B11" s="142" t="s">
        <v>278</v>
      </c>
      <c r="C11" s="143" t="s">
        <v>279</v>
      </c>
      <c r="D11" s="385">
        <f ca="1">+D6+D7+D10</f>
        <v>0</v>
      </c>
      <c r="E11" s="385">
        <f ca="1">+E6+E7+E10</f>
        <v>0</v>
      </c>
      <c r="F11" s="385">
        <f ca="1">+F6+F7+F10</f>
        <v>0</v>
      </c>
      <c r="G11" s="385">
        <f ca="1">+G6+G7+G10</f>
        <v>0</v>
      </c>
      <c r="H11" s="385">
        <f ca="1">+SUM(Tabla71[[#This Row],[Item 1]:[Item 4]])</f>
        <v>0</v>
      </c>
      <c r="I11" s="83"/>
    </row>
    <row r="12" spans="1:15" ht="38.4" customHeight="1" x14ac:dyDescent="0.3">
      <c r="A12" s="83"/>
      <c r="B12" s="142" t="s">
        <v>280</v>
      </c>
      <c r="C12" s="143" t="s">
        <v>650</v>
      </c>
      <c r="D12" s="385">
        <f ca="1">+D11*D23</f>
        <v>0</v>
      </c>
      <c r="E12" s="385">
        <f ca="1">+E11*E23</f>
        <v>0</v>
      </c>
      <c r="F12" s="385">
        <f ca="1">+F11*F23</f>
        <v>0</v>
      </c>
      <c r="G12" s="385">
        <f ca="1">+G11*G23</f>
        <v>0</v>
      </c>
      <c r="H12" s="385">
        <f ca="1">+SUM(Tabla71[[#This Row],[Item 1]:[Item 4]])</f>
        <v>0</v>
      </c>
      <c r="I12" s="83"/>
    </row>
    <row r="13" spans="1:15" ht="38.4" customHeight="1" thickBot="1" x14ac:dyDescent="0.35">
      <c r="A13" s="83"/>
      <c r="B13" s="167" t="s">
        <v>281</v>
      </c>
      <c r="C13" s="168" t="s">
        <v>282</v>
      </c>
      <c r="D13" s="385">
        <f ca="1">+D11+D12</f>
        <v>0</v>
      </c>
      <c r="E13" s="385">
        <f ca="1">+E11+E12</f>
        <v>0</v>
      </c>
      <c r="F13" s="385">
        <f ca="1">+F11+F12</f>
        <v>0</v>
      </c>
      <c r="G13" s="385">
        <f ca="1">+G11+G12</f>
        <v>0</v>
      </c>
      <c r="H13" s="385">
        <f ca="1">+SUM(Tabla71[[#This Row],[Item 1]:[Item 4]])</f>
        <v>0</v>
      </c>
      <c r="I13" s="83"/>
    </row>
    <row r="14" spans="1:15" ht="38.4" customHeight="1" thickTop="1" x14ac:dyDescent="0.3">
      <c r="A14" s="83"/>
      <c r="B14" s="169" t="s">
        <v>283</v>
      </c>
      <c r="C14" s="144" t="s">
        <v>651</v>
      </c>
      <c r="D14" s="385">
        <f ca="1">+D13*D25</f>
        <v>0</v>
      </c>
      <c r="E14" s="385">
        <f ca="1">+E13*E25</f>
        <v>0</v>
      </c>
      <c r="F14" s="385">
        <f ca="1">+F13*F25</f>
        <v>0</v>
      </c>
      <c r="G14" s="385">
        <f ca="1">+G13*G25</f>
        <v>0</v>
      </c>
      <c r="H14" s="385">
        <f ca="1">+SUM(Tabla71[[#This Row],[Item 1]:[Item 4]])</f>
        <v>0</v>
      </c>
      <c r="I14" s="83"/>
    </row>
    <row r="15" spans="1:15" x14ac:dyDescent="0.3">
      <c r="A15" s="83"/>
      <c r="B15" s="83"/>
      <c r="C15" s="83"/>
      <c r="D15" s="213"/>
      <c r="E15" s="213"/>
      <c r="F15" s="213"/>
      <c r="G15" s="213"/>
      <c r="H15" s="213"/>
      <c r="M15" s="83"/>
      <c r="N15" s="83"/>
      <c r="O15" s="83"/>
    </row>
    <row r="16" spans="1:15" ht="38.4" customHeight="1" x14ac:dyDescent="0.3">
      <c r="A16" s="83"/>
      <c r="B16" s="430" t="s">
        <v>359</v>
      </c>
      <c r="C16" s="430" t="s">
        <v>458</v>
      </c>
      <c r="D16" s="448" t="s">
        <v>658</v>
      </c>
      <c r="E16" s="448" t="s">
        <v>659</v>
      </c>
      <c r="F16" s="448" t="s">
        <v>683</v>
      </c>
      <c r="G16" s="448" t="s">
        <v>684</v>
      </c>
      <c r="H16" s="157"/>
      <c r="I16" s="83"/>
      <c r="J16" s="83"/>
    </row>
    <row r="17" spans="1:15" ht="38.4" customHeight="1" x14ac:dyDescent="0.3">
      <c r="A17" s="83"/>
      <c r="B17" s="86" t="s">
        <v>271</v>
      </c>
      <c r="C17" s="86" t="s">
        <v>272</v>
      </c>
      <c r="D17" s="320" t="s">
        <v>354</v>
      </c>
      <c r="E17" s="320" t="s">
        <v>354</v>
      </c>
      <c r="F17" s="320" t="s">
        <v>354</v>
      </c>
      <c r="G17" s="320" t="s">
        <v>354</v>
      </c>
      <c r="H17" s="157"/>
      <c r="I17" s="83"/>
      <c r="J17" s="83"/>
    </row>
    <row r="18" spans="1:15" ht="38.4" customHeight="1" x14ac:dyDescent="0.3">
      <c r="A18" s="83"/>
      <c r="B18" s="467" t="s">
        <v>273</v>
      </c>
      <c r="C18" s="86" t="s">
        <v>652</v>
      </c>
      <c r="D18" s="403">
        <v>0.1</v>
      </c>
      <c r="E18" s="403">
        <v>0.1</v>
      </c>
      <c r="F18" s="403">
        <v>0.1</v>
      </c>
      <c r="G18" s="403">
        <v>0.1</v>
      </c>
      <c r="H18" s="157"/>
      <c r="I18" s="83"/>
      <c r="J18" s="83"/>
    </row>
    <row r="19" spans="1:15" ht="38.4" customHeight="1" x14ac:dyDescent="0.3">
      <c r="A19" s="83"/>
      <c r="B19" s="86" t="s">
        <v>274</v>
      </c>
      <c r="C19" s="86" t="s">
        <v>652</v>
      </c>
      <c r="D19" s="404">
        <v>0</v>
      </c>
      <c r="E19" s="404">
        <v>0</v>
      </c>
      <c r="F19" s="404">
        <v>0</v>
      </c>
      <c r="G19" s="404">
        <v>0</v>
      </c>
      <c r="H19" s="157"/>
      <c r="I19" s="83"/>
      <c r="J19" s="83"/>
    </row>
    <row r="20" spans="1:15" ht="38.4" customHeight="1" x14ac:dyDescent="0.3">
      <c r="A20" s="83"/>
      <c r="B20" s="86" t="s">
        <v>275</v>
      </c>
      <c r="C20" s="86" t="s">
        <v>653</v>
      </c>
      <c r="D20" s="404">
        <v>0.2</v>
      </c>
      <c r="E20" s="404">
        <v>0.2</v>
      </c>
      <c r="F20" s="404">
        <v>0.2</v>
      </c>
      <c r="G20" s="404">
        <v>0.2</v>
      </c>
      <c r="H20" s="157"/>
      <c r="I20" s="83"/>
      <c r="J20" s="83"/>
    </row>
    <row r="21" spans="1:15" ht="38.4" customHeight="1" x14ac:dyDescent="0.3">
      <c r="A21" s="83"/>
      <c r="B21" s="86" t="s">
        <v>276</v>
      </c>
      <c r="C21" s="86" t="s">
        <v>277</v>
      </c>
      <c r="D21" s="310" t="s">
        <v>354</v>
      </c>
      <c r="E21" s="310" t="s">
        <v>354</v>
      </c>
      <c r="F21" s="310" t="s">
        <v>354</v>
      </c>
      <c r="G21" s="310" t="s">
        <v>354</v>
      </c>
      <c r="H21" s="157"/>
      <c r="I21" s="83"/>
      <c r="J21" s="83"/>
    </row>
    <row r="22" spans="1:15" ht="38.4" customHeight="1" x14ac:dyDescent="0.3">
      <c r="A22" s="83"/>
      <c r="B22" s="86" t="s">
        <v>278</v>
      </c>
      <c r="C22" s="86" t="s">
        <v>279</v>
      </c>
      <c r="D22" s="310" t="s">
        <v>354</v>
      </c>
      <c r="E22" s="310" t="s">
        <v>354</v>
      </c>
      <c r="F22" s="310" t="s">
        <v>354</v>
      </c>
      <c r="G22" s="310" t="s">
        <v>354</v>
      </c>
      <c r="H22" s="157"/>
      <c r="I22" s="83"/>
      <c r="J22" s="83"/>
    </row>
    <row r="23" spans="1:15" ht="38.4" customHeight="1" x14ac:dyDescent="0.3">
      <c r="A23" s="83"/>
      <c r="B23" s="86" t="s">
        <v>280</v>
      </c>
      <c r="C23" s="86" t="s">
        <v>650</v>
      </c>
      <c r="D23" s="404">
        <v>0.15</v>
      </c>
      <c r="E23" s="404">
        <v>0.15</v>
      </c>
      <c r="F23" s="404">
        <v>0.15</v>
      </c>
      <c r="G23" s="404">
        <v>0.15</v>
      </c>
      <c r="H23" s="157"/>
      <c r="I23" s="83"/>
      <c r="J23" s="83"/>
    </row>
    <row r="24" spans="1:15" ht="38.4" customHeight="1" x14ac:dyDescent="0.3">
      <c r="A24" s="83"/>
      <c r="B24" s="86" t="s">
        <v>281</v>
      </c>
      <c r="C24" s="86" t="s">
        <v>282</v>
      </c>
      <c r="D24" s="310" t="s">
        <v>354</v>
      </c>
      <c r="E24" s="310" t="s">
        <v>354</v>
      </c>
      <c r="F24" s="310" t="s">
        <v>354</v>
      </c>
      <c r="G24" s="310" t="s">
        <v>354</v>
      </c>
      <c r="H24" s="157"/>
      <c r="I24" s="83"/>
      <c r="J24" s="83"/>
    </row>
    <row r="25" spans="1:15" ht="38.4" customHeight="1" x14ac:dyDescent="0.3">
      <c r="A25" s="83"/>
      <c r="B25" s="86" t="s">
        <v>283</v>
      </c>
      <c r="C25" s="86" t="s">
        <v>284</v>
      </c>
      <c r="D25" s="404">
        <v>1.1100000000000001</v>
      </c>
      <c r="E25" s="404">
        <v>1.1100000000000001</v>
      </c>
      <c r="F25" s="404">
        <v>1.1100000000000001</v>
      </c>
      <c r="G25" s="404">
        <v>1.1100000000000001</v>
      </c>
      <c r="H25" s="157"/>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821" t="s">
        <v>627</v>
      </c>
      <c r="C28" s="822"/>
      <c r="E28" s="243"/>
      <c r="G28" s="83"/>
      <c r="H28" s="83"/>
      <c r="I28" s="83"/>
      <c r="J28" s="83"/>
      <c r="K28" s="83"/>
      <c r="L28" s="83"/>
      <c r="M28" s="83"/>
      <c r="N28" s="83"/>
      <c r="O28" s="83"/>
    </row>
    <row r="29" spans="1:15" ht="36" customHeight="1" x14ac:dyDescent="0.3">
      <c r="A29" s="83"/>
      <c r="B29" s="395" t="s">
        <v>459</v>
      </c>
      <c r="C29" s="440" t="str">
        <f>+'Plant Overview'!E9</f>
        <v>€</v>
      </c>
      <c r="D29" s="445" t="s">
        <v>491</v>
      </c>
      <c r="E29" s="245"/>
      <c r="F29" s="83"/>
      <c r="G29" s="83"/>
      <c r="H29" s="83"/>
      <c r="I29" s="83"/>
      <c r="J29" s="83"/>
      <c r="K29" s="83"/>
      <c r="L29" s="83"/>
      <c r="M29" s="83"/>
      <c r="N29" s="83"/>
      <c r="O29" s="83"/>
    </row>
    <row r="30" spans="1:15" ht="36" customHeight="1" x14ac:dyDescent="0.3">
      <c r="A30" s="83"/>
      <c r="B30" s="441" t="s">
        <v>315</v>
      </c>
      <c r="C30" s="442">
        <f>+'Plant Overview'!E8</f>
        <v>2020</v>
      </c>
      <c r="D30" s="386"/>
      <c r="E30" s="83"/>
      <c r="F30" s="83"/>
      <c r="G30" s="83"/>
      <c r="H30" s="83"/>
      <c r="I30" s="83"/>
      <c r="J30" s="83"/>
      <c r="K30" s="83"/>
      <c r="L30" s="83"/>
      <c r="M30" s="83"/>
      <c r="N30" s="83"/>
      <c r="O30" s="83"/>
    </row>
    <row r="31" spans="1:15" ht="36" customHeight="1" x14ac:dyDescent="0.3">
      <c r="A31" s="83"/>
      <c r="B31" s="443" t="s">
        <v>472</v>
      </c>
      <c r="C31" s="444" t="str">
        <f>+'Plant Overview'!E7</f>
        <v>Western Europe</v>
      </c>
      <c r="D31" s="387"/>
      <c r="E31" s="83"/>
      <c r="F31" s="83"/>
      <c r="G31" s="83"/>
      <c r="H31" s="83"/>
      <c r="I31" s="83"/>
      <c r="J31" s="83"/>
      <c r="K31" s="83"/>
      <c r="L31" s="83"/>
      <c r="M31" s="83"/>
      <c r="N31" s="83"/>
      <c r="O31" s="83"/>
    </row>
    <row r="32" spans="1:15" ht="36" customHeight="1" x14ac:dyDescent="0.3">
      <c r="A32" s="83"/>
      <c r="B32" s="83"/>
      <c r="C32" s="157"/>
      <c r="D32" s="157"/>
      <c r="E32" s="83"/>
      <c r="F32" s="83"/>
      <c r="G32" s="83"/>
      <c r="H32" s="83"/>
      <c r="I32" s="83"/>
      <c r="J32" s="83"/>
      <c r="K32" s="83"/>
      <c r="L32" s="83"/>
      <c r="M32" s="83"/>
      <c r="N32" s="83"/>
      <c r="O32" s="83"/>
    </row>
    <row r="33" spans="1:15" ht="36" customHeight="1" x14ac:dyDescent="0.3">
      <c r="A33" s="83"/>
      <c r="B33" s="409" t="s">
        <v>588</v>
      </c>
      <c r="C33" s="410" t="str">
        <f>+"Total (M"&amp;C29&amp;")"</f>
        <v>Total (M€)</v>
      </c>
      <c r="D33" s="411" t="str">
        <f>+"Specific ("&amp;C29&amp;"/"&amp;'Plant Overview'!G32&amp;")"</f>
        <v>Specific (€/unit_P1)</v>
      </c>
      <c r="E33" s="83"/>
      <c r="F33" s="83"/>
      <c r="G33" s="83"/>
      <c r="H33" s="83"/>
      <c r="I33" s="83"/>
      <c r="J33" s="83"/>
      <c r="K33" s="83"/>
      <c r="L33" s="83"/>
      <c r="M33" s="83"/>
      <c r="N33" s="83"/>
      <c r="O33" s="83"/>
    </row>
    <row r="34" spans="1:15" ht="36" customHeight="1" x14ac:dyDescent="0.3">
      <c r="A34" s="83"/>
      <c r="B34" s="443" t="s">
        <v>586</v>
      </c>
      <c r="C34" s="446">
        <f ca="1">+H13</f>
        <v>0</v>
      </c>
      <c r="D34" s="446" t="e">
        <f ca="1">+C34/'Cash Flow Analysis'!#REF!*1000</f>
        <v>#REF!</v>
      </c>
      <c r="E34" s="83"/>
      <c r="F34" s="83"/>
      <c r="G34" s="83"/>
      <c r="H34" s="83"/>
      <c r="I34" s="83"/>
      <c r="J34" s="83"/>
      <c r="K34" s="83"/>
      <c r="L34" s="83"/>
      <c r="M34" s="83"/>
      <c r="N34" s="83"/>
      <c r="O34" s="83"/>
    </row>
    <row r="35" spans="1:15" ht="36" customHeight="1" x14ac:dyDescent="0.3">
      <c r="A35" s="83"/>
      <c r="B35" s="443" t="s">
        <v>587</v>
      </c>
      <c r="C35" s="446">
        <f ca="1">+H14</f>
        <v>0</v>
      </c>
      <c r="D35" s="447" t="e">
        <f ca="1">+C35/'Cash Flow Analysis'!#REF!*1000</f>
        <v>#REF!</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591" t="s">
        <v>757</v>
      </c>
      <c r="C37" s="352" t="s">
        <v>590</v>
      </c>
      <c r="D37" s="219"/>
      <c r="E37" s="83"/>
      <c r="F37" s="83"/>
      <c r="G37" s="83"/>
      <c r="H37" s="83"/>
      <c r="I37" s="83"/>
      <c r="J37" s="83"/>
      <c r="K37" s="83"/>
      <c r="L37" s="83"/>
      <c r="M37" s="83"/>
      <c r="N37" s="83"/>
      <c r="O37" s="83"/>
    </row>
    <row r="38" spans="1:15" ht="36" customHeight="1" x14ac:dyDescent="0.3">
      <c r="A38" s="83"/>
      <c r="B38" s="592"/>
      <c r="C38" s="247" t="s">
        <v>591</v>
      </c>
      <c r="D38" s="219"/>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ignoredErrors>
    <ignoredError sqref="H4:H14 E4:E12 E14" calculatedColumn="1"/>
    <ignoredError sqref="E13" formula="1" calculatedColumn="1"/>
    <ignoredError sqref="D13 F13:G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U19" sqref="U19"/>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s>
  <sheetData>
    <row r="1" spans="1:25" ht="21" customHeight="1" x14ac:dyDescent="0.3">
      <c r="H1"/>
    </row>
    <row r="2" spans="1:25" ht="21" customHeight="1" x14ac:dyDescent="0.3">
      <c r="A2" s="83"/>
      <c r="B2" s="823" t="s">
        <v>570</v>
      </c>
      <c r="C2" s="823"/>
      <c r="D2" s="83"/>
      <c r="E2" s="83"/>
      <c r="F2" s="83"/>
      <c r="G2" s="83"/>
      <c r="I2" s="83"/>
      <c r="J2" s="83"/>
      <c r="K2" s="83"/>
      <c r="L2" s="83"/>
      <c r="M2" s="83"/>
      <c r="N2" s="83"/>
      <c r="O2" s="83"/>
      <c r="P2" s="83"/>
      <c r="Q2" s="83"/>
      <c r="R2" s="83"/>
      <c r="S2" s="750" t="s">
        <v>639</v>
      </c>
      <c r="T2" s="751"/>
      <c r="U2" s="751"/>
      <c r="V2" s="751"/>
      <c r="W2" s="751"/>
      <c r="X2" s="751"/>
      <c r="Y2" s="752"/>
    </row>
    <row r="3" spans="1:25" ht="21" customHeight="1" x14ac:dyDescent="0.3">
      <c r="A3" s="83"/>
      <c r="B3" s="823"/>
      <c r="C3" s="823"/>
      <c r="D3" s="83"/>
      <c r="E3" s="83"/>
      <c r="F3" s="83"/>
      <c r="G3" s="83"/>
      <c r="I3" s="83"/>
      <c r="J3" s="372"/>
      <c r="K3" s="372"/>
      <c r="L3" s="372"/>
      <c r="M3" s="83"/>
      <c r="N3" s="83"/>
      <c r="O3" s="83"/>
      <c r="P3" s="753" t="s">
        <v>267</v>
      </c>
      <c r="Q3" s="754"/>
      <c r="T3" s="83"/>
      <c r="U3" s="83"/>
      <c r="V3" s="83"/>
    </row>
    <row r="4" spans="1:25" ht="21" customHeight="1" x14ac:dyDescent="0.3">
      <c r="A4" s="83"/>
      <c r="B4" s="830" t="s">
        <v>491</v>
      </c>
      <c r="C4" s="831"/>
      <c r="D4" s="83"/>
      <c r="E4" s="83"/>
      <c r="F4" s="221" t="s">
        <v>573</v>
      </c>
      <c r="G4" s="222" t="s">
        <v>574</v>
      </c>
      <c r="I4" s="83"/>
      <c r="J4" s="83"/>
      <c r="K4" s="214"/>
      <c r="L4" s="212"/>
      <c r="M4" s="209"/>
      <c r="N4" s="83"/>
      <c r="O4" s="83"/>
      <c r="P4" s="358"/>
      <c r="Q4" s="314" t="s">
        <v>262</v>
      </c>
      <c r="S4" s="116" t="s">
        <v>690</v>
      </c>
      <c r="T4" s="117" t="s">
        <v>359</v>
      </c>
      <c r="U4" s="796" t="s">
        <v>575</v>
      </c>
      <c r="V4" s="797"/>
      <c r="W4" s="797"/>
      <c r="X4" s="797"/>
      <c r="Y4" s="798"/>
    </row>
    <row r="5" spans="1:25" ht="21" customHeight="1" x14ac:dyDescent="0.3">
      <c r="A5" s="83"/>
      <c r="B5" s="832"/>
      <c r="C5" s="833"/>
      <c r="D5" s="83"/>
      <c r="E5" s="220" t="s">
        <v>454</v>
      </c>
      <c r="F5" s="219"/>
      <c r="G5" s="219"/>
      <c r="I5" s="83"/>
      <c r="J5" s="83"/>
      <c r="K5" s="209"/>
      <c r="L5" s="212"/>
      <c r="M5" s="209"/>
      <c r="N5" s="83"/>
      <c r="O5" s="83"/>
      <c r="P5" s="399"/>
      <c r="Q5" s="314" t="s">
        <v>263</v>
      </c>
      <c r="S5" s="489"/>
      <c r="T5" s="110"/>
      <c r="U5" s="789"/>
      <c r="V5" s="790"/>
      <c r="W5" s="790"/>
      <c r="X5" s="790"/>
      <c r="Y5" s="791"/>
    </row>
    <row r="6" spans="1:25" ht="21" customHeight="1" x14ac:dyDescent="0.3">
      <c r="A6" s="83"/>
      <c r="B6" s="830"/>
      <c r="C6" s="831"/>
      <c r="D6" s="83"/>
      <c r="E6" s="220" t="s">
        <v>572</v>
      </c>
      <c r="F6" s="219"/>
      <c r="G6" s="219"/>
      <c r="I6" s="83"/>
      <c r="J6" s="83"/>
      <c r="K6" s="366"/>
      <c r="L6" s="212"/>
      <c r="M6" s="209"/>
      <c r="N6" s="83"/>
      <c r="O6" s="83"/>
      <c r="P6" s="400"/>
      <c r="Q6" s="98" t="s">
        <v>264</v>
      </c>
      <c r="S6" s="489"/>
      <c r="T6" s="110"/>
      <c r="U6" s="789"/>
      <c r="V6" s="790"/>
      <c r="W6" s="790"/>
      <c r="X6" s="790"/>
      <c r="Y6" s="791"/>
    </row>
    <row r="7" spans="1:25" s="83" customFormat="1" ht="21" customHeight="1" x14ac:dyDescent="0.3">
      <c r="B7" s="834"/>
      <c r="C7" s="835"/>
      <c r="E7" s="220" t="s">
        <v>455</v>
      </c>
      <c r="F7" s="219"/>
      <c r="G7" s="219"/>
      <c r="K7" s="209"/>
      <c r="L7" s="212"/>
      <c r="M7" s="209"/>
      <c r="P7" s="401"/>
      <c r="Q7" s="300" t="s">
        <v>268</v>
      </c>
      <c r="S7" s="489"/>
      <c r="T7" s="110"/>
      <c r="U7" s="789"/>
      <c r="V7" s="790"/>
      <c r="W7" s="790"/>
      <c r="X7" s="790"/>
      <c r="Y7" s="791"/>
    </row>
    <row r="8" spans="1:25" s="83" customFormat="1" ht="21" customHeight="1" x14ac:dyDescent="0.3">
      <c r="B8" s="834"/>
      <c r="C8" s="835"/>
      <c r="E8" s="830" t="s">
        <v>732</v>
      </c>
      <c r="F8" s="836"/>
      <c r="G8" s="831"/>
      <c r="K8" s="209"/>
      <c r="L8" s="212"/>
      <c r="M8" s="209"/>
      <c r="S8" s="489"/>
      <c r="T8" s="110"/>
      <c r="U8" s="789"/>
      <c r="V8" s="790"/>
      <c r="W8" s="790"/>
      <c r="X8" s="790"/>
      <c r="Y8" s="791"/>
    </row>
    <row r="9" spans="1:25" ht="21" customHeight="1" x14ac:dyDescent="0.3">
      <c r="A9" s="83"/>
      <c r="B9" s="832"/>
      <c r="C9" s="833"/>
      <c r="D9" s="369"/>
      <c r="E9" s="832"/>
      <c r="F9" s="837"/>
      <c r="G9" s="833"/>
      <c r="I9" s="83"/>
      <c r="J9" s="209"/>
      <c r="K9" s="209"/>
      <c r="L9" s="209"/>
      <c r="M9" s="209"/>
      <c r="N9" s="83"/>
      <c r="O9" s="83"/>
      <c r="P9" s="234" t="s">
        <v>682</v>
      </c>
      <c r="Q9" s="300">
        <f>+'Cost Conversion'!L2</f>
        <v>1.1000000000000001</v>
      </c>
      <c r="S9" s="489"/>
      <c r="T9" s="110"/>
      <c r="U9" s="789"/>
      <c r="V9" s="790"/>
      <c r="W9" s="790"/>
      <c r="X9" s="790"/>
      <c r="Y9" s="791"/>
    </row>
    <row r="10" spans="1:25" ht="21" customHeight="1" x14ac:dyDescent="0.3">
      <c r="A10" s="83"/>
      <c r="B10" s="83"/>
      <c r="C10" s="83"/>
      <c r="D10" s="369"/>
      <c r="E10" s="83"/>
      <c r="F10" s="211"/>
      <c r="G10" s="83"/>
      <c r="I10" s="83"/>
      <c r="J10" s="209"/>
      <c r="K10" s="209"/>
      <c r="L10" s="209"/>
      <c r="M10" s="209"/>
      <c r="N10" s="83"/>
      <c r="O10" s="83"/>
      <c r="P10" s="234" t="s">
        <v>756</v>
      </c>
      <c r="Q10" s="86">
        <f>365.25*24</f>
        <v>8766</v>
      </c>
      <c r="T10" s="209"/>
      <c r="U10" s="209"/>
      <c r="V10" s="209"/>
    </row>
    <row r="11" spans="1:25" ht="21" customHeight="1" x14ac:dyDescent="0.3">
      <c r="A11" s="83"/>
      <c r="B11" s="83"/>
      <c r="C11" s="83"/>
      <c r="D11" s="369"/>
      <c r="E11" s="83"/>
      <c r="F11" s="211"/>
      <c r="G11" s="83"/>
      <c r="I11" s="83"/>
      <c r="J11" s="209"/>
      <c r="K11" s="209"/>
      <c r="L11" s="209"/>
      <c r="M11" s="209"/>
      <c r="N11" s="83"/>
      <c r="O11" s="83"/>
      <c r="T11" s="209"/>
      <c r="U11" s="209"/>
      <c r="V11" s="209"/>
    </row>
    <row r="12" spans="1:25" ht="21" customHeight="1" x14ac:dyDescent="0.3">
      <c r="A12" s="83"/>
      <c r="B12" s="83"/>
      <c r="C12" s="83"/>
      <c r="D12" s="369"/>
      <c r="E12" s="83"/>
      <c r="F12" s="211"/>
      <c r="G12" s="83"/>
      <c r="J12" s="209"/>
      <c r="K12" s="209"/>
      <c r="L12" s="209"/>
      <c r="M12" s="209"/>
      <c r="N12" s="83"/>
      <c r="O12" s="83"/>
      <c r="T12" s="209"/>
      <c r="U12" s="209"/>
      <c r="V12" s="209"/>
    </row>
    <row r="13" spans="1:25" ht="21" customHeight="1" x14ac:dyDescent="0.3">
      <c r="A13" s="83"/>
      <c r="B13" s="83"/>
      <c r="C13" s="83"/>
      <c r="D13" s="209"/>
      <c r="E13" s="209"/>
      <c r="F13" s="209"/>
      <c r="G13" s="209"/>
      <c r="I13" s="83"/>
      <c r="J13" s="216"/>
      <c r="K13" s="211"/>
      <c r="L13" s="83"/>
      <c r="M13" s="83"/>
      <c r="N13" s="83"/>
      <c r="O13" s="83"/>
      <c r="P13" s="209"/>
      <c r="Q13" s="209"/>
      <c r="R13" s="209"/>
      <c r="S13" s="209"/>
      <c r="T13" s="209"/>
      <c r="U13" s="209"/>
      <c r="V13" s="209"/>
    </row>
    <row r="14" spans="1:25" ht="21" customHeight="1" x14ac:dyDescent="0.3">
      <c r="A14" s="83"/>
      <c r="B14" s="827" t="s">
        <v>445</v>
      </c>
      <c r="C14" s="828"/>
      <c r="D14" s="828"/>
      <c r="E14" s="828"/>
      <c r="F14" s="828"/>
      <c r="G14" s="829"/>
      <c r="H14" s="176"/>
      <c r="I14" s="827" t="s">
        <v>699</v>
      </c>
      <c r="J14" s="828"/>
      <c r="K14" s="828"/>
      <c r="L14" s="828"/>
      <c r="M14" s="828"/>
      <c r="N14" s="829"/>
      <c r="O14" s="83"/>
      <c r="P14" s="750" t="s">
        <v>447</v>
      </c>
      <c r="Q14" s="751"/>
      <c r="R14" s="751"/>
      <c r="S14" s="751"/>
      <c r="T14" s="751"/>
      <c r="U14" s="752"/>
      <c r="V14" s="209"/>
      <c r="W14" s="171" t="str">
        <f>+B18</f>
        <v>Total FOM</v>
      </c>
    </row>
    <row r="15" spans="1:25" ht="21" customHeight="1" x14ac:dyDescent="0.3">
      <c r="A15" s="83"/>
      <c r="B15" s="449" t="s">
        <v>671</v>
      </c>
      <c r="C15" s="450" t="s">
        <v>662</v>
      </c>
      <c r="D15" s="449" t="s">
        <v>669</v>
      </c>
      <c r="E15" s="450" t="s">
        <v>571</v>
      </c>
      <c r="F15" s="449" t="s">
        <v>670</v>
      </c>
      <c r="G15" s="516" t="s">
        <v>708</v>
      </c>
      <c r="H15" s="370"/>
      <c r="I15" s="449" t="s">
        <v>671</v>
      </c>
      <c r="J15" s="450" t="s">
        <v>662</v>
      </c>
      <c r="K15" s="449" t="s">
        <v>669</v>
      </c>
      <c r="L15" s="450" t="s">
        <v>571</v>
      </c>
      <c r="M15" s="449" t="s">
        <v>670</v>
      </c>
      <c r="N15" s="451" t="s">
        <v>709</v>
      </c>
      <c r="O15" s="371"/>
      <c r="P15" s="452" t="s">
        <v>671</v>
      </c>
      <c r="Q15" s="453" t="s">
        <v>662</v>
      </c>
      <c r="R15" s="454" t="s">
        <v>669</v>
      </c>
      <c r="S15" s="453" t="s">
        <v>571</v>
      </c>
      <c r="T15" s="454" t="s">
        <v>670</v>
      </c>
      <c r="U15" s="455" t="s">
        <v>709</v>
      </c>
      <c r="V15" s="209"/>
      <c r="W15" s="171" t="str">
        <f>+I16</f>
        <v>Fuel 1</v>
      </c>
    </row>
    <row r="16" spans="1:25" ht="21" customHeight="1" x14ac:dyDescent="0.3">
      <c r="A16" s="83"/>
      <c r="B16" s="96" t="s">
        <v>658</v>
      </c>
      <c r="C16" s="96"/>
      <c r="D16" s="96"/>
      <c r="E16" s="96"/>
      <c r="F16" s="96"/>
      <c r="G16" s="149">
        <f>+C16*E16</f>
        <v>0</v>
      </c>
      <c r="H16" s="176"/>
      <c r="I16" s="96" t="str">
        <f>+'Plant Overview'!E71</f>
        <v>Fuel 1</v>
      </c>
      <c r="J16" s="96"/>
      <c r="K16" s="96"/>
      <c r="L16" s="96"/>
      <c r="M16" s="96"/>
      <c r="N16" s="397">
        <f>+J16*L16/10^6</f>
        <v>0</v>
      </c>
      <c r="O16" s="83"/>
      <c r="P16" s="96" t="str">
        <f>'Plant Overview'!E52</f>
        <v>Emissions 1</v>
      </c>
      <c r="Q16" s="96"/>
      <c r="R16" s="96"/>
      <c r="S16" s="96"/>
      <c r="T16" s="96"/>
      <c r="U16" s="149">
        <f>+Q16*S16/10^6</f>
        <v>0</v>
      </c>
      <c r="V16" s="209"/>
      <c r="W16" s="171" t="str">
        <f>+I17</f>
        <v>Fuel 2</v>
      </c>
    </row>
    <row r="17" spans="1:23" ht="21" customHeight="1" x14ac:dyDescent="0.35">
      <c r="A17" s="83"/>
      <c r="B17" s="96" t="s">
        <v>659</v>
      </c>
      <c r="C17" s="96"/>
      <c r="D17" s="96"/>
      <c r="E17" s="96"/>
      <c r="F17" s="96"/>
      <c r="G17" s="149">
        <f>+C17*E17</f>
        <v>0</v>
      </c>
      <c r="H17" s="215"/>
      <c r="I17" s="96" t="str">
        <f>+'Plant Overview'!E72</f>
        <v>Fuel 2</v>
      </c>
      <c r="J17" s="96"/>
      <c r="K17" s="96"/>
      <c r="L17" s="96"/>
      <c r="M17" s="96"/>
      <c r="N17" s="396">
        <f>+J17*L17/10^6</f>
        <v>0</v>
      </c>
      <c r="O17" s="83"/>
      <c r="P17" s="96" t="s">
        <v>658</v>
      </c>
      <c r="Q17" s="96"/>
      <c r="R17" s="96"/>
      <c r="S17" s="96"/>
      <c r="T17" s="96"/>
      <c r="U17" s="149">
        <f>+Q17*S17/10^6</f>
        <v>0</v>
      </c>
      <c r="V17" s="209"/>
      <c r="W17" s="171" t="str">
        <f>+P18</f>
        <v>Total VOM (exl. Fuel &amp; CO2 tax)</v>
      </c>
    </row>
    <row r="18" spans="1:23" ht="21" customHeight="1" x14ac:dyDescent="0.35">
      <c r="A18" s="83"/>
      <c r="B18" s="824" t="s">
        <v>446</v>
      </c>
      <c r="C18" s="825"/>
      <c r="D18" s="825"/>
      <c r="E18" s="825"/>
      <c r="F18" s="826"/>
      <c r="G18" s="396">
        <f>SUM(Tabla60[cost/year])</f>
        <v>0</v>
      </c>
      <c r="H18" s="215"/>
      <c r="I18" s="83"/>
      <c r="J18" s="83"/>
      <c r="K18" s="83"/>
      <c r="L18" s="209"/>
      <c r="M18" s="209"/>
      <c r="N18" s="209"/>
      <c r="O18" s="209"/>
      <c r="P18" s="824" t="s">
        <v>566</v>
      </c>
      <c r="Q18" s="825"/>
      <c r="R18" s="825"/>
      <c r="S18" s="825"/>
      <c r="T18" s="826"/>
      <c r="U18" s="398">
        <f>SUM(Tabla58[cost/year])-U16</f>
        <v>0</v>
      </c>
      <c r="V18" s="209"/>
    </row>
    <row r="19" spans="1:23" ht="21" customHeight="1" x14ac:dyDescent="0.3">
      <c r="A19" s="83"/>
      <c r="B19" s="204"/>
      <c r="C19" s="204"/>
      <c r="D19" s="204"/>
      <c r="E19" s="204"/>
      <c r="F19" s="204"/>
      <c r="G19" s="146"/>
      <c r="H19" s="176"/>
      <c r="I19" s="83"/>
      <c r="J19" s="83"/>
      <c r="K19" s="83"/>
      <c r="L19" s="209"/>
      <c r="M19" s="209"/>
      <c r="N19" s="209"/>
      <c r="O19" s="209"/>
      <c r="P19" s="824" t="s">
        <v>489</v>
      </c>
      <c r="Q19" s="825"/>
      <c r="R19" s="825"/>
      <c r="S19" s="825"/>
      <c r="T19" s="825"/>
      <c r="U19" s="396">
        <f>+U16</f>
        <v>0</v>
      </c>
      <c r="V19" s="209"/>
    </row>
    <row r="20" spans="1:23" ht="21" customHeight="1" x14ac:dyDescent="0.3">
      <c r="A20" s="83"/>
      <c r="H20" s="176"/>
      <c r="I20" s="83"/>
      <c r="J20" s="83"/>
      <c r="K20" s="83"/>
      <c r="L20" s="209"/>
      <c r="M20" s="209"/>
      <c r="N20" s="209"/>
      <c r="O20" s="209"/>
      <c r="P20" s="209"/>
      <c r="Q20" s="209"/>
      <c r="R20" s="209"/>
      <c r="S20" s="209"/>
      <c r="T20" s="209"/>
      <c r="U20" s="209"/>
      <c r="V20" s="209"/>
    </row>
    <row r="21" spans="1:23" ht="21" customHeight="1" x14ac:dyDescent="0.3">
      <c r="A21" s="83"/>
      <c r="H21" s="214"/>
      <c r="I21" s="83"/>
      <c r="J21" s="83"/>
      <c r="K21" s="83"/>
      <c r="L21" s="209"/>
      <c r="M21" s="209"/>
      <c r="N21" s="209"/>
      <c r="O21" s="209"/>
      <c r="P21" s="209"/>
      <c r="Q21" s="209"/>
      <c r="R21" s="209"/>
      <c r="S21" s="209"/>
      <c r="T21" s="209"/>
      <c r="U21" s="209"/>
      <c r="V21" s="209"/>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tabSelected="1" zoomScale="55" zoomScaleNormal="55" workbookViewId="0">
      <selection activeCell="G36" sqref="G36"/>
    </sheetView>
  </sheetViews>
  <sheetFormatPr defaultColWidth="11.109375" defaultRowHeight="14.4" x14ac:dyDescent="0.3"/>
  <cols>
    <col min="1" max="1" width="5" customWidth="1"/>
    <col min="2" max="2" width="31.21875" customWidth="1"/>
    <col min="3" max="6" width="10.77734375" customWidth="1"/>
    <col min="7" max="46" width="12.21875" customWidth="1"/>
    <col min="70" max="70" width="0" hidden="1" customWidth="1"/>
  </cols>
  <sheetData>
    <row r="1" spans="1:70" ht="25.95" customHeight="1" x14ac:dyDescent="0.3">
      <c r="B1" s="854" t="s">
        <v>579</v>
      </c>
      <c r="C1" s="855"/>
      <c r="D1" s="855"/>
      <c r="E1" s="856"/>
      <c r="G1" s="852" t="s">
        <v>490</v>
      </c>
      <c r="H1" s="853"/>
      <c r="I1" s="852" t="s">
        <v>579</v>
      </c>
      <c r="J1" s="853"/>
    </row>
    <row r="2" spans="1:70" ht="20.399999999999999" customHeight="1" x14ac:dyDescent="0.3">
      <c r="G2" s="520"/>
      <c r="H2" s="521"/>
      <c r="I2" s="270"/>
      <c r="J2" s="524"/>
      <c r="S2" s="213"/>
      <c r="T2" s="213"/>
      <c r="V2" s="213"/>
      <c r="BR2" t="s">
        <v>715</v>
      </c>
    </row>
    <row r="3" spans="1:70" ht="20.399999999999999" customHeight="1" x14ac:dyDescent="0.3">
      <c r="A3" s="83"/>
      <c r="B3" s="744" t="s">
        <v>808</v>
      </c>
      <c r="C3" s="745"/>
      <c r="D3" s="745"/>
      <c r="E3" s="749"/>
      <c r="F3" s="83"/>
      <c r="G3" s="522"/>
      <c r="H3" s="523"/>
      <c r="I3" s="307"/>
      <c r="J3" s="525"/>
      <c r="K3" s="83"/>
      <c r="S3" s="157"/>
      <c r="T3" s="157"/>
      <c r="U3" s="213"/>
      <c r="V3" s="157"/>
      <c r="W3" s="83"/>
      <c r="X3" s="83"/>
      <c r="Y3" s="83"/>
      <c r="Z3" s="83"/>
      <c r="AA3" s="83"/>
      <c r="AB3" s="83"/>
      <c r="AC3" s="83"/>
      <c r="AD3" s="83"/>
      <c r="AE3" s="83"/>
      <c r="AF3" s="83"/>
      <c r="AG3" s="83"/>
      <c r="AH3" s="83"/>
      <c r="AI3" s="83"/>
      <c r="AJ3" s="83"/>
      <c r="AK3" s="83"/>
      <c r="BR3" t="s">
        <v>660</v>
      </c>
    </row>
    <row r="4" spans="1:70" ht="20.399999999999999" customHeight="1" x14ac:dyDescent="0.3">
      <c r="A4" s="83"/>
      <c r="B4" s="857" t="s">
        <v>586</v>
      </c>
      <c r="C4" s="858"/>
      <c r="D4" s="533">
        <f ca="1">+'Plant CAPEX'!H13</f>
        <v>0</v>
      </c>
      <c r="E4" s="413" t="str">
        <f>+J7</f>
        <v>M€</v>
      </c>
      <c r="F4" s="83"/>
      <c r="K4" s="83"/>
      <c r="U4" s="157"/>
      <c r="V4" s="157"/>
      <c r="W4" s="83"/>
      <c r="X4" s="83"/>
      <c r="Y4" s="83"/>
      <c r="Z4" s="83"/>
      <c r="AA4" s="83"/>
      <c r="AB4" s="83"/>
      <c r="AC4" s="83"/>
      <c r="AD4" s="83"/>
      <c r="AE4" s="83"/>
      <c r="AF4" s="83"/>
      <c r="AG4" s="83"/>
      <c r="AH4" s="83"/>
      <c r="AI4" s="83"/>
      <c r="AJ4" s="83"/>
      <c r="AK4" s="83"/>
      <c r="BR4" t="s">
        <v>714</v>
      </c>
    </row>
    <row r="5" spans="1:70" ht="20.399999999999999" customHeight="1" x14ac:dyDescent="0.3">
      <c r="A5" s="83"/>
      <c r="B5" s="859" t="s">
        <v>454</v>
      </c>
      <c r="C5" s="860"/>
      <c r="D5" s="533">
        <f>+'Plant OPEX'!G18</f>
        <v>0</v>
      </c>
      <c r="E5" s="413" t="str">
        <f>+"M"&amp;'Plant Overview'!$E$9&amp;"/y"</f>
        <v>M€/y</v>
      </c>
      <c r="F5" s="83"/>
      <c r="G5" s="863" t="s">
        <v>722</v>
      </c>
      <c r="H5" s="863"/>
      <c r="I5" s="754" t="s">
        <v>660</v>
      </c>
      <c r="J5" s="755"/>
      <c r="K5" s="83"/>
      <c r="S5" s="157"/>
      <c r="T5" s="157"/>
      <c r="U5" s="157"/>
      <c r="V5" s="157"/>
      <c r="W5" s="83"/>
      <c r="X5" s="83"/>
      <c r="Y5" s="83"/>
      <c r="Z5" s="83"/>
      <c r="AA5" s="83"/>
      <c r="AB5" s="83"/>
      <c r="AC5" s="83"/>
      <c r="AD5" s="83"/>
      <c r="AE5" s="83"/>
      <c r="AF5" s="83"/>
      <c r="AG5" s="83"/>
      <c r="AH5" s="83"/>
      <c r="AI5" s="83"/>
      <c r="AJ5" s="83"/>
      <c r="AK5" s="83"/>
      <c r="BR5" t="s">
        <v>713</v>
      </c>
    </row>
    <row r="6" spans="1:70" ht="20.399999999999999" customHeight="1" x14ac:dyDescent="0.3">
      <c r="A6" s="83"/>
      <c r="B6" s="857" t="s">
        <v>455</v>
      </c>
      <c r="C6" s="858"/>
      <c r="D6" s="533">
        <f>+'Plant OPEX'!U18</f>
        <v>0</v>
      </c>
      <c r="E6" s="413" t="str">
        <f>+"M"&amp;'Plant Overview'!$E$9&amp;"/y"</f>
        <v>M€/y</v>
      </c>
      <c r="F6" s="83"/>
      <c r="G6" s="861" t="s">
        <v>660</v>
      </c>
      <c r="H6" s="862"/>
      <c r="I6" s="531">
        <f>+IF(I5="LCOP",D20,"-")</f>
        <v>1.5</v>
      </c>
      <c r="J6" s="526" t="str">
        <f>+'Plant Overview'!E9&amp;"/"&amp;'Plant Overview'!H32</f>
        <v>€/unit_P2</v>
      </c>
      <c r="K6" s="83"/>
      <c r="S6" s="157"/>
      <c r="T6" s="157"/>
      <c r="U6" s="157"/>
      <c r="V6" s="157"/>
      <c r="W6" s="83"/>
      <c r="X6" s="83"/>
      <c r="Y6" s="83"/>
      <c r="Z6" s="83"/>
      <c r="AA6" s="83"/>
      <c r="AB6" s="83"/>
      <c r="AC6" s="83"/>
      <c r="AD6" s="83"/>
      <c r="AE6" s="83"/>
      <c r="AF6" s="83"/>
      <c r="AG6" s="83"/>
      <c r="AH6" s="83"/>
      <c r="AI6" s="83"/>
      <c r="AJ6" s="83"/>
      <c r="AK6" s="83"/>
    </row>
    <row r="7" spans="1:70" ht="20.399999999999999" customHeight="1" x14ac:dyDescent="0.3">
      <c r="A7" s="83"/>
      <c r="B7" s="857" t="str">
        <f>+'Plant OPEX'!I16</f>
        <v>Fuel 1</v>
      </c>
      <c r="C7" s="858"/>
      <c r="D7" s="533">
        <f>+'Plant OPEX'!N16</f>
        <v>0</v>
      </c>
      <c r="E7" s="413" t="str">
        <f>+"M"&amp;'Plant Overview'!$E$9&amp;"/y"</f>
        <v>M€/y</v>
      </c>
      <c r="F7" s="83"/>
      <c r="G7" s="861" t="s">
        <v>713</v>
      </c>
      <c r="H7" s="862"/>
      <c r="I7" s="527"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399999999999999" customHeight="1" x14ac:dyDescent="0.3">
      <c r="A8" s="83"/>
      <c r="B8" s="859" t="s">
        <v>811</v>
      </c>
      <c r="C8" s="858"/>
      <c r="D8" s="533">
        <f>+'Plant OPEX'!U19</f>
        <v>0</v>
      </c>
      <c r="E8" s="413" t="str">
        <f>+"M"&amp;'Plant Overview'!$E$9&amp;"/y"</f>
        <v>M€/y</v>
      </c>
      <c r="F8" s="83"/>
      <c r="G8" s="861" t="s">
        <v>714</v>
      </c>
      <c r="H8" s="862"/>
      <c r="I8" s="530" t="str">
        <f>+IF(I5="IRR",D21,"-")</f>
        <v>-</v>
      </c>
      <c r="J8" s="463" t="str">
        <f>+E21</f>
        <v>%</v>
      </c>
      <c r="K8" s="83"/>
      <c r="S8" s="157"/>
      <c r="T8" s="157"/>
      <c r="U8" s="157"/>
      <c r="V8" s="157"/>
      <c r="W8" s="83"/>
      <c r="X8" s="83"/>
      <c r="Y8" s="83"/>
      <c r="Z8" s="83"/>
      <c r="AA8" s="83"/>
      <c r="AB8" s="83"/>
      <c r="AC8" s="83"/>
      <c r="AD8" s="83"/>
      <c r="AE8" s="83"/>
      <c r="AF8" s="83"/>
      <c r="AG8" s="83"/>
      <c r="AH8" s="83"/>
      <c r="AI8" s="83"/>
      <c r="AJ8" s="83"/>
      <c r="AK8" s="83"/>
    </row>
    <row r="9" spans="1:70" ht="20.399999999999999" customHeight="1" x14ac:dyDescent="0.3">
      <c r="A9" s="83"/>
      <c r="F9" s="83"/>
      <c r="G9" s="864" t="s">
        <v>719</v>
      </c>
      <c r="H9" s="865"/>
      <c r="I9" s="86" t="e" cm="1">
        <f t="array" aca="1" ref="I9" ca="1">+MATCH(TRUE,G38:AT38&gt;0,0)</f>
        <v>#N/A</v>
      </c>
      <c r="J9" s="86" t="s">
        <v>448</v>
      </c>
      <c r="K9" s="83"/>
      <c r="S9" s="157"/>
      <c r="T9" s="157"/>
      <c r="U9" s="157"/>
      <c r="V9" s="157"/>
      <c r="W9" s="83"/>
      <c r="X9" s="83"/>
      <c r="Y9" s="83"/>
      <c r="Z9" s="83"/>
      <c r="AA9" s="83"/>
      <c r="AB9" s="83"/>
      <c r="AC9" s="83"/>
      <c r="AD9" s="83"/>
      <c r="AE9" s="83"/>
      <c r="AF9" s="83"/>
      <c r="AG9" s="83"/>
      <c r="AH9" s="83"/>
      <c r="AI9" s="83"/>
      <c r="AJ9" s="83"/>
      <c r="AK9" s="83"/>
    </row>
    <row r="10" spans="1:70" ht="20.399999999999999" customHeight="1" x14ac:dyDescent="0.3">
      <c r="A10" s="83"/>
      <c r="B10" s="843" t="s">
        <v>631</v>
      </c>
      <c r="C10" s="844"/>
      <c r="D10" s="844"/>
      <c r="E10" s="845"/>
      <c r="F10" s="83"/>
      <c r="G10" s="864" t="s">
        <v>720</v>
      </c>
      <c r="H10" s="865"/>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399999999999999" customHeight="1" x14ac:dyDescent="0.3">
      <c r="A11" s="83"/>
      <c r="B11" s="839" t="s">
        <v>810</v>
      </c>
      <c r="C11" s="840"/>
      <c r="D11" s="96">
        <v>10</v>
      </c>
      <c r="E11" s="86" t="s">
        <v>448</v>
      </c>
      <c r="F11" s="83"/>
      <c r="G11" s="848" t="s">
        <v>678</v>
      </c>
      <c r="H11" s="849"/>
      <c r="I11" s="408" t="str">
        <f>+IF(I5="LCOP",IF(I15="","Ref.",((H16-H20)-(I16-I20))/(I15-H15)),"-")</f>
        <v>Ref.</v>
      </c>
      <c r="J11" s="86" t="str">
        <f>+'Plant Overview'!E9&amp;"/"&amp;'Plant Overview'!H52</f>
        <v>€/unit_E2</v>
      </c>
      <c r="K11" s="83"/>
      <c r="S11" s="157"/>
      <c r="T11" s="157"/>
      <c r="U11" s="157"/>
      <c r="V11" s="157"/>
      <c r="W11" s="83"/>
      <c r="X11" s="83"/>
      <c r="Y11" s="83"/>
      <c r="Z11" s="83"/>
      <c r="AA11" s="83"/>
      <c r="AB11" s="83"/>
      <c r="AC11" s="83"/>
      <c r="AD11" s="83"/>
      <c r="AE11" s="83"/>
      <c r="AF11" s="83"/>
      <c r="AG11" s="83"/>
      <c r="AH11" s="83"/>
      <c r="AI11" s="83"/>
      <c r="AJ11" s="83"/>
      <c r="AK11" s="83"/>
    </row>
    <row r="12" spans="1:70" ht="20.399999999999999" customHeight="1" x14ac:dyDescent="0.3">
      <c r="A12" s="83"/>
      <c r="B12" s="841" t="s">
        <v>812</v>
      </c>
      <c r="C12" s="842"/>
      <c r="D12" s="656">
        <v>0.35</v>
      </c>
      <c r="E12" s="413" t="s">
        <v>453</v>
      </c>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399999999999999" customHeight="1" x14ac:dyDescent="0.3">
      <c r="A13" s="83"/>
      <c r="B13" s="838" t="s">
        <v>809</v>
      </c>
      <c r="C13" s="838"/>
      <c r="D13" s="656">
        <v>0.05</v>
      </c>
      <c r="E13" s="413" t="s">
        <v>807</v>
      </c>
      <c r="F13" s="83"/>
      <c r="G13" s="843" t="s">
        <v>721</v>
      </c>
      <c r="H13" s="844"/>
      <c r="I13" s="844"/>
      <c r="J13" s="845"/>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399999999999999" customHeight="1" x14ac:dyDescent="0.3">
      <c r="A14" s="83"/>
      <c r="B14" s="838" t="s">
        <v>817</v>
      </c>
      <c r="C14" s="838"/>
      <c r="D14" s="656">
        <v>0.65</v>
      </c>
      <c r="E14" s="413" t="str">
        <f>+E13</f>
        <v>%TOC</v>
      </c>
      <c r="F14" s="83"/>
      <c r="G14" s="529"/>
      <c r="H14" s="532" t="str">
        <f>+'Plant Overview'!E6</f>
        <v>Plant A</v>
      </c>
      <c r="I14" s="423" t="s">
        <v>358</v>
      </c>
      <c r="J14" s="314"/>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399999999999999" customHeight="1" x14ac:dyDescent="0.3">
      <c r="A15" s="83"/>
      <c r="B15" s="838" t="s">
        <v>456</v>
      </c>
      <c r="C15" s="838"/>
      <c r="D15" s="463">
        <v>0.85</v>
      </c>
      <c r="E15" s="86" t="s">
        <v>453</v>
      </c>
      <c r="F15" s="83"/>
      <c r="G15" s="87" t="s">
        <v>681</v>
      </c>
      <c r="H15" s="528" t="e">
        <f>+('Plant Overview'!F52/'Plant Overview'!I52)/('Plant Overview'!F32/'Plant Overview'!I32)</f>
        <v>#DIV/0!</v>
      </c>
      <c r="I15" s="528"/>
      <c r="J15" s="413" t="str">
        <f>+'Plant Overview'!H52&amp;"/"&amp;'Plant Overview'!H32</f>
        <v>unit_E2/unit_P2</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399999999999999" customHeight="1" x14ac:dyDescent="0.3">
      <c r="A16" s="83"/>
      <c r="B16" s="851" t="s">
        <v>630</v>
      </c>
      <c r="C16" s="851"/>
      <c r="D16" s="464">
        <v>25</v>
      </c>
      <c r="E16" s="86" t="s">
        <v>448</v>
      </c>
      <c r="F16" s="83"/>
      <c r="G16" s="87" t="str">
        <f>+G6</f>
        <v>LCOP</v>
      </c>
      <c r="H16" s="412" t="e">
        <f ca="1">+IF(I5="LCOP",SUM(H17:H22),"-")</f>
        <v>#DIV/0!</v>
      </c>
      <c r="I16" s="412"/>
      <c r="J16" s="413" t="str">
        <f>+J6</f>
        <v>€/unit_P2</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399999999999999" customHeight="1" x14ac:dyDescent="0.3">
      <c r="A17" s="83"/>
      <c r="B17" s="851" t="s">
        <v>438</v>
      </c>
      <c r="C17" s="851"/>
      <c r="D17" s="86">
        <v>4</v>
      </c>
      <c r="E17" s="86" t="s">
        <v>448</v>
      </c>
      <c r="F17" s="83"/>
      <c r="G17" s="177" t="str">
        <f>+B29</f>
        <v>Capital</v>
      </c>
      <c r="H17" s="382" t="e">
        <f ca="1">+IF(I5="LCOP",SUMPRODUCT(C29:AT29,C35:AT35)/SUMPRODUCT(C27:AT27,C35:AT35)*I6,"-")</f>
        <v>#DIV/0!</v>
      </c>
      <c r="I17" s="382"/>
      <c r="J17" s="534"/>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399999999999999" customHeight="1" x14ac:dyDescent="0.3">
      <c r="A18" s="83"/>
      <c r="F18" s="83"/>
      <c r="G18" s="99" t="str">
        <f>+B30</f>
        <v>FOM</v>
      </c>
      <c r="H18" s="383" t="e">
        <f>+IF(I5="LCOP",SUMPRODUCT(C30:AT30,C35:AT35)/SUMPRODUCT(C27:AT27,C35:AT35)*I6,"-")</f>
        <v>#DIV/0!</v>
      </c>
      <c r="I18" s="383"/>
      <c r="J18" s="535"/>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843" t="s">
        <v>718</v>
      </c>
      <c r="C19" s="844"/>
      <c r="D19" s="844"/>
      <c r="E19" s="845"/>
      <c r="F19" s="83"/>
      <c r="G19" s="99" t="str">
        <f>+B31</f>
        <v>VOM</v>
      </c>
      <c r="H19" s="383" t="e">
        <f>+IF(I5="LCOP",SUMPRODUCT(C31:AJ31,C35:AJ35)/SUMPRODUCT(C27:AJ27,C35:AJ35)*I6,"-")</f>
        <v>#DIV/0!</v>
      </c>
      <c r="I19" s="383"/>
      <c r="J19" s="535"/>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850" t="s">
        <v>716</v>
      </c>
      <c r="C20" s="850"/>
      <c r="D20" s="86">
        <v>1.5</v>
      </c>
      <c r="E20" s="86" t="str">
        <f>+J6</f>
        <v>€/unit_P2</v>
      </c>
      <c r="F20" s="83"/>
      <c r="G20" s="99" t="str">
        <f>+B34</f>
        <v>CO₂ tax</v>
      </c>
      <c r="H20" s="383" t="e">
        <f ca="1">+IF(I5="LCOP",SUMPRODUCT(C34:AT34,C37:AT37)/SUMPRODUCT(C27:AT27,C37:AT37)*I6,"-")</f>
        <v>#DIV/0!</v>
      </c>
      <c r="I20" s="383"/>
      <c r="J20" s="535"/>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838" t="s">
        <v>439</v>
      </c>
      <c r="C21" s="838"/>
      <c r="D21" s="465">
        <v>0.08</v>
      </c>
      <c r="E21" s="98" t="s">
        <v>453</v>
      </c>
      <c r="F21" s="83"/>
      <c r="G21" s="99" t="str">
        <f>+B32</f>
        <v>Fuel 1</v>
      </c>
      <c r="H21" s="383" t="e">
        <f ca="1">+IF(I5="LCOP",SUMPRODUCT(C32:AJ32,C37:AJ37)/SUMPRODUCT(C27:AJ27,C37:AJ37)*I6,"-")</f>
        <v>#DIV/0!</v>
      </c>
      <c r="I21" s="383"/>
      <c r="J21" s="535"/>
      <c r="K21" s="83"/>
      <c r="L21" s="83"/>
      <c r="M21" s="83"/>
      <c r="N21" s="83"/>
      <c r="O21" s="83"/>
      <c r="P21" s="83"/>
      <c r="Q21" s="83"/>
      <c r="R21" s="83"/>
      <c r="S21" s="155"/>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864" t="s">
        <v>717</v>
      </c>
      <c r="C22" s="865"/>
      <c r="D22" s="86" t="e">
        <f ca="1">HLOOKUP(D16,C24:AT39,16)</f>
        <v>#DIV/0!</v>
      </c>
      <c r="E22" s="86" t="str">
        <f>+E4</f>
        <v>M€</v>
      </c>
      <c r="F22" s="83"/>
      <c r="G22" s="170" t="str">
        <f>+B33</f>
        <v>Fuel 2</v>
      </c>
      <c r="H22" s="537" t="e">
        <f ca="1">+IF(I5="LCOP",SUMPRODUCT(C33:AT33,C37:AT37)/SUMPRODUCT(C27:AT27,C37:AT37)*I6,"-")</f>
        <v>#DIV/0!</v>
      </c>
      <c r="I22" s="537"/>
      <c r="J22" s="536"/>
      <c r="K22" s="83"/>
      <c r="P22" s="83"/>
      <c r="Q22" s="83"/>
      <c r="R22" s="83"/>
      <c r="S22" s="155"/>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row>
    <row r="24" spans="1:48" ht="20.399999999999999" customHeight="1" x14ac:dyDescent="0.3">
      <c r="A24" s="83"/>
      <c r="B24" s="439" t="s">
        <v>315</v>
      </c>
      <c r="C24" s="479">
        <v>-4</v>
      </c>
      <c r="D24" s="480">
        <v>-3</v>
      </c>
      <c r="E24" s="480">
        <v>-2</v>
      </c>
      <c r="F24" s="481">
        <v>-1</v>
      </c>
      <c r="G24" s="480">
        <v>1</v>
      </c>
      <c r="H24" s="480">
        <v>2</v>
      </c>
      <c r="I24" s="480">
        <v>3</v>
      </c>
      <c r="J24" s="480">
        <v>4</v>
      </c>
      <c r="K24" s="480">
        <v>5</v>
      </c>
      <c r="L24" s="480">
        <v>6</v>
      </c>
      <c r="M24" s="480">
        <v>7</v>
      </c>
      <c r="N24" s="480">
        <v>8</v>
      </c>
      <c r="O24" s="480">
        <v>9</v>
      </c>
      <c r="P24" s="480">
        <v>10</v>
      </c>
      <c r="Q24" s="480">
        <v>11</v>
      </c>
      <c r="R24" s="480">
        <v>12</v>
      </c>
      <c r="S24" s="480">
        <v>13</v>
      </c>
      <c r="T24" s="480">
        <v>14</v>
      </c>
      <c r="U24" s="480">
        <v>15</v>
      </c>
      <c r="V24" s="480">
        <v>16</v>
      </c>
      <c r="W24" s="480">
        <v>17</v>
      </c>
      <c r="X24" s="480">
        <v>18</v>
      </c>
      <c r="Y24" s="480">
        <v>19</v>
      </c>
      <c r="Z24" s="480">
        <v>20</v>
      </c>
      <c r="AA24" s="480">
        <v>21</v>
      </c>
      <c r="AB24" s="480">
        <v>22</v>
      </c>
      <c r="AC24" s="480">
        <v>23</v>
      </c>
      <c r="AD24" s="480">
        <v>24</v>
      </c>
      <c r="AE24" s="480">
        <v>25</v>
      </c>
      <c r="AF24" s="480">
        <v>26</v>
      </c>
      <c r="AG24" s="480">
        <v>27</v>
      </c>
      <c r="AH24" s="480">
        <v>28</v>
      </c>
      <c r="AI24" s="480">
        <v>29</v>
      </c>
      <c r="AJ24" s="480">
        <v>30</v>
      </c>
      <c r="AK24" s="480">
        <v>31</v>
      </c>
      <c r="AL24" s="480">
        <v>32</v>
      </c>
      <c r="AM24" s="480">
        <v>33</v>
      </c>
      <c r="AN24" s="480">
        <v>34</v>
      </c>
      <c r="AO24" s="480">
        <v>35</v>
      </c>
      <c r="AP24" s="480">
        <v>36</v>
      </c>
      <c r="AQ24" s="480">
        <v>37</v>
      </c>
      <c r="AR24" s="480">
        <v>38</v>
      </c>
      <c r="AS24" s="480">
        <v>39</v>
      </c>
      <c r="AT24" s="481">
        <v>40</v>
      </c>
      <c r="AU24" s="380"/>
      <c r="AV24" s="380"/>
    </row>
    <row r="25" spans="1:48" ht="20.399999999999999" customHeight="1" x14ac:dyDescent="0.3">
      <c r="A25" s="83"/>
      <c r="B25" s="477" t="s">
        <v>442</v>
      </c>
      <c r="C25" s="667"/>
      <c r="D25" s="478"/>
      <c r="E25" s="478"/>
      <c r="F25" s="668"/>
      <c r="G25" s="669">
        <f>+D14</f>
        <v>0.65</v>
      </c>
      <c r="H25" s="670">
        <f t="shared" ref="H25:AT25" si="0">+IF(H24&lt;=$D$16,$D$15,0)</f>
        <v>0.85</v>
      </c>
      <c r="I25" s="670">
        <f t="shared" si="0"/>
        <v>0.85</v>
      </c>
      <c r="J25" s="670">
        <f t="shared" si="0"/>
        <v>0.85</v>
      </c>
      <c r="K25" s="670">
        <f t="shared" si="0"/>
        <v>0.85</v>
      </c>
      <c r="L25" s="670">
        <f t="shared" si="0"/>
        <v>0.85</v>
      </c>
      <c r="M25" s="670">
        <f t="shared" si="0"/>
        <v>0.85</v>
      </c>
      <c r="N25" s="670">
        <f t="shared" si="0"/>
        <v>0.85</v>
      </c>
      <c r="O25" s="670">
        <f t="shared" si="0"/>
        <v>0.85</v>
      </c>
      <c r="P25" s="670">
        <f t="shared" si="0"/>
        <v>0.85</v>
      </c>
      <c r="Q25" s="670">
        <f t="shared" si="0"/>
        <v>0.85</v>
      </c>
      <c r="R25" s="670">
        <f t="shared" si="0"/>
        <v>0.85</v>
      </c>
      <c r="S25" s="670">
        <f t="shared" si="0"/>
        <v>0.85</v>
      </c>
      <c r="T25" s="670">
        <f t="shared" si="0"/>
        <v>0.85</v>
      </c>
      <c r="U25" s="670">
        <f t="shared" si="0"/>
        <v>0.85</v>
      </c>
      <c r="V25" s="670">
        <f t="shared" si="0"/>
        <v>0.85</v>
      </c>
      <c r="W25" s="670">
        <f t="shared" si="0"/>
        <v>0.85</v>
      </c>
      <c r="X25" s="670">
        <f t="shared" si="0"/>
        <v>0.85</v>
      </c>
      <c r="Y25" s="670">
        <f t="shared" si="0"/>
        <v>0.85</v>
      </c>
      <c r="Z25" s="670">
        <f t="shared" si="0"/>
        <v>0.85</v>
      </c>
      <c r="AA25" s="670">
        <f t="shared" si="0"/>
        <v>0.85</v>
      </c>
      <c r="AB25" s="670">
        <f t="shared" si="0"/>
        <v>0.85</v>
      </c>
      <c r="AC25" s="670">
        <f t="shared" si="0"/>
        <v>0.85</v>
      </c>
      <c r="AD25" s="670">
        <f t="shared" si="0"/>
        <v>0.85</v>
      </c>
      <c r="AE25" s="670">
        <f t="shared" si="0"/>
        <v>0.85</v>
      </c>
      <c r="AF25" s="670">
        <f t="shared" si="0"/>
        <v>0</v>
      </c>
      <c r="AG25" s="670">
        <f t="shared" si="0"/>
        <v>0</v>
      </c>
      <c r="AH25" s="670">
        <f t="shared" si="0"/>
        <v>0</v>
      </c>
      <c r="AI25" s="670">
        <f t="shared" si="0"/>
        <v>0</v>
      </c>
      <c r="AJ25" s="670">
        <f t="shared" si="0"/>
        <v>0</v>
      </c>
      <c r="AK25" s="670">
        <f t="shared" si="0"/>
        <v>0</v>
      </c>
      <c r="AL25" s="670">
        <f t="shared" si="0"/>
        <v>0</v>
      </c>
      <c r="AM25" s="670">
        <f t="shared" si="0"/>
        <v>0</v>
      </c>
      <c r="AN25" s="670">
        <f t="shared" si="0"/>
        <v>0</v>
      </c>
      <c r="AO25" s="670">
        <f t="shared" si="0"/>
        <v>0</v>
      </c>
      <c r="AP25" s="670">
        <f t="shared" si="0"/>
        <v>0</v>
      </c>
      <c r="AQ25" s="670">
        <f t="shared" si="0"/>
        <v>0</v>
      </c>
      <c r="AR25" s="670">
        <f t="shared" si="0"/>
        <v>0</v>
      </c>
      <c r="AS25" s="670">
        <f t="shared" si="0"/>
        <v>0</v>
      </c>
      <c r="AT25" s="671">
        <f t="shared" si="0"/>
        <v>0</v>
      </c>
    </row>
    <row r="26" spans="1:48" ht="20.399999999999999" customHeight="1" x14ac:dyDescent="0.3">
      <c r="A26" s="83"/>
      <c r="B26" s="672" t="s">
        <v>441</v>
      </c>
      <c r="C26" s="91"/>
      <c r="F26" s="84"/>
      <c r="G26" s="91"/>
      <c r="AT26" s="84"/>
    </row>
    <row r="27" spans="1:48" ht="20.399999999999999" customHeight="1" x14ac:dyDescent="0.3">
      <c r="A27" s="83"/>
      <c r="B27" s="476" t="s">
        <v>661</v>
      </c>
      <c r="C27" s="436"/>
      <c r="D27" s="437"/>
      <c r="E27" s="437"/>
      <c r="F27" s="438"/>
      <c r="G27" s="517" t="e">
        <f>'Plant OPEX'!$Q$10*3600*G25*'Plant Overview'!$F$32/'Plant Overview'!$I$32*$D$20/10^6</f>
        <v>#DIV/0!</v>
      </c>
      <c r="H27" s="518" t="e">
        <f>'Plant OPEX'!$Q$10*3600*H25*'Plant Overview'!$F$32/'Plant Overview'!$I$32*$D$20/10^6</f>
        <v>#DIV/0!</v>
      </c>
      <c r="I27" s="518" t="e">
        <f>'Plant OPEX'!$Q$10*3600*I25*'Plant Overview'!$F$32/'Plant Overview'!$I$32*$D$20/10^6</f>
        <v>#DIV/0!</v>
      </c>
      <c r="J27" s="518" t="e">
        <f>'Plant OPEX'!$Q$10*3600*J25*'Plant Overview'!$F$32/'Plant Overview'!$I$32*$D$20/10^6</f>
        <v>#DIV/0!</v>
      </c>
      <c r="K27" s="518" t="e">
        <f>'Plant OPEX'!$Q$10*3600*K25*'Plant Overview'!$F$32/'Plant Overview'!$I$32*$D$20/10^6</f>
        <v>#DIV/0!</v>
      </c>
      <c r="L27" s="518" t="e">
        <f>'Plant OPEX'!$Q$10*3600*L25*'Plant Overview'!$F$32/'Plant Overview'!$I$32*$D$20/10^6</f>
        <v>#DIV/0!</v>
      </c>
      <c r="M27" s="518" t="e">
        <f>'Plant OPEX'!$Q$10*3600*M25*'Plant Overview'!$F$32/'Plant Overview'!$I$32*$D$20/10^6</f>
        <v>#DIV/0!</v>
      </c>
      <c r="N27" s="518" t="e">
        <f>'Plant OPEX'!$Q$10*3600*N25*'Plant Overview'!$F$32/'Plant Overview'!$I$32*$D$20/10^6</f>
        <v>#DIV/0!</v>
      </c>
      <c r="O27" s="518" t="e">
        <f>'Plant OPEX'!$Q$10*3600*O25*'Plant Overview'!$F$32/'Plant Overview'!$I$32*$D$20/10^6</f>
        <v>#DIV/0!</v>
      </c>
      <c r="P27" s="518" t="e">
        <f>'Plant OPEX'!$Q$10*3600*P25*'Plant Overview'!$F$32/'Plant Overview'!$I$32*$D$20/10^6</f>
        <v>#DIV/0!</v>
      </c>
      <c r="Q27" s="518" t="e">
        <f>'Plant OPEX'!$Q$10*3600*Q25*'Plant Overview'!$F$32/'Plant Overview'!$I$32*$D$20/10^6</f>
        <v>#DIV/0!</v>
      </c>
      <c r="R27" s="518" t="e">
        <f>'Plant OPEX'!$Q$10*3600*R25*'Plant Overview'!$F$32/'Plant Overview'!$I$32*$D$20/10^6</f>
        <v>#DIV/0!</v>
      </c>
      <c r="S27" s="518" t="e">
        <f>'Plant OPEX'!$Q$10*3600*S25*'Plant Overview'!$F$32/'Plant Overview'!$I$32*$D$20/10^6</f>
        <v>#DIV/0!</v>
      </c>
      <c r="T27" s="518" t="e">
        <f>'Plant OPEX'!$Q$10*3600*T25*'Plant Overview'!$F$32/'Plant Overview'!$I$32*$D$20/10^6</f>
        <v>#DIV/0!</v>
      </c>
      <c r="U27" s="518" t="e">
        <f>'Plant OPEX'!$Q$10*3600*U25*'Plant Overview'!$F$32/'Plant Overview'!$I$32*$D$20/10^6</f>
        <v>#DIV/0!</v>
      </c>
      <c r="V27" s="518" t="e">
        <f>'Plant OPEX'!$Q$10*3600*V25*'Plant Overview'!$F$32/'Plant Overview'!$I$32*$D$20/10^6</f>
        <v>#DIV/0!</v>
      </c>
      <c r="W27" s="518" t="e">
        <f>'Plant OPEX'!$Q$10*3600*W25*'Plant Overview'!$F$32/'Plant Overview'!$I$32*$D$20/10^6</f>
        <v>#DIV/0!</v>
      </c>
      <c r="X27" s="518" t="e">
        <f>'Plant OPEX'!$Q$10*3600*X25*'Plant Overview'!$F$32/'Plant Overview'!$I$32*$D$20/10^6</f>
        <v>#DIV/0!</v>
      </c>
      <c r="Y27" s="518" t="e">
        <f>'Plant OPEX'!$Q$10*3600*Y25*'Plant Overview'!$F$32/'Plant Overview'!$I$32*$D$20/10^6</f>
        <v>#DIV/0!</v>
      </c>
      <c r="Z27" s="518" t="e">
        <f>'Plant OPEX'!$Q$10*3600*Z25*'Plant Overview'!$F$32/'Plant Overview'!$I$32*$D$20/10^6</f>
        <v>#DIV/0!</v>
      </c>
      <c r="AA27" s="518" t="e">
        <f>'Plant OPEX'!$Q$10*3600*AA25*'Plant Overview'!$F$32/'Plant Overview'!$I$32*$D$20/10^6</f>
        <v>#DIV/0!</v>
      </c>
      <c r="AB27" s="518" t="e">
        <f>'Plant OPEX'!$Q$10*3600*AB25*'Plant Overview'!$F$32/'Plant Overview'!$I$32*$D$20/10^6</f>
        <v>#DIV/0!</v>
      </c>
      <c r="AC27" s="518" t="e">
        <f>'Plant OPEX'!$Q$10*3600*AC25*'Plant Overview'!$F$32/'Plant Overview'!$I$32*$D$20/10^6</f>
        <v>#DIV/0!</v>
      </c>
      <c r="AD27" s="518" t="e">
        <f>'Plant OPEX'!$Q$10*3600*AD25*'Plant Overview'!$F$32/'Plant Overview'!$I$32*$D$20/10^6</f>
        <v>#DIV/0!</v>
      </c>
      <c r="AE27" s="518" t="e">
        <f>'Plant OPEX'!$Q$10*3600*AE25*'Plant Overview'!$F$32/'Plant Overview'!$I$32*$D$20/10^6</f>
        <v>#DIV/0!</v>
      </c>
      <c r="AF27" s="518" t="e">
        <f>'Plant OPEX'!$Q$10*3600*AF25*'Plant Overview'!$F$32/'Plant Overview'!$I$32*$D$20/10^6</f>
        <v>#DIV/0!</v>
      </c>
      <c r="AG27" s="518" t="e">
        <f>'Plant OPEX'!$Q$10*3600*AG25*'Plant Overview'!$F$32/'Plant Overview'!$I$32*$D$20/10^6</f>
        <v>#DIV/0!</v>
      </c>
      <c r="AH27" s="518" t="e">
        <f>'Plant OPEX'!$Q$10*3600*AH25*'Plant Overview'!$F$32/'Plant Overview'!$I$32*$D$20/10^6</f>
        <v>#DIV/0!</v>
      </c>
      <c r="AI27" s="518" t="e">
        <f>'Plant OPEX'!$Q$10*3600*AI25*'Plant Overview'!$F$32/'Plant Overview'!$I$32*$D$20/10^6</f>
        <v>#DIV/0!</v>
      </c>
      <c r="AJ27" s="518" t="e">
        <f>'Plant OPEX'!$Q$10*3600*AJ25*'Plant Overview'!$F$32/'Plant Overview'!$I$32*$D$20/10^6</f>
        <v>#DIV/0!</v>
      </c>
      <c r="AK27" s="518" t="e">
        <f>'Plant OPEX'!$Q$10*3600*AK25*'Plant Overview'!$F$32/'Plant Overview'!$I$32*$D$20/10^6</f>
        <v>#DIV/0!</v>
      </c>
      <c r="AL27" s="518" t="e">
        <f>'Plant OPEX'!$Q$10*3600*AL25*'Plant Overview'!$F$32/'Plant Overview'!$I$32*$D$20/10^6</f>
        <v>#DIV/0!</v>
      </c>
      <c r="AM27" s="518" t="e">
        <f>'Plant OPEX'!$Q$10*3600*AM25*'Plant Overview'!$F$32/'Plant Overview'!$I$32*$D$20/10^6</f>
        <v>#DIV/0!</v>
      </c>
      <c r="AN27" s="518" t="e">
        <f>'Plant OPEX'!$Q$10*3600*AN25*'Plant Overview'!$F$32/'Plant Overview'!$I$32*$D$20/10^6</f>
        <v>#DIV/0!</v>
      </c>
      <c r="AO27" s="518" t="e">
        <f>'Plant OPEX'!$Q$10*3600*AO25*'Plant Overview'!$F$32/'Plant Overview'!$I$32*$D$20/10^6</f>
        <v>#DIV/0!</v>
      </c>
      <c r="AP27" s="518" t="e">
        <f>'Plant OPEX'!$Q$10*3600*AP25*'Plant Overview'!$F$32/'Plant Overview'!$I$32*$D$20/10^6</f>
        <v>#DIV/0!</v>
      </c>
      <c r="AQ27" s="518" t="e">
        <f>'Plant OPEX'!$Q$10*3600*AQ25*'Plant Overview'!$F$32/'Plant Overview'!$I$32*$D$20/10^6</f>
        <v>#DIV/0!</v>
      </c>
      <c r="AR27" s="518" t="e">
        <f>'Plant OPEX'!$Q$10*3600*AR25*'Plant Overview'!$F$32/'Plant Overview'!$I$32*$D$20/10^6</f>
        <v>#DIV/0!</v>
      </c>
      <c r="AS27" s="518" t="e">
        <f>'Plant OPEX'!$Q$10*3600*AS25*'Plant Overview'!$F$32/'Plant Overview'!$I$32*$D$20/10^6</f>
        <v>#DIV/0!</v>
      </c>
      <c r="AT27" s="519" t="e">
        <f>'Plant OPEX'!$Q$10*3600*AT25*'Plant Overview'!$F$32/'Plant Overview'!$I$32*$D$20/10^6</f>
        <v>#DIV/0!</v>
      </c>
    </row>
    <row r="28" spans="1:48" ht="20.399999999999999" customHeight="1" x14ac:dyDescent="0.3">
      <c r="A28" s="83"/>
      <c r="B28" s="515" t="s">
        <v>443</v>
      </c>
      <c r="C28" s="674"/>
      <c r="D28" s="432"/>
      <c r="E28" s="432"/>
      <c r="F28" s="675"/>
      <c r="G28" s="657"/>
      <c r="H28" s="432"/>
      <c r="I28" s="432"/>
      <c r="J28" s="432"/>
      <c r="K28" s="432"/>
      <c r="L28" s="432"/>
      <c r="M28" s="432"/>
      <c r="N28" s="432"/>
      <c r="O28" s="432"/>
      <c r="P28" s="432"/>
      <c r="Q28" s="432"/>
      <c r="R28" s="432"/>
      <c r="S28" s="432"/>
      <c r="T28" s="432"/>
      <c r="U28" s="432"/>
      <c r="V28" s="432"/>
      <c r="W28" s="432"/>
      <c r="X28" s="432"/>
      <c r="Y28" s="432"/>
      <c r="Z28" s="432"/>
      <c r="AA28" s="432"/>
      <c r="AB28" s="432"/>
      <c r="AC28" s="432"/>
      <c r="AD28" s="432"/>
      <c r="AE28" s="432"/>
      <c r="AF28" s="658"/>
      <c r="AG28" s="658"/>
      <c r="AH28" s="658"/>
      <c r="AI28" s="658"/>
      <c r="AJ28" s="658"/>
      <c r="AK28" s="659"/>
      <c r="AL28" s="660"/>
      <c r="AM28" s="660"/>
      <c r="AN28" s="660"/>
      <c r="AO28" s="660"/>
      <c r="AP28" s="660"/>
      <c r="AQ28" s="660"/>
      <c r="AR28" s="660"/>
      <c r="AS28" s="660"/>
      <c r="AT28" s="661"/>
    </row>
    <row r="29" spans="1:48" ht="20.399999999999999" customHeight="1" x14ac:dyDescent="0.3">
      <c r="A29" s="83"/>
      <c r="B29" s="474" t="s">
        <v>437</v>
      </c>
      <c r="C29" s="433">
        <f ca="1">IF($D$17&gt;3,$D$4/$D$17,0)</f>
        <v>0</v>
      </c>
      <c r="D29" s="434">
        <f ca="1">IF($D$17&gt;2,$D$4/$D$17,0)</f>
        <v>0</v>
      </c>
      <c r="E29" s="434">
        <f ca="1">IF($D$17&gt;1,$D$4/$D$17,0)</f>
        <v>0</v>
      </c>
      <c r="F29" s="435">
        <f ca="1">$D$4/$D$17</f>
        <v>0</v>
      </c>
      <c r="G29" s="433">
        <f>+IF(G24&lt;&gt;$D$16,0,$D$13*$D$4)</f>
        <v>0</v>
      </c>
      <c r="H29" s="434">
        <f>+IF(H24&lt;&gt;$D$16,0,$D$13*$D$4)</f>
        <v>0</v>
      </c>
      <c r="I29" s="434">
        <f t="shared" ref="I29:AE29" si="1">+IF(I24&lt;&gt;$D$16,0,$D$13*$D$4)</f>
        <v>0</v>
      </c>
      <c r="J29" s="434">
        <f t="shared" si="1"/>
        <v>0</v>
      </c>
      <c r="K29" s="434">
        <f t="shared" si="1"/>
        <v>0</v>
      </c>
      <c r="L29" s="434">
        <f t="shared" si="1"/>
        <v>0</v>
      </c>
      <c r="M29" s="434">
        <f t="shared" si="1"/>
        <v>0</v>
      </c>
      <c r="N29" s="434">
        <f t="shared" si="1"/>
        <v>0</v>
      </c>
      <c r="O29" s="434">
        <f t="shared" si="1"/>
        <v>0</v>
      </c>
      <c r="P29" s="434">
        <f t="shared" si="1"/>
        <v>0</v>
      </c>
      <c r="Q29" s="434">
        <f t="shared" si="1"/>
        <v>0</v>
      </c>
      <c r="R29" s="434">
        <f t="shared" si="1"/>
        <v>0</v>
      </c>
      <c r="S29" s="434">
        <f t="shared" si="1"/>
        <v>0</v>
      </c>
      <c r="T29" s="434">
        <f t="shared" si="1"/>
        <v>0</v>
      </c>
      <c r="U29" s="434">
        <f t="shared" si="1"/>
        <v>0</v>
      </c>
      <c r="V29" s="434">
        <f t="shared" si="1"/>
        <v>0</v>
      </c>
      <c r="W29" s="434">
        <f t="shared" si="1"/>
        <v>0</v>
      </c>
      <c r="X29" s="434">
        <f t="shared" si="1"/>
        <v>0</v>
      </c>
      <c r="Y29" s="434">
        <f t="shared" si="1"/>
        <v>0</v>
      </c>
      <c r="Z29" s="434">
        <f t="shared" si="1"/>
        <v>0</v>
      </c>
      <c r="AA29" s="434">
        <f t="shared" si="1"/>
        <v>0</v>
      </c>
      <c r="AB29" s="434">
        <f t="shared" si="1"/>
        <v>0</v>
      </c>
      <c r="AC29" s="434">
        <f t="shared" si="1"/>
        <v>0</v>
      </c>
      <c r="AD29" s="434">
        <f t="shared" si="1"/>
        <v>0</v>
      </c>
      <c r="AE29" s="434">
        <f t="shared" ca="1" si="1"/>
        <v>0</v>
      </c>
      <c r="AF29" s="434" t="str">
        <f t="shared" ref="AF29:AT29" si="2">+IF(AF24&lt;&gt;$D$16,"",$D$13*$D$4)</f>
        <v/>
      </c>
      <c r="AG29" s="434" t="str">
        <f t="shared" si="2"/>
        <v/>
      </c>
      <c r="AH29" s="434" t="str">
        <f t="shared" si="2"/>
        <v/>
      </c>
      <c r="AI29" s="434" t="str">
        <f t="shared" si="2"/>
        <v/>
      </c>
      <c r="AJ29" s="434" t="str">
        <f t="shared" si="2"/>
        <v/>
      </c>
      <c r="AK29" s="434" t="str">
        <f t="shared" si="2"/>
        <v/>
      </c>
      <c r="AL29" s="434" t="str">
        <f t="shared" si="2"/>
        <v/>
      </c>
      <c r="AM29" s="434" t="str">
        <f t="shared" si="2"/>
        <v/>
      </c>
      <c r="AN29" s="434" t="str">
        <f t="shared" si="2"/>
        <v/>
      </c>
      <c r="AO29" s="434" t="str">
        <f t="shared" si="2"/>
        <v/>
      </c>
      <c r="AP29" s="434" t="str">
        <f t="shared" si="2"/>
        <v/>
      </c>
      <c r="AQ29" s="434" t="str">
        <f t="shared" si="2"/>
        <v/>
      </c>
      <c r="AR29" s="434" t="str">
        <f t="shared" si="2"/>
        <v/>
      </c>
      <c r="AS29" s="434" t="str">
        <f t="shared" si="2"/>
        <v/>
      </c>
      <c r="AT29" s="435" t="str">
        <f t="shared" si="2"/>
        <v/>
      </c>
    </row>
    <row r="30" spans="1:48" ht="20.399999999999999" customHeight="1" x14ac:dyDescent="0.3">
      <c r="A30" s="83"/>
      <c r="B30" s="475" t="s">
        <v>454</v>
      </c>
      <c r="C30" s="433"/>
      <c r="D30" s="434"/>
      <c r="E30" s="434"/>
      <c r="F30" s="435"/>
      <c r="G30" s="482">
        <f>+$D$5</f>
        <v>0</v>
      </c>
      <c r="H30" s="673">
        <f t="shared" ref="H30:AT30" si="3">+IF(H24&lt;=$D$16,$D$5,0)</f>
        <v>0</v>
      </c>
      <c r="I30" s="673">
        <f t="shared" si="3"/>
        <v>0</v>
      </c>
      <c r="J30" s="673">
        <f t="shared" si="3"/>
        <v>0</v>
      </c>
      <c r="K30" s="673">
        <f t="shared" si="3"/>
        <v>0</v>
      </c>
      <c r="L30" s="673">
        <f t="shared" si="3"/>
        <v>0</v>
      </c>
      <c r="M30" s="673">
        <f t="shared" si="3"/>
        <v>0</v>
      </c>
      <c r="N30" s="673">
        <f t="shared" si="3"/>
        <v>0</v>
      </c>
      <c r="O30" s="673">
        <f t="shared" si="3"/>
        <v>0</v>
      </c>
      <c r="P30" s="673">
        <f t="shared" si="3"/>
        <v>0</v>
      </c>
      <c r="Q30" s="673">
        <f t="shared" si="3"/>
        <v>0</v>
      </c>
      <c r="R30" s="673">
        <f t="shared" si="3"/>
        <v>0</v>
      </c>
      <c r="S30" s="673">
        <f t="shared" si="3"/>
        <v>0</v>
      </c>
      <c r="T30" s="673">
        <f t="shared" si="3"/>
        <v>0</v>
      </c>
      <c r="U30" s="673">
        <f t="shared" si="3"/>
        <v>0</v>
      </c>
      <c r="V30" s="673">
        <f t="shared" si="3"/>
        <v>0</v>
      </c>
      <c r="W30" s="673">
        <f t="shared" si="3"/>
        <v>0</v>
      </c>
      <c r="X30" s="673">
        <f t="shared" si="3"/>
        <v>0</v>
      </c>
      <c r="Y30" s="673">
        <f t="shared" si="3"/>
        <v>0</v>
      </c>
      <c r="Z30" s="673">
        <f t="shared" si="3"/>
        <v>0</v>
      </c>
      <c r="AA30" s="673">
        <f t="shared" si="3"/>
        <v>0</v>
      </c>
      <c r="AB30" s="673">
        <f t="shared" si="3"/>
        <v>0</v>
      </c>
      <c r="AC30" s="673">
        <f t="shared" si="3"/>
        <v>0</v>
      </c>
      <c r="AD30" s="673">
        <f t="shared" si="3"/>
        <v>0</v>
      </c>
      <c r="AE30" s="673">
        <f t="shared" si="3"/>
        <v>0</v>
      </c>
      <c r="AF30" s="673">
        <f t="shared" si="3"/>
        <v>0</v>
      </c>
      <c r="AG30" s="673">
        <f t="shared" si="3"/>
        <v>0</v>
      </c>
      <c r="AH30" s="673">
        <f t="shared" si="3"/>
        <v>0</v>
      </c>
      <c r="AI30" s="673">
        <f t="shared" si="3"/>
        <v>0</v>
      </c>
      <c r="AJ30" s="673">
        <f t="shared" si="3"/>
        <v>0</v>
      </c>
      <c r="AK30" s="673">
        <f t="shared" si="3"/>
        <v>0</v>
      </c>
      <c r="AL30" s="673">
        <f t="shared" si="3"/>
        <v>0</v>
      </c>
      <c r="AM30" s="673">
        <f t="shared" si="3"/>
        <v>0</v>
      </c>
      <c r="AN30" s="673">
        <f t="shared" si="3"/>
        <v>0</v>
      </c>
      <c r="AO30" s="673">
        <f t="shared" si="3"/>
        <v>0</v>
      </c>
      <c r="AP30" s="673">
        <f t="shared" si="3"/>
        <v>0</v>
      </c>
      <c r="AQ30" s="673">
        <f t="shared" si="3"/>
        <v>0</v>
      </c>
      <c r="AR30" s="673">
        <f t="shared" si="3"/>
        <v>0</v>
      </c>
      <c r="AS30" s="673">
        <f t="shared" si="3"/>
        <v>0</v>
      </c>
      <c r="AT30" s="483">
        <f t="shared" si="3"/>
        <v>0</v>
      </c>
    </row>
    <row r="31" spans="1:48" ht="20.399999999999999" customHeight="1" x14ac:dyDescent="0.3">
      <c r="A31" s="83"/>
      <c r="B31" s="475" t="str">
        <f>+B6</f>
        <v>VOM</v>
      </c>
      <c r="C31" s="433"/>
      <c r="D31" s="434"/>
      <c r="E31" s="434"/>
      <c r="F31" s="435"/>
      <c r="G31" s="482">
        <f t="shared" ref="G31:AT31" si="4">+$D$6*G25</f>
        <v>0</v>
      </c>
      <c r="H31" s="673">
        <f t="shared" si="4"/>
        <v>0</v>
      </c>
      <c r="I31" s="673">
        <f t="shared" si="4"/>
        <v>0</v>
      </c>
      <c r="J31" s="673">
        <f t="shared" si="4"/>
        <v>0</v>
      </c>
      <c r="K31" s="673">
        <f t="shared" si="4"/>
        <v>0</v>
      </c>
      <c r="L31" s="673">
        <f t="shared" si="4"/>
        <v>0</v>
      </c>
      <c r="M31" s="673">
        <f t="shared" si="4"/>
        <v>0</v>
      </c>
      <c r="N31" s="673">
        <f t="shared" si="4"/>
        <v>0</v>
      </c>
      <c r="O31" s="673">
        <f t="shared" si="4"/>
        <v>0</v>
      </c>
      <c r="P31" s="673">
        <f t="shared" si="4"/>
        <v>0</v>
      </c>
      <c r="Q31" s="673">
        <f t="shared" si="4"/>
        <v>0</v>
      </c>
      <c r="R31" s="673">
        <f t="shared" si="4"/>
        <v>0</v>
      </c>
      <c r="S31" s="673">
        <f t="shared" si="4"/>
        <v>0</v>
      </c>
      <c r="T31" s="673">
        <f t="shared" si="4"/>
        <v>0</v>
      </c>
      <c r="U31" s="673">
        <f t="shared" si="4"/>
        <v>0</v>
      </c>
      <c r="V31" s="673">
        <f t="shared" si="4"/>
        <v>0</v>
      </c>
      <c r="W31" s="673">
        <f t="shared" si="4"/>
        <v>0</v>
      </c>
      <c r="X31" s="673">
        <f t="shared" si="4"/>
        <v>0</v>
      </c>
      <c r="Y31" s="673">
        <f t="shared" si="4"/>
        <v>0</v>
      </c>
      <c r="Z31" s="673">
        <f t="shared" si="4"/>
        <v>0</v>
      </c>
      <c r="AA31" s="673">
        <f t="shared" si="4"/>
        <v>0</v>
      </c>
      <c r="AB31" s="673">
        <f t="shared" si="4"/>
        <v>0</v>
      </c>
      <c r="AC31" s="673">
        <f t="shared" si="4"/>
        <v>0</v>
      </c>
      <c r="AD31" s="673">
        <f t="shared" si="4"/>
        <v>0</v>
      </c>
      <c r="AE31" s="673">
        <f t="shared" si="4"/>
        <v>0</v>
      </c>
      <c r="AF31" s="673">
        <f t="shared" si="4"/>
        <v>0</v>
      </c>
      <c r="AG31" s="673">
        <f t="shared" si="4"/>
        <v>0</v>
      </c>
      <c r="AH31" s="673">
        <f t="shared" si="4"/>
        <v>0</v>
      </c>
      <c r="AI31" s="673">
        <f t="shared" si="4"/>
        <v>0</v>
      </c>
      <c r="AJ31" s="673">
        <f t="shared" si="4"/>
        <v>0</v>
      </c>
      <c r="AK31" s="673">
        <f t="shared" si="4"/>
        <v>0</v>
      </c>
      <c r="AL31" s="673">
        <f t="shared" si="4"/>
        <v>0</v>
      </c>
      <c r="AM31" s="673">
        <f t="shared" si="4"/>
        <v>0</v>
      </c>
      <c r="AN31" s="673">
        <f t="shared" si="4"/>
        <v>0</v>
      </c>
      <c r="AO31" s="673">
        <f t="shared" si="4"/>
        <v>0</v>
      </c>
      <c r="AP31" s="673">
        <f t="shared" si="4"/>
        <v>0</v>
      </c>
      <c r="AQ31" s="673">
        <f t="shared" si="4"/>
        <v>0</v>
      </c>
      <c r="AR31" s="673">
        <f t="shared" si="4"/>
        <v>0</v>
      </c>
      <c r="AS31" s="673">
        <f t="shared" si="4"/>
        <v>0</v>
      </c>
      <c r="AT31" s="483">
        <f t="shared" si="4"/>
        <v>0</v>
      </c>
    </row>
    <row r="32" spans="1:48" ht="20.399999999999999" customHeight="1" x14ac:dyDescent="0.3">
      <c r="A32" s="83"/>
      <c r="B32" s="474" t="str">
        <f>+B7</f>
        <v>Fuel 1</v>
      </c>
      <c r="C32" s="433"/>
      <c r="D32" s="434"/>
      <c r="E32" s="434"/>
      <c r="F32" s="435"/>
      <c r="G32" s="482">
        <f t="shared" ref="G32:AT32" si="5">+$D$7*G25</f>
        <v>0</v>
      </c>
      <c r="H32" s="673">
        <f t="shared" si="5"/>
        <v>0</v>
      </c>
      <c r="I32" s="673">
        <f t="shared" si="5"/>
        <v>0</v>
      </c>
      <c r="J32" s="673">
        <f t="shared" si="5"/>
        <v>0</v>
      </c>
      <c r="K32" s="673">
        <f t="shared" si="5"/>
        <v>0</v>
      </c>
      <c r="L32" s="673">
        <f t="shared" si="5"/>
        <v>0</v>
      </c>
      <c r="M32" s="673">
        <f t="shared" si="5"/>
        <v>0</v>
      </c>
      <c r="N32" s="673">
        <f t="shared" si="5"/>
        <v>0</v>
      </c>
      <c r="O32" s="673">
        <f t="shared" si="5"/>
        <v>0</v>
      </c>
      <c r="P32" s="673">
        <f t="shared" si="5"/>
        <v>0</v>
      </c>
      <c r="Q32" s="673">
        <f t="shared" si="5"/>
        <v>0</v>
      </c>
      <c r="R32" s="673">
        <f t="shared" si="5"/>
        <v>0</v>
      </c>
      <c r="S32" s="673">
        <f t="shared" si="5"/>
        <v>0</v>
      </c>
      <c r="T32" s="673">
        <f t="shared" si="5"/>
        <v>0</v>
      </c>
      <c r="U32" s="673">
        <f t="shared" si="5"/>
        <v>0</v>
      </c>
      <c r="V32" s="673">
        <f t="shared" si="5"/>
        <v>0</v>
      </c>
      <c r="W32" s="673">
        <f t="shared" si="5"/>
        <v>0</v>
      </c>
      <c r="X32" s="673">
        <f t="shared" si="5"/>
        <v>0</v>
      </c>
      <c r="Y32" s="673">
        <f t="shared" si="5"/>
        <v>0</v>
      </c>
      <c r="Z32" s="673">
        <f t="shared" si="5"/>
        <v>0</v>
      </c>
      <c r="AA32" s="673">
        <f t="shared" si="5"/>
        <v>0</v>
      </c>
      <c r="AB32" s="673">
        <f t="shared" si="5"/>
        <v>0</v>
      </c>
      <c r="AC32" s="673">
        <f t="shared" si="5"/>
        <v>0</v>
      </c>
      <c r="AD32" s="673">
        <f t="shared" si="5"/>
        <v>0</v>
      </c>
      <c r="AE32" s="673">
        <f t="shared" si="5"/>
        <v>0</v>
      </c>
      <c r="AF32" s="673">
        <f t="shared" si="5"/>
        <v>0</v>
      </c>
      <c r="AG32" s="673">
        <f t="shared" si="5"/>
        <v>0</v>
      </c>
      <c r="AH32" s="673">
        <f t="shared" si="5"/>
        <v>0</v>
      </c>
      <c r="AI32" s="673">
        <f t="shared" si="5"/>
        <v>0</v>
      </c>
      <c r="AJ32" s="673">
        <f t="shared" si="5"/>
        <v>0</v>
      </c>
      <c r="AK32" s="673">
        <f t="shared" si="5"/>
        <v>0</v>
      </c>
      <c r="AL32" s="673">
        <f t="shared" si="5"/>
        <v>0</v>
      </c>
      <c r="AM32" s="673">
        <f t="shared" si="5"/>
        <v>0</v>
      </c>
      <c r="AN32" s="673">
        <f t="shared" si="5"/>
        <v>0</v>
      </c>
      <c r="AO32" s="673">
        <f t="shared" si="5"/>
        <v>0</v>
      </c>
      <c r="AP32" s="673">
        <f t="shared" si="5"/>
        <v>0</v>
      </c>
      <c r="AQ32" s="673">
        <f t="shared" si="5"/>
        <v>0</v>
      </c>
      <c r="AR32" s="673">
        <f t="shared" si="5"/>
        <v>0</v>
      </c>
      <c r="AS32" s="673">
        <f t="shared" si="5"/>
        <v>0</v>
      </c>
      <c r="AT32" s="483">
        <f t="shared" si="5"/>
        <v>0</v>
      </c>
    </row>
    <row r="33" spans="1:46" ht="20.399999999999999" customHeight="1" x14ac:dyDescent="0.3">
      <c r="A33" s="83"/>
      <c r="B33" s="474" t="str">
        <f>+'Plant OPEX'!I17</f>
        <v>Fuel 2</v>
      </c>
      <c r="C33" s="433"/>
      <c r="D33" s="434"/>
      <c r="E33" s="434"/>
      <c r="F33" s="435"/>
      <c r="G33" s="482">
        <f>+'Plant OPEX'!N17*G25</f>
        <v>0</v>
      </c>
      <c r="H33" s="673">
        <f>+'Plant OPEX'!$N$17*H25</f>
        <v>0</v>
      </c>
      <c r="I33" s="673">
        <f>+'Plant OPEX'!$N$17*I25</f>
        <v>0</v>
      </c>
      <c r="J33" s="673">
        <f>+'Plant OPEX'!$N$17*J25</f>
        <v>0</v>
      </c>
      <c r="K33" s="673">
        <f>+'Plant OPEX'!$N$17*K25</f>
        <v>0</v>
      </c>
      <c r="L33" s="673">
        <f>+'Plant OPEX'!$N$17*L25</f>
        <v>0</v>
      </c>
      <c r="M33" s="673">
        <f>+'Plant OPEX'!$N$17*M25</f>
        <v>0</v>
      </c>
      <c r="N33" s="673">
        <f>+'Plant OPEX'!$N$17*N25</f>
        <v>0</v>
      </c>
      <c r="O33" s="673">
        <f>+'Plant OPEX'!$N$17*O25</f>
        <v>0</v>
      </c>
      <c r="P33" s="673">
        <f>+'Plant OPEX'!$N$17*P25</f>
        <v>0</v>
      </c>
      <c r="Q33" s="673">
        <f>+'Plant OPEX'!$N$17*Q25</f>
        <v>0</v>
      </c>
      <c r="R33" s="673">
        <f>+'Plant OPEX'!$N$17*R25</f>
        <v>0</v>
      </c>
      <c r="S33" s="673">
        <f>+'Plant OPEX'!$N$17*S25</f>
        <v>0</v>
      </c>
      <c r="T33" s="673">
        <f>+'Plant OPEX'!$N$17*T25</f>
        <v>0</v>
      </c>
      <c r="U33" s="673">
        <f>+'Plant OPEX'!$N$17*U25</f>
        <v>0</v>
      </c>
      <c r="V33" s="673">
        <f>+'Plant OPEX'!$N$17*V25</f>
        <v>0</v>
      </c>
      <c r="W33" s="673">
        <f>+'Plant OPEX'!$N$17*W25</f>
        <v>0</v>
      </c>
      <c r="X33" s="673">
        <f>+'Plant OPEX'!$N$17*X25</f>
        <v>0</v>
      </c>
      <c r="Y33" s="673">
        <f>+'Plant OPEX'!$N$17*Y25</f>
        <v>0</v>
      </c>
      <c r="Z33" s="673">
        <f>+'Plant OPEX'!$N$17*Z25</f>
        <v>0</v>
      </c>
      <c r="AA33" s="673">
        <f>+'Plant OPEX'!$N$17*AA25</f>
        <v>0</v>
      </c>
      <c r="AB33" s="673">
        <f>+'Plant OPEX'!$N$17*AB25</f>
        <v>0</v>
      </c>
      <c r="AC33" s="673">
        <f>+'Plant OPEX'!$N$17*AC25</f>
        <v>0</v>
      </c>
      <c r="AD33" s="673">
        <f>+'Plant OPEX'!$N$17*AD25</f>
        <v>0</v>
      </c>
      <c r="AE33" s="673">
        <f>+'Plant OPEX'!$N$17*AE25</f>
        <v>0</v>
      </c>
      <c r="AF33" s="673">
        <f>+'Plant OPEX'!$N$17*AF25</f>
        <v>0</v>
      </c>
      <c r="AG33" s="673">
        <f>+'Plant OPEX'!$N$17*AG25</f>
        <v>0</v>
      </c>
      <c r="AH33" s="673">
        <f>+'Plant OPEX'!$N$17*AH25</f>
        <v>0</v>
      </c>
      <c r="AI33" s="673">
        <f>+'Plant OPEX'!$N$17*AI25</f>
        <v>0</v>
      </c>
      <c r="AJ33" s="673">
        <f>+'Plant OPEX'!$N$17*AJ25</f>
        <v>0</v>
      </c>
      <c r="AK33" s="673">
        <f>+'Plant OPEX'!$N$17*AK25</f>
        <v>0</v>
      </c>
      <c r="AL33" s="673">
        <f>+'Plant OPEX'!$N$17*AL25</f>
        <v>0</v>
      </c>
      <c r="AM33" s="673">
        <f>+'Plant OPEX'!$N$17*AM25</f>
        <v>0</v>
      </c>
      <c r="AN33" s="673">
        <f>+'Plant OPEX'!$N$17*AN25</f>
        <v>0</v>
      </c>
      <c r="AO33" s="673">
        <f>+'Plant OPEX'!$N$17*AO25</f>
        <v>0</v>
      </c>
      <c r="AP33" s="673">
        <f>+'Plant OPEX'!$N$17*AP25</f>
        <v>0</v>
      </c>
      <c r="AQ33" s="673">
        <f>+'Plant OPEX'!$N$17*AQ25</f>
        <v>0</v>
      </c>
      <c r="AR33" s="673">
        <f>+'Plant OPEX'!$N$17*AR25</f>
        <v>0</v>
      </c>
      <c r="AS33" s="673">
        <f>+'Plant OPEX'!$N$17*AS25</f>
        <v>0</v>
      </c>
      <c r="AT33" s="483">
        <f>+'Plant OPEX'!$N$17*AT25</f>
        <v>0</v>
      </c>
    </row>
    <row r="34" spans="1:46" ht="20.399999999999999" customHeight="1" x14ac:dyDescent="0.3">
      <c r="A34" s="83"/>
      <c r="B34" s="475" t="s">
        <v>814</v>
      </c>
      <c r="C34" s="436"/>
      <c r="D34" s="437"/>
      <c r="E34" s="437"/>
      <c r="F34" s="438"/>
      <c r="G34" s="517">
        <f>'Plant OPEX'!$U$19*'Cash Flow Analysis'!G25</f>
        <v>0</v>
      </c>
      <c r="H34" s="518">
        <f>'Plant OPEX'!$U$19*'Cash Flow Analysis'!H25</f>
        <v>0</v>
      </c>
      <c r="I34" s="518">
        <f>'Plant OPEX'!$U$19*'Cash Flow Analysis'!I25</f>
        <v>0</v>
      </c>
      <c r="J34" s="518">
        <f>'Plant OPEX'!$U$19*'Cash Flow Analysis'!J25</f>
        <v>0</v>
      </c>
      <c r="K34" s="518">
        <f>'Plant OPEX'!$U$19*'Cash Flow Analysis'!K25</f>
        <v>0</v>
      </c>
      <c r="L34" s="518">
        <f>'Plant OPEX'!$U$19*'Cash Flow Analysis'!L25</f>
        <v>0</v>
      </c>
      <c r="M34" s="518">
        <f>'Plant OPEX'!$U$19*'Cash Flow Analysis'!M25</f>
        <v>0</v>
      </c>
      <c r="N34" s="518">
        <f>'Plant OPEX'!$U$19*'Cash Flow Analysis'!N25</f>
        <v>0</v>
      </c>
      <c r="O34" s="518">
        <f>'Plant OPEX'!$U$19*'Cash Flow Analysis'!O25</f>
        <v>0</v>
      </c>
      <c r="P34" s="518">
        <f>'Plant OPEX'!$U$19*'Cash Flow Analysis'!P25</f>
        <v>0</v>
      </c>
      <c r="Q34" s="518">
        <f>'Plant OPEX'!$U$19*'Cash Flow Analysis'!Q25</f>
        <v>0</v>
      </c>
      <c r="R34" s="518">
        <f>'Plant OPEX'!$U$19*'Cash Flow Analysis'!R25</f>
        <v>0</v>
      </c>
      <c r="S34" s="518">
        <f>'Plant OPEX'!$U$19*'Cash Flow Analysis'!S25</f>
        <v>0</v>
      </c>
      <c r="T34" s="518">
        <f>'Plant OPEX'!$U$19*'Cash Flow Analysis'!T25</f>
        <v>0</v>
      </c>
      <c r="U34" s="518">
        <f>'Plant OPEX'!$U$19*'Cash Flow Analysis'!U25</f>
        <v>0</v>
      </c>
      <c r="V34" s="518">
        <f>'Plant OPEX'!$U$19*'Cash Flow Analysis'!V25</f>
        <v>0</v>
      </c>
      <c r="W34" s="518">
        <f>'Plant OPEX'!$U$19*'Cash Flow Analysis'!W25</f>
        <v>0</v>
      </c>
      <c r="X34" s="518">
        <f>'Plant OPEX'!$U$19*'Cash Flow Analysis'!X25</f>
        <v>0</v>
      </c>
      <c r="Y34" s="518">
        <f>'Plant OPEX'!$U$19*'Cash Flow Analysis'!Y25</f>
        <v>0</v>
      </c>
      <c r="Z34" s="518">
        <f>'Plant OPEX'!$U$19*'Cash Flow Analysis'!Z25</f>
        <v>0</v>
      </c>
      <c r="AA34" s="518">
        <f>'Plant OPEX'!$U$19*'Cash Flow Analysis'!AA25</f>
        <v>0</v>
      </c>
      <c r="AB34" s="518">
        <f>'Plant OPEX'!$U$19*'Cash Flow Analysis'!AB25</f>
        <v>0</v>
      </c>
      <c r="AC34" s="518">
        <f>'Plant OPEX'!$U$19*'Cash Flow Analysis'!AC25</f>
        <v>0</v>
      </c>
      <c r="AD34" s="518">
        <f>'Plant OPEX'!$U$19*'Cash Flow Analysis'!AD25</f>
        <v>0</v>
      </c>
      <c r="AE34" s="518">
        <f>'Plant OPEX'!$U$19*'Cash Flow Analysis'!AE25</f>
        <v>0</v>
      </c>
      <c r="AF34" s="518">
        <f>'Plant OPEX'!$U$19*'Cash Flow Analysis'!AF25</f>
        <v>0</v>
      </c>
      <c r="AG34" s="518">
        <f>'Plant OPEX'!$U$19*'Cash Flow Analysis'!AG25</f>
        <v>0</v>
      </c>
      <c r="AH34" s="518">
        <f>'Plant OPEX'!$U$19*'Cash Flow Analysis'!AH25</f>
        <v>0</v>
      </c>
      <c r="AI34" s="518">
        <f>'Plant OPEX'!$U$19*'Cash Flow Analysis'!AI25</f>
        <v>0</v>
      </c>
      <c r="AJ34" s="518">
        <f>'Plant OPEX'!$U$19*'Cash Flow Analysis'!AJ25</f>
        <v>0</v>
      </c>
      <c r="AK34" s="518">
        <f>'Plant OPEX'!$U$19*'Cash Flow Analysis'!AK25</f>
        <v>0</v>
      </c>
      <c r="AL34" s="518">
        <f>'Plant OPEX'!$U$19*'Cash Flow Analysis'!AL25</f>
        <v>0</v>
      </c>
      <c r="AM34" s="518">
        <f>'Plant OPEX'!$U$19*'Cash Flow Analysis'!AM25</f>
        <v>0</v>
      </c>
      <c r="AN34" s="518">
        <f>'Plant OPEX'!$U$19*'Cash Flow Analysis'!AN25</f>
        <v>0</v>
      </c>
      <c r="AO34" s="518">
        <f>'Plant OPEX'!$U$19*'Cash Flow Analysis'!AO25</f>
        <v>0</v>
      </c>
      <c r="AP34" s="518">
        <f>'Plant OPEX'!$U$19*'Cash Flow Analysis'!AP25</f>
        <v>0</v>
      </c>
      <c r="AQ34" s="518">
        <f>'Plant OPEX'!$U$19*'Cash Flow Analysis'!AQ25</f>
        <v>0</v>
      </c>
      <c r="AR34" s="518">
        <f>'Plant OPEX'!$U$19*'Cash Flow Analysis'!AR25</f>
        <v>0</v>
      </c>
      <c r="AS34" s="518">
        <f>'Plant OPEX'!$U$19*'Cash Flow Analysis'!AS25</f>
        <v>0</v>
      </c>
      <c r="AT34" s="519">
        <f>'Plant OPEX'!$U$19*'Cash Flow Analysis'!AT25</f>
        <v>0</v>
      </c>
    </row>
    <row r="35" spans="1:46" ht="20.399999999999999" customHeight="1" x14ac:dyDescent="0.3">
      <c r="A35" s="83"/>
      <c r="B35" s="672" t="s">
        <v>444</v>
      </c>
      <c r="C35" s="664">
        <f>+IF(C24=-D17,1,0)</f>
        <v>1</v>
      </c>
      <c r="D35" s="664">
        <f>IF(D24=-$D$17,1,IF(C35=0,0,C35/(1+$D$21)))</f>
        <v>0.92592592592592582</v>
      </c>
      <c r="E35" s="664">
        <f>IF(E24=-$D$17,1,IF(D35=0,0,D35/(1+$D$21)))</f>
        <v>0.8573388203017831</v>
      </c>
      <c r="F35" s="664">
        <f>IF(F24=-$D$17,1,IF(E35=0,0,E35/(1+$D$21)))</f>
        <v>0.79383224102016947</v>
      </c>
      <c r="G35" s="665">
        <f>F35/(1+$D$21)</f>
        <v>0.73502985279645316</v>
      </c>
      <c r="H35" s="664">
        <f t="shared" ref="H35:AT35" si="6">IF(H24&lt;=$D$16,G35/(1+$D$21),0)</f>
        <v>0.68058319703375292</v>
      </c>
      <c r="I35" s="664">
        <f t="shared" si="6"/>
        <v>0.63016962688310452</v>
      </c>
      <c r="J35" s="664">
        <f t="shared" si="6"/>
        <v>0.58349039526213375</v>
      </c>
      <c r="K35" s="664">
        <f t="shared" si="6"/>
        <v>0.54026888450197563</v>
      </c>
      <c r="L35" s="664">
        <f t="shared" si="6"/>
        <v>0.50024896713145883</v>
      </c>
      <c r="M35" s="664">
        <f t="shared" si="6"/>
        <v>0.46319348808468408</v>
      </c>
      <c r="N35" s="664">
        <f t="shared" si="6"/>
        <v>0.4288828593376704</v>
      </c>
      <c r="O35" s="664">
        <f t="shared" si="6"/>
        <v>0.39711375864599108</v>
      </c>
      <c r="P35" s="664">
        <f t="shared" si="6"/>
        <v>0.36769792467221396</v>
      </c>
      <c r="Q35" s="664">
        <f t="shared" si="6"/>
        <v>0.34046104136316108</v>
      </c>
      <c r="R35" s="664">
        <f t="shared" si="6"/>
        <v>0.31524170496588988</v>
      </c>
      <c r="S35" s="664">
        <f t="shared" si="6"/>
        <v>0.29189046756100911</v>
      </c>
      <c r="T35" s="664">
        <f t="shared" si="6"/>
        <v>0.27026895144537877</v>
      </c>
      <c r="U35" s="664">
        <f t="shared" si="6"/>
        <v>0.25024902911609143</v>
      </c>
      <c r="V35" s="664">
        <f t="shared" si="6"/>
        <v>0.23171206399638095</v>
      </c>
      <c r="W35" s="664">
        <f t="shared" si="6"/>
        <v>0.21454820740405642</v>
      </c>
      <c r="X35" s="664">
        <f t="shared" si="6"/>
        <v>0.19865574759634852</v>
      </c>
      <c r="Y35" s="664">
        <f t="shared" si="6"/>
        <v>0.18394050703365603</v>
      </c>
      <c r="Z35" s="664">
        <f t="shared" si="6"/>
        <v>0.17031528429042223</v>
      </c>
      <c r="AA35" s="664">
        <f t="shared" si="6"/>
        <v>0.15769933730594649</v>
      </c>
      <c r="AB35" s="664">
        <f t="shared" si="6"/>
        <v>0.14601790491291342</v>
      </c>
      <c r="AC35" s="664">
        <f t="shared" si="6"/>
        <v>0.13520176380825316</v>
      </c>
      <c r="AD35" s="664">
        <f t="shared" si="6"/>
        <v>0.12518681834097514</v>
      </c>
      <c r="AE35" s="664">
        <f t="shared" si="6"/>
        <v>0.11591372068608809</v>
      </c>
      <c r="AF35" s="664">
        <f t="shared" si="6"/>
        <v>0</v>
      </c>
      <c r="AG35" s="664">
        <f t="shared" si="6"/>
        <v>0</v>
      </c>
      <c r="AH35" s="664">
        <f t="shared" si="6"/>
        <v>0</v>
      </c>
      <c r="AI35" s="664">
        <f t="shared" si="6"/>
        <v>0</v>
      </c>
      <c r="AJ35" s="664">
        <f t="shared" si="6"/>
        <v>0</v>
      </c>
      <c r="AK35" s="664">
        <f t="shared" si="6"/>
        <v>0</v>
      </c>
      <c r="AL35" s="664">
        <f t="shared" si="6"/>
        <v>0</v>
      </c>
      <c r="AM35" s="664">
        <f t="shared" si="6"/>
        <v>0</v>
      </c>
      <c r="AN35" s="664">
        <f t="shared" si="6"/>
        <v>0</v>
      </c>
      <c r="AO35" s="664">
        <f t="shared" si="6"/>
        <v>0</v>
      </c>
      <c r="AP35" s="664">
        <f t="shared" si="6"/>
        <v>0</v>
      </c>
      <c r="AQ35" s="664">
        <f t="shared" si="6"/>
        <v>0</v>
      </c>
      <c r="AR35" s="664">
        <f t="shared" si="6"/>
        <v>0</v>
      </c>
      <c r="AS35" s="664">
        <f t="shared" si="6"/>
        <v>0</v>
      </c>
      <c r="AT35" s="666">
        <f t="shared" si="6"/>
        <v>0</v>
      </c>
    </row>
    <row r="36" spans="1:46" ht="20.399999999999999" customHeight="1" x14ac:dyDescent="0.3">
      <c r="A36" s="83"/>
      <c r="B36" s="662" t="s">
        <v>816</v>
      </c>
      <c r="C36" s="657">
        <f ca="1">C27-SUM(C29:C34)</f>
        <v>0</v>
      </c>
      <c r="D36" s="432">
        <f ca="1">D27-SUM(D29:D34)</f>
        <v>0</v>
      </c>
      <c r="E36" s="432">
        <f ca="1">E27-SUM(E29:E34)</f>
        <v>0</v>
      </c>
      <c r="F36" s="432">
        <f ca="1">F27-SUM(F29:F34)</f>
        <v>0</v>
      </c>
      <c r="G36" s="665" t="e">
        <f>+IF($I$5="LCOP",G27+G29-SUM(G30:G34),IF(G27+G29-SUM(G30:G34)-IF(G24&lt;=$D$11,1/$D$16*(1-$D$13)*$D$4,0)&gt;0,(G27+G29-SUM(G30:G34)-IF(G24&lt;=$D$11,1/$D$16*(1-$D$13)*$D$4,0))*(1-$D$12)+IF(G24&lt;=$D$11,1/$D$16*(1-$D$13)*$D$4,0),G27+G29-SUM(G30:G34)))</f>
        <v>#DIV/0!</v>
      </c>
      <c r="H36" s="664" t="e">
        <f>+IF($I$5="LCOP",H27+H29-SUM(H30:H34),IF(H27+H29-SUM(H30:H34)-IF(H24&lt;=$D$11,1/$D$16*(1-$D$13)*$D$4,0)&gt;0,(H27+H29-SUM(H30:H34)-IF(H24&lt;=$D$11,1/$D$16*(1-$D$13)*$D$4,0))*(1-$D$12)+IF(H24&lt;=$D$11,1/$D$16*(1-$D$13)*$D$4,0),H27+H29-SUM(H30:H34)))</f>
        <v>#DIV/0!</v>
      </c>
      <c r="I36" s="664" t="e">
        <f t="shared" ref="I36:AT36" si="7">+IF($I$5="LCOP",I27+I29-SUM(I30:I34),IF(I27+I29-SUM(I30:I34)-IF(I24&lt;=$D$11,1/$D$16*(1-$D$13)*$D$4,0)&gt;0,(I27+I29-SUM(I30:I34)-IF(I24&lt;=$D$11,1/$D$16*(1-$D$13)*$D$4,0))*(1-$D$12)+IF(I24&lt;=$D$11,1/$D$16*(1-$D$13)*$D$4,0),I27+I29-SUM(I30:I34)))</f>
        <v>#DIV/0!</v>
      </c>
      <c r="J36" s="664" t="e">
        <f t="shared" si="7"/>
        <v>#DIV/0!</v>
      </c>
      <c r="K36" s="664" t="e">
        <f t="shared" si="7"/>
        <v>#DIV/0!</v>
      </c>
      <c r="L36" s="664" t="e">
        <f t="shared" si="7"/>
        <v>#DIV/0!</v>
      </c>
      <c r="M36" s="664" t="e">
        <f t="shared" si="7"/>
        <v>#DIV/0!</v>
      </c>
      <c r="N36" s="664" t="e">
        <f t="shared" si="7"/>
        <v>#DIV/0!</v>
      </c>
      <c r="O36" s="664" t="e">
        <f t="shared" si="7"/>
        <v>#DIV/0!</v>
      </c>
      <c r="P36" s="664" t="e">
        <f t="shared" si="7"/>
        <v>#DIV/0!</v>
      </c>
      <c r="Q36" s="664" t="e">
        <f t="shared" si="7"/>
        <v>#DIV/0!</v>
      </c>
      <c r="R36" s="664" t="e">
        <f t="shared" si="7"/>
        <v>#DIV/0!</v>
      </c>
      <c r="S36" s="664" t="e">
        <f t="shared" si="7"/>
        <v>#DIV/0!</v>
      </c>
      <c r="T36" s="664" t="e">
        <f t="shared" si="7"/>
        <v>#DIV/0!</v>
      </c>
      <c r="U36" s="664" t="e">
        <f t="shared" si="7"/>
        <v>#DIV/0!</v>
      </c>
      <c r="V36" s="664" t="e">
        <f t="shared" si="7"/>
        <v>#DIV/0!</v>
      </c>
      <c r="W36" s="664" t="e">
        <f t="shared" si="7"/>
        <v>#DIV/0!</v>
      </c>
      <c r="X36" s="664" t="e">
        <f t="shared" si="7"/>
        <v>#DIV/0!</v>
      </c>
      <c r="Y36" s="664" t="e">
        <f t="shared" si="7"/>
        <v>#DIV/0!</v>
      </c>
      <c r="Z36" s="664" t="e">
        <f t="shared" si="7"/>
        <v>#DIV/0!</v>
      </c>
      <c r="AA36" s="664" t="e">
        <f t="shared" si="7"/>
        <v>#DIV/0!</v>
      </c>
      <c r="AB36" s="664" t="e">
        <f t="shared" si="7"/>
        <v>#DIV/0!</v>
      </c>
      <c r="AC36" s="664" t="e">
        <f t="shared" si="7"/>
        <v>#DIV/0!</v>
      </c>
      <c r="AD36" s="664" t="e">
        <f t="shared" si="7"/>
        <v>#DIV/0!</v>
      </c>
      <c r="AE36" s="664" t="e">
        <f t="shared" ca="1" si="7"/>
        <v>#DIV/0!</v>
      </c>
      <c r="AF36" s="664" t="e">
        <f t="shared" si="7"/>
        <v>#DIV/0!</v>
      </c>
      <c r="AG36" s="664" t="e">
        <f t="shared" si="7"/>
        <v>#DIV/0!</v>
      </c>
      <c r="AH36" s="664" t="e">
        <f t="shared" si="7"/>
        <v>#DIV/0!</v>
      </c>
      <c r="AI36" s="664" t="e">
        <f t="shared" si="7"/>
        <v>#DIV/0!</v>
      </c>
      <c r="AJ36" s="664" t="e">
        <f t="shared" si="7"/>
        <v>#DIV/0!</v>
      </c>
      <c r="AK36" s="664" t="e">
        <f t="shared" si="7"/>
        <v>#DIV/0!</v>
      </c>
      <c r="AL36" s="664" t="e">
        <f t="shared" si="7"/>
        <v>#DIV/0!</v>
      </c>
      <c r="AM36" s="664" t="e">
        <f t="shared" si="7"/>
        <v>#DIV/0!</v>
      </c>
      <c r="AN36" s="664" t="e">
        <f t="shared" si="7"/>
        <v>#DIV/0!</v>
      </c>
      <c r="AO36" s="664" t="e">
        <f t="shared" si="7"/>
        <v>#DIV/0!</v>
      </c>
      <c r="AP36" s="664" t="e">
        <f t="shared" si="7"/>
        <v>#DIV/0!</v>
      </c>
      <c r="AQ36" s="664" t="e">
        <f t="shared" si="7"/>
        <v>#DIV/0!</v>
      </c>
      <c r="AR36" s="664" t="e">
        <f t="shared" si="7"/>
        <v>#DIV/0!</v>
      </c>
      <c r="AS36" s="664" t="e">
        <f t="shared" si="7"/>
        <v>#DIV/0!</v>
      </c>
      <c r="AT36" s="666" t="e">
        <f t="shared" si="7"/>
        <v>#DIV/0!</v>
      </c>
    </row>
    <row r="37" spans="1:46" ht="20.399999999999999" customHeight="1" x14ac:dyDescent="0.3">
      <c r="A37" s="83"/>
      <c r="B37" s="662" t="s">
        <v>717</v>
      </c>
      <c r="C37" s="433">
        <f t="shared" ref="C37:AT37" ca="1" si="8">C36*C35</f>
        <v>0</v>
      </c>
      <c r="D37" s="434">
        <f t="shared" ca="1" si="8"/>
        <v>0</v>
      </c>
      <c r="E37" s="434">
        <f t="shared" ca="1" si="8"/>
        <v>0</v>
      </c>
      <c r="F37" s="434">
        <f t="shared" ca="1" si="8"/>
        <v>0</v>
      </c>
      <c r="G37" s="433" t="e">
        <f t="shared" si="8"/>
        <v>#DIV/0!</v>
      </c>
      <c r="H37" s="434" t="e">
        <f t="shared" si="8"/>
        <v>#DIV/0!</v>
      </c>
      <c r="I37" s="434" t="e">
        <f t="shared" si="8"/>
        <v>#DIV/0!</v>
      </c>
      <c r="J37" s="434" t="e">
        <f t="shared" si="8"/>
        <v>#DIV/0!</v>
      </c>
      <c r="K37" s="434" t="e">
        <f t="shared" si="8"/>
        <v>#DIV/0!</v>
      </c>
      <c r="L37" s="434" t="e">
        <f t="shared" si="8"/>
        <v>#DIV/0!</v>
      </c>
      <c r="M37" s="434" t="e">
        <f t="shared" si="8"/>
        <v>#DIV/0!</v>
      </c>
      <c r="N37" s="434" t="e">
        <f t="shared" si="8"/>
        <v>#DIV/0!</v>
      </c>
      <c r="O37" s="434" t="e">
        <f t="shared" si="8"/>
        <v>#DIV/0!</v>
      </c>
      <c r="P37" s="434" t="e">
        <f t="shared" si="8"/>
        <v>#DIV/0!</v>
      </c>
      <c r="Q37" s="434" t="e">
        <f t="shared" si="8"/>
        <v>#DIV/0!</v>
      </c>
      <c r="R37" s="434" t="e">
        <f t="shared" si="8"/>
        <v>#DIV/0!</v>
      </c>
      <c r="S37" s="434" t="e">
        <f t="shared" si="8"/>
        <v>#DIV/0!</v>
      </c>
      <c r="T37" s="434" t="e">
        <f t="shared" si="8"/>
        <v>#DIV/0!</v>
      </c>
      <c r="U37" s="434" t="e">
        <f t="shared" si="8"/>
        <v>#DIV/0!</v>
      </c>
      <c r="V37" s="434" t="e">
        <f t="shared" si="8"/>
        <v>#DIV/0!</v>
      </c>
      <c r="W37" s="434" t="e">
        <f t="shared" si="8"/>
        <v>#DIV/0!</v>
      </c>
      <c r="X37" s="434" t="e">
        <f t="shared" si="8"/>
        <v>#DIV/0!</v>
      </c>
      <c r="Y37" s="434" t="e">
        <f t="shared" si="8"/>
        <v>#DIV/0!</v>
      </c>
      <c r="Z37" s="434" t="e">
        <f t="shared" si="8"/>
        <v>#DIV/0!</v>
      </c>
      <c r="AA37" s="434" t="e">
        <f t="shared" si="8"/>
        <v>#DIV/0!</v>
      </c>
      <c r="AB37" s="434" t="e">
        <f t="shared" si="8"/>
        <v>#DIV/0!</v>
      </c>
      <c r="AC37" s="434" t="e">
        <f t="shared" si="8"/>
        <v>#DIV/0!</v>
      </c>
      <c r="AD37" s="434" t="e">
        <f t="shared" si="8"/>
        <v>#DIV/0!</v>
      </c>
      <c r="AE37" s="434" t="e">
        <f t="shared" ca="1" si="8"/>
        <v>#DIV/0!</v>
      </c>
      <c r="AF37" s="434" t="e">
        <f t="shared" si="8"/>
        <v>#DIV/0!</v>
      </c>
      <c r="AG37" s="434" t="e">
        <f t="shared" si="8"/>
        <v>#DIV/0!</v>
      </c>
      <c r="AH37" s="434" t="e">
        <f t="shared" si="8"/>
        <v>#DIV/0!</v>
      </c>
      <c r="AI37" s="434" t="e">
        <f t="shared" si="8"/>
        <v>#DIV/0!</v>
      </c>
      <c r="AJ37" s="434" t="e">
        <f t="shared" si="8"/>
        <v>#DIV/0!</v>
      </c>
      <c r="AK37" s="434" t="e">
        <f t="shared" si="8"/>
        <v>#DIV/0!</v>
      </c>
      <c r="AL37" s="434" t="e">
        <f t="shared" si="8"/>
        <v>#DIV/0!</v>
      </c>
      <c r="AM37" s="434" t="e">
        <f t="shared" si="8"/>
        <v>#DIV/0!</v>
      </c>
      <c r="AN37" s="434" t="e">
        <f t="shared" si="8"/>
        <v>#DIV/0!</v>
      </c>
      <c r="AO37" s="434" t="e">
        <f t="shared" si="8"/>
        <v>#DIV/0!</v>
      </c>
      <c r="AP37" s="434" t="e">
        <f t="shared" si="8"/>
        <v>#DIV/0!</v>
      </c>
      <c r="AQ37" s="434" t="e">
        <f t="shared" si="8"/>
        <v>#DIV/0!</v>
      </c>
      <c r="AR37" s="434" t="e">
        <f t="shared" si="8"/>
        <v>#DIV/0!</v>
      </c>
      <c r="AS37" s="434" t="e">
        <f t="shared" si="8"/>
        <v>#DIV/0!</v>
      </c>
      <c r="AT37" s="435" t="e">
        <f t="shared" si="8"/>
        <v>#DIV/0!</v>
      </c>
    </row>
    <row r="38" spans="1:46" ht="20.399999999999999" customHeight="1" x14ac:dyDescent="0.3">
      <c r="A38" s="83"/>
      <c r="B38" s="662" t="s">
        <v>813</v>
      </c>
      <c r="C38" s="433">
        <f ca="1">+C36</f>
        <v>0</v>
      </c>
      <c r="D38" s="434">
        <f t="shared" ref="D38:G39" ca="1" si="9">D36+C38</f>
        <v>0</v>
      </c>
      <c r="E38" s="434">
        <f t="shared" ca="1" si="9"/>
        <v>0</v>
      </c>
      <c r="F38" s="434">
        <f t="shared" ca="1" si="9"/>
        <v>0</v>
      </c>
      <c r="G38" s="482" t="e">
        <f t="shared" ca="1" si="9"/>
        <v>#DIV/0!</v>
      </c>
      <c r="H38" s="434" t="e">
        <f t="shared" ref="H38:AT38" ca="1" si="10">IF(H24&lt;=$D$16,H36+G38,0)</f>
        <v>#DIV/0!</v>
      </c>
      <c r="I38" s="434" t="e">
        <f t="shared" ca="1" si="10"/>
        <v>#DIV/0!</v>
      </c>
      <c r="J38" s="434" t="e">
        <f t="shared" ca="1" si="10"/>
        <v>#DIV/0!</v>
      </c>
      <c r="K38" s="434" t="e">
        <f t="shared" ca="1" si="10"/>
        <v>#DIV/0!</v>
      </c>
      <c r="L38" s="434" t="e">
        <f t="shared" ca="1" si="10"/>
        <v>#DIV/0!</v>
      </c>
      <c r="M38" s="434" t="e">
        <f t="shared" ca="1" si="10"/>
        <v>#DIV/0!</v>
      </c>
      <c r="N38" s="434" t="e">
        <f t="shared" ca="1" si="10"/>
        <v>#DIV/0!</v>
      </c>
      <c r="O38" s="434" t="e">
        <f t="shared" ca="1" si="10"/>
        <v>#DIV/0!</v>
      </c>
      <c r="P38" s="434" t="e">
        <f t="shared" ca="1" si="10"/>
        <v>#DIV/0!</v>
      </c>
      <c r="Q38" s="434" t="e">
        <f t="shared" ca="1" si="10"/>
        <v>#DIV/0!</v>
      </c>
      <c r="R38" s="434" t="e">
        <f t="shared" ca="1" si="10"/>
        <v>#DIV/0!</v>
      </c>
      <c r="S38" s="434" t="e">
        <f t="shared" ca="1" si="10"/>
        <v>#DIV/0!</v>
      </c>
      <c r="T38" s="434" t="e">
        <f t="shared" ca="1" si="10"/>
        <v>#DIV/0!</v>
      </c>
      <c r="U38" s="434" t="e">
        <f t="shared" ca="1" si="10"/>
        <v>#DIV/0!</v>
      </c>
      <c r="V38" s="434" t="e">
        <f t="shared" ca="1" si="10"/>
        <v>#DIV/0!</v>
      </c>
      <c r="W38" s="434" t="e">
        <f t="shared" ca="1" si="10"/>
        <v>#DIV/0!</v>
      </c>
      <c r="X38" s="434" t="e">
        <f t="shared" ca="1" si="10"/>
        <v>#DIV/0!</v>
      </c>
      <c r="Y38" s="434" t="e">
        <f t="shared" ca="1" si="10"/>
        <v>#DIV/0!</v>
      </c>
      <c r="Z38" s="434" t="e">
        <f t="shared" ca="1" si="10"/>
        <v>#DIV/0!</v>
      </c>
      <c r="AA38" s="434" t="e">
        <f t="shared" ca="1" si="10"/>
        <v>#DIV/0!</v>
      </c>
      <c r="AB38" s="434" t="e">
        <f t="shared" ca="1" si="10"/>
        <v>#DIV/0!</v>
      </c>
      <c r="AC38" s="434" t="e">
        <f t="shared" ca="1" si="10"/>
        <v>#DIV/0!</v>
      </c>
      <c r="AD38" s="434" t="e">
        <f t="shared" ca="1" si="10"/>
        <v>#DIV/0!</v>
      </c>
      <c r="AE38" s="434" t="e">
        <f t="shared" ca="1" si="10"/>
        <v>#DIV/0!</v>
      </c>
      <c r="AF38" s="434">
        <f t="shared" si="10"/>
        <v>0</v>
      </c>
      <c r="AG38" s="434">
        <f t="shared" si="10"/>
        <v>0</v>
      </c>
      <c r="AH38" s="434">
        <f t="shared" si="10"/>
        <v>0</v>
      </c>
      <c r="AI38" s="434">
        <f t="shared" si="10"/>
        <v>0</v>
      </c>
      <c r="AJ38" s="434">
        <f t="shared" si="10"/>
        <v>0</v>
      </c>
      <c r="AK38" s="434">
        <f t="shared" si="10"/>
        <v>0</v>
      </c>
      <c r="AL38" s="434">
        <f t="shared" si="10"/>
        <v>0</v>
      </c>
      <c r="AM38" s="434">
        <f t="shared" si="10"/>
        <v>0</v>
      </c>
      <c r="AN38" s="434">
        <f t="shared" si="10"/>
        <v>0</v>
      </c>
      <c r="AO38" s="434">
        <f t="shared" si="10"/>
        <v>0</v>
      </c>
      <c r="AP38" s="434">
        <f t="shared" si="10"/>
        <v>0</v>
      </c>
      <c r="AQ38" s="434">
        <f t="shared" si="10"/>
        <v>0</v>
      </c>
      <c r="AR38" s="434">
        <f t="shared" si="10"/>
        <v>0</v>
      </c>
      <c r="AS38" s="434">
        <f t="shared" si="10"/>
        <v>0</v>
      </c>
      <c r="AT38" s="435">
        <f t="shared" si="10"/>
        <v>0</v>
      </c>
    </row>
    <row r="39" spans="1:46" ht="20.399999999999999" customHeight="1" x14ac:dyDescent="0.3">
      <c r="A39" s="83"/>
      <c r="B39" s="663" t="s">
        <v>815</v>
      </c>
      <c r="C39" s="436">
        <f ca="1">+C38</f>
        <v>0</v>
      </c>
      <c r="D39" s="437">
        <f t="shared" ca="1" si="9"/>
        <v>0</v>
      </c>
      <c r="E39" s="437">
        <f t="shared" ca="1" si="9"/>
        <v>0</v>
      </c>
      <c r="F39" s="437">
        <f t="shared" ca="1" si="9"/>
        <v>0</v>
      </c>
      <c r="G39" s="436" t="e">
        <f t="shared" ca="1" si="9"/>
        <v>#DIV/0!</v>
      </c>
      <c r="H39" s="437" t="e">
        <f t="shared" ref="H39:AT39" ca="1" si="11">IF(H24&lt;=$D$16,H37+G39,0)</f>
        <v>#DIV/0!</v>
      </c>
      <c r="I39" s="437" t="e">
        <f t="shared" ca="1" si="11"/>
        <v>#DIV/0!</v>
      </c>
      <c r="J39" s="437" t="e">
        <f t="shared" ca="1" si="11"/>
        <v>#DIV/0!</v>
      </c>
      <c r="K39" s="437" t="e">
        <f t="shared" ca="1" si="11"/>
        <v>#DIV/0!</v>
      </c>
      <c r="L39" s="437" t="e">
        <f t="shared" ca="1" si="11"/>
        <v>#DIV/0!</v>
      </c>
      <c r="M39" s="437" t="e">
        <f t="shared" ca="1" si="11"/>
        <v>#DIV/0!</v>
      </c>
      <c r="N39" s="437" t="e">
        <f t="shared" ca="1" si="11"/>
        <v>#DIV/0!</v>
      </c>
      <c r="O39" s="437" t="e">
        <f t="shared" ca="1" si="11"/>
        <v>#DIV/0!</v>
      </c>
      <c r="P39" s="437" t="e">
        <f t="shared" ca="1" si="11"/>
        <v>#DIV/0!</v>
      </c>
      <c r="Q39" s="437" t="e">
        <f t="shared" ca="1" si="11"/>
        <v>#DIV/0!</v>
      </c>
      <c r="R39" s="437" t="e">
        <f t="shared" ca="1" si="11"/>
        <v>#DIV/0!</v>
      </c>
      <c r="S39" s="437" t="e">
        <f t="shared" ca="1" si="11"/>
        <v>#DIV/0!</v>
      </c>
      <c r="T39" s="437" t="e">
        <f t="shared" ca="1" si="11"/>
        <v>#DIV/0!</v>
      </c>
      <c r="U39" s="437" t="e">
        <f t="shared" ca="1" si="11"/>
        <v>#DIV/0!</v>
      </c>
      <c r="V39" s="437" t="e">
        <f t="shared" ca="1" si="11"/>
        <v>#DIV/0!</v>
      </c>
      <c r="W39" s="437" t="e">
        <f t="shared" ca="1" si="11"/>
        <v>#DIV/0!</v>
      </c>
      <c r="X39" s="437" t="e">
        <f t="shared" ca="1" si="11"/>
        <v>#DIV/0!</v>
      </c>
      <c r="Y39" s="437" t="e">
        <f t="shared" ca="1" si="11"/>
        <v>#DIV/0!</v>
      </c>
      <c r="Z39" s="437" t="e">
        <f t="shared" ca="1" si="11"/>
        <v>#DIV/0!</v>
      </c>
      <c r="AA39" s="437" t="e">
        <f t="shared" ca="1" si="11"/>
        <v>#DIV/0!</v>
      </c>
      <c r="AB39" s="437" t="e">
        <f t="shared" ca="1" si="11"/>
        <v>#DIV/0!</v>
      </c>
      <c r="AC39" s="437" t="e">
        <f t="shared" ca="1" si="11"/>
        <v>#DIV/0!</v>
      </c>
      <c r="AD39" s="437" t="e">
        <f t="shared" ca="1" si="11"/>
        <v>#DIV/0!</v>
      </c>
      <c r="AE39" s="437" t="e">
        <f t="shared" ca="1" si="11"/>
        <v>#DIV/0!</v>
      </c>
      <c r="AF39" s="437">
        <f t="shared" si="11"/>
        <v>0</v>
      </c>
      <c r="AG39" s="437">
        <f t="shared" si="11"/>
        <v>0</v>
      </c>
      <c r="AH39" s="437">
        <f t="shared" si="11"/>
        <v>0</v>
      </c>
      <c r="AI39" s="437">
        <f t="shared" si="11"/>
        <v>0</v>
      </c>
      <c r="AJ39" s="437">
        <f t="shared" si="11"/>
        <v>0</v>
      </c>
      <c r="AK39" s="437">
        <f t="shared" si="11"/>
        <v>0</v>
      </c>
      <c r="AL39" s="437">
        <f t="shared" si="11"/>
        <v>0</v>
      </c>
      <c r="AM39" s="437">
        <f t="shared" si="11"/>
        <v>0</v>
      </c>
      <c r="AN39" s="437">
        <f t="shared" si="11"/>
        <v>0</v>
      </c>
      <c r="AO39" s="437">
        <f t="shared" si="11"/>
        <v>0</v>
      </c>
      <c r="AP39" s="437">
        <f t="shared" si="11"/>
        <v>0</v>
      </c>
      <c r="AQ39" s="437">
        <f t="shared" si="11"/>
        <v>0</v>
      </c>
      <c r="AR39" s="437">
        <f t="shared" si="11"/>
        <v>0</v>
      </c>
      <c r="AS39" s="437">
        <f t="shared" si="11"/>
        <v>0</v>
      </c>
      <c r="AT39" s="438">
        <f t="shared" si="11"/>
        <v>0</v>
      </c>
    </row>
    <row r="40" spans="1:46" ht="20.399999999999999" customHeight="1" x14ac:dyDescent="0.3">
      <c r="A40" s="83"/>
      <c r="B40" s="83"/>
      <c r="C40" s="155">
        <f>+C24</f>
        <v>-4</v>
      </c>
      <c r="D40" s="155">
        <f t="shared" ref="D40:AT40" si="12">+D24</f>
        <v>-3</v>
      </c>
      <c r="E40" s="155">
        <f t="shared" si="12"/>
        <v>-2</v>
      </c>
      <c r="F40" s="155">
        <f t="shared" si="12"/>
        <v>-1</v>
      </c>
      <c r="G40" s="155">
        <f t="shared" si="12"/>
        <v>1</v>
      </c>
      <c r="H40" s="155">
        <f t="shared" si="12"/>
        <v>2</v>
      </c>
      <c r="I40" s="155">
        <f t="shared" si="12"/>
        <v>3</v>
      </c>
      <c r="J40" s="155">
        <f t="shared" si="12"/>
        <v>4</v>
      </c>
      <c r="K40" s="155">
        <f t="shared" si="12"/>
        <v>5</v>
      </c>
      <c r="L40" s="155">
        <f t="shared" si="12"/>
        <v>6</v>
      </c>
      <c r="M40" s="155">
        <f t="shared" si="12"/>
        <v>7</v>
      </c>
      <c r="N40" s="155">
        <f t="shared" si="12"/>
        <v>8</v>
      </c>
      <c r="O40" s="155">
        <f t="shared" si="12"/>
        <v>9</v>
      </c>
      <c r="P40" s="155">
        <f t="shared" si="12"/>
        <v>10</v>
      </c>
      <c r="Q40" s="155">
        <f t="shared" si="12"/>
        <v>11</v>
      </c>
      <c r="R40" s="155">
        <f t="shared" si="12"/>
        <v>12</v>
      </c>
      <c r="S40" s="155">
        <f t="shared" si="12"/>
        <v>13</v>
      </c>
      <c r="T40" s="155">
        <f t="shared" si="12"/>
        <v>14</v>
      </c>
      <c r="U40" s="155">
        <f t="shared" si="12"/>
        <v>15</v>
      </c>
      <c r="V40" s="155">
        <f t="shared" si="12"/>
        <v>16</v>
      </c>
      <c r="W40" s="155">
        <f t="shared" si="12"/>
        <v>17</v>
      </c>
      <c r="X40" s="155">
        <f t="shared" si="12"/>
        <v>18</v>
      </c>
      <c r="Y40" s="155">
        <f t="shared" si="12"/>
        <v>19</v>
      </c>
      <c r="Z40" s="155">
        <f t="shared" si="12"/>
        <v>20</v>
      </c>
      <c r="AA40" s="155">
        <f t="shared" si="12"/>
        <v>21</v>
      </c>
      <c r="AB40" s="155">
        <f t="shared" si="12"/>
        <v>22</v>
      </c>
      <c r="AC40" s="155">
        <f t="shared" si="12"/>
        <v>23</v>
      </c>
      <c r="AD40" s="155">
        <f t="shared" si="12"/>
        <v>24</v>
      </c>
      <c r="AE40" s="155">
        <f t="shared" si="12"/>
        <v>25</v>
      </c>
      <c r="AF40" s="155">
        <f t="shared" si="12"/>
        <v>26</v>
      </c>
      <c r="AG40" s="155">
        <f t="shared" si="12"/>
        <v>27</v>
      </c>
      <c r="AH40" s="155">
        <f t="shared" si="12"/>
        <v>28</v>
      </c>
      <c r="AI40" s="155">
        <f t="shared" si="12"/>
        <v>29</v>
      </c>
      <c r="AJ40" s="155">
        <f t="shared" si="12"/>
        <v>30</v>
      </c>
      <c r="AK40" s="155">
        <f t="shared" si="12"/>
        <v>31</v>
      </c>
      <c r="AL40" s="155">
        <f t="shared" si="12"/>
        <v>32</v>
      </c>
      <c r="AM40" s="155">
        <f t="shared" si="12"/>
        <v>33</v>
      </c>
      <c r="AN40" s="155">
        <f t="shared" si="12"/>
        <v>34</v>
      </c>
      <c r="AO40" s="155">
        <f t="shared" si="12"/>
        <v>35</v>
      </c>
      <c r="AP40" s="155">
        <f t="shared" si="12"/>
        <v>36</v>
      </c>
      <c r="AQ40" s="155">
        <f t="shared" si="12"/>
        <v>37</v>
      </c>
      <c r="AR40" s="155">
        <f t="shared" si="12"/>
        <v>38</v>
      </c>
      <c r="AS40" s="155">
        <f t="shared" si="12"/>
        <v>39</v>
      </c>
      <c r="AT40" s="155">
        <f t="shared" si="12"/>
        <v>40</v>
      </c>
    </row>
    <row r="41" spans="1:46" ht="20.399999999999999" customHeight="1" x14ac:dyDescent="0.3">
      <c r="A41" s="83"/>
      <c r="B41" s="870" t="s">
        <v>759</v>
      </c>
      <c r="C41" s="870"/>
      <c r="D41" s="870"/>
      <c r="E41" s="870"/>
      <c r="F41" s="870"/>
      <c r="G41" s="870"/>
      <c r="H41" s="870"/>
      <c r="I41" s="870"/>
      <c r="J41" s="870"/>
      <c r="K41" s="870"/>
      <c r="M41" s="609" t="s">
        <v>573</v>
      </c>
      <c r="N41" s="610" t="s">
        <v>574</v>
      </c>
      <c r="O41" s="83"/>
      <c r="P41" s="843" t="str">
        <f>"Sensitivity Results: "&amp;H14</f>
        <v>Sensitivity Results: Plant A</v>
      </c>
      <c r="Q41" s="844"/>
      <c r="R41" s="844"/>
      <c r="S41" s="845"/>
      <c r="T41" s="83"/>
      <c r="U41" s="83"/>
      <c r="V41" s="83"/>
      <c r="W41" s="83"/>
      <c r="X41" s="83"/>
      <c r="Y41" s="83"/>
      <c r="Z41" s="83"/>
      <c r="AA41" s="83"/>
      <c r="AB41" s="83"/>
      <c r="AC41" s="83"/>
      <c r="AD41" s="83"/>
      <c r="AE41" s="83"/>
      <c r="AF41" s="83"/>
      <c r="AG41" s="83"/>
      <c r="AH41" s="83"/>
      <c r="AI41" s="83"/>
      <c r="AJ41" s="83"/>
      <c r="AK41" s="83"/>
    </row>
    <row r="42" spans="1:46" ht="20.399999999999999" customHeight="1" x14ac:dyDescent="0.3">
      <c r="A42" s="83"/>
      <c r="B42" s="614" t="s">
        <v>763</v>
      </c>
      <c r="C42" s="614" t="s">
        <v>767</v>
      </c>
      <c r="D42" s="615" t="s">
        <v>764</v>
      </c>
      <c r="E42" s="615" t="s">
        <v>768</v>
      </c>
      <c r="F42" s="616" t="s">
        <v>765</v>
      </c>
      <c r="G42" s="616" t="s">
        <v>766</v>
      </c>
      <c r="H42" s="617" t="s">
        <v>760</v>
      </c>
      <c r="I42" s="617" t="s">
        <v>761</v>
      </c>
      <c r="J42" s="608" t="s">
        <v>769</v>
      </c>
      <c r="K42" s="618" t="s">
        <v>770</v>
      </c>
      <c r="M42" s="868"/>
      <c r="N42" s="767"/>
      <c r="O42" s="83"/>
      <c r="P42" s="846">
        <f>+D43</f>
        <v>0</v>
      </c>
      <c r="Q42" s="847"/>
      <c r="R42" s="846">
        <f>+D44</f>
        <v>0</v>
      </c>
      <c r="S42" s="847"/>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619"/>
      <c r="C43" s="620"/>
      <c r="D43" s="310"/>
      <c r="E43" s="621"/>
      <c r="F43" s="622"/>
      <c r="G43" s="310"/>
      <c r="H43" s="310"/>
      <c r="I43" s="310"/>
      <c r="J43" s="310"/>
      <c r="K43" s="310"/>
      <c r="M43" s="869"/>
      <c r="N43" s="768"/>
      <c r="O43" s="83"/>
      <c r="P43" s="234" t="s">
        <v>764</v>
      </c>
      <c r="Q43" s="234" t="s">
        <v>763</v>
      </c>
      <c r="R43" s="234" t="str">
        <f>+P43</f>
        <v>Man. Var.</v>
      </c>
      <c r="S43" s="234"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619"/>
      <c r="C44" s="620"/>
      <c r="D44" s="310"/>
      <c r="E44" s="621"/>
      <c r="F44" s="622"/>
      <c r="G44" s="310"/>
      <c r="H44" s="310"/>
      <c r="I44" s="310"/>
      <c r="J44" s="310"/>
      <c r="K44" s="310"/>
      <c r="M44" s="866" t="s">
        <v>762</v>
      </c>
      <c r="N44" s="867"/>
      <c r="O44" s="83"/>
      <c r="P44" s="298"/>
      <c r="Q44" s="623"/>
      <c r="R44" s="624"/>
      <c r="S44" s="623"/>
      <c r="T44" s="210"/>
      <c r="U44" s="210"/>
      <c r="V44" s="210"/>
      <c r="W44" s="210"/>
      <c r="X44" s="210"/>
      <c r="Y44" s="210"/>
      <c r="Z44" s="210"/>
      <c r="AA44" s="210"/>
      <c r="AB44" s="210"/>
      <c r="AC44" s="210"/>
      <c r="AD44" s="210"/>
      <c r="AE44" s="210"/>
      <c r="AF44" s="210"/>
      <c r="AG44" s="210"/>
      <c r="AH44" s="210"/>
      <c r="AI44" s="210"/>
      <c r="AJ44" s="210"/>
      <c r="AK44" s="378"/>
    </row>
    <row r="45" spans="1:46" ht="20.399999999999999" customHeight="1" x14ac:dyDescent="0.3">
      <c r="A45" s="83"/>
      <c r="B45" s="83"/>
      <c r="C45" s="239"/>
      <c r="D45" s="239"/>
      <c r="E45" s="239"/>
      <c r="F45" s="238"/>
      <c r="M45" s="611"/>
      <c r="N45" s="612"/>
      <c r="O45" s="83"/>
      <c r="P45" s="293"/>
      <c r="Q45" s="294"/>
      <c r="R45" s="210"/>
      <c r="S45" s="294"/>
      <c r="T45" s="210"/>
      <c r="U45" s="210"/>
      <c r="V45" s="210"/>
      <c r="W45" s="210"/>
      <c r="X45" s="210"/>
      <c r="Y45" s="210"/>
      <c r="Z45" s="210"/>
      <c r="AA45" s="210"/>
      <c r="AB45" s="210"/>
      <c r="AC45" s="210"/>
      <c r="AD45" s="210"/>
      <c r="AE45" s="210"/>
      <c r="AF45" s="210"/>
      <c r="AG45" s="210"/>
      <c r="AH45" s="210"/>
      <c r="AI45" s="210"/>
      <c r="AJ45" s="210"/>
      <c r="AK45" s="378"/>
    </row>
    <row r="46" spans="1:46" ht="20.399999999999999" customHeight="1" x14ac:dyDescent="0.3">
      <c r="A46" s="83"/>
      <c r="B46" s="83"/>
      <c r="C46" s="239"/>
      <c r="D46" s="239"/>
      <c r="E46" s="239"/>
      <c r="F46" s="238"/>
      <c r="M46" s="613"/>
      <c r="N46" s="111"/>
      <c r="O46" s="83"/>
      <c r="P46" s="293"/>
      <c r="Q46" s="294"/>
      <c r="R46" s="210"/>
      <c r="S46" s="294"/>
      <c r="T46" s="210"/>
      <c r="U46" s="210"/>
      <c r="V46" s="210"/>
      <c r="W46" s="210"/>
      <c r="X46" s="210"/>
      <c r="Y46" s="210"/>
      <c r="Z46" s="210"/>
      <c r="AA46" s="210"/>
      <c r="AB46" s="210"/>
      <c r="AC46" s="210"/>
      <c r="AD46" s="210"/>
      <c r="AE46" s="210"/>
      <c r="AF46" s="210"/>
      <c r="AG46" s="210"/>
      <c r="AH46" s="210"/>
      <c r="AI46" s="210"/>
      <c r="AJ46" s="210"/>
      <c r="AK46" s="378"/>
    </row>
    <row r="47" spans="1:46" ht="20.399999999999999" customHeight="1" x14ac:dyDescent="0.3">
      <c r="A47" s="83"/>
      <c r="B47" s="83"/>
      <c r="C47" s="239"/>
      <c r="D47" s="239"/>
      <c r="E47" s="239"/>
      <c r="F47" s="238"/>
      <c r="G47" s="83"/>
      <c r="H47" s="83"/>
      <c r="I47" s="83"/>
      <c r="J47" s="83"/>
      <c r="K47" s="83"/>
      <c r="L47" s="83"/>
      <c r="M47" s="83"/>
      <c r="N47" s="83"/>
      <c r="O47" s="83"/>
      <c r="P47" s="293"/>
      <c r="Q47" s="294"/>
      <c r="R47" s="210"/>
      <c r="S47" s="294"/>
      <c r="T47" s="210"/>
      <c r="U47" s="210"/>
      <c r="V47" s="210"/>
      <c r="W47" s="210"/>
      <c r="X47" s="210"/>
      <c r="Y47" s="210"/>
      <c r="Z47" s="210"/>
      <c r="AA47" s="210"/>
      <c r="AB47" s="210"/>
      <c r="AC47" s="210"/>
      <c r="AD47" s="210"/>
      <c r="AE47" s="210"/>
      <c r="AF47" s="210"/>
      <c r="AG47" s="210"/>
      <c r="AH47" s="210"/>
      <c r="AI47" s="210"/>
      <c r="AJ47" s="210"/>
      <c r="AK47" s="378"/>
    </row>
    <row r="48" spans="1:46" ht="20.399999999999999" customHeight="1" x14ac:dyDescent="0.3">
      <c r="A48" s="83"/>
      <c r="B48" s="83"/>
      <c r="C48" s="239"/>
      <c r="D48" s="239"/>
      <c r="E48" s="239"/>
      <c r="F48" s="238"/>
      <c r="G48" s="83"/>
      <c r="H48" s="83"/>
      <c r="I48" s="83"/>
      <c r="J48" s="83"/>
      <c r="K48" s="83"/>
      <c r="L48" s="83"/>
      <c r="M48" s="83"/>
      <c r="N48" s="83"/>
      <c r="O48" s="83"/>
      <c r="P48" s="295"/>
      <c r="Q48" s="296"/>
      <c r="R48" s="275"/>
      <c r="S48" s="296"/>
      <c r="T48" s="210"/>
      <c r="U48" s="210"/>
      <c r="V48" s="210"/>
      <c r="W48" s="210"/>
      <c r="X48" s="210"/>
      <c r="Y48" s="210"/>
      <c r="Z48" s="210"/>
      <c r="AA48" s="210"/>
      <c r="AB48" s="210"/>
      <c r="AC48" s="210"/>
      <c r="AD48" s="210"/>
      <c r="AE48" s="210"/>
      <c r="AF48" s="210"/>
      <c r="AG48" s="210"/>
      <c r="AH48" s="210"/>
      <c r="AI48" s="210"/>
      <c r="AJ48" s="210"/>
      <c r="AK48" s="378"/>
    </row>
    <row r="49" spans="1:37" ht="20.399999999999999" customHeight="1" x14ac:dyDescent="0.3">
      <c r="A49" s="83"/>
      <c r="B49" s="83"/>
      <c r="C49" s="239"/>
      <c r="D49" s="240"/>
      <c r="E49" s="239"/>
      <c r="F49" s="238"/>
      <c r="G49" s="83"/>
      <c r="H49" s="83"/>
      <c r="I49" s="83"/>
      <c r="J49" s="83"/>
      <c r="K49" s="83"/>
      <c r="L49" s="83"/>
      <c r="M49" s="83"/>
      <c r="N49" s="83"/>
      <c r="O49" s="83"/>
      <c r="P49" s="210"/>
      <c r="Q49" s="210"/>
      <c r="R49" s="210"/>
      <c r="S49" s="210"/>
      <c r="T49" s="210"/>
      <c r="U49" s="210"/>
      <c r="V49" s="210"/>
      <c r="W49" s="210"/>
      <c r="X49" s="210"/>
      <c r="Y49" s="210"/>
      <c r="Z49" s="210"/>
      <c r="AA49" s="210"/>
      <c r="AB49" s="210"/>
      <c r="AC49" s="210"/>
      <c r="AD49" s="210"/>
      <c r="AE49" s="210"/>
      <c r="AF49" s="210"/>
      <c r="AG49" s="210"/>
      <c r="AH49" s="210"/>
      <c r="AI49" s="210"/>
      <c r="AJ49" s="210"/>
      <c r="AK49" s="378"/>
    </row>
    <row r="50" spans="1:37" ht="20.399999999999999" customHeight="1" x14ac:dyDescent="0.3">
      <c r="A50" s="83"/>
      <c r="B50" s="83"/>
      <c r="C50" s="239"/>
      <c r="D50" s="240"/>
      <c r="E50" s="239"/>
      <c r="F50" s="238"/>
      <c r="G50" s="83"/>
      <c r="H50" s="83"/>
      <c r="I50" s="83"/>
      <c r="J50" s="83"/>
      <c r="K50" s="83"/>
      <c r="L50" s="83"/>
      <c r="M50" s="83"/>
      <c r="N50" s="83"/>
      <c r="O50" s="83"/>
      <c r="P50" s="210"/>
      <c r="Q50" s="210"/>
      <c r="R50" s="210"/>
      <c r="S50" s="210"/>
      <c r="T50" s="210"/>
      <c r="U50" s="210"/>
      <c r="V50" s="210"/>
      <c r="W50" s="210"/>
      <c r="X50" s="210"/>
      <c r="Y50" s="210"/>
      <c r="Z50" s="210"/>
      <c r="AA50" s="210"/>
      <c r="AB50" s="210"/>
      <c r="AC50" s="210"/>
      <c r="AD50" s="210"/>
      <c r="AE50" s="210"/>
      <c r="AF50" s="210"/>
      <c r="AG50" s="210"/>
      <c r="AH50" s="210"/>
      <c r="AI50" s="210"/>
      <c r="AJ50" s="210"/>
      <c r="AK50" s="378"/>
    </row>
    <row r="51" spans="1:37" ht="20.399999999999999" customHeight="1" x14ac:dyDescent="0.3">
      <c r="A51" s="83"/>
      <c r="B51" s="83"/>
      <c r="C51" s="239"/>
      <c r="D51" s="240"/>
      <c r="E51" s="239"/>
      <c r="F51" s="238"/>
      <c r="G51" s="83"/>
      <c r="H51" s="83"/>
      <c r="I51" s="83"/>
      <c r="J51" s="83"/>
      <c r="K51" s="83"/>
      <c r="L51" s="83"/>
      <c r="M51" s="83"/>
      <c r="N51" s="83"/>
      <c r="O51" s="83"/>
      <c r="P51" s="210"/>
      <c r="Q51" s="210"/>
      <c r="R51" s="210"/>
      <c r="S51" s="210"/>
      <c r="T51" s="210"/>
      <c r="U51" s="210"/>
      <c r="V51" s="210"/>
      <c r="W51" s="210"/>
      <c r="X51" s="210"/>
      <c r="Y51" s="210"/>
      <c r="Z51" s="210"/>
      <c r="AA51" s="210"/>
      <c r="AB51" s="210"/>
      <c r="AC51" s="210"/>
      <c r="AD51" s="210"/>
      <c r="AE51" s="210"/>
      <c r="AF51" s="210"/>
      <c r="AG51" s="210"/>
      <c r="AH51" s="210"/>
      <c r="AI51" s="210"/>
      <c r="AJ51" s="210"/>
      <c r="AK51" s="378"/>
    </row>
    <row r="52" spans="1:37" ht="20.399999999999999" customHeight="1" x14ac:dyDescent="0.3">
      <c r="A52" s="83"/>
      <c r="B52" s="83"/>
      <c r="C52" s="239"/>
      <c r="D52" s="239"/>
      <c r="E52" s="239"/>
      <c r="F52" s="83"/>
      <c r="G52" s="238"/>
      <c r="H52" s="83"/>
      <c r="I52" s="83"/>
      <c r="J52" s="83"/>
      <c r="K52" s="83"/>
      <c r="L52" s="83"/>
      <c r="M52" s="83"/>
      <c r="N52" s="83"/>
      <c r="O52" s="83"/>
      <c r="P52" s="210"/>
      <c r="Q52" s="210"/>
      <c r="R52" s="210"/>
      <c r="S52" s="210"/>
      <c r="T52" s="210"/>
      <c r="U52" s="210"/>
      <c r="V52" s="210"/>
      <c r="W52" s="210"/>
      <c r="X52" s="210"/>
      <c r="Y52" s="210"/>
      <c r="Z52" s="210"/>
      <c r="AA52" s="210"/>
      <c r="AB52" s="210"/>
      <c r="AC52" s="210"/>
      <c r="AD52" s="210"/>
      <c r="AE52" s="210"/>
      <c r="AF52" s="210"/>
      <c r="AG52" s="210"/>
      <c r="AH52" s="210"/>
      <c r="AI52" s="210"/>
      <c r="AJ52" s="210"/>
      <c r="AK52" s="378"/>
    </row>
    <row r="53" spans="1:37" ht="20.399999999999999" customHeight="1" x14ac:dyDescent="0.3">
      <c r="A53" s="83"/>
      <c r="B53" s="83"/>
      <c r="C53" s="239"/>
      <c r="D53" s="239"/>
      <c r="E53" s="239"/>
      <c r="F53" s="239"/>
      <c r="G53" s="83"/>
      <c r="H53" s="83"/>
      <c r="I53" s="83"/>
      <c r="J53" s="83"/>
      <c r="K53" s="83"/>
      <c r="L53" s="83"/>
      <c r="M53" s="83"/>
      <c r="N53" s="83"/>
      <c r="O53" s="83"/>
      <c r="P53" s="210"/>
      <c r="Q53" s="210"/>
      <c r="R53" s="210"/>
      <c r="S53" s="210"/>
      <c r="T53" s="210"/>
      <c r="U53" s="210"/>
      <c r="V53" s="210"/>
      <c r="W53" s="210"/>
      <c r="X53" s="210"/>
      <c r="Y53" s="210"/>
      <c r="Z53" s="210"/>
      <c r="AA53" s="210"/>
      <c r="AB53" s="210"/>
      <c r="AC53" s="210"/>
      <c r="AD53" s="210"/>
      <c r="AE53" s="210"/>
      <c r="AF53" s="210"/>
      <c r="AG53" s="210"/>
      <c r="AH53" s="210"/>
      <c r="AI53" s="210"/>
      <c r="AJ53" s="210"/>
      <c r="AK53" s="378"/>
    </row>
    <row r="54" spans="1:37" ht="20.399999999999999" customHeight="1" x14ac:dyDescent="0.3">
      <c r="A54" s="83"/>
      <c r="B54" s="83"/>
      <c r="C54" s="239"/>
      <c r="D54" s="239"/>
      <c r="E54" s="239"/>
      <c r="F54" s="239"/>
      <c r="G54" s="83"/>
      <c r="H54" s="83"/>
      <c r="I54" s="83"/>
      <c r="J54" s="83"/>
      <c r="K54" s="83"/>
      <c r="L54" s="83"/>
      <c r="M54" s="83"/>
      <c r="N54" s="83"/>
      <c r="O54" s="83"/>
      <c r="P54" s="210"/>
      <c r="Q54" s="210"/>
      <c r="R54" s="210"/>
      <c r="S54" s="210"/>
      <c r="T54" s="210"/>
      <c r="U54" s="210"/>
      <c r="V54" s="210"/>
      <c r="W54" s="210"/>
      <c r="X54" s="210"/>
      <c r="Y54" s="210"/>
      <c r="Z54" s="210"/>
      <c r="AA54" s="210"/>
      <c r="AB54" s="210"/>
      <c r="AC54" s="210"/>
      <c r="AD54" s="210"/>
      <c r="AE54" s="210"/>
      <c r="AF54" s="210"/>
      <c r="AG54" s="210"/>
      <c r="AH54" s="210"/>
      <c r="AI54" s="210"/>
      <c r="AJ54" s="210"/>
      <c r="AK54" s="378"/>
    </row>
    <row r="55" spans="1:37" ht="20.399999999999999" customHeight="1" x14ac:dyDescent="0.3">
      <c r="A55" s="83"/>
      <c r="B55" s="83"/>
      <c r="C55" s="239"/>
      <c r="D55" s="239"/>
      <c r="E55" s="239"/>
      <c r="F55" s="239"/>
      <c r="G55" s="83"/>
      <c r="H55" s="83"/>
      <c r="I55" s="83"/>
      <c r="J55" s="83"/>
      <c r="K55" s="83"/>
      <c r="L55" s="83"/>
      <c r="M55" s="83"/>
      <c r="N55" s="83"/>
      <c r="O55" s="83"/>
      <c r="P55" s="210"/>
      <c r="Q55" s="210"/>
      <c r="R55" s="210"/>
      <c r="S55" s="210"/>
      <c r="T55" s="210"/>
      <c r="U55" s="210"/>
      <c r="V55" s="210"/>
      <c r="W55" s="210"/>
      <c r="X55" s="210"/>
      <c r="Y55" s="210"/>
      <c r="Z55" s="210"/>
      <c r="AA55" s="210"/>
      <c r="AB55" s="210"/>
      <c r="AC55" s="210"/>
      <c r="AD55" s="210"/>
      <c r="AE55" s="210"/>
      <c r="AF55" s="210"/>
      <c r="AG55" s="210"/>
      <c r="AH55" s="210"/>
      <c r="AI55" s="210"/>
      <c r="AJ55" s="210"/>
      <c r="AK55" s="378"/>
    </row>
    <row r="56" spans="1:37" ht="20.399999999999999" customHeight="1" x14ac:dyDescent="0.3">
      <c r="A56" s="83"/>
      <c r="B56" s="83"/>
      <c r="C56" s="237"/>
      <c r="D56" s="237"/>
      <c r="E56" s="237"/>
      <c r="F56" s="83"/>
      <c r="G56" s="83"/>
      <c r="H56" s="83"/>
      <c r="I56" s="83"/>
      <c r="J56" s="83"/>
      <c r="K56" s="83"/>
      <c r="L56" s="83"/>
      <c r="M56" s="83"/>
      <c r="N56" s="83"/>
      <c r="O56" s="83"/>
      <c r="P56" s="210"/>
      <c r="Q56" s="210"/>
      <c r="R56" s="210"/>
      <c r="S56" s="210"/>
      <c r="T56" s="210"/>
      <c r="U56" s="210"/>
      <c r="V56" s="210"/>
      <c r="W56" s="210"/>
      <c r="X56" s="210"/>
      <c r="Y56" s="210"/>
      <c r="Z56" s="210"/>
      <c r="AA56" s="210"/>
      <c r="AB56" s="210"/>
      <c r="AC56" s="210"/>
      <c r="AD56" s="210"/>
      <c r="AE56" s="210"/>
      <c r="AF56" s="210"/>
      <c r="AG56" s="210"/>
      <c r="AH56" s="210"/>
      <c r="AI56" s="210"/>
      <c r="AJ56" s="210"/>
      <c r="AK56" s="378"/>
    </row>
    <row r="57" spans="1:37" ht="20.399999999999999" customHeight="1" x14ac:dyDescent="0.3">
      <c r="A57" s="83"/>
      <c r="B57" s="83"/>
      <c r="C57" s="239"/>
      <c r="D57" s="239"/>
      <c r="E57" s="239"/>
      <c r="F57" s="83"/>
      <c r="G57" s="83"/>
      <c r="H57" s="83"/>
      <c r="I57" s="83"/>
      <c r="J57" s="83"/>
      <c r="K57" s="83"/>
      <c r="L57" s="83"/>
      <c r="M57" s="83"/>
      <c r="N57" s="83"/>
      <c r="O57" s="83"/>
      <c r="P57" s="210"/>
      <c r="Q57" s="210"/>
      <c r="R57" s="210"/>
      <c r="S57" s="210"/>
      <c r="T57" s="210"/>
      <c r="U57" s="210"/>
      <c r="V57" s="210"/>
      <c r="W57" s="210"/>
      <c r="X57" s="210"/>
      <c r="Y57" s="210"/>
      <c r="Z57" s="210"/>
      <c r="AA57" s="210"/>
      <c r="AB57" s="210"/>
      <c r="AC57" s="210"/>
      <c r="AD57" s="210"/>
      <c r="AE57" s="210"/>
      <c r="AF57" s="210"/>
      <c r="AG57" s="210"/>
      <c r="AH57" s="210"/>
      <c r="AI57" s="210"/>
      <c r="AJ57" s="210"/>
      <c r="AK57" s="378"/>
    </row>
    <row r="58" spans="1:37" ht="20.399999999999999" customHeight="1" x14ac:dyDescent="0.3">
      <c r="A58" s="83"/>
      <c r="B58" s="83"/>
      <c r="C58" s="239"/>
      <c r="D58" s="239"/>
      <c r="E58" s="239"/>
      <c r="F58" s="83"/>
      <c r="G58" s="83"/>
      <c r="H58" s="83"/>
      <c r="I58" s="83"/>
      <c r="J58" s="83"/>
      <c r="K58" s="83"/>
      <c r="L58" s="83"/>
      <c r="M58" s="83"/>
      <c r="N58" s="83"/>
      <c r="O58" s="83"/>
      <c r="P58" s="210"/>
      <c r="Q58" s="210"/>
      <c r="R58" s="210"/>
      <c r="S58" s="210"/>
      <c r="T58" s="210"/>
      <c r="U58" s="210"/>
      <c r="V58" s="210"/>
      <c r="W58" s="210"/>
      <c r="X58" s="210"/>
      <c r="Y58" s="210"/>
      <c r="Z58" s="210"/>
      <c r="AA58" s="210"/>
      <c r="AB58" s="210"/>
      <c r="AC58" s="210"/>
      <c r="AD58" s="210"/>
      <c r="AE58" s="210"/>
      <c r="AF58" s="210"/>
      <c r="AG58" s="210"/>
      <c r="AH58" s="210"/>
      <c r="AI58" s="210"/>
      <c r="AJ58" s="210"/>
      <c r="AK58" s="378"/>
    </row>
    <row r="59" spans="1:37" ht="20.399999999999999" customHeight="1" x14ac:dyDescent="0.3">
      <c r="A59" s="83"/>
      <c r="B59" s="83"/>
      <c r="C59" s="239"/>
      <c r="D59" s="239"/>
      <c r="E59" s="239"/>
      <c r="F59" s="83"/>
      <c r="G59" s="83"/>
      <c r="H59" s="83"/>
      <c r="I59" s="83"/>
      <c r="J59" s="83"/>
      <c r="K59" s="83"/>
      <c r="L59" s="83"/>
      <c r="M59" s="83"/>
      <c r="N59" s="83"/>
      <c r="O59" s="83"/>
      <c r="P59" s="210"/>
      <c r="Q59" s="210"/>
      <c r="R59" s="210"/>
      <c r="S59" s="210"/>
      <c r="T59" s="210"/>
      <c r="U59" s="210"/>
      <c r="V59" s="210"/>
      <c r="W59" s="210"/>
      <c r="X59" s="210"/>
      <c r="Y59" s="210"/>
      <c r="Z59" s="210"/>
      <c r="AA59" s="210"/>
      <c r="AB59" s="210"/>
      <c r="AC59" s="210"/>
      <c r="AD59" s="210"/>
      <c r="AE59" s="210"/>
      <c r="AF59" s="210"/>
      <c r="AG59" s="210"/>
      <c r="AH59" s="210"/>
      <c r="AI59" s="210"/>
      <c r="AJ59" s="210"/>
      <c r="AK59" s="378"/>
    </row>
    <row r="60" spans="1:37" ht="20.399999999999999" customHeight="1" x14ac:dyDescent="0.3">
      <c r="A60" s="83"/>
      <c r="B60" s="83"/>
      <c r="C60" s="237"/>
      <c r="D60" s="237"/>
      <c r="E60" s="237"/>
      <c r="F60" s="83"/>
      <c r="G60" s="83"/>
      <c r="H60" s="83"/>
      <c r="I60" s="83"/>
      <c r="J60" s="83"/>
      <c r="K60" s="83"/>
      <c r="L60" s="83"/>
      <c r="M60" s="83"/>
      <c r="N60" s="83"/>
      <c r="O60" s="83"/>
      <c r="P60" s="210"/>
      <c r="Q60" s="210"/>
      <c r="R60" s="210"/>
      <c r="S60" s="210"/>
      <c r="T60" s="210"/>
      <c r="U60" s="210"/>
      <c r="V60" s="210"/>
      <c r="W60" s="210"/>
      <c r="X60" s="210"/>
      <c r="Y60" s="210"/>
      <c r="Z60" s="210"/>
      <c r="AA60" s="210"/>
      <c r="AB60" s="210"/>
      <c r="AC60" s="210"/>
      <c r="AD60" s="210"/>
      <c r="AE60" s="210"/>
      <c r="AF60" s="210"/>
      <c r="AG60" s="210"/>
      <c r="AH60" s="210"/>
      <c r="AI60" s="210"/>
      <c r="AJ60" s="210"/>
      <c r="AK60" s="378"/>
    </row>
    <row r="61" spans="1:37" ht="20.399999999999999" customHeight="1" x14ac:dyDescent="0.3">
      <c r="A61" s="83"/>
      <c r="B61" s="83"/>
      <c r="C61" s="239"/>
      <c r="D61" s="239"/>
      <c r="E61" s="239"/>
      <c r="F61" s="83"/>
      <c r="G61" s="83"/>
      <c r="H61" s="83"/>
      <c r="I61" s="83"/>
      <c r="J61" s="83"/>
      <c r="K61" s="83"/>
      <c r="L61" s="83"/>
      <c r="M61" s="83"/>
      <c r="N61" s="83"/>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378"/>
    </row>
    <row r="62" spans="1:37" ht="20.399999999999999" customHeight="1" x14ac:dyDescent="0.3">
      <c r="A62" s="83"/>
      <c r="B62" s="83"/>
      <c r="C62" s="83"/>
      <c r="D62" s="83"/>
      <c r="E62" s="83"/>
      <c r="F62" s="83"/>
      <c r="G62" s="83"/>
      <c r="H62" s="83"/>
      <c r="I62" s="83"/>
      <c r="J62" s="83"/>
      <c r="K62" s="83"/>
      <c r="L62" s="83"/>
      <c r="M62" s="83"/>
      <c r="N62" s="83"/>
      <c r="O62" s="83"/>
      <c r="P62" s="210"/>
      <c r="Q62" s="210"/>
      <c r="R62" s="210"/>
      <c r="S62" s="210"/>
      <c r="T62" s="210"/>
      <c r="U62" s="210"/>
      <c r="V62" s="210"/>
      <c r="W62" s="210"/>
      <c r="X62" s="210"/>
      <c r="Y62" s="210"/>
      <c r="Z62" s="210"/>
      <c r="AA62" s="210"/>
      <c r="AB62" s="210"/>
      <c r="AC62" s="210"/>
      <c r="AD62" s="210"/>
      <c r="AE62" s="210"/>
      <c r="AF62" s="210"/>
      <c r="AG62" s="210"/>
      <c r="AH62" s="210"/>
      <c r="AI62" s="210"/>
      <c r="AJ62" s="210"/>
      <c r="AK62" s="378"/>
    </row>
    <row r="63" spans="1:37" ht="20.399999999999999" customHeight="1" x14ac:dyDescent="0.3">
      <c r="A63" s="83"/>
      <c r="B63" s="83"/>
      <c r="C63" s="83"/>
      <c r="D63" s="83"/>
      <c r="E63" s="83"/>
      <c r="F63" s="83"/>
      <c r="G63" s="83"/>
      <c r="H63" s="83"/>
      <c r="I63" s="83"/>
      <c r="J63" s="83"/>
      <c r="K63" s="83"/>
      <c r="L63" s="83"/>
      <c r="M63" s="83"/>
      <c r="N63" s="83"/>
      <c r="O63" s="83"/>
      <c r="P63" s="210"/>
      <c r="Q63" s="210"/>
      <c r="R63" s="210"/>
      <c r="S63" s="210"/>
      <c r="T63" s="210"/>
      <c r="U63" s="210"/>
      <c r="V63" s="210"/>
      <c r="W63" s="210"/>
      <c r="X63" s="210"/>
      <c r="Y63" s="210"/>
      <c r="Z63" s="210"/>
      <c r="AA63" s="210"/>
      <c r="AB63" s="210"/>
      <c r="AC63" s="210"/>
      <c r="AD63" s="210"/>
      <c r="AE63" s="210"/>
      <c r="AF63" s="210"/>
      <c r="AG63" s="210"/>
      <c r="AH63" s="210"/>
      <c r="AI63" s="210"/>
      <c r="AJ63" s="210"/>
      <c r="AK63" s="378"/>
    </row>
    <row r="64" spans="1:37" ht="20.399999999999999" customHeight="1" x14ac:dyDescent="0.3">
      <c r="A64" s="83"/>
      <c r="B64" s="83"/>
      <c r="C64" s="83"/>
      <c r="D64" s="83"/>
      <c r="E64" s="83"/>
      <c r="F64" s="83"/>
      <c r="G64" s="83"/>
      <c r="H64" s="83"/>
      <c r="I64" s="83"/>
      <c r="J64" s="83"/>
      <c r="K64" s="83"/>
      <c r="L64" s="83"/>
      <c r="M64" s="83"/>
      <c r="N64" s="83"/>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378"/>
    </row>
    <row r="65" spans="1:37" ht="20.399999999999999" customHeight="1" x14ac:dyDescent="0.3">
      <c r="A65" s="83"/>
      <c r="B65" s="83"/>
      <c r="C65" s="83"/>
      <c r="D65" s="83"/>
      <c r="E65" s="83"/>
      <c r="F65" s="83"/>
      <c r="G65" s="83"/>
      <c r="H65" s="83"/>
      <c r="I65" s="83"/>
      <c r="J65" s="83"/>
      <c r="K65" s="83"/>
      <c r="L65" s="83"/>
      <c r="M65" s="83"/>
      <c r="N65" s="83"/>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378"/>
    </row>
    <row r="66" spans="1:37" ht="20.399999999999999" customHeight="1" x14ac:dyDescent="0.3">
      <c r="A66" s="83"/>
      <c r="B66" s="83"/>
      <c r="C66" s="83"/>
      <c r="D66" s="83"/>
      <c r="E66" s="83"/>
      <c r="F66" s="83"/>
      <c r="G66" s="83"/>
      <c r="H66" s="83"/>
      <c r="I66" s="83"/>
      <c r="J66" s="83"/>
      <c r="K66" s="83"/>
      <c r="L66" s="83"/>
      <c r="M66" s="83"/>
      <c r="N66" s="83"/>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378"/>
    </row>
    <row r="67" spans="1:37" ht="20.399999999999999" customHeight="1" x14ac:dyDescent="0.3">
      <c r="A67" s="83"/>
      <c r="B67" s="83"/>
      <c r="C67" s="83"/>
      <c r="D67" s="83"/>
      <c r="E67" s="83"/>
      <c r="F67" s="83"/>
      <c r="G67" s="83"/>
      <c r="H67" s="83"/>
      <c r="I67" s="83"/>
      <c r="J67" s="83"/>
      <c r="K67" s="83"/>
      <c r="L67" s="83"/>
      <c r="M67" s="83"/>
      <c r="N67" s="83"/>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378"/>
    </row>
    <row r="68" spans="1:37" ht="20.399999999999999" customHeight="1" x14ac:dyDescent="0.3">
      <c r="A68" s="83"/>
      <c r="B68" s="83"/>
      <c r="C68" s="83"/>
      <c r="D68" s="83"/>
      <c r="E68" s="83"/>
      <c r="F68" s="83"/>
      <c r="G68" s="83"/>
      <c r="H68" s="83"/>
      <c r="I68" s="83"/>
      <c r="J68" s="83"/>
      <c r="K68" s="83"/>
      <c r="L68" s="83"/>
      <c r="M68" s="83"/>
      <c r="N68" s="83"/>
      <c r="O68" s="83"/>
      <c r="P68" s="210"/>
      <c r="Q68" s="210"/>
      <c r="R68" s="210"/>
      <c r="S68" s="210"/>
      <c r="T68" s="210"/>
      <c r="U68" s="210"/>
      <c r="V68" s="210"/>
      <c r="W68" s="210"/>
      <c r="X68" s="210"/>
      <c r="Y68" s="210"/>
      <c r="Z68" s="210"/>
      <c r="AA68" s="210"/>
      <c r="AB68" s="210"/>
      <c r="AC68" s="210"/>
      <c r="AD68" s="210"/>
      <c r="AE68" s="210"/>
      <c r="AF68" s="210"/>
      <c r="AG68" s="210"/>
      <c r="AH68" s="210"/>
      <c r="AI68" s="210"/>
      <c r="AJ68" s="210"/>
      <c r="AK68" s="378"/>
    </row>
    <row r="69" spans="1:37" ht="20.399999999999999" customHeight="1" x14ac:dyDescent="0.3">
      <c r="A69" s="83"/>
      <c r="B69" s="83"/>
      <c r="C69" s="83"/>
      <c r="D69" s="83"/>
      <c r="E69" s="83"/>
      <c r="F69" s="83"/>
      <c r="G69" s="83"/>
      <c r="H69" s="83"/>
      <c r="I69" s="83"/>
      <c r="J69" s="83"/>
      <c r="K69" s="83"/>
      <c r="L69" s="83"/>
      <c r="M69" s="83"/>
      <c r="N69" s="83"/>
      <c r="O69" s="83"/>
      <c r="P69" s="210"/>
      <c r="Q69" s="210"/>
      <c r="R69" s="210"/>
      <c r="S69" s="210"/>
      <c r="T69" s="210"/>
      <c r="U69" s="210"/>
      <c r="V69" s="210"/>
      <c r="W69" s="210"/>
      <c r="X69" s="210"/>
      <c r="Y69" s="210"/>
      <c r="Z69" s="210"/>
      <c r="AA69" s="210"/>
      <c r="AB69" s="210"/>
      <c r="AC69" s="210"/>
      <c r="AD69" s="210"/>
      <c r="AE69" s="210"/>
      <c r="AF69" s="210"/>
      <c r="AG69" s="210"/>
      <c r="AH69" s="210"/>
      <c r="AI69" s="210"/>
      <c r="AJ69" s="210"/>
      <c r="AK69" s="378"/>
    </row>
    <row r="70" spans="1:37" ht="20.399999999999999" customHeight="1" x14ac:dyDescent="0.3">
      <c r="A70" s="83"/>
      <c r="B70" s="83"/>
      <c r="C70" s="83"/>
      <c r="D70" s="83"/>
      <c r="E70" s="83"/>
      <c r="F70" s="83"/>
      <c r="G70" s="83"/>
      <c r="H70" s="83"/>
      <c r="I70" s="83"/>
      <c r="J70" s="83"/>
      <c r="K70" s="83"/>
      <c r="L70" s="83"/>
      <c r="M70" s="83"/>
      <c r="N70" s="83"/>
      <c r="O70" s="83"/>
      <c r="P70" s="210"/>
      <c r="Q70" s="210"/>
      <c r="R70" s="210"/>
      <c r="S70" s="210"/>
      <c r="T70" s="210"/>
      <c r="U70" s="210"/>
      <c r="V70" s="210"/>
      <c r="W70" s="210"/>
      <c r="X70" s="210"/>
      <c r="Y70" s="210"/>
      <c r="Z70" s="210"/>
      <c r="AA70" s="210"/>
      <c r="AB70" s="210"/>
      <c r="AC70" s="210"/>
      <c r="AD70" s="210"/>
      <c r="AE70" s="210"/>
      <c r="AF70" s="210"/>
      <c r="AG70" s="210"/>
      <c r="AH70" s="210"/>
      <c r="AI70" s="210"/>
      <c r="AJ70" s="210"/>
      <c r="AK70" s="378"/>
    </row>
    <row r="71" spans="1:37" ht="20.399999999999999" customHeight="1" x14ac:dyDescent="0.3">
      <c r="A71" s="83"/>
      <c r="B71" s="83"/>
      <c r="C71" s="83"/>
      <c r="D71" s="83"/>
      <c r="E71" s="83"/>
      <c r="F71" s="83"/>
      <c r="G71" s="83"/>
      <c r="H71" s="83"/>
      <c r="I71" s="83"/>
      <c r="J71" s="83"/>
      <c r="K71" s="83"/>
      <c r="L71" s="83"/>
      <c r="M71" s="83"/>
      <c r="N71" s="83"/>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378"/>
    </row>
    <row r="72" spans="1:37" ht="20.399999999999999" customHeight="1" x14ac:dyDescent="0.3">
      <c r="A72" s="83"/>
      <c r="B72" s="83"/>
      <c r="C72" s="83"/>
      <c r="D72" s="83"/>
      <c r="E72" s="83"/>
      <c r="F72" s="83"/>
      <c r="G72" s="83"/>
      <c r="H72" s="83"/>
      <c r="I72" s="83"/>
      <c r="J72" s="83"/>
      <c r="K72" s="83"/>
      <c r="L72" s="83"/>
      <c r="M72" s="83"/>
      <c r="N72" s="83"/>
      <c r="O72" s="83"/>
      <c r="P72" s="210"/>
      <c r="Q72" s="210"/>
      <c r="R72" s="210"/>
      <c r="S72" s="210"/>
      <c r="T72" s="210"/>
      <c r="U72" s="210"/>
      <c r="V72" s="210"/>
      <c r="W72" s="210"/>
      <c r="X72" s="210"/>
      <c r="Y72" s="210"/>
      <c r="Z72" s="210"/>
      <c r="AA72" s="210"/>
      <c r="AB72" s="210"/>
      <c r="AC72" s="210"/>
      <c r="AD72" s="210"/>
      <c r="AE72" s="210"/>
      <c r="AF72" s="210"/>
      <c r="AG72" s="210"/>
      <c r="AH72" s="210"/>
      <c r="AI72" s="210"/>
      <c r="AJ72" s="210"/>
      <c r="AK72" s="378"/>
    </row>
    <row r="73" spans="1:37" ht="20.399999999999999" customHeight="1" x14ac:dyDescent="0.3">
      <c r="A73" s="83"/>
      <c r="B73" s="83"/>
      <c r="C73" s="83"/>
      <c r="D73" s="83"/>
      <c r="E73" s="83"/>
      <c r="F73" s="83"/>
      <c r="G73" s="83"/>
      <c r="H73" s="83"/>
      <c r="I73" s="83"/>
      <c r="J73" s="83"/>
      <c r="K73" s="83"/>
      <c r="L73" s="83"/>
      <c r="M73" s="83"/>
      <c r="N73" s="83"/>
      <c r="O73" s="83"/>
      <c r="P73" s="210"/>
      <c r="Q73" s="210"/>
      <c r="R73" s="210"/>
      <c r="S73" s="210"/>
      <c r="T73" s="210"/>
      <c r="U73" s="210"/>
      <c r="V73" s="210"/>
      <c r="W73" s="210"/>
      <c r="X73" s="210"/>
      <c r="Y73" s="210"/>
      <c r="Z73" s="210"/>
      <c r="AA73" s="210"/>
      <c r="AB73" s="210"/>
      <c r="AC73" s="210"/>
      <c r="AD73" s="210"/>
      <c r="AE73" s="210"/>
      <c r="AF73" s="210"/>
      <c r="AG73" s="210"/>
      <c r="AH73" s="210"/>
      <c r="AI73" s="210"/>
      <c r="AJ73" s="210"/>
      <c r="AK73" s="378"/>
    </row>
    <row r="74" spans="1:37" ht="20.399999999999999" customHeight="1" x14ac:dyDescent="0.3">
      <c r="A74" s="83"/>
      <c r="B74" s="83"/>
      <c r="C74" s="83"/>
      <c r="D74" s="83"/>
      <c r="E74" s="83"/>
      <c r="F74" s="83"/>
      <c r="G74" s="83"/>
      <c r="H74" s="83"/>
      <c r="I74" s="83"/>
      <c r="J74" s="83"/>
      <c r="K74" s="83"/>
      <c r="L74" s="83"/>
      <c r="M74" s="83"/>
      <c r="N74" s="83"/>
      <c r="O74" s="83"/>
      <c r="P74" s="210"/>
      <c r="Q74" s="210"/>
      <c r="R74" s="210"/>
      <c r="S74" s="210"/>
      <c r="T74" s="210"/>
      <c r="U74" s="210"/>
      <c r="V74" s="210"/>
      <c r="W74" s="210"/>
      <c r="X74" s="210"/>
      <c r="Y74" s="210"/>
      <c r="Z74" s="210"/>
      <c r="AA74" s="210"/>
      <c r="AB74" s="210"/>
      <c r="AC74" s="210"/>
      <c r="AD74" s="210"/>
      <c r="AE74" s="210"/>
      <c r="AF74" s="210"/>
      <c r="AG74" s="210"/>
      <c r="AH74" s="210"/>
      <c r="AI74" s="210"/>
      <c r="AJ74" s="210"/>
      <c r="AK74" s="378"/>
    </row>
    <row r="75" spans="1:37" ht="20.399999999999999" customHeight="1" x14ac:dyDescent="0.3">
      <c r="A75" s="83"/>
      <c r="B75" s="83"/>
      <c r="C75" s="83"/>
      <c r="D75" s="83"/>
      <c r="E75" s="83"/>
      <c r="F75" s="83"/>
      <c r="G75" s="83"/>
      <c r="H75" s="83"/>
      <c r="I75" s="83"/>
      <c r="J75" s="83"/>
      <c r="K75" s="83"/>
      <c r="L75" s="83"/>
      <c r="M75" s="83"/>
      <c r="N75" s="83"/>
      <c r="O75" s="83"/>
      <c r="P75" s="210"/>
      <c r="Q75" s="210"/>
      <c r="R75" s="210"/>
      <c r="S75" s="210"/>
      <c r="T75" s="210"/>
      <c r="U75" s="210"/>
      <c r="V75" s="210"/>
      <c r="W75" s="210"/>
      <c r="X75" s="210"/>
      <c r="Y75" s="210"/>
      <c r="Z75" s="210"/>
      <c r="AA75" s="210"/>
      <c r="AB75" s="210"/>
      <c r="AC75" s="210"/>
      <c r="AD75" s="210"/>
      <c r="AE75" s="210"/>
      <c r="AF75" s="210"/>
      <c r="AG75" s="210"/>
      <c r="AH75" s="210"/>
      <c r="AI75" s="210"/>
      <c r="AJ75" s="210"/>
      <c r="AK75" s="378"/>
    </row>
    <row r="76" spans="1:37" ht="20.399999999999999" customHeight="1" x14ac:dyDescent="0.3">
      <c r="A76" s="83"/>
      <c r="B76" s="83"/>
      <c r="C76" s="83"/>
      <c r="D76" s="83"/>
      <c r="E76" s="83"/>
      <c r="F76" s="83"/>
      <c r="G76" s="83"/>
      <c r="H76" s="83"/>
      <c r="I76" s="83"/>
      <c r="J76" s="83"/>
      <c r="K76" s="83"/>
      <c r="L76" s="83"/>
      <c r="M76" s="83"/>
      <c r="N76" s="83"/>
      <c r="O76" s="83"/>
      <c r="P76" s="210"/>
      <c r="Q76" s="210"/>
      <c r="R76" s="210"/>
      <c r="S76" s="210"/>
      <c r="T76" s="210"/>
      <c r="U76" s="210"/>
      <c r="V76" s="210"/>
      <c r="W76" s="210"/>
      <c r="X76" s="210"/>
      <c r="Y76" s="210"/>
      <c r="Z76" s="210"/>
      <c r="AA76" s="210"/>
      <c r="AB76" s="210"/>
      <c r="AC76" s="210"/>
      <c r="AD76" s="210"/>
      <c r="AE76" s="210"/>
      <c r="AF76" s="210"/>
      <c r="AG76" s="210"/>
      <c r="AH76" s="210"/>
      <c r="AI76" s="210"/>
      <c r="AJ76" s="210"/>
      <c r="AK76" s="378"/>
    </row>
    <row r="77" spans="1:37" ht="20.399999999999999" customHeight="1" x14ac:dyDescent="0.3">
      <c r="A77" s="83"/>
      <c r="B77" s="83"/>
      <c r="C77" s="83"/>
      <c r="D77" s="83"/>
      <c r="E77" s="83"/>
      <c r="F77" s="83"/>
      <c r="G77" s="83"/>
      <c r="H77" s="83"/>
      <c r="I77" s="83"/>
      <c r="J77" s="83"/>
      <c r="K77" s="83"/>
      <c r="L77" s="83"/>
      <c r="M77" s="83"/>
      <c r="N77" s="83"/>
      <c r="O77" s="83"/>
      <c r="P77" s="210"/>
      <c r="Q77" s="210"/>
      <c r="R77" s="210"/>
      <c r="S77" s="210"/>
      <c r="T77" s="210"/>
      <c r="U77" s="210"/>
      <c r="V77" s="210"/>
      <c r="W77" s="210"/>
      <c r="X77" s="210"/>
      <c r="Y77" s="210"/>
      <c r="Z77" s="210"/>
      <c r="AA77" s="210"/>
      <c r="AB77" s="210"/>
      <c r="AC77" s="210"/>
      <c r="AD77" s="210"/>
      <c r="AE77" s="210"/>
      <c r="AF77" s="210"/>
      <c r="AG77" s="210"/>
      <c r="AH77" s="210"/>
      <c r="AI77" s="210"/>
      <c r="AJ77" s="210"/>
      <c r="AK77" s="378"/>
    </row>
    <row r="78" spans="1:37" ht="20.399999999999999" customHeight="1" x14ac:dyDescent="0.3">
      <c r="A78" s="83"/>
      <c r="B78" s="83"/>
      <c r="C78" s="83"/>
      <c r="D78" s="83"/>
      <c r="E78" s="83"/>
      <c r="F78" s="83"/>
      <c r="G78" s="83"/>
      <c r="H78" s="83"/>
      <c r="I78" s="83"/>
      <c r="J78" s="83"/>
      <c r="K78" s="83"/>
      <c r="L78" s="83"/>
      <c r="M78" s="83"/>
      <c r="N78" s="83"/>
      <c r="O78" s="83"/>
      <c r="P78" s="210"/>
      <c r="Q78" s="210"/>
      <c r="R78" s="210"/>
      <c r="S78" s="210"/>
      <c r="T78" s="210"/>
      <c r="U78" s="210"/>
      <c r="V78" s="210"/>
      <c r="W78" s="210"/>
      <c r="X78" s="210"/>
      <c r="Y78" s="210"/>
      <c r="Z78" s="210"/>
      <c r="AA78" s="210"/>
      <c r="AB78" s="210"/>
      <c r="AC78" s="210"/>
      <c r="AD78" s="210"/>
      <c r="AE78" s="210"/>
      <c r="AF78" s="210"/>
      <c r="AG78" s="210"/>
      <c r="AH78" s="210"/>
      <c r="AI78" s="210"/>
      <c r="AJ78" s="210"/>
      <c r="AK78" s="378"/>
    </row>
    <row r="79" spans="1:37" ht="20.399999999999999" customHeight="1" x14ac:dyDescent="0.3">
      <c r="A79" s="83"/>
      <c r="B79" s="83"/>
      <c r="C79" s="83"/>
      <c r="D79" s="83"/>
      <c r="E79" s="83"/>
      <c r="F79" s="83"/>
      <c r="G79" s="83"/>
      <c r="H79" s="83"/>
      <c r="I79" s="83"/>
      <c r="J79" s="83"/>
      <c r="K79" s="83"/>
      <c r="L79" s="83"/>
      <c r="M79" s="83"/>
      <c r="N79" s="83"/>
      <c r="O79" s="83"/>
      <c r="P79" s="210"/>
      <c r="Q79" s="210"/>
      <c r="R79" s="210"/>
      <c r="S79" s="210"/>
      <c r="T79" s="210"/>
      <c r="U79" s="210"/>
      <c r="V79" s="210"/>
      <c r="W79" s="210"/>
      <c r="X79" s="210"/>
      <c r="Y79" s="210"/>
      <c r="Z79" s="210"/>
      <c r="AA79" s="210"/>
      <c r="AB79" s="210"/>
      <c r="AC79" s="210"/>
      <c r="AD79" s="210"/>
      <c r="AE79" s="210"/>
      <c r="AF79" s="210"/>
      <c r="AG79" s="210"/>
      <c r="AH79" s="210"/>
      <c r="AI79" s="210"/>
      <c r="AJ79" s="210"/>
      <c r="AK79" s="378"/>
    </row>
    <row r="80" spans="1:37" ht="20.399999999999999" customHeight="1" x14ac:dyDescent="0.3">
      <c r="A80" s="83"/>
      <c r="B80" s="83"/>
      <c r="C80" s="83"/>
      <c r="D80" s="83"/>
      <c r="E80" s="83"/>
      <c r="F80" s="83"/>
      <c r="G80" s="83"/>
      <c r="H80" s="83"/>
      <c r="I80" s="83"/>
      <c r="J80" s="83"/>
      <c r="K80" s="83"/>
      <c r="L80" s="83"/>
      <c r="M80" s="83"/>
      <c r="N80" s="83"/>
      <c r="O80" s="83"/>
      <c r="P80" s="210"/>
      <c r="Q80" s="210"/>
      <c r="R80" s="210"/>
      <c r="S80" s="210"/>
      <c r="T80" s="210"/>
      <c r="U80" s="210"/>
      <c r="V80" s="210"/>
      <c r="W80" s="210"/>
      <c r="X80" s="210"/>
      <c r="Y80" s="210"/>
      <c r="Z80" s="210"/>
      <c r="AA80" s="210"/>
      <c r="AB80" s="210"/>
      <c r="AC80" s="210"/>
      <c r="AD80" s="210"/>
      <c r="AE80" s="210"/>
      <c r="AF80" s="210"/>
      <c r="AG80" s="210"/>
      <c r="AH80" s="210"/>
      <c r="AI80" s="210"/>
      <c r="AJ80" s="210"/>
      <c r="AK80" s="378"/>
    </row>
    <row r="81" spans="1:37" ht="20.399999999999999" customHeight="1" x14ac:dyDescent="0.3">
      <c r="A81" s="83"/>
      <c r="B81" s="83"/>
      <c r="C81" s="83"/>
      <c r="D81" s="83"/>
      <c r="E81" s="83"/>
      <c r="F81" s="83"/>
      <c r="G81" s="83"/>
      <c r="H81" s="83"/>
      <c r="I81" s="83"/>
      <c r="J81" s="83"/>
      <c r="K81" s="83"/>
      <c r="L81" s="83"/>
      <c r="M81" s="83"/>
      <c r="N81" s="83"/>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378"/>
    </row>
    <row r="82" spans="1:37" ht="20.399999999999999" customHeight="1" x14ac:dyDescent="0.3">
      <c r="A82" s="83"/>
      <c r="B82" s="83"/>
      <c r="C82" s="83"/>
      <c r="D82" s="83"/>
      <c r="E82" s="83"/>
      <c r="F82" s="83"/>
      <c r="G82" s="83"/>
      <c r="H82" s="83"/>
      <c r="I82" s="83"/>
      <c r="J82" s="83"/>
      <c r="K82" s="83"/>
      <c r="L82" s="83"/>
      <c r="M82" s="83"/>
      <c r="N82" s="83"/>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378"/>
    </row>
    <row r="83" spans="1:37" ht="20.399999999999999" customHeight="1" x14ac:dyDescent="0.3">
      <c r="A83" s="83"/>
      <c r="B83" s="83"/>
      <c r="C83" s="83"/>
      <c r="D83" s="83"/>
      <c r="E83" s="83"/>
      <c r="F83" s="83"/>
      <c r="G83" s="83"/>
      <c r="H83" s="83"/>
      <c r="I83" s="83"/>
      <c r="J83" s="83"/>
      <c r="K83" s="83"/>
      <c r="L83" s="83"/>
      <c r="M83" s="83"/>
      <c r="N83" s="83"/>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378"/>
    </row>
    <row r="84" spans="1:37" ht="20.399999999999999" customHeight="1" x14ac:dyDescent="0.3">
      <c r="A84" s="83"/>
      <c r="B84" s="83"/>
      <c r="C84" s="83"/>
      <c r="D84" s="83"/>
      <c r="E84" s="83"/>
      <c r="F84" s="83"/>
      <c r="G84" s="83"/>
      <c r="H84" s="83"/>
      <c r="I84" s="83"/>
      <c r="J84" s="83"/>
      <c r="K84" s="83"/>
      <c r="L84" s="83"/>
      <c r="M84" s="83"/>
      <c r="N84" s="83"/>
      <c r="O84" s="83"/>
      <c r="P84" s="210"/>
      <c r="Q84" s="210"/>
      <c r="R84" s="210"/>
      <c r="S84" s="210"/>
      <c r="T84" s="210"/>
      <c r="U84" s="210"/>
      <c r="V84" s="210"/>
      <c r="W84" s="210"/>
      <c r="X84" s="210"/>
      <c r="Y84" s="210"/>
      <c r="Z84" s="210"/>
      <c r="AA84" s="210"/>
      <c r="AB84" s="210"/>
      <c r="AC84" s="210"/>
      <c r="AD84" s="210"/>
      <c r="AE84" s="210"/>
      <c r="AF84" s="210"/>
      <c r="AG84" s="210"/>
      <c r="AH84" s="210"/>
      <c r="AI84" s="210"/>
      <c r="AJ84" s="210"/>
      <c r="AK84" s="378"/>
    </row>
    <row r="85" spans="1:37" ht="20.399999999999999" customHeight="1" x14ac:dyDescent="0.3">
      <c r="A85" s="83"/>
      <c r="B85" s="83"/>
      <c r="C85" s="83"/>
      <c r="D85" s="83"/>
      <c r="E85" s="83"/>
      <c r="F85" s="83"/>
      <c r="G85" s="83"/>
      <c r="H85" s="83"/>
      <c r="I85" s="83"/>
      <c r="J85" s="83"/>
      <c r="K85" s="83"/>
      <c r="L85" s="83"/>
      <c r="M85" s="83"/>
      <c r="N85" s="83"/>
      <c r="O85" s="83"/>
      <c r="P85" s="210"/>
      <c r="Q85" s="210"/>
      <c r="R85" s="210"/>
      <c r="S85" s="210"/>
      <c r="T85" s="210"/>
      <c r="U85" s="210"/>
      <c r="V85" s="210"/>
      <c r="W85" s="210"/>
      <c r="X85" s="210"/>
      <c r="Y85" s="210"/>
      <c r="Z85" s="210"/>
      <c r="AA85" s="210"/>
      <c r="AB85" s="210"/>
      <c r="AC85" s="210"/>
      <c r="AD85" s="210"/>
      <c r="AE85" s="210"/>
      <c r="AF85" s="210"/>
      <c r="AG85" s="210"/>
      <c r="AH85" s="210"/>
      <c r="AI85" s="210"/>
      <c r="AJ85" s="210"/>
      <c r="AK85" s="378"/>
    </row>
    <row r="86" spans="1:37" ht="20.399999999999999" customHeight="1" x14ac:dyDescent="0.3">
      <c r="A86" s="83"/>
      <c r="B86" s="83"/>
      <c r="C86" s="83"/>
      <c r="D86" s="83"/>
      <c r="E86" s="83"/>
      <c r="F86" s="83"/>
      <c r="G86" s="83"/>
      <c r="H86" s="83"/>
      <c r="I86" s="83"/>
      <c r="J86" s="83"/>
      <c r="K86" s="83"/>
      <c r="L86" s="83"/>
      <c r="M86" s="83"/>
      <c r="N86" s="83"/>
      <c r="O86" s="83"/>
      <c r="P86" s="210"/>
      <c r="Q86" s="210"/>
      <c r="R86" s="210"/>
      <c r="S86" s="210"/>
      <c r="T86" s="210"/>
      <c r="U86" s="210"/>
      <c r="V86" s="210"/>
      <c r="W86" s="210"/>
      <c r="X86" s="210"/>
      <c r="Y86" s="210"/>
      <c r="Z86" s="210"/>
      <c r="AA86" s="210"/>
      <c r="AB86" s="210"/>
      <c r="AC86" s="210"/>
      <c r="AD86" s="210"/>
      <c r="AE86" s="210"/>
      <c r="AF86" s="210"/>
      <c r="AG86" s="210"/>
      <c r="AH86" s="210"/>
      <c r="AI86" s="210"/>
      <c r="AJ86" s="210"/>
      <c r="AK86" s="378"/>
    </row>
    <row r="87" spans="1:37" ht="20.399999999999999" customHeight="1" x14ac:dyDescent="0.3">
      <c r="A87" s="83"/>
      <c r="B87" s="83"/>
      <c r="C87" s="83"/>
      <c r="D87" s="83"/>
      <c r="E87" s="83"/>
      <c r="F87" s="83"/>
      <c r="G87" s="83"/>
      <c r="H87" s="83"/>
      <c r="I87" s="83"/>
      <c r="J87" s="83"/>
      <c r="K87" s="83"/>
      <c r="L87" s="83"/>
      <c r="M87" s="83"/>
      <c r="N87" s="83"/>
      <c r="O87" s="83"/>
      <c r="P87" s="210"/>
      <c r="Q87" s="210"/>
      <c r="R87" s="210"/>
      <c r="S87" s="210"/>
      <c r="T87" s="210"/>
      <c r="U87" s="210"/>
      <c r="V87" s="210"/>
      <c r="W87" s="210"/>
      <c r="X87" s="210"/>
      <c r="Y87" s="210"/>
      <c r="Z87" s="210"/>
      <c r="AA87" s="210"/>
      <c r="AB87" s="210"/>
      <c r="AC87" s="210"/>
      <c r="AD87" s="210"/>
      <c r="AE87" s="210"/>
      <c r="AF87" s="210"/>
      <c r="AG87" s="210"/>
      <c r="AH87" s="210"/>
      <c r="AI87" s="210"/>
      <c r="AJ87" s="210"/>
      <c r="AK87" s="378"/>
    </row>
    <row r="88" spans="1:37" ht="20.399999999999999" customHeight="1" x14ac:dyDescent="0.3">
      <c r="A88" s="83"/>
      <c r="B88" s="83"/>
      <c r="C88" s="83"/>
      <c r="D88" s="83"/>
      <c r="E88" s="83"/>
      <c r="F88" s="83"/>
      <c r="G88" s="83"/>
      <c r="H88" s="83"/>
      <c r="I88" s="83"/>
      <c r="J88" s="83"/>
      <c r="K88" s="83"/>
      <c r="L88" s="83"/>
      <c r="M88" s="83"/>
      <c r="N88" s="83"/>
      <c r="O88" s="83"/>
      <c r="P88" s="210"/>
      <c r="Q88" s="210"/>
      <c r="R88" s="210"/>
      <c r="S88" s="210"/>
      <c r="T88" s="210"/>
      <c r="U88" s="210"/>
      <c r="V88" s="210"/>
      <c r="W88" s="210"/>
      <c r="X88" s="210"/>
      <c r="Y88" s="210"/>
      <c r="Z88" s="210"/>
      <c r="AA88" s="210"/>
      <c r="AB88" s="210"/>
      <c r="AC88" s="210"/>
      <c r="AD88" s="210"/>
      <c r="AE88" s="210"/>
      <c r="AF88" s="210"/>
      <c r="AG88" s="210"/>
      <c r="AH88" s="210"/>
      <c r="AI88" s="210"/>
      <c r="AJ88" s="210"/>
      <c r="AK88" s="378"/>
    </row>
    <row r="89" spans="1:37" ht="20.399999999999999" customHeight="1" x14ac:dyDescent="0.3">
      <c r="A89" s="83"/>
      <c r="B89" s="83"/>
      <c r="C89" s="83"/>
      <c r="D89" s="83"/>
      <c r="E89" s="83"/>
      <c r="F89" s="83"/>
      <c r="G89" s="83"/>
      <c r="H89" s="83"/>
      <c r="I89" s="83"/>
      <c r="J89" s="83"/>
      <c r="K89" s="83"/>
      <c r="L89" s="83"/>
      <c r="M89" s="83"/>
      <c r="N89" s="83"/>
      <c r="O89" s="83"/>
      <c r="P89" s="210"/>
      <c r="Q89" s="210"/>
      <c r="R89" s="210"/>
      <c r="S89" s="210"/>
      <c r="T89" s="210"/>
      <c r="U89" s="210"/>
      <c r="V89" s="210"/>
      <c r="W89" s="210"/>
      <c r="X89" s="210"/>
      <c r="Y89" s="210"/>
      <c r="Z89" s="210"/>
      <c r="AA89" s="210"/>
      <c r="AB89" s="210"/>
      <c r="AC89" s="210"/>
      <c r="AD89" s="210"/>
      <c r="AE89" s="210"/>
      <c r="AF89" s="210"/>
      <c r="AG89" s="210"/>
      <c r="AH89" s="210"/>
      <c r="AI89" s="210"/>
      <c r="AJ89" s="210"/>
      <c r="AK89" s="378"/>
    </row>
    <row r="90" spans="1:37" ht="20.399999999999999" customHeight="1" x14ac:dyDescent="0.3">
      <c r="A90" s="83"/>
      <c r="B90" s="83"/>
      <c r="C90" s="83"/>
      <c r="D90" s="83"/>
      <c r="E90" s="83"/>
      <c r="F90" s="83"/>
      <c r="G90" s="83"/>
      <c r="H90" s="83"/>
      <c r="I90" s="83"/>
      <c r="J90" s="83"/>
      <c r="K90" s="83"/>
      <c r="L90" s="83"/>
      <c r="M90" s="83"/>
      <c r="N90" s="83"/>
      <c r="O90" s="83"/>
      <c r="P90" s="210"/>
      <c r="Q90" s="210"/>
      <c r="R90" s="210"/>
      <c r="S90" s="210"/>
      <c r="T90" s="210"/>
      <c r="U90" s="210"/>
      <c r="V90" s="210"/>
      <c r="W90" s="210"/>
      <c r="X90" s="210"/>
      <c r="Y90" s="210"/>
      <c r="Z90" s="210"/>
      <c r="AA90" s="210"/>
      <c r="AB90" s="210"/>
      <c r="AC90" s="210"/>
      <c r="AD90" s="210"/>
      <c r="AE90" s="210"/>
      <c r="AF90" s="210"/>
      <c r="AG90" s="210"/>
      <c r="AH90" s="210"/>
      <c r="AI90" s="210"/>
      <c r="AJ90" s="210"/>
      <c r="AK90" s="378"/>
    </row>
    <row r="91" spans="1:37" ht="20.399999999999999" customHeight="1" x14ac:dyDescent="0.3">
      <c r="A91" s="83"/>
      <c r="B91" s="83"/>
      <c r="C91" s="83"/>
      <c r="D91" s="83"/>
      <c r="E91" s="83"/>
      <c r="F91" s="83"/>
      <c r="G91" s="83"/>
      <c r="H91" s="83"/>
      <c r="I91" s="83"/>
      <c r="J91" s="83"/>
      <c r="K91" s="83"/>
      <c r="L91" s="83"/>
      <c r="M91" s="83"/>
      <c r="N91" s="83"/>
      <c r="O91" s="83"/>
      <c r="P91" s="210"/>
      <c r="Q91" s="210"/>
      <c r="R91" s="210"/>
      <c r="S91" s="210"/>
      <c r="T91" s="210"/>
      <c r="U91" s="210"/>
      <c r="V91" s="210"/>
      <c r="W91" s="210"/>
      <c r="X91" s="210"/>
      <c r="Y91" s="210"/>
      <c r="Z91" s="210"/>
      <c r="AA91" s="210"/>
      <c r="AB91" s="210"/>
      <c r="AC91" s="210"/>
      <c r="AD91" s="210"/>
      <c r="AE91" s="210"/>
      <c r="AF91" s="210"/>
      <c r="AG91" s="210"/>
      <c r="AH91" s="210"/>
      <c r="AI91" s="210"/>
      <c r="AJ91" s="210"/>
      <c r="AK91" s="378"/>
    </row>
    <row r="92" spans="1:37" ht="20.399999999999999" customHeight="1" x14ac:dyDescent="0.3">
      <c r="A92" s="83"/>
      <c r="B92" s="83"/>
      <c r="C92" s="83"/>
      <c r="D92" s="83"/>
      <c r="E92" s="83"/>
      <c r="F92" s="83"/>
      <c r="G92" s="83"/>
      <c r="H92" s="83"/>
      <c r="I92" s="83"/>
      <c r="J92" s="83"/>
      <c r="K92" s="83"/>
      <c r="L92" s="83"/>
      <c r="M92" s="83"/>
      <c r="N92" s="83"/>
      <c r="O92" s="83"/>
      <c r="P92" s="210"/>
      <c r="Q92" s="210"/>
      <c r="R92" s="210"/>
      <c r="S92" s="210"/>
      <c r="T92" s="210"/>
      <c r="U92" s="210"/>
      <c r="V92" s="210"/>
      <c r="W92" s="210"/>
      <c r="X92" s="210"/>
      <c r="Y92" s="210"/>
      <c r="Z92" s="210"/>
      <c r="AA92" s="210"/>
      <c r="AB92" s="210"/>
      <c r="AC92" s="210"/>
      <c r="AD92" s="210"/>
      <c r="AE92" s="210"/>
      <c r="AF92" s="210"/>
      <c r="AG92" s="210"/>
      <c r="AH92" s="210"/>
      <c r="AI92" s="210"/>
      <c r="AJ92" s="210"/>
      <c r="AK92" s="378"/>
    </row>
    <row r="93" spans="1:37" ht="20.399999999999999" customHeight="1" x14ac:dyDescent="0.3">
      <c r="A93" s="83"/>
      <c r="B93" s="83"/>
      <c r="C93" s="83"/>
      <c r="D93" s="83"/>
      <c r="E93" s="83"/>
      <c r="F93" s="83"/>
      <c r="G93" s="83"/>
      <c r="H93" s="83"/>
      <c r="I93" s="83"/>
      <c r="J93" s="83"/>
      <c r="K93" s="83"/>
      <c r="L93" s="83"/>
      <c r="M93" s="83"/>
      <c r="N93" s="83"/>
      <c r="O93" s="83"/>
      <c r="P93" s="210"/>
      <c r="Q93" s="210"/>
      <c r="R93" s="210"/>
      <c r="S93" s="210"/>
      <c r="T93" s="210"/>
      <c r="U93" s="210"/>
      <c r="V93" s="210"/>
      <c r="W93" s="210"/>
      <c r="X93" s="210"/>
      <c r="Y93" s="210"/>
      <c r="Z93" s="210"/>
      <c r="AA93" s="210"/>
      <c r="AB93" s="210"/>
      <c r="AC93" s="210"/>
      <c r="AD93" s="210"/>
      <c r="AE93" s="210"/>
      <c r="AF93" s="210"/>
      <c r="AG93" s="210"/>
      <c r="AH93" s="210"/>
      <c r="AI93" s="210"/>
      <c r="AJ93" s="210"/>
      <c r="AK93" s="378"/>
    </row>
    <row r="94" spans="1:37" ht="20.399999999999999" customHeight="1" x14ac:dyDescent="0.3">
      <c r="A94" s="83"/>
      <c r="B94" s="83"/>
      <c r="C94" s="83"/>
      <c r="D94" s="83"/>
      <c r="E94" s="83"/>
      <c r="F94" s="83"/>
      <c r="G94" s="83"/>
      <c r="H94" s="83"/>
      <c r="I94" s="83"/>
      <c r="J94" s="83"/>
      <c r="K94" s="83"/>
      <c r="L94" s="83"/>
      <c r="M94" s="83"/>
      <c r="N94" s="83"/>
      <c r="O94" s="83"/>
      <c r="P94" s="210"/>
      <c r="Q94" s="210"/>
      <c r="R94" s="210"/>
      <c r="S94" s="210"/>
      <c r="T94" s="210"/>
      <c r="U94" s="210"/>
      <c r="V94" s="210"/>
      <c r="W94" s="210"/>
      <c r="X94" s="210"/>
      <c r="Y94" s="210"/>
      <c r="Z94" s="210"/>
      <c r="AA94" s="210"/>
      <c r="AB94" s="210"/>
      <c r="AC94" s="210"/>
      <c r="AD94" s="210"/>
      <c r="AE94" s="210"/>
      <c r="AF94" s="210"/>
      <c r="AG94" s="210"/>
      <c r="AH94" s="210"/>
      <c r="AI94" s="210"/>
      <c r="AJ94" s="210"/>
      <c r="AK94" s="378"/>
    </row>
    <row r="95" spans="1:37" ht="20.399999999999999" customHeight="1" x14ac:dyDescent="0.3">
      <c r="A95" s="83"/>
      <c r="B95" s="83"/>
      <c r="C95" s="83"/>
      <c r="D95" s="83"/>
      <c r="E95" s="83"/>
      <c r="F95" s="83"/>
      <c r="G95" s="83"/>
      <c r="H95" s="83"/>
      <c r="I95" s="83"/>
      <c r="J95" s="83"/>
      <c r="K95" s="83"/>
      <c r="L95" s="83"/>
      <c r="M95" s="83"/>
      <c r="N95" s="83"/>
      <c r="O95" s="83"/>
      <c r="P95" s="210"/>
      <c r="Q95" s="210"/>
      <c r="R95" s="210"/>
      <c r="S95" s="210"/>
      <c r="T95" s="210"/>
      <c r="U95" s="210"/>
      <c r="V95" s="210"/>
      <c r="W95" s="210"/>
      <c r="X95" s="210"/>
      <c r="Y95" s="210"/>
      <c r="Z95" s="210"/>
      <c r="AA95" s="210"/>
      <c r="AB95" s="210"/>
      <c r="AC95" s="210"/>
      <c r="AD95" s="210"/>
      <c r="AE95" s="210"/>
      <c r="AF95" s="210"/>
      <c r="AG95" s="210"/>
      <c r="AH95" s="210"/>
      <c r="AI95" s="210"/>
      <c r="AJ95" s="210"/>
      <c r="AK95" s="378"/>
    </row>
    <row r="96" spans="1:37" ht="20.399999999999999" customHeight="1" x14ac:dyDescent="0.3">
      <c r="A96" s="83"/>
      <c r="B96" s="83"/>
      <c r="C96" s="83"/>
      <c r="D96" s="83"/>
      <c r="E96" s="83"/>
      <c r="F96" s="83"/>
      <c r="G96" s="83"/>
      <c r="H96" s="83"/>
      <c r="I96" s="83"/>
      <c r="J96" s="83"/>
      <c r="K96" s="83"/>
      <c r="L96" s="83"/>
      <c r="M96" s="83"/>
      <c r="N96" s="83"/>
      <c r="O96" s="83"/>
      <c r="P96" s="210"/>
      <c r="Q96" s="210"/>
      <c r="R96" s="210"/>
      <c r="S96" s="210"/>
      <c r="T96" s="210"/>
      <c r="U96" s="210"/>
      <c r="V96" s="210"/>
      <c r="W96" s="210"/>
      <c r="X96" s="210"/>
      <c r="Y96" s="210"/>
      <c r="Z96" s="210"/>
      <c r="AA96" s="210"/>
      <c r="AB96" s="210"/>
      <c r="AC96" s="210"/>
      <c r="AD96" s="210"/>
      <c r="AE96" s="210"/>
      <c r="AF96" s="210"/>
      <c r="AG96" s="210"/>
      <c r="AH96" s="210"/>
      <c r="AI96" s="210"/>
      <c r="AJ96" s="210"/>
      <c r="AK96" s="378"/>
    </row>
    <row r="97" spans="1:37" ht="20.399999999999999" customHeight="1" x14ac:dyDescent="0.3">
      <c r="A97" s="83"/>
      <c r="B97" s="83"/>
      <c r="C97" s="83"/>
      <c r="D97" s="83"/>
      <c r="E97" s="83"/>
      <c r="F97" s="83"/>
      <c r="G97" s="83"/>
      <c r="H97" s="83"/>
      <c r="I97" s="83"/>
      <c r="J97" s="83"/>
      <c r="K97" s="83"/>
      <c r="L97" s="83"/>
      <c r="M97" s="83"/>
      <c r="N97" s="83"/>
      <c r="O97" s="83"/>
      <c r="P97" s="210"/>
      <c r="Q97" s="210"/>
      <c r="R97" s="210"/>
      <c r="S97" s="210"/>
      <c r="T97" s="210"/>
      <c r="U97" s="210"/>
      <c r="V97" s="210"/>
      <c r="W97" s="210"/>
      <c r="X97" s="210"/>
      <c r="Y97" s="210"/>
      <c r="Z97" s="210"/>
      <c r="AA97" s="210"/>
      <c r="AB97" s="210"/>
      <c r="AC97" s="210"/>
      <c r="AD97" s="210"/>
      <c r="AE97" s="210"/>
      <c r="AF97" s="210"/>
      <c r="AG97" s="210"/>
      <c r="AH97" s="210"/>
      <c r="AI97" s="210"/>
      <c r="AJ97" s="210"/>
      <c r="AK97" s="378"/>
    </row>
    <row r="98" spans="1:37" ht="20.399999999999999" customHeight="1" x14ac:dyDescent="0.3">
      <c r="A98" s="83"/>
      <c r="B98" s="83"/>
      <c r="C98" s="83"/>
      <c r="D98" s="83"/>
      <c r="E98" s="83"/>
      <c r="F98" s="83"/>
      <c r="G98" s="83"/>
      <c r="H98" s="83"/>
      <c r="I98" s="83"/>
      <c r="J98" s="83"/>
      <c r="K98" s="83"/>
      <c r="L98" s="83"/>
      <c r="M98" s="83"/>
      <c r="N98" s="83"/>
      <c r="O98" s="83"/>
      <c r="P98" s="210"/>
      <c r="Q98" s="210"/>
      <c r="R98" s="210"/>
      <c r="S98" s="210"/>
      <c r="T98" s="210"/>
      <c r="U98" s="210"/>
      <c r="V98" s="210"/>
      <c r="W98" s="210"/>
      <c r="X98" s="210"/>
      <c r="Y98" s="210"/>
      <c r="Z98" s="210"/>
      <c r="AA98" s="210"/>
      <c r="AB98" s="210"/>
      <c r="AC98" s="210"/>
      <c r="AD98" s="210"/>
      <c r="AE98" s="210"/>
      <c r="AF98" s="210"/>
      <c r="AG98" s="210"/>
      <c r="AH98" s="210"/>
      <c r="AI98" s="210"/>
      <c r="AJ98" s="210"/>
      <c r="AK98" s="378"/>
    </row>
    <row r="99" spans="1:37" ht="20.399999999999999" customHeight="1" x14ac:dyDescent="0.3">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399999999999999" customHeight="1" x14ac:dyDescent="0.3">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399999999999999" customHeight="1" x14ac:dyDescent="0.3">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399999999999999" customHeight="1" x14ac:dyDescent="0.3">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399999999999999" customHeight="1" x14ac:dyDescent="0.3">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399999999999999" customHeight="1" x14ac:dyDescent="0.3">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399999999999999" customHeight="1" x14ac:dyDescent="0.3">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399999999999999" customHeight="1" x14ac:dyDescent="0.3">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399999999999999" customHeight="1" x14ac:dyDescent="0.3">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399999999999999" customHeight="1" x14ac:dyDescent="0.3">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399999999999999" customHeight="1" x14ac:dyDescent="0.3">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399999999999999" customHeight="1" x14ac:dyDescent="0.3">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399999999999999" customHeight="1" x14ac:dyDescent="0.3">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399999999999999" customHeight="1" x14ac:dyDescent="0.3">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399999999999999" customHeight="1" x14ac:dyDescent="0.3">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399999999999999" customHeight="1" x14ac:dyDescent="0.3">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399999999999999" customHeight="1" x14ac:dyDescent="0.3">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399999999999999" customHeight="1" x14ac:dyDescent="0.3">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399999999999999" customHeight="1" x14ac:dyDescent="0.3">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399999999999999" customHeight="1" x14ac:dyDescent="0.3">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399999999999999" customHeight="1" x14ac:dyDescent="0.3">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399999999999999" customHeight="1" x14ac:dyDescent="0.3">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399999999999999" customHeight="1" x14ac:dyDescent="0.3">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399999999999999" customHeight="1" x14ac:dyDescent="0.3">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399999999999999" customHeight="1" x14ac:dyDescent="0.3">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399999999999999" customHeight="1" x14ac:dyDescent="0.3">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399999999999999" customHeight="1" x14ac:dyDescent="0.3">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399999999999999" customHeight="1" x14ac:dyDescent="0.3">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399999999999999" customHeight="1" x14ac:dyDescent="0.3">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399999999999999" customHeight="1" x14ac:dyDescent="0.3">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399999999999999" customHeight="1" x14ac:dyDescent="0.3">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399999999999999" customHeight="1" x14ac:dyDescent="0.3">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399999999999999" customHeight="1" x14ac:dyDescent="0.3">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399999999999999" customHeight="1" x14ac:dyDescent="0.3">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399999999999999" customHeight="1" x14ac:dyDescent="0.3">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399999999999999" customHeight="1" x14ac:dyDescent="0.3">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M44:N44"/>
    <mergeCell ref="M42:M43"/>
    <mergeCell ref="N42:N43"/>
    <mergeCell ref="B22:C22"/>
    <mergeCell ref="B41:K41"/>
    <mergeCell ref="I5:J5"/>
    <mergeCell ref="B10:E10"/>
    <mergeCell ref="B5:C5"/>
    <mergeCell ref="B6:C6"/>
    <mergeCell ref="G6:H6"/>
    <mergeCell ref="G5:H5"/>
    <mergeCell ref="G7:H7"/>
    <mergeCell ref="B7:C7"/>
    <mergeCell ref="B8:C8"/>
    <mergeCell ref="G10:H10"/>
    <mergeCell ref="G9:H9"/>
    <mergeCell ref="G8:H8"/>
    <mergeCell ref="G1:H1"/>
    <mergeCell ref="I1:J1"/>
    <mergeCell ref="B1:E1"/>
    <mergeCell ref="B3:E3"/>
    <mergeCell ref="B4:C4"/>
    <mergeCell ref="B14:C14"/>
    <mergeCell ref="B11:C11"/>
    <mergeCell ref="B12:C12"/>
    <mergeCell ref="P41:S41"/>
    <mergeCell ref="P42:Q42"/>
    <mergeCell ref="R42:S42"/>
    <mergeCell ref="B13:C13"/>
    <mergeCell ref="G11:H11"/>
    <mergeCell ref="G13:J13"/>
    <mergeCell ref="B20:C20"/>
    <mergeCell ref="B16:C16"/>
    <mergeCell ref="B17:C17"/>
    <mergeCell ref="B21:C21"/>
    <mergeCell ref="B15:C15"/>
    <mergeCell ref="B19:E19"/>
  </mergeCells>
  <dataValidations disablePrompts="1" count="3">
    <dataValidation type="list" allowBlank="1" showInputMessage="1" showErrorMessage="1" sqref="D17" xr:uid="{D25094CD-3A56-408D-BF27-4487B617C610}">
      <formula1>Construction</formula1>
    </dataValidation>
    <dataValidation type="list" allowBlank="1" showInputMessage="1" showErrorMessage="1" sqref="D16 D11"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G13" sqref="G13"/>
    </sheetView>
  </sheetViews>
  <sheetFormatPr defaultRowHeight="14.4" x14ac:dyDescent="0.3"/>
  <cols>
    <col min="1" max="1" width="3.88671875" customWidth="1"/>
    <col min="2" max="7" width="13.33203125" style="96" customWidth="1"/>
    <col min="8" max="9" width="13.33203125" customWidth="1"/>
    <col min="10" max="10" width="3.88671875" customWidth="1"/>
    <col min="11" max="12" width="13.33203125" customWidth="1"/>
    <col min="13" max="13" width="3.88671875" customWidth="1"/>
    <col min="14" max="16" width="13.33203125" customWidth="1"/>
    <col min="17" max="17" width="3.88671875" customWidth="1"/>
    <col min="18" max="19" width="11.109375" style="96" customWidth="1"/>
    <col min="20" max="28" width="11.109375" style="149" customWidth="1"/>
    <col min="29" max="30" width="8.88671875" style="642"/>
  </cols>
  <sheetData>
    <row r="2" spans="2:32" ht="18" x14ac:dyDescent="0.3">
      <c r="B2" s="744" t="str">
        <f>+'Plant Overview'!E6&amp;": Uncertainty Quantification"</f>
        <v>Plant A: Uncertainty Quantification</v>
      </c>
      <c r="C2" s="745"/>
      <c r="D2" s="745"/>
      <c r="E2" s="745"/>
      <c r="F2" s="745"/>
      <c r="G2" s="745"/>
      <c r="H2" s="745"/>
      <c r="I2" s="745"/>
      <c r="J2" s="745"/>
      <c r="K2" s="745"/>
      <c r="L2" s="745"/>
      <c r="M2" s="745"/>
      <c r="N2" s="745"/>
      <c r="O2" s="745"/>
      <c r="P2" s="746"/>
    </row>
    <row r="4" spans="2:32" ht="17.399999999999999" customHeight="1" x14ac:dyDescent="0.3">
      <c r="B4" s="625" t="s">
        <v>782</v>
      </c>
      <c r="C4" s="625" t="s">
        <v>235</v>
      </c>
      <c r="D4" s="643" t="s">
        <v>796</v>
      </c>
      <c r="E4" s="627" t="s">
        <v>783</v>
      </c>
      <c r="F4" s="627" t="s">
        <v>791</v>
      </c>
      <c r="G4" s="644" t="s">
        <v>792</v>
      </c>
      <c r="H4" s="626" t="s">
        <v>784</v>
      </c>
      <c r="I4" s="628" t="s">
        <v>785</v>
      </c>
      <c r="K4" s="116" t="s">
        <v>787</v>
      </c>
      <c r="L4" s="166"/>
      <c r="M4" s="645" t="s">
        <v>660</v>
      </c>
      <c r="N4" s="871" t="s">
        <v>491</v>
      </c>
      <c r="O4" s="872"/>
      <c r="P4" s="586"/>
      <c r="R4" s="150"/>
      <c r="S4" s="156"/>
    </row>
    <row r="5" spans="2:32" ht="17.399999999999999" customHeight="1" x14ac:dyDescent="0.3">
      <c r="C5" s="629"/>
      <c r="D5" s="629"/>
      <c r="E5" s="99"/>
      <c r="F5" s="99"/>
      <c r="H5" s="630"/>
      <c r="I5" s="149"/>
      <c r="K5" s="234" t="s">
        <v>78</v>
      </c>
      <c r="L5" s="631"/>
      <c r="M5" s="646" t="s">
        <v>714</v>
      </c>
      <c r="N5" s="873" t="s">
        <v>802</v>
      </c>
      <c r="O5" s="632" t="s">
        <v>573</v>
      </c>
      <c r="P5" s="222" t="s">
        <v>574</v>
      </c>
      <c r="S5" s="156"/>
      <c r="AF5" s="578"/>
    </row>
    <row r="6" spans="2:32" ht="17.399999999999999" customHeight="1" x14ac:dyDescent="0.3">
      <c r="C6" s="633"/>
      <c r="D6" s="633"/>
      <c r="E6" s="172"/>
      <c r="F6" s="172"/>
      <c r="G6" s="156"/>
      <c r="H6" s="630"/>
      <c r="I6" s="650"/>
      <c r="J6" s="96"/>
      <c r="K6" s="634" t="s">
        <v>715</v>
      </c>
      <c r="L6" s="166" t="s">
        <v>660</v>
      </c>
      <c r="M6" s="171" t="s">
        <v>713</v>
      </c>
      <c r="N6" s="874"/>
      <c r="O6" s="767"/>
      <c r="P6" s="876"/>
      <c r="S6" s="156"/>
      <c r="AF6" s="578"/>
    </row>
    <row r="7" spans="2:32" ht="17.399999999999999" customHeight="1" x14ac:dyDescent="0.3">
      <c r="I7" s="541"/>
      <c r="J7" s="96"/>
      <c r="K7" s="234" t="s">
        <v>788</v>
      </c>
      <c r="L7" s="631"/>
      <c r="M7" s="171" t="s">
        <v>586</v>
      </c>
      <c r="N7" s="875"/>
      <c r="O7" s="768"/>
      <c r="P7" s="876"/>
      <c r="S7" s="156"/>
    </row>
    <row r="8" spans="2:32" ht="17.399999999999999" customHeight="1" x14ac:dyDescent="0.3">
      <c r="I8" s="394"/>
      <c r="S8" s="156"/>
    </row>
    <row r="9" spans="2:32" ht="17.399999999999999" customHeight="1" x14ac:dyDescent="0.3">
      <c r="H9" s="96"/>
      <c r="I9" s="394"/>
      <c r="J9" s="541"/>
      <c r="L9" s="744" t="s">
        <v>803</v>
      </c>
      <c r="M9" s="745"/>
      <c r="N9" s="745"/>
      <c r="O9" s="745"/>
      <c r="P9" s="746"/>
      <c r="S9" s="156"/>
    </row>
    <row r="10" spans="2:32" ht="17.399999999999999" customHeight="1" x14ac:dyDescent="0.3">
      <c r="C10" s="636"/>
      <c r="D10" s="636"/>
      <c r="E10" s="156"/>
      <c r="F10" s="156"/>
      <c r="G10" s="156"/>
      <c r="I10" s="394"/>
      <c r="J10" s="394"/>
      <c r="K10" s="234" t="s">
        <v>797</v>
      </c>
      <c r="L10" s="877" t="s">
        <v>789</v>
      </c>
      <c r="M10" s="878"/>
      <c r="N10" s="878"/>
      <c r="O10" s="879"/>
      <c r="P10" s="635">
        <v>0.9</v>
      </c>
      <c r="S10" s="156"/>
    </row>
    <row r="11" spans="2:32" ht="17.399999999999999" customHeight="1" x14ac:dyDescent="0.3">
      <c r="G11" s="156"/>
      <c r="J11" s="394"/>
      <c r="K11" s="177"/>
      <c r="L11" s="864" t="s">
        <v>790</v>
      </c>
      <c r="M11" s="865"/>
      <c r="N11" s="637"/>
      <c r="O11" s="647" t="s">
        <v>791</v>
      </c>
      <c r="P11" s="648"/>
      <c r="S11" s="156"/>
    </row>
    <row r="12" spans="2:32" ht="17.399999999999999" customHeight="1" x14ac:dyDescent="0.3">
      <c r="J12" s="394"/>
      <c r="K12" s="649" t="s">
        <v>798</v>
      </c>
      <c r="L12" s="714"/>
      <c r="M12" s="715"/>
      <c r="N12" s="716"/>
      <c r="O12" s="639" t="s">
        <v>792</v>
      </c>
      <c r="P12" s="648"/>
      <c r="S12" s="156"/>
    </row>
    <row r="13" spans="2:32" ht="17.399999999999999" customHeight="1" x14ac:dyDescent="0.3">
      <c r="K13" s="99"/>
      <c r="L13" s="880" t="s">
        <v>799</v>
      </c>
      <c r="M13" s="881"/>
      <c r="N13" s="640"/>
      <c r="O13" s="647" t="s">
        <v>793</v>
      </c>
      <c r="P13" s="648"/>
      <c r="S13" s="156"/>
    </row>
    <row r="14" spans="2:32" ht="17.399999999999999" customHeight="1" x14ac:dyDescent="0.3">
      <c r="K14" s="649" t="s">
        <v>800</v>
      </c>
      <c r="L14" s="882"/>
      <c r="M14" s="883"/>
      <c r="N14" s="884"/>
      <c r="O14" s="638" t="s">
        <v>794</v>
      </c>
      <c r="P14" s="648"/>
      <c r="S14" s="156"/>
    </row>
    <row r="15" spans="2:32" ht="17.399999999999999" customHeight="1" x14ac:dyDescent="0.3">
      <c r="K15" s="87"/>
      <c r="L15" s="864" t="s">
        <v>786</v>
      </c>
      <c r="M15" s="865"/>
      <c r="N15" s="637"/>
      <c r="O15" s="641" t="s">
        <v>235</v>
      </c>
      <c r="P15" s="170" t="s">
        <v>801</v>
      </c>
      <c r="S15" s="156"/>
    </row>
    <row r="16" spans="2:32" ht="17.399999999999999" customHeight="1" x14ac:dyDescent="0.3">
      <c r="S16" s="156"/>
    </row>
    <row r="17" spans="2:30" s="96" customFormat="1" ht="17.399999999999999" customHeight="1" x14ac:dyDescent="0.3">
      <c r="H17"/>
      <c r="I17"/>
      <c r="J17"/>
      <c r="K17"/>
      <c r="L17"/>
      <c r="M17"/>
      <c r="S17" s="156"/>
      <c r="T17" s="149"/>
      <c r="U17" s="149"/>
      <c r="V17" s="149"/>
      <c r="W17" s="149"/>
      <c r="X17" s="149"/>
      <c r="AC17" s="149"/>
      <c r="AD17" s="149"/>
    </row>
    <row r="18" spans="2:30" x14ac:dyDescent="0.3">
      <c r="S18" s="156"/>
    </row>
    <row r="19" spans="2:30" x14ac:dyDescent="0.3">
      <c r="S19" s="156"/>
    </row>
    <row r="20" spans="2:30" x14ac:dyDescent="0.3">
      <c r="S20" s="156"/>
    </row>
    <row r="21" spans="2:30" x14ac:dyDescent="0.3">
      <c r="B21" s="149"/>
      <c r="C21" s="149"/>
      <c r="S21" s="156"/>
    </row>
    <row r="22" spans="2:30" x14ac:dyDescent="0.3">
      <c r="B22" s="149"/>
      <c r="C22" s="149"/>
      <c r="S22" s="156"/>
    </row>
    <row r="23" spans="2:30" x14ac:dyDescent="0.3">
      <c r="B23" s="149"/>
      <c r="C23" s="149"/>
      <c r="S23" s="156"/>
    </row>
    <row r="24" spans="2:30" x14ac:dyDescent="0.3">
      <c r="B24" s="149"/>
      <c r="C24" s="149"/>
      <c r="S24" s="156"/>
    </row>
    <row r="25" spans="2:30" x14ac:dyDescent="0.3">
      <c r="B25" s="149"/>
      <c r="C25" s="149"/>
      <c r="S25" s="156"/>
    </row>
    <row r="26" spans="2:30" x14ac:dyDescent="0.3">
      <c r="B26" s="149"/>
      <c r="C26" s="149"/>
      <c r="S26" s="156"/>
    </row>
    <row r="27" spans="2:30" x14ac:dyDescent="0.3">
      <c r="B27" s="149"/>
      <c r="C27" s="149"/>
      <c r="S27" s="156"/>
    </row>
    <row r="28" spans="2:30" x14ac:dyDescent="0.3">
      <c r="B28" s="149"/>
      <c r="C28" s="149"/>
      <c r="S28" s="156"/>
    </row>
    <row r="29" spans="2:30" x14ac:dyDescent="0.3">
      <c r="B29" s="149"/>
      <c r="C29" s="149"/>
      <c r="S29" s="156"/>
    </row>
    <row r="30" spans="2:30" x14ac:dyDescent="0.3">
      <c r="B30" s="149"/>
      <c r="C30" s="149"/>
      <c r="S30" s="156"/>
    </row>
    <row r="31" spans="2:30" x14ac:dyDescent="0.3">
      <c r="B31" s="149"/>
      <c r="C31" s="149"/>
      <c r="S31" s="156"/>
    </row>
    <row r="32" spans="2:30" x14ac:dyDescent="0.3">
      <c r="B32" s="149"/>
      <c r="C32" s="149"/>
      <c r="S32" s="156"/>
    </row>
    <row r="33" spans="2:19" x14ac:dyDescent="0.3">
      <c r="B33" s="149"/>
      <c r="C33" s="149"/>
      <c r="S33" s="156"/>
    </row>
    <row r="34" spans="2:19" x14ac:dyDescent="0.3">
      <c r="B34" s="149"/>
      <c r="C34" s="149"/>
      <c r="S34" s="156"/>
    </row>
    <row r="35" spans="2:19" x14ac:dyDescent="0.3">
      <c r="B35" s="149"/>
      <c r="C35" s="149"/>
      <c r="S35" s="156"/>
    </row>
    <row r="36" spans="2:19" x14ac:dyDescent="0.3">
      <c r="B36" s="149"/>
      <c r="C36" s="149"/>
      <c r="S36" s="156"/>
    </row>
    <row r="37" spans="2:19" x14ac:dyDescent="0.3">
      <c r="B37" s="149"/>
      <c r="C37" s="149"/>
      <c r="S37" s="156"/>
    </row>
    <row r="38" spans="2:19" x14ac:dyDescent="0.3">
      <c r="B38" s="149"/>
      <c r="C38" s="149"/>
      <c r="S38" s="156"/>
    </row>
    <row r="39" spans="2:19" x14ac:dyDescent="0.3">
      <c r="B39" s="149"/>
      <c r="C39" s="149"/>
      <c r="S39" s="156"/>
    </row>
    <row r="40" spans="2:19" x14ac:dyDescent="0.3">
      <c r="B40" s="149"/>
      <c r="C40" s="149"/>
      <c r="S40" s="156"/>
    </row>
    <row r="41" spans="2:19" x14ac:dyDescent="0.3">
      <c r="B41" s="149"/>
      <c r="C41" s="149"/>
      <c r="S41" s="156"/>
    </row>
    <row r="42" spans="2:19" x14ac:dyDescent="0.3">
      <c r="B42" s="149"/>
      <c r="C42" s="149"/>
      <c r="S42" s="156"/>
    </row>
    <row r="43" spans="2:19" x14ac:dyDescent="0.3">
      <c r="B43" s="149"/>
      <c r="C43" s="149"/>
      <c r="S43" s="156"/>
    </row>
    <row r="44" spans="2:19" x14ac:dyDescent="0.3">
      <c r="B44" s="149"/>
      <c r="C44" s="149"/>
      <c r="S44" s="156"/>
    </row>
    <row r="45" spans="2:19" x14ac:dyDescent="0.3">
      <c r="B45" s="149"/>
      <c r="C45" s="149"/>
      <c r="S45" s="156"/>
    </row>
    <row r="46" spans="2:19" x14ac:dyDescent="0.3">
      <c r="B46" s="149"/>
      <c r="C46" s="149"/>
      <c r="S46" s="156"/>
    </row>
    <row r="47" spans="2:19" x14ac:dyDescent="0.3">
      <c r="B47" s="149"/>
      <c r="C47" s="149"/>
      <c r="S47" s="156"/>
    </row>
    <row r="48" spans="2:19" x14ac:dyDescent="0.3">
      <c r="B48" s="149"/>
      <c r="C48" s="149"/>
      <c r="S48" s="156"/>
    </row>
    <row r="49" spans="2:19" x14ac:dyDescent="0.3">
      <c r="B49" s="149"/>
      <c r="C49" s="149"/>
      <c r="S49" s="156"/>
    </row>
    <row r="50" spans="2:19" x14ac:dyDescent="0.3">
      <c r="B50" s="149"/>
      <c r="C50" s="149"/>
      <c r="S50" s="156"/>
    </row>
    <row r="51" spans="2:19" x14ac:dyDescent="0.3">
      <c r="B51" s="149"/>
      <c r="C51" s="149"/>
      <c r="S51" s="156"/>
    </row>
    <row r="52" spans="2:19" x14ac:dyDescent="0.3">
      <c r="B52" s="149"/>
      <c r="C52" s="149"/>
      <c r="S52" s="156"/>
    </row>
    <row r="53" spans="2:19" x14ac:dyDescent="0.3">
      <c r="S53" s="156"/>
    </row>
    <row r="54" spans="2:19" x14ac:dyDescent="0.3">
      <c r="S54" s="156"/>
    </row>
    <row r="55" spans="2:19" x14ac:dyDescent="0.3">
      <c r="S55" s="156"/>
    </row>
    <row r="56" spans="2:19" x14ac:dyDescent="0.3">
      <c r="S56" s="156"/>
    </row>
    <row r="57" spans="2:19" x14ac:dyDescent="0.3">
      <c r="S57" s="156"/>
    </row>
    <row r="58" spans="2:19" x14ac:dyDescent="0.3">
      <c r="S58" s="156"/>
    </row>
    <row r="59" spans="2:19" x14ac:dyDescent="0.3">
      <c r="S59" s="156"/>
    </row>
    <row r="60" spans="2:19" x14ac:dyDescent="0.3">
      <c r="S60" s="156"/>
    </row>
    <row r="61" spans="2:19" x14ac:dyDescent="0.3">
      <c r="S61" s="156"/>
    </row>
    <row r="62" spans="2:19" x14ac:dyDescent="0.3">
      <c r="S62" s="156"/>
    </row>
    <row r="63" spans="2:19" x14ac:dyDescent="0.3">
      <c r="S63" s="156"/>
    </row>
    <row r="64" spans="2:19" x14ac:dyDescent="0.3">
      <c r="S64" s="156"/>
    </row>
    <row r="65" spans="19:19" x14ac:dyDescent="0.3">
      <c r="S65" s="156"/>
    </row>
    <row r="66" spans="19:19" x14ac:dyDescent="0.3">
      <c r="S66" s="156"/>
    </row>
    <row r="67" spans="19:19" x14ac:dyDescent="0.3">
      <c r="S67" s="156"/>
    </row>
    <row r="68" spans="19:19" x14ac:dyDescent="0.3">
      <c r="S68" s="156"/>
    </row>
    <row r="69" spans="19:19" x14ac:dyDescent="0.3">
      <c r="S69" s="156"/>
    </row>
    <row r="70" spans="19:19" x14ac:dyDescent="0.3">
      <c r="S70" s="156"/>
    </row>
    <row r="71" spans="19:19" x14ac:dyDescent="0.3">
      <c r="S71" s="156"/>
    </row>
    <row r="72" spans="19:19" x14ac:dyDescent="0.3">
      <c r="S72" s="156"/>
    </row>
    <row r="73" spans="19:19" x14ac:dyDescent="0.3">
      <c r="S73" s="156"/>
    </row>
    <row r="74" spans="19:19" x14ac:dyDescent="0.3">
      <c r="S74" s="156"/>
    </row>
    <row r="75" spans="19:19" x14ac:dyDescent="0.3">
      <c r="S75" s="156"/>
    </row>
    <row r="76" spans="19:19" x14ac:dyDescent="0.3">
      <c r="S76" s="156"/>
    </row>
    <row r="77" spans="19:19" x14ac:dyDescent="0.3">
      <c r="S77" s="156"/>
    </row>
    <row r="78" spans="19:19" x14ac:dyDescent="0.3">
      <c r="S78" s="156"/>
    </row>
    <row r="79" spans="19:19" x14ac:dyDescent="0.3">
      <c r="S79" s="156"/>
    </row>
    <row r="80" spans="19:19" x14ac:dyDescent="0.3">
      <c r="S80" s="156"/>
    </row>
    <row r="81" spans="19:19" x14ac:dyDescent="0.3">
      <c r="S81" s="156"/>
    </row>
    <row r="82" spans="19:19" x14ac:dyDescent="0.3">
      <c r="S82" s="156"/>
    </row>
    <row r="83" spans="19:19" x14ac:dyDescent="0.3">
      <c r="S83" s="156"/>
    </row>
    <row r="84" spans="19:19" x14ac:dyDescent="0.3">
      <c r="S84" s="156"/>
    </row>
    <row r="85" spans="19:19" x14ac:dyDescent="0.3">
      <c r="S85" s="156"/>
    </row>
    <row r="86" spans="19:19" x14ac:dyDescent="0.3">
      <c r="S86" s="156"/>
    </row>
    <row r="87" spans="19:19" x14ac:dyDescent="0.3">
      <c r="S87" s="156"/>
    </row>
    <row r="88" spans="19:19" x14ac:dyDescent="0.3">
      <c r="S88" s="156"/>
    </row>
    <row r="89" spans="19:19" x14ac:dyDescent="0.3">
      <c r="S89" s="156"/>
    </row>
    <row r="90" spans="19:19" x14ac:dyDescent="0.3">
      <c r="S90" s="156"/>
    </row>
    <row r="91" spans="19:19" x14ac:dyDescent="0.3">
      <c r="S91" s="156"/>
    </row>
    <row r="92" spans="19:19" x14ac:dyDescent="0.3">
      <c r="S92" s="156"/>
    </row>
    <row r="93" spans="19:19" x14ac:dyDescent="0.3">
      <c r="S93" s="156"/>
    </row>
    <row r="94" spans="19:19" x14ac:dyDescent="0.3">
      <c r="S94" s="156"/>
    </row>
    <row r="95" spans="19:19" x14ac:dyDescent="0.3">
      <c r="S95" s="156"/>
    </row>
    <row r="96" spans="19:19" x14ac:dyDescent="0.3">
      <c r="S96" s="156"/>
    </row>
    <row r="97" spans="19:19" x14ac:dyDescent="0.3">
      <c r="S97" s="156"/>
    </row>
    <row r="98" spans="19:19" x14ac:dyDescent="0.3">
      <c r="S98" s="156"/>
    </row>
    <row r="99" spans="19:19" x14ac:dyDescent="0.3">
      <c r="S99" s="156"/>
    </row>
    <row r="100" spans="19:19" x14ac:dyDescent="0.3">
      <c r="S100" s="156"/>
    </row>
    <row r="101" spans="19:19" x14ac:dyDescent="0.3">
      <c r="S101" s="156"/>
    </row>
    <row r="102" spans="19:19" x14ac:dyDescent="0.3">
      <c r="S102" s="156"/>
    </row>
    <row r="103" spans="19:19" x14ac:dyDescent="0.3">
      <c r="S103" s="156"/>
    </row>
    <row r="104" spans="19:19" x14ac:dyDescent="0.3">
      <c r="S104" s="156"/>
    </row>
    <row r="107" spans="19:19" x14ac:dyDescent="0.3">
      <c r="S107" s="156"/>
    </row>
    <row r="117" spans="19:19" x14ac:dyDescent="0.3">
      <c r="S117" s="156"/>
    </row>
    <row r="118" spans="19:19" x14ac:dyDescent="0.3">
      <c r="S118" s="156"/>
    </row>
    <row r="120" spans="19:19" x14ac:dyDescent="0.3">
      <c r="S120" s="156"/>
    </row>
    <row r="121" spans="19:19" x14ac:dyDescent="0.3">
      <c r="S121" s="156"/>
    </row>
    <row r="125" spans="19:19" x14ac:dyDescent="0.3">
      <c r="S125" s="156"/>
    </row>
    <row r="128" spans="19:19" x14ac:dyDescent="0.3">
      <c r="S128" s="156"/>
    </row>
    <row r="129" spans="19:19" x14ac:dyDescent="0.3">
      <c r="S129" s="156"/>
    </row>
    <row r="130" spans="19:19" x14ac:dyDescent="0.3">
      <c r="S130" s="156"/>
    </row>
    <row r="133" spans="19:19" x14ac:dyDescent="0.3">
      <c r="S133" s="156"/>
    </row>
    <row r="135" spans="19:19" x14ac:dyDescent="0.3">
      <c r="S135" s="156"/>
    </row>
    <row r="136" spans="19:19" x14ac:dyDescent="0.3">
      <c r="S136" s="156"/>
    </row>
    <row r="138" spans="19:19" x14ac:dyDescent="0.3">
      <c r="S138" s="156"/>
    </row>
    <row r="140" spans="19:19" x14ac:dyDescent="0.3">
      <c r="S140" s="156"/>
    </row>
    <row r="141" spans="19:19" x14ac:dyDescent="0.3">
      <c r="S141" s="156"/>
    </row>
    <row r="143" spans="19:19" x14ac:dyDescent="0.3">
      <c r="S143" s="156"/>
    </row>
    <row r="144" spans="19:19" x14ac:dyDescent="0.3">
      <c r="S144" s="156"/>
    </row>
    <row r="145" spans="19:19" x14ac:dyDescent="0.3">
      <c r="S145" s="156"/>
    </row>
    <row r="146" spans="19:19" x14ac:dyDescent="0.3">
      <c r="S146" s="156"/>
    </row>
    <row r="154" spans="19:19" x14ac:dyDescent="0.3">
      <c r="S154" s="156"/>
    </row>
    <row r="155" spans="19:19" x14ac:dyDescent="0.3">
      <c r="S155" s="156"/>
    </row>
    <row r="158" spans="19:19" x14ac:dyDescent="0.3">
      <c r="S158" s="156"/>
    </row>
    <row r="159" spans="19:19" x14ac:dyDescent="0.3">
      <c r="S159" s="156"/>
    </row>
    <row r="161" spans="19:19" x14ac:dyDescent="0.3">
      <c r="S161" s="156"/>
    </row>
    <row r="163" spans="19:19" x14ac:dyDescent="0.3">
      <c r="S163" s="156"/>
    </row>
    <row r="166" spans="19:19" x14ac:dyDescent="0.3">
      <c r="S166" s="156"/>
    </row>
    <row r="169" spans="19:19" x14ac:dyDescent="0.3">
      <c r="S169" s="156"/>
    </row>
    <row r="176" spans="19:19" x14ac:dyDescent="0.3">
      <c r="S176" s="156"/>
    </row>
    <row r="190" spans="19:19" x14ac:dyDescent="0.3">
      <c r="S190" s="156"/>
    </row>
    <row r="197" spans="19:19" x14ac:dyDescent="0.3">
      <c r="S197" s="156"/>
    </row>
    <row r="198" spans="19:19" x14ac:dyDescent="0.3">
      <c r="S198" s="156"/>
    </row>
    <row r="203" spans="19:19" x14ac:dyDescent="0.3">
      <c r="S203" s="156"/>
    </row>
    <row r="205" spans="19:19" x14ac:dyDescent="0.3">
      <c r="S205" s="156"/>
    </row>
    <row r="208" spans="19:19" x14ac:dyDescent="0.3">
      <c r="S208" s="156"/>
    </row>
    <row r="209" spans="19:19" x14ac:dyDescent="0.3">
      <c r="S209" s="156"/>
    </row>
    <row r="211" spans="19:19" x14ac:dyDescent="0.3">
      <c r="S211" s="156"/>
    </row>
    <row r="214" spans="19:19" x14ac:dyDescent="0.3">
      <c r="S214" s="156"/>
    </row>
    <row r="216" spans="19:19" x14ac:dyDescent="0.3">
      <c r="S216" s="156"/>
    </row>
    <row r="217" spans="19:19" x14ac:dyDescent="0.3">
      <c r="S217" s="156"/>
    </row>
    <row r="219" spans="19:19" x14ac:dyDescent="0.3">
      <c r="S219" s="156"/>
    </row>
    <row r="220" spans="19:19" x14ac:dyDescent="0.3">
      <c r="S220" s="156"/>
    </row>
    <row r="221" spans="19:19" x14ac:dyDescent="0.3">
      <c r="S221" s="156"/>
    </row>
    <row r="223" spans="19:19" x14ac:dyDescent="0.3">
      <c r="S223" s="156"/>
    </row>
    <row r="225" spans="19:19" x14ac:dyDescent="0.3">
      <c r="S225" s="156"/>
    </row>
    <row r="228" spans="19:19" x14ac:dyDescent="0.3">
      <c r="S228" s="156"/>
    </row>
    <row r="231" spans="19:19" x14ac:dyDescent="0.3">
      <c r="S231" s="156"/>
    </row>
    <row r="232" spans="19:19" x14ac:dyDescent="0.3">
      <c r="S232" s="156"/>
    </row>
    <row r="233" spans="19:19" x14ac:dyDescent="0.3">
      <c r="S233" s="156"/>
    </row>
    <row r="236" spans="19:19" x14ac:dyDescent="0.3">
      <c r="S236" s="156"/>
    </row>
    <row r="240" spans="19:19" x14ac:dyDescent="0.3">
      <c r="S240" s="156"/>
    </row>
    <row r="243" spans="19:19" x14ac:dyDescent="0.3">
      <c r="S243" s="156"/>
    </row>
    <row r="244" spans="19:19" x14ac:dyDescent="0.3">
      <c r="S244" s="156"/>
    </row>
    <row r="247" spans="19:19" x14ac:dyDescent="0.3">
      <c r="S247" s="156"/>
    </row>
    <row r="250" spans="19:19" x14ac:dyDescent="0.3">
      <c r="S250" s="156"/>
    </row>
    <row r="255" spans="19:19" x14ac:dyDescent="0.3">
      <c r="S255" s="156"/>
    </row>
    <row r="256" spans="19:19" x14ac:dyDescent="0.3">
      <c r="S256" s="156"/>
    </row>
    <row r="257" spans="19:19" x14ac:dyDescent="0.3">
      <c r="S257" s="156"/>
    </row>
    <row r="260" spans="19:19" x14ac:dyDescent="0.3">
      <c r="S260" s="156"/>
    </row>
    <row r="262" spans="19:19" x14ac:dyDescent="0.3">
      <c r="S262" s="156"/>
    </row>
    <row r="263" spans="19:19" x14ac:dyDescent="0.3">
      <c r="S263" s="156"/>
    </row>
    <row r="264" spans="19:19" x14ac:dyDescent="0.3">
      <c r="S264" s="156"/>
    </row>
    <row r="265" spans="19:19" x14ac:dyDescent="0.3">
      <c r="S265" s="156"/>
    </row>
    <row r="266" spans="19:19" x14ac:dyDescent="0.3">
      <c r="S266" s="156"/>
    </row>
    <row r="269" spans="19:19" x14ac:dyDescent="0.3">
      <c r="S269" s="156"/>
    </row>
    <row r="275" spans="19:19" x14ac:dyDescent="0.3">
      <c r="S275" s="156"/>
    </row>
    <row r="276" spans="19:19" x14ac:dyDescent="0.3">
      <c r="S276" s="156"/>
    </row>
    <row r="277" spans="19:19" x14ac:dyDescent="0.3">
      <c r="S277" s="156"/>
    </row>
    <row r="278" spans="19:19" x14ac:dyDescent="0.3">
      <c r="S278" s="156"/>
    </row>
    <row r="280" spans="19:19" x14ac:dyDescent="0.3">
      <c r="S280" s="156"/>
    </row>
    <row r="283" spans="19:19" x14ac:dyDescent="0.3">
      <c r="S283" s="156"/>
    </row>
    <row r="291" spans="19:19" x14ac:dyDescent="0.3">
      <c r="S291" s="156"/>
    </row>
    <row r="294" spans="19:19" x14ac:dyDescent="0.3">
      <c r="S294" s="156"/>
    </row>
    <row r="295" spans="19:19" x14ac:dyDescent="0.3">
      <c r="S295" s="156"/>
    </row>
    <row r="297" spans="19:19" x14ac:dyDescent="0.3">
      <c r="S297" s="156"/>
    </row>
    <row r="299" spans="19:19" x14ac:dyDescent="0.3">
      <c r="S299" s="156"/>
    </row>
    <row r="301" spans="19:19" x14ac:dyDescent="0.3">
      <c r="S301" s="156"/>
    </row>
    <row r="305" spans="19:19" x14ac:dyDescent="0.3">
      <c r="S305" s="156"/>
    </row>
    <row r="307" spans="19:19" x14ac:dyDescent="0.3">
      <c r="S307" s="156"/>
    </row>
    <row r="308" spans="19:19" x14ac:dyDescent="0.3">
      <c r="S308" s="156"/>
    </row>
    <row r="309" spans="19:19" x14ac:dyDescent="0.3">
      <c r="S309" s="156"/>
    </row>
    <row r="310" spans="19:19" x14ac:dyDescent="0.3">
      <c r="S310" s="156"/>
    </row>
    <row r="312" spans="19:19" x14ac:dyDescent="0.3">
      <c r="S312" s="156"/>
    </row>
    <row r="313" spans="19:19" x14ac:dyDescent="0.3">
      <c r="S313" s="156"/>
    </row>
    <row r="316" spans="19:19" x14ac:dyDescent="0.3">
      <c r="S316" s="156"/>
    </row>
    <row r="319" spans="19:19" x14ac:dyDescent="0.3">
      <c r="S319" s="156"/>
    </row>
    <row r="320" spans="19:19" x14ac:dyDescent="0.3">
      <c r="S320" s="156"/>
    </row>
    <row r="325" spans="19:19" x14ac:dyDescent="0.3">
      <c r="S325" s="156"/>
    </row>
    <row r="326" spans="19:19" x14ac:dyDescent="0.3">
      <c r="S326" s="156"/>
    </row>
    <row r="328" spans="19:19" x14ac:dyDescent="0.3">
      <c r="S328" s="156"/>
    </row>
    <row r="333" spans="19:19" x14ac:dyDescent="0.3">
      <c r="S333" s="156"/>
    </row>
    <row r="336" spans="19:19" x14ac:dyDescent="0.3">
      <c r="S336" s="156"/>
    </row>
    <row r="346" spans="19:19" x14ac:dyDescent="0.3">
      <c r="S346" s="156"/>
    </row>
    <row r="347" spans="19:19" x14ac:dyDescent="0.3">
      <c r="S347" s="156"/>
    </row>
    <row r="349" spans="19:19" x14ac:dyDescent="0.3">
      <c r="S349" s="156"/>
    </row>
    <row r="353" spans="19:19" x14ac:dyDescent="0.3">
      <c r="S353" s="156"/>
    </row>
    <row r="355" spans="19:19" x14ac:dyDescent="0.3">
      <c r="S355" s="156"/>
    </row>
    <row r="359" spans="19:19" x14ac:dyDescent="0.3">
      <c r="S359" s="156"/>
    </row>
    <row r="365" spans="19:19" x14ac:dyDescent="0.3">
      <c r="S365" s="156"/>
    </row>
    <row r="366" spans="19:19" x14ac:dyDescent="0.3">
      <c r="S366" s="156"/>
    </row>
    <row r="368" spans="19:19" x14ac:dyDescent="0.3">
      <c r="S368" s="156"/>
    </row>
    <row r="369" spans="19:19" x14ac:dyDescent="0.3">
      <c r="S369" s="156"/>
    </row>
    <row r="371" spans="19:19" x14ac:dyDescent="0.3">
      <c r="S371" s="156"/>
    </row>
    <row r="372" spans="19:19" x14ac:dyDescent="0.3">
      <c r="S372" s="156"/>
    </row>
    <row r="373" spans="19:19" x14ac:dyDescent="0.3">
      <c r="S373" s="156"/>
    </row>
    <row r="374" spans="19:19" x14ac:dyDescent="0.3">
      <c r="S374" s="156"/>
    </row>
    <row r="376" spans="19:19" x14ac:dyDescent="0.3">
      <c r="S376" s="156"/>
    </row>
    <row r="377" spans="19:19" x14ac:dyDescent="0.3">
      <c r="S377" s="156"/>
    </row>
    <row r="378" spans="19:19" x14ac:dyDescent="0.3">
      <c r="S378" s="156"/>
    </row>
    <row r="380" spans="19:19" x14ac:dyDescent="0.3">
      <c r="S380" s="156"/>
    </row>
    <row r="381" spans="19:19" x14ac:dyDescent="0.3">
      <c r="S381" s="156"/>
    </row>
    <row r="383" spans="19:19" x14ac:dyDescent="0.3">
      <c r="S383" s="156"/>
    </row>
    <row r="385" spans="19:19" x14ac:dyDescent="0.3">
      <c r="S385" s="156"/>
    </row>
    <row r="386" spans="19:19" x14ac:dyDescent="0.3">
      <c r="S386" s="156"/>
    </row>
    <row r="388" spans="19:19" x14ac:dyDescent="0.3">
      <c r="S388" s="156"/>
    </row>
    <row r="389" spans="19:19" x14ac:dyDescent="0.3">
      <c r="S389" s="156"/>
    </row>
    <row r="393" spans="19:19" x14ac:dyDescent="0.3">
      <c r="S393" s="156"/>
    </row>
    <row r="395" spans="19:19" x14ac:dyDescent="0.3">
      <c r="S395" s="156"/>
    </row>
    <row r="398" spans="19:19" x14ac:dyDescent="0.3">
      <c r="S398" s="156"/>
    </row>
    <row r="399" spans="19:19" x14ac:dyDescent="0.3">
      <c r="S399" s="156"/>
    </row>
    <row r="402" spans="19:19" x14ac:dyDescent="0.3">
      <c r="S402" s="156"/>
    </row>
    <row r="406" spans="19:19" x14ac:dyDescent="0.3">
      <c r="S406" s="156"/>
    </row>
    <row r="411" spans="19:19" x14ac:dyDescent="0.3">
      <c r="S411" s="156"/>
    </row>
    <row r="416" spans="19:19" x14ac:dyDescent="0.3">
      <c r="S416" s="156"/>
    </row>
    <row r="417" spans="19:19" x14ac:dyDescent="0.3">
      <c r="S417" s="156"/>
    </row>
    <row r="418" spans="19:19" x14ac:dyDescent="0.3">
      <c r="S418" s="156"/>
    </row>
    <row r="419" spans="19:19" x14ac:dyDescent="0.3">
      <c r="S419" s="156"/>
    </row>
    <row r="420" spans="19:19" x14ac:dyDescent="0.3">
      <c r="S420" s="156"/>
    </row>
    <row r="422" spans="19:19" x14ac:dyDescent="0.3">
      <c r="S422" s="156"/>
    </row>
    <row r="425" spans="19:19" x14ac:dyDescent="0.3">
      <c r="S425" s="156"/>
    </row>
    <row r="428" spans="19:19" x14ac:dyDescent="0.3">
      <c r="S428" s="156"/>
    </row>
    <row r="431" spans="19:19" x14ac:dyDescent="0.3">
      <c r="S431" s="156"/>
    </row>
    <row r="436" spans="19:19" x14ac:dyDescent="0.3">
      <c r="S436" s="156"/>
    </row>
    <row r="438" spans="19:19" x14ac:dyDescent="0.3">
      <c r="S438" s="156"/>
    </row>
    <row r="439" spans="19:19" x14ac:dyDescent="0.3">
      <c r="S439" s="156"/>
    </row>
    <row r="440" spans="19:19" x14ac:dyDescent="0.3">
      <c r="S440" s="156"/>
    </row>
    <row r="442" spans="19:19" x14ac:dyDescent="0.3">
      <c r="S442" s="156"/>
    </row>
    <row r="452" spans="19:19" x14ac:dyDescent="0.3">
      <c r="S452" s="156"/>
    </row>
    <row r="454" spans="19:19" x14ac:dyDescent="0.3">
      <c r="S454" s="156"/>
    </row>
    <row r="455" spans="19:19" x14ac:dyDescent="0.3">
      <c r="S455" s="156"/>
    </row>
    <row r="465" spans="19:19" x14ac:dyDescent="0.3">
      <c r="S465" s="156"/>
    </row>
    <row r="466" spans="19:19" x14ac:dyDescent="0.3">
      <c r="S466" s="156"/>
    </row>
    <row r="471" spans="19:19" x14ac:dyDescent="0.3">
      <c r="S471" s="156"/>
    </row>
    <row r="472" spans="19:19" x14ac:dyDescent="0.3">
      <c r="S472" s="156"/>
    </row>
    <row r="488" spans="19:19" x14ac:dyDescent="0.3">
      <c r="S488" s="156"/>
    </row>
    <row r="490" spans="19:19" x14ac:dyDescent="0.3">
      <c r="S490" s="156"/>
    </row>
    <row r="491" spans="19:19" x14ac:dyDescent="0.3">
      <c r="S491" s="156"/>
    </row>
    <row r="494" spans="19:19" x14ac:dyDescent="0.3">
      <c r="S494" s="156"/>
    </row>
    <row r="496" spans="19:19" x14ac:dyDescent="0.3">
      <c r="S496" s="156"/>
    </row>
    <row r="499" spans="19:19" x14ac:dyDescent="0.3">
      <c r="S499" s="156"/>
    </row>
    <row r="505" spans="19:19" x14ac:dyDescent="0.3">
      <c r="S505" s="156"/>
    </row>
    <row r="506" spans="19:19" x14ac:dyDescent="0.3">
      <c r="S506" s="156"/>
    </row>
    <row r="507" spans="19:19" x14ac:dyDescent="0.3">
      <c r="S507" s="156"/>
    </row>
    <row r="509" spans="19:19" x14ac:dyDescent="0.3">
      <c r="S509" s="156"/>
    </row>
    <row r="512" spans="19:19" x14ac:dyDescent="0.3">
      <c r="S512" s="156"/>
    </row>
    <row r="513" spans="19:19" x14ac:dyDescent="0.3">
      <c r="S513" s="156"/>
    </row>
    <row r="514" spans="19:19" x14ac:dyDescent="0.3">
      <c r="S514" s="156"/>
    </row>
    <row r="515" spans="19:19" x14ac:dyDescent="0.3">
      <c r="S515" s="156"/>
    </row>
    <row r="520" spans="19:19" x14ac:dyDescent="0.3">
      <c r="S520" s="156"/>
    </row>
    <row r="523" spans="19:19" x14ac:dyDescent="0.3">
      <c r="S523" s="156"/>
    </row>
    <row r="524" spans="19:19" x14ac:dyDescent="0.3">
      <c r="S524" s="156"/>
    </row>
    <row r="534" spans="19:19" x14ac:dyDescent="0.3">
      <c r="S534" s="156"/>
    </row>
    <row r="535" spans="19:19" x14ac:dyDescent="0.3">
      <c r="S535" s="156"/>
    </row>
    <row r="537" spans="19:19" x14ac:dyDescent="0.3">
      <c r="S537" s="156"/>
    </row>
    <row r="540" spans="19:19" x14ac:dyDescent="0.3">
      <c r="S540" s="156"/>
    </row>
    <row r="541" spans="19:19" x14ac:dyDescent="0.3">
      <c r="S541" s="156"/>
    </row>
    <row r="543" spans="19:19" x14ac:dyDescent="0.3">
      <c r="S543" s="156"/>
    </row>
    <row r="545" spans="19:19" x14ac:dyDescent="0.3">
      <c r="S545" s="156"/>
    </row>
    <row r="549" spans="19:19" x14ac:dyDescent="0.3">
      <c r="S549" s="156"/>
    </row>
    <row r="550" spans="19:19" x14ac:dyDescent="0.3">
      <c r="S550" s="156"/>
    </row>
    <row r="551" spans="19:19" x14ac:dyDescent="0.3">
      <c r="S551" s="156"/>
    </row>
    <row r="552" spans="19:19" x14ac:dyDescent="0.3">
      <c r="S552" s="156"/>
    </row>
    <row r="555" spans="19:19" x14ac:dyDescent="0.3">
      <c r="S555" s="156"/>
    </row>
    <row r="556" spans="19:19" x14ac:dyDescent="0.3">
      <c r="S556" s="156"/>
    </row>
    <row r="560" spans="19:19" x14ac:dyDescent="0.3">
      <c r="S560" s="156"/>
    </row>
    <row r="563" spans="19:19" x14ac:dyDescent="0.3">
      <c r="S563" s="156"/>
    </row>
    <row r="564" spans="19:19" x14ac:dyDescent="0.3">
      <c r="S564" s="156"/>
    </row>
    <row r="566" spans="19:19" x14ac:dyDescent="0.3">
      <c r="S566" s="156"/>
    </row>
    <row r="568" spans="19:19" x14ac:dyDescent="0.3">
      <c r="S568" s="156"/>
    </row>
    <row r="570" spans="19:19" x14ac:dyDescent="0.3">
      <c r="S570" s="156"/>
    </row>
    <row r="571" spans="19:19" x14ac:dyDescent="0.3">
      <c r="S571" s="156"/>
    </row>
    <row r="572" spans="19:19" x14ac:dyDescent="0.3">
      <c r="S572" s="156"/>
    </row>
    <row r="578" spans="19:19" x14ac:dyDescent="0.3">
      <c r="S578" s="156"/>
    </row>
    <row r="583" spans="19:19" x14ac:dyDescent="0.3">
      <c r="S583" s="156"/>
    </row>
    <row r="584" spans="19:19" x14ac:dyDescent="0.3">
      <c r="S584" s="156"/>
    </row>
    <row r="585" spans="19:19" x14ac:dyDescent="0.3">
      <c r="S585" s="156"/>
    </row>
    <row r="587" spans="19:19" x14ac:dyDescent="0.3">
      <c r="S587" s="156"/>
    </row>
    <row r="590" spans="19:19" x14ac:dyDescent="0.3">
      <c r="S590" s="156"/>
    </row>
    <row r="591" spans="19:19" x14ac:dyDescent="0.3">
      <c r="S591" s="156"/>
    </row>
    <row r="598" spans="19:19" x14ac:dyDescent="0.3">
      <c r="S598" s="156"/>
    </row>
    <row r="607" spans="19:19" x14ac:dyDescent="0.3">
      <c r="S607" s="156"/>
    </row>
    <row r="609" spans="19:19" x14ac:dyDescent="0.3">
      <c r="S609" s="156"/>
    </row>
    <row r="611" spans="19:19" x14ac:dyDescent="0.3">
      <c r="S611" s="156"/>
    </row>
    <row r="612" spans="19:19" x14ac:dyDescent="0.3">
      <c r="S612" s="156"/>
    </row>
    <row r="615" spans="19:19" x14ac:dyDescent="0.3">
      <c r="S615" s="156"/>
    </row>
    <row r="616" spans="19:19" x14ac:dyDescent="0.3">
      <c r="S616" s="156"/>
    </row>
    <row r="621" spans="19:19" x14ac:dyDescent="0.3">
      <c r="S621" s="156"/>
    </row>
    <row r="624" spans="19:19" x14ac:dyDescent="0.3">
      <c r="S624" s="156"/>
    </row>
    <row r="625" spans="19:19" x14ac:dyDescent="0.3">
      <c r="S625" s="156"/>
    </row>
    <row r="626" spans="19:19" x14ac:dyDescent="0.3">
      <c r="S626" s="156"/>
    </row>
    <row r="627" spans="19:19" x14ac:dyDescent="0.3">
      <c r="S627" s="156"/>
    </row>
    <row r="629" spans="19:19" x14ac:dyDescent="0.3">
      <c r="S629" s="156"/>
    </row>
    <row r="636" spans="19:19" x14ac:dyDescent="0.3">
      <c r="S636" s="156"/>
    </row>
    <row r="637" spans="19:19" x14ac:dyDescent="0.3">
      <c r="S637" s="156"/>
    </row>
    <row r="642" spans="19:19" x14ac:dyDescent="0.3">
      <c r="S642" s="156"/>
    </row>
    <row r="644" spans="19:19" x14ac:dyDescent="0.3">
      <c r="S644" s="156"/>
    </row>
    <row r="647" spans="19:19" x14ac:dyDescent="0.3">
      <c r="S647" s="156"/>
    </row>
    <row r="648" spans="19:19" x14ac:dyDescent="0.3">
      <c r="S648" s="156"/>
    </row>
    <row r="652" spans="19:19" x14ac:dyDescent="0.3">
      <c r="S652" s="156"/>
    </row>
    <row r="657" spans="19:19" x14ac:dyDescent="0.3">
      <c r="S657" s="156"/>
    </row>
    <row r="659" spans="19:19" x14ac:dyDescent="0.3">
      <c r="S659" s="156"/>
    </row>
    <row r="661" spans="19:19" x14ac:dyDescent="0.3">
      <c r="S661" s="156"/>
    </row>
    <row r="664" spans="19:19" x14ac:dyDescent="0.3">
      <c r="S664" s="156"/>
    </row>
    <row r="668" spans="19:19" x14ac:dyDescent="0.3">
      <c r="S668" s="156"/>
    </row>
    <row r="670" spans="19:19" x14ac:dyDescent="0.3">
      <c r="S670" s="156"/>
    </row>
    <row r="672" spans="19:19" x14ac:dyDescent="0.3">
      <c r="S672" s="156"/>
    </row>
    <row r="675" spans="19:19" x14ac:dyDescent="0.3">
      <c r="S675" s="156"/>
    </row>
    <row r="676" spans="19:19" x14ac:dyDescent="0.3">
      <c r="S676" s="156"/>
    </row>
    <row r="678" spans="19:19" x14ac:dyDescent="0.3">
      <c r="S678" s="156"/>
    </row>
    <row r="684" spans="19:19" x14ac:dyDescent="0.3">
      <c r="S684" s="156"/>
    </row>
    <row r="692" spans="19:19" x14ac:dyDescent="0.3">
      <c r="S692" s="156"/>
    </row>
    <row r="699" spans="19:19" x14ac:dyDescent="0.3">
      <c r="S699" s="156"/>
    </row>
    <row r="700" spans="19:19" x14ac:dyDescent="0.3">
      <c r="S700" s="156"/>
    </row>
    <row r="701" spans="19:19" x14ac:dyDescent="0.3">
      <c r="S701" s="156"/>
    </row>
    <row r="702" spans="19:19" x14ac:dyDescent="0.3">
      <c r="S702" s="156"/>
    </row>
    <row r="704" spans="19:19" x14ac:dyDescent="0.3">
      <c r="S704" s="156"/>
    </row>
    <row r="706" spans="19:19" x14ac:dyDescent="0.3">
      <c r="S706" s="156"/>
    </row>
    <row r="711" spans="19:19" x14ac:dyDescent="0.3">
      <c r="S711" s="156"/>
    </row>
    <row r="716" spans="19:19" x14ac:dyDescent="0.3">
      <c r="S716" s="156"/>
    </row>
    <row r="718" spans="19:19" x14ac:dyDescent="0.3">
      <c r="S718" s="156"/>
    </row>
    <row r="723" spans="19:19" x14ac:dyDescent="0.3">
      <c r="S723" s="156"/>
    </row>
    <row r="726" spans="19:19" x14ac:dyDescent="0.3">
      <c r="S726" s="156"/>
    </row>
    <row r="733" spans="19:19" x14ac:dyDescent="0.3">
      <c r="S733" s="156"/>
    </row>
    <row r="736" spans="19:19" x14ac:dyDescent="0.3">
      <c r="S736" s="156"/>
    </row>
    <row r="738" spans="19:19" x14ac:dyDescent="0.3">
      <c r="S738" s="156"/>
    </row>
    <row r="739" spans="19:19" x14ac:dyDescent="0.3">
      <c r="S739" s="156"/>
    </row>
    <row r="741" spans="19:19" x14ac:dyDescent="0.3">
      <c r="S741" s="156"/>
    </row>
    <row r="743" spans="19:19" x14ac:dyDescent="0.3">
      <c r="S743" s="156"/>
    </row>
    <row r="745" spans="19:19" x14ac:dyDescent="0.3">
      <c r="S745" s="156"/>
    </row>
    <row r="747" spans="19:19" x14ac:dyDescent="0.3">
      <c r="S747" s="156"/>
    </row>
    <row r="753" spans="19:19" x14ac:dyDescent="0.3">
      <c r="S753" s="156"/>
    </row>
    <row r="754" spans="19:19" x14ac:dyDescent="0.3">
      <c r="S754" s="156"/>
    </row>
    <row r="756" spans="19:19" x14ac:dyDescent="0.3">
      <c r="S756" s="156"/>
    </row>
    <row r="758" spans="19:19" x14ac:dyDescent="0.3">
      <c r="S758" s="156"/>
    </row>
    <row r="760" spans="19:19" x14ac:dyDescent="0.3">
      <c r="S760" s="156"/>
    </row>
    <row r="761" spans="19:19" x14ac:dyDescent="0.3">
      <c r="S761" s="156"/>
    </row>
    <row r="762" spans="19:19" x14ac:dyDescent="0.3">
      <c r="S762" s="156"/>
    </row>
    <row r="763" spans="19:19" x14ac:dyDescent="0.3">
      <c r="S763" s="156"/>
    </row>
    <row r="764" spans="19:19" x14ac:dyDescent="0.3">
      <c r="S764" s="156"/>
    </row>
    <row r="767" spans="19:19" x14ac:dyDescent="0.3">
      <c r="S767" s="156"/>
    </row>
    <row r="770" spans="19:19" x14ac:dyDescent="0.3">
      <c r="S770" s="156"/>
    </row>
    <row r="771" spans="19:19" x14ac:dyDescent="0.3">
      <c r="S771" s="156"/>
    </row>
    <row r="774" spans="19:19" x14ac:dyDescent="0.3">
      <c r="S774" s="156"/>
    </row>
    <row r="775" spans="19:19" x14ac:dyDescent="0.3">
      <c r="S775" s="156"/>
    </row>
    <row r="783" spans="19:19" x14ac:dyDescent="0.3">
      <c r="S783" s="156"/>
    </row>
    <row r="785" spans="19:19" x14ac:dyDescent="0.3">
      <c r="S785" s="156"/>
    </row>
    <row r="787" spans="19:19" x14ac:dyDescent="0.3">
      <c r="S787" s="156"/>
    </row>
    <row r="789" spans="19:19" x14ac:dyDescent="0.3">
      <c r="S789" s="156"/>
    </row>
    <row r="792" spans="19:19" x14ac:dyDescent="0.3">
      <c r="S792" s="156"/>
    </row>
    <row r="793" spans="19:19" x14ac:dyDescent="0.3">
      <c r="S793" s="156"/>
    </row>
    <row r="794" spans="19:19" x14ac:dyDescent="0.3">
      <c r="S794" s="156"/>
    </row>
    <row r="795" spans="19:19" x14ac:dyDescent="0.3">
      <c r="S795" s="156"/>
    </row>
    <row r="796" spans="19:19" x14ac:dyDescent="0.3">
      <c r="S796" s="156"/>
    </row>
    <row r="798" spans="19:19" x14ac:dyDescent="0.3">
      <c r="S798" s="156"/>
    </row>
    <row r="799" spans="19:19" x14ac:dyDescent="0.3">
      <c r="S799" s="156"/>
    </row>
    <row r="800" spans="19:19" x14ac:dyDescent="0.3">
      <c r="S800" s="156"/>
    </row>
    <row r="805" spans="19:19" x14ac:dyDescent="0.3">
      <c r="S805" s="156"/>
    </row>
    <row r="808" spans="19:19" x14ac:dyDescent="0.3">
      <c r="S808" s="156"/>
    </row>
    <row r="809" spans="19:19" x14ac:dyDescent="0.3">
      <c r="S809" s="156"/>
    </row>
    <row r="810" spans="19:19" x14ac:dyDescent="0.3">
      <c r="S810" s="156"/>
    </row>
    <row r="811" spans="19:19" x14ac:dyDescent="0.3">
      <c r="S811" s="156"/>
    </row>
    <row r="812" spans="19:19" x14ac:dyDescent="0.3">
      <c r="S812" s="156"/>
    </row>
    <row r="814" spans="19:19" x14ac:dyDescent="0.3">
      <c r="S814" s="156"/>
    </row>
    <row r="816" spans="19:19" x14ac:dyDescent="0.3">
      <c r="S816" s="156"/>
    </row>
    <row r="819" spans="19:19" x14ac:dyDescent="0.3">
      <c r="S819" s="156"/>
    </row>
    <row r="821" spans="19:19" x14ac:dyDescent="0.3">
      <c r="S821" s="156"/>
    </row>
    <row r="823" spans="19:19" x14ac:dyDescent="0.3">
      <c r="S823" s="156"/>
    </row>
    <row r="832" spans="19:19" x14ac:dyDescent="0.3">
      <c r="S832" s="156"/>
    </row>
    <row r="833" spans="19:19" x14ac:dyDescent="0.3">
      <c r="S833" s="156"/>
    </row>
    <row r="835" spans="19:19" x14ac:dyDescent="0.3">
      <c r="S835" s="156"/>
    </row>
    <row r="837" spans="19:19" x14ac:dyDescent="0.3">
      <c r="S837" s="156"/>
    </row>
    <row r="839" spans="19:19" x14ac:dyDescent="0.3">
      <c r="S839" s="156"/>
    </row>
    <row r="846" spans="19:19" x14ac:dyDescent="0.3">
      <c r="S846" s="156"/>
    </row>
    <row r="848" spans="19:19" x14ac:dyDescent="0.3">
      <c r="S848" s="156"/>
    </row>
    <row r="850" spans="19:19" x14ac:dyDescent="0.3">
      <c r="S850" s="156"/>
    </row>
    <row r="853" spans="19:19" x14ac:dyDescent="0.3">
      <c r="S853" s="156"/>
    </row>
    <row r="854" spans="19:19" x14ac:dyDescent="0.3">
      <c r="S854" s="156"/>
    </row>
    <row r="865" spans="19:19" x14ac:dyDescent="0.3">
      <c r="S865" s="156"/>
    </row>
    <row r="879" spans="19:19" x14ac:dyDescent="0.3">
      <c r="S879" s="156"/>
    </row>
    <row r="885" spans="19:19" x14ac:dyDescent="0.3">
      <c r="S885" s="156"/>
    </row>
    <row r="886" spans="19:19" x14ac:dyDescent="0.3">
      <c r="S886" s="156"/>
    </row>
    <row r="887" spans="19:19" x14ac:dyDescent="0.3">
      <c r="S887" s="156"/>
    </row>
    <row r="888" spans="19:19" x14ac:dyDescent="0.3">
      <c r="S888" s="156"/>
    </row>
    <row r="890" spans="19:19" x14ac:dyDescent="0.3">
      <c r="S890" s="156"/>
    </row>
    <row r="891" spans="19:19" x14ac:dyDescent="0.3">
      <c r="S891" s="156"/>
    </row>
    <row r="893" spans="19:19" x14ac:dyDescent="0.3">
      <c r="S893" s="156"/>
    </row>
    <row r="894" spans="19:19" x14ac:dyDescent="0.3">
      <c r="S894" s="156"/>
    </row>
    <row r="896" spans="19:19" x14ac:dyDescent="0.3">
      <c r="S896" s="156"/>
    </row>
    <row r="897" spans="19:19" x14ac:dyDescent="0.3">
      <c r="S897" s="156"/>
    </row>
    <row r="901" spans="19:19" x14ac:dyDescent="0.3">
      <c r="S901" s="156"/>
    </row>
    <row r="907" spans="19:19" x14ac:dyDescent="0.3">
      <c r="S907" s="156"/>
    </row>
    <row r="908" spans="19:19" x14ac:dyDescent="0.3">
      <c r="S908" s="156"/>
    </row>
    <row r="909" spans="19:19" x14ac:dyDescent="0.3">
      <c r="S909" s="156"/>
    </row>
    <row r="921" spans="19:19" x14ac:dyDescent="0.3">
      <c r="S921" s="156"/>
    </row>
    <row r="924" spans="19:19" x14ac:dyDescent="0.3">
      <c r="S924" s="156"/>
    </row>
    <row r="928" spans="19:19" x14ac:dyDescent="0.3">
      <c r="S928" s="156"/>
    </row>
    <row r="930" spans="19:19" x14ac:dyDescent="0.3">
      <c r="S930" s="156"/>
    </row>
    <row r="933" spans="19:19" x14ac:dyDescent="0.3">
      <c r="S933" s="156"/>
    </row>
    <row r="939" spans="19:19" x14ac:dyDescent="0.3">
      <c r="S939" s="156"/>
    </row>
    <row r="940" spans="19:19" x14ac:dyDescent="0.3">
      <c r="S940" s="156"/>
    </row>
    <row r="941" spans="19:19" x14ac:dyDescent="0.3">
      <c r="S941" s="156"/>
    </row>
    <row r="945" spans="19:19" x14ac:dyDescent="0.3">
      <c r="S945" s="156"/>
    </row>
    <row r="946" spans="19:19" x14ac:dyDescent="0.3">
      <c r="S946" s="156"/>
    </row>
    <row r="948" spans="19:19" x14ac:dyDescent="0.3">
      <c r="S948" s="156"/>
    </row>
    <row r="949" spans="19:19" x14ac:dyDescent="0.3">
      <c r="S949" s="156"/>
    </row>
    <row r="951" spans="19:19" x14ac:dyDescent="0.3">
      <c r="S951" s="156"/>
    </row>
    <row r="953" spans="19:19" x14ac:dyDescent="0.3">
      <c r="S953" s="156"/>
    </row>
    <row r="954" spans="19:19" x14ac:dyDescent="0.3">
      <c r="S954" s="156"/>
    </row>
    <row r="955" spans="19:19" x14ac:dyDescent="0.3">
      <c r="S955" s="156"/>
    </row>
    <row r="956" spans="19:19" x14ac:dyDescent="0.3">
      <c r="S956" s="156"/>
    </row>
    <row r="959" spans="19:19" x14ac:dyDescent="0.3">
      <c r="S959" s="156"/>
    </row>
    <row r="966" spans="19:19" x14ac:dyDescent="0.3">
      <c r="S966" s="156"/>
    </row>
    <row r="967" spans="19:19" x14ac:dyDescent="0.3">
      <c r="S967" s="156"/>
    </row>
    <row r="972" spans="19:19" x14ac:dyDescent="0.3">
      <c r="S972" s="156"/>
    </row>
    <row r="974" spans="19:19" x14ac:dyDescent="0.3">
      <c r="S974" s="156"/>
    </row>
    <row r="977" spans="19:19" x14ac:dyDescent="0.3">
      <c r="S977" s="156"/>
    </row>
    <row r="980" spans="19:19" x14ac:dyDescent="0.3">
      <c r="S980" s="156"/>
    </row>
    <row r="981" spans="19:19" x14ac:dyDescent="0.3">
      <c r="S981" s="156"/>
    </row>
    <row r="982" spans="19:19" x14ac:dyDescent="0.3">
      <c r="S982" s="156"/>
    </row>
    <row r="983" spans="19:19" x14ac:dyDescent="0.3">
      <c r="S983" s="156"/>
    </row>
    <row r="984" spans="19:19" x14ac:dyDescent="0.3">
      <c r="S984" s="156"/>
    </row>
    <row r="985" spans="19:19" x14ac:dyDescent="0.3">
      <c r="S985" s="156"/>
    </row>
    <row r="992" spans="19:19" x14ac:dyDescent="0.3">
      <c r="S992" s="156"/>
    </row>
    <row r="994" spans="19:19" x14ac:dyDescent="0.3">
      <c r="S994" s="156"/>
    </row>
    <row r="996" spans="19:19" x14ac:dyDescent="0.3">
      <c r="S996" s="156"/>
    </row>
    <row r="998" spans="19:19" x14ac:dyDescent="0.3">
      <c r="S998" s="156"/>
    </row>
    <row r="1001" spans="19:19" x14ac:dyDescent="0.3">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MCAu">
                <anchor moveWithCells="1" sizeWithCells="1">
                  <from>
                    <xdr:col>14</xdr:col>
                    <xdr:colOff>30480</xdr:colOff>
                    <xdr:row>5</xdr:row>
                    <xdr:rowOff>7620</xdr:rowOff>
                  </from>
                  <to>
                    <xdr:col>14</xdr:col>
                    <xdr:colOff>861060</xdr:colOff>
                    <xdr:row>6</xdr:row>
                    <xdr:rowOff>198120</xdr:rowOff>
                  </to>
                </anchor>
              </controlPr>
            </control>
          </mc:Choice>
        </mc:AlternateContent>
        <mc:AlternateContent xmlns:mc="http://schemas.openxmlformats.org/markup-compatibility/2006">
          <mc:Choice Requires="x14">
            <control shapeId="286722" r:id="rId5" name="Button 2">
              <controlPr defaultSize="0" print="0" autoFill="0" autoPict="0" macro="[0]!MCAd">
                <anchor moveWithCells="1" sizeWithCells="1">
                  <from>
                    <xdr:col>15</xdr:col>
                    <xdr:colOff>22860</xdr:colOff>
                    <xdr:row>5</xdr:row>
                    <xdr:rowOff>22860</xdr:rowOff>
                  </from>
                  <to>
                    <xdr:col>15</xdr:col>
                    <xdr:colOff>868680</xdr:colOff>
                    <xdr:row>6</xdr:row>
                    <xdr:rowOff>198120</xdr:rowOff>
                  </to>
                </anchor>
              </controlPr>
            </control>
          </mc:Choice>
        </mc:AlternateContent>
        <mc:AlternateContent xmlns:mc="http://schemas.openxmlformats.org/markup-compatibility/2006">
          <mc:Choice Requires="x14">
            <control shapeId="286723" r:id="rId6" name="Button 3">
              <controlPr defaultSize="0" print="0" autoFill="0" autoPict="0" macro="[0]!Plant">
                <anchor moveWithCells="1" sizeWithCells="1">
                  <from>
                    <xdr:col>15</xdr:col>
                    <xdr:colOff>22860</xdr:colOff>
                    <xdr:row>3</xdr:row>
                    <xdr:rowOff>7620</xdr:rowOff>
                  </from>
                  <to>
                    <xdr:col>15</xdr:col>
                    <xdr:colOff>868680</xdr:colOff>
                    <xdr:row>3</xdr:row>
                    <xdr:rowOff>213360</xdr:rowOff>
                  </to>
                </anchor>
              </controlPr>
            </control>
          </mc:Choice>
        </mc:AlternateContent>
        <mc:AlternateContent xmlns:mc="http://schemas.openxmlformats.org/markup-compatibility/2006">
          <mc:Choice Requires="x14">
            <control shapeId="286724" r:id="rId7" name="Button 4">
              <controlPr defaultSize="0" print="0" autoFill="0" autoPict="0" macro="[0]!_xludf.Exp">
                <anchor moveWithCells="1" sizeWithCells="1">
                  <from>
                    <xdr:col>11</xdr:col>
                    <xdr:colOff>7620</xdr:colOff>
                    <xdr:row>4</xdr:row>
                    <xdr:rowOff>22860</xdr:rowOff>
                  </from>
                  <to>
                    <xdr:col>11</xdr:col>
                    <xdr:colOff>899160</xdr:colOff>
                    <xdr:row>4</xdr:row>
                    <xdr:rowOff>213360</xdr:rowOff>
                  </to>
                </anchor>
              </controlPr>
            </control>
          </mc:Choice>
        </mc:AlternateContent>
        <mc:AlternateContent xmlns:mc="http://schemas.openxmlformats.org/markup-compatibility/2006">
          <mc:Choice Requires="x14">
            <control shapeId="286725" r:id="rId8" name="Button 5">
              <controlPr defaultSize="0" print="0" autoFill="0" autoPict="0" macro="[0]!_xludf.Run">
                <anchor moveWithCells="1" sizeWithCells="1">
                  <from>
                    <xdr:col>11</xdr:col>
                    <xdr:colOff>22860</xdr:colOff>
                    <xdr:row>6</xdr:row>
                    <xdr:rowOff>7620</xdr:rowOff>
                  </from>
                  <to>
                    <xdr:col>11</xdr:col>
                    <xdr:colOff>899160</xdr:colOff>
                    <xdr:row>6</xdr:row>
                    <xdr:rowOff>213360</xdr:rowOff>
                  </to>
                </anchor>
              </controlPr>
            </control>
          </mc:Choice>
        </mc:AlternateContent>
        <mc:AlternateContent xmlns:mc="http://schemas.openxmlformats.org/markup-compatibility/2006">
          <mc:Choice Requires="x14">
            <control shapeId="286726" r:id="rId9" name="Button 6">
              <controlPr defaultSize="0" print="0" autoFill="0" autoPict="0" macro="[0]!_xludf.Sort">
                <anchor moveWithCells="1" sizeWithCells="1">
                  <from>
                    <xdr:col>10</xdr:col>
                    <xdr:colOff>7620</xdr:colOff>
                    <xdr:row>10</xdr:row>
                    <xdr:rowOff>22860</xdr:rowOff>
                  </from>
                  <to>
                    <xdr:col>10</xdr:col>
                    <xdr:colOff>906780</xdr:colOff>
                    <xdr:row>10</xdr:row>
                    <xdr:rowOff>213360</xdr:rowOff>
                  </to>
                </anchor>
              </controlPr>
            </control>
          </mc:Choice>
        </mc:AlternateContent>
        <mc:AlternateContent xmlns:mc="http://schemas.openxmlformats.org/markup-compatibility/2006">
          <mc:Choice Requires="x14">
            <control shapeId="286727" r:id="rId10" name="Button 7">
              <controlPr defaultSize="0" print="0" autoFill="0" autoPict="0" macro="[0]!Plot">
                <anchor moveWithCells="1" sizeWithCells="1">
                  <from>
                    <xdr:col>10</xdr:col>
                    <xdr:colOff>7620</xdr:colOff>
                    <xdr:row>12</xdr:row>
                    <xdr:rowOff>7620</xdr:rowOff>
                  </from>
                  <to>
                    <xdr:col>10</xdr:col>
                    <xdr:colOff>906780</xdr:colOff>
                    <xdr:row>12</xdr:row>
                    <xdr:rowOff>213360</xdr:rowOff>
                  </to>
                </anchor>
              </controlPr>
            </control>
          </mc:Choice>
        </mc:AlternateContent>
        <mc:AlternateContent xmlns:mc="http://schemas.openxmlformats.org/markup-compatibility/2006">
          <mc:Choice Requires="x14">
            <control shapeId="286728" r:id="rId11" name="Button 8">
              <controlPr defaultSize="0" print="0" autoFill="0" autoPict="0" macro="[0]!Reset">
                <anchor moveWithCells="1" sizeWithCells="1">
                  <from>
                    <xdr:col>10</xdr:col>
                    <xdr:colOff>7620</xdr:colOff>
                    <xdr:row>14</xdr:row>
                    <xdr:rowOff>7620</xdr:rowOff>
                  </from>
                  <to>
                    <xdr:col>10</xdr:col>
                    <xdr:colOff>906780</xdr:colOff>
                    <xdr:row>14</xdr:row>
                    <xdr:rowOff>213360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40" zoomScaleNormal="40" zoomScaleSheetLayoutView="20" workbookViewId="0"/>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hidden="1"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 customHeight="1" x14ac:dyDescent="0.3">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510</v>
      </c>
      <c r="Z2" t="s">
        <v>261</v>
      </c>
      <c r="AA2" t="s">
        <v>243</v>
      </c>
      <c r="AB2" t="s">
        <v>513</v>
      </c>
      <c r="AC2" t="s">
        <v>245</v>
      </c>
      <c r="AD2" t="s">
        <v>246</v>
      </c>
      <c r="AE2" t="s">
        <v>517</v>
      </c>
      <c r="AF2" t="s">
        <v>248</v>
      </c>
      <c r="AG2" t="s">
        <v>518</v>
      </c>
      <c r="AH2" t="s">
        <v>250</v>
      </c>
      <c r="AI2" t="s">
        <v>251</v>
      </c>
      <c r="AJ2" t="s">
        <v>252</v>
      </c>
      <c r="AK2" t="s">
        <v>253</v>
      </c>
      <c r="AL2" t="s">
        <v>254</v>
      </c>
      <c r="AM2" t="s">
        <v>255</v>
      </c>
      <c r="AN2" t="s">
        <v>523</v>
      </c>
      <c r="AO2" t="s">
        <v>257</v>
      </c>
      <c r="AP2" t="s">
        <v>148</v>
      </c>
      <c r="AQ2" t="s">
        <v>259</v>
      </c>
      <c r="AR2" t="s">
        <v>260</v>
      </c>
      <c r="AS2" t="s">
        <v>210</v>
      </c>
      <c r="AT2" t="s">
        <v>531</v>
      </c>
      <c r="AV2" s="205" t="s">
        <v>533</v>
      </c>
      <c r="AW2" s="206" t="s">
        <v>534</v>
      </c>
      <c r="AX2" s="207" t="s">
        <v>535</v>
      </c>
      <c r="AY2" s="207" t="s">
        <v>536</v>
      </c>
      <c r="AZ2" s="207" t="s">
        <v>537</v>
      </c>
      <c r="BA2" s="207" t="s">
        <v>538</v>
      </c>
      <c r="BB2" s="207" t="s">
        <v>539</v>
      </c>
      <c r="BC2" s="207" t="s">
        <v>540</v>
      </c>
      <c r="BD2" s="207" t="s">
        <v>541</v>
      </c>
      <c r="BE2" s="207" t="s">
        <v>542</v>
      </c>
      <c r="BF2" s="207" t="s">
        <v>543</v>
      </c>
      <c r="BG2" s="207" t="s">
        <v>544</v>
      </c>
      <c r="BH2" s="207" t="s">
        <v>545</v>
      </c>
      <c r="BI2" s="207" t="s">
        <v>546</v>
      </c>
      <c r="BJ2" s="207" t="s">
        <v>547</v>
      </c>
      <c r="BK2" s="207" t="s">
        <v>548</v>
      </c>
      <c r="BL2" s="207" t="s">
        <v>549</v>
      </c>
      <c r="BM2" s="207" t="s">
        <v>550</v>
      </c>
      <c r="BN2" s="207" t="s">
        <v>551</v>
      </c>
      <c r="BO2" s="207" t="s">
        <v>552</v>
      </c>
      <c r="BP2" s="207" t="s">
        <v>553</v>
      </c>
      <c r="BQ2" s="207" t="s">
        <v>554</v>
      </c>
      <c r="BR2" s="207" t="s">
        <v>555</v>
      </c>
      <c r="BT2" s="274" t="s">
        <v>608</v>
      </c>
      <c r="BU2" s="274" t="s">
        <v>609</v>
      </c>
      <c r="BV2" s="274" t="s">
        <v>619</v>
      </c>
      <c r="BW2" s="274" t="s">
        <v>610</v>
      </c>
      <c r="BX2" s="274" t="s">
        <v>611</v>
      </c>
      <c r="BY2" s="274" t="s">
        <v>612</v>
      </c>
      <c r="BZ2" s="274" t="s">
        <v>613</v>
      </c>
      <c r="CA2" s="274" t="s">
        <v>614</v>
      </c>
      <c r="CB2" s="274" t="s">
        <v>615</v>
      </c>
      <c r="CC2" s="274" t="s">
        <v>616</v>
      </c>
      <c r="CD2" s="274" t="s">
        <v>617</v>
      </c>
      <c r="CE2" s="274" t="s">
        <v>618</v>
      </c>
      <c r="CI2" s="83"/>
      <c r="CJ2" s="83"/>
      <c r="CK2" s="83"/>
      <c r="CL2" s="83"/>
      <c r="CM2" s="83"/>
      <c r="CN2" s="83"/>
      <c r="CO2" s="83"/>
    </row>
    <row r="3" spans="1:93" ht="18" x14ac:dyDescent="0.3">
      <c r="A3" s="83"/>
      <c r="B3" s="103"/>
      <c r="C3" s="750" t="s">
        <v>270</v>
      </c>
      <c r="D3" s="751"/>
      <c r="E3" s="751"/>
      <c r="F3" s="751"/>
      <c r="G3" s="751"/>
      <c r="H3" s="891" t="s">
        <v>229</v>
      </c>
      <c r="I3" s="891"/>
      <c r="J3" s="83"/>
      <c r="K3" s="750" t="s">
        <v>268</v>
      </c>
      <c r="L3" s="751"/>
      <c r="M3" s="751"/>
      <c r="N3" s="751"/>
      <c r="O3" s="751"/>
      <c r="P3" s="751"/>
      <c r="Q3" s="751"/>
      <c r="R3" s="751"/>
      <c r="S3" s="752"/>
      <c r="T3" s="104"/>
      <c r="U3" s="103"/>
      <c r="V3" s="83"/>
      <c r="W3" t="s">
        <v>508</v>
      </c>
      <c r="X3" s="1" t="s">
        <v>7</v>
      </c>
      <c r="Y3" s="1" t="s">
        <v>511</v>
      </c>
      <c r="Z3" s="1" t="s">
        <v>23</v>
      </c>
      <c r="AA3" s="1" t="s">
        <v>29</v>
      </c>
      <c r="AB3" s="1" t="s">
        <v>34</v>
      </c>
      <c r="AC3" s="83" t="s">
        <v>36</v>
      </c>
      <c r="AD3" s="83" t="str">
        <f>+'Equipment Data'!B52</f>
        <v>Drum</v>
      </c>
      <c r="AE3" s="83" t="str">
        <f>+'Equipment Data'!B59</f>
        <v>Baghouse</v>
      </c>
      <c r="AF3" s="83" t="s">
        <v>66</v>
      </c>
      <c r="AG3" s="83" t="s">
        <v>71</v>
      </c>
      <c r="AH3" s="83" t="s">
        <v>88</v>
      </c>
      <c r="AI3" s="83" t="s">
        <v>105</v>
      </c>
      <c r="AJ3" s="83" t="s">
        <v>113</v>
      </c>
      <c r="AK3" s="1" t="s">
        <v>146</v>
      </c>
      <c r="AL3" s="1" t="s">
        <v>156</v>
      </c>
      <c r="AM3" s="83" t="s">
        <v>161</v>
      </c>
      <c r="AN3" s="83" t="s">
        <v>168</v>
      </c>
      <c r="AO3" s="83" t="s">
        <v>172</v>
      </c>
      <c r="AP3" s="83" t="s">
        <v>24</v>
      </c>
      <c r="AQ3" s="83" t="s">
        <v>182</v>
      </c>
      <c r="AR3" s="83" t="s">
        <v>200</v>
      </c>
      <c r="AS3" s="83" t="s">
        <v>214</v>
      </c>
      <c r="AT3" s="83" t="s">
        <v>667</v>
      </c>
      <c r="AV3" s="83" t="s">
        <v>565</v>
      </c>
      <c r="AW3" s="83" t="s">
        <v>565</v>
      </c>
      <c r="AX3" s="1" t="s">
        <v>85</v>
      </c>
      <c r="AY3" s="1" t="s">
        <v>565</v>
      </c>
      <c r="AZ3" s="1" t="s">
        <v>565</v>
      </c>
      <c r="BA3" s="1" t="s">
        <v>565</v>
      </c>
      <c r="BB3" s="1" t="s">
        <v>565</v>
      </c>
      <c r="BC3" s="1" t="s">
        <v>565</v>
      </c>
      <c r="BD3" s="83" t="s">
        <v>85</v>
      </c>
      <c r="BE3" s="83" t="str">
        <f>+BC3</f>
        <v>N/A</v>
      </c>
      <c r="BF3" s="83" t="s">
        <v>85</v>
      </c>
      <c r="BG3" s="83" t="s">
        <v>85</v>
      </c>
      <c r="BH3" s="83" t="s">
        <v>526</v>
      </c>
      <c r="BI3" s="83" t="str">
        <f>+BE3</f>
        <v>N/A</v>
      </c>
      <c r="BJ3" s="83" t="s">
        <v>560</v>
      </c>
      <c r="BK3" s="83" t="s">
        <v>565</v>
      </c>
      <c r="BL3" s="83" t="str">
        <f>+BI3</f>
        <v>N/A</v>
      </c>
      <c r="BM3" s="83" t="s">
        <v>565</v>
      </c>
      <c r="BN3" s="83" t="s">
        <v>560</v>
      </c>
      <c r="BO3" s="13" t="s">
        <v>85</v>
      </c>
      <c r="BP3" s="83" t="s">
        <v>85</v>
      </c>
      <c r="BQ3" s="83" t="s">
        <v>85</v>
      </c>
      <c r="BR3" s="83" t="s">
        <v>226</v>
      </c>
      <c r="BT3" s="83" t="s">
        <v>526</v>
      </c>
      <c r="BU3" s="83" t="s">
        <v>526</v>
      </c>
      <c r="BV3" s="83" t="s">
        <v>526</v>
      </c>
      <c r="BW3" s="83" t="s">
        <v>526</v>
      </c>
      <c r="BX3" s="83" t="s">
        <v>526</v>
      </c>
      <c r="BY3" s="83" t="s">
        <v>526</v>
      </c>
      <c r="BZ3" s="83" t="s">
        <v>526</v>
      </c>
      <c r="CA3" s="83" t="s">
        <v>526</v>
      </c>
      <c r="CB3" s="83" t="s">
        <v>85</v>
      </c>
      <c r="CC3" s="83" t="s">
        <v>85</v>
      </c>
      <c r="CD3" s="83" t="s">
        <v>85</v>
      </c>
      <c r="CE3" s="83" t="s">
        <v>85</v>
      </c>
      <c r="CI3" s="83"/>
      <c r="CJ3" s="83"/>
      <c r="CK3" s="83"/>
      <c r="CL3" s="83"/>
      <c r="CM3" s="83"/>
      <c r="CN3" s="83"/>
      <c r="CO3" s="83"/>
    </row>
    <row r="4" spans="1:93" ht="15.6" customHeight="1" x14ac:dyDescent="0.3">
      <c r="A4" s="83"/>
      <c r="B4" s="103"/>
      <c r="C4" s="83"/>
      <c r="D4" s="83"/>
      <c r="E4" s="83"/>
      <c r="F4" s="83"/>
      <c r="G4" s="83"/>
      <c r="H4" s="83"/>
      <c r="I4" s="83"/>
      <c r="J4" s="83"/>
      <c r="K4" s="892"/>
      <c r="L4" s="892"/>
      <c r="M4" s="892"/>
      <c r="N4" s="892"/>
      <c r="O4" s="892"/>
      <c r="P4" s="892"/>
      <c r="Q4" s="892"/>
      <c r="R4" s="892"/>
      <c r="S4" s="892"/>
      <c r="T4" s="104"/>
      <c r="U4" s="103"/>
      <c r="V4" s="83"/>
      <c r="W4" s="83" t="s">
        <v>510</v>
      </c>
      <c r="X4" s="1" t="s">
        <v>8</v>
      </c>
      <c r="Y4" s="1" t="s">
        <v>512</v>
      </c>
      <c r="Z4" s="1" t="s">
        <v>24</v>
      </c>
      <c r="AA4" s="1" t="s">
        <v>30</v>
      </c>
      <c r="AB4" s="1"/>
      <c r="AC4" s="83" t="s">
        <v>37</v>
      </c>
      <c r="AD4" s="83" t="str">
        <f>+'Equipment Data'!B53</f>
        <v>Rotary, Gas Fired</v>
      </c>
      <c r="AE4" s="83" t="s">
        <v>516</v>
      </c>
      <c r="AF4" s="83" t="s">
        <v>67</v>
      </c>
      <c r="AG4" s="83" t="s">
        <v>72</v>
      </c>
      <c r="AH4" s="83" t="s">
        <v>89</v>
      </c>
      <c r="AI4" s="83" t="s">
        <v>106</v>
      </c>
      <c r="AJ4" s="83" t="s">
        <v>116</v>
      </c>
      <c r="AK4" s="1" t="s">
        <v>147</v>
      </c>
      <c r="AL4" s="1" t="s">
        <v>158</v>
      </c>
      <c r="AM4" s="83" t="s">
        <v>162</v>
      </c>
      <c r="AN4" s="83" t="s">
        <v>9</v>
      </c>
      <c r="AO4" s="83" t="s">
        <v>173</v>
      </c>
      <c r="AP4" s="83" t="s">
        <v>178</v>
      </c>
      <c r="AQ4" s="83" t="s">
        <v>183</v>
      </c>
      <c r="AR4" s="83" t="s">
        <v>201</v>
      </c>
      <c r="AS4" s="83" t="s">
        <v>215</v>
      </c>
      <c r="AX4" s="83" t="s">
        <v>87</v>
      </c>
      <c r="AY4" s="1"/>
      <c r="AZ4" s="1"/>
      <c r="BA4" s="1"/>
      <c r="BD4" s="83" t="s">
        <v>524</v>
      </c>
      <c r="BF4" s="83" t="s">
        <v>86</v>
      </c>
      <c r="BG4" s="83" t="s">
        <v>192</v>
      </c>
      <c r="BH4" s="83" t="s">
        <v>558</v>
      </c>
      <c r="BJ4" s="83" t="s">
        <v>85</v>
      </c>
      <c r="BN4" s="83" t="s">
        <v>85</v>
      </c>
      <c r="BO4" s="13" t="s">
        <v>132</v>
      </c>
      <c r="BP4" s="83" t="s">
        <v>188</v>
      </c>
      <c r="BQ4" s="83" t="s">
        <v>87</v>
      </c>
      <c r="BR4" s="83" t="s">
        <v>227</v>
      </c>
      <c r="BT4" s="83" t="s">
        <v>558</v>
      </c>
      <c r="BU4" s="83" t="s">
        <v>558</v>
      </c>
      <c r="BV4" s="83" t="s">
        <v>558</v>
      </c>
      <c r="BW4" s="83" t="s">
        <v>558</v>
      </c>
      <c r="BX4" s="83" t="s">
        <v>558</v>
      </c>
      <c r="BY4" s="83" t="s">
        <v>558</v>
      </c>
      <c r="BZ4" s="83" t="s">
        <v>558</v>
      </c>
      <c r="CA4" s="83" t="s">
        <v>558</v>
      </c>
      <c r="CB4" s="83" t="s">
        <v>132</v>
      </c>
      <c r="CC4" s="83" t="s">
        <v>132</v>
      </c>
      <c r="CD4" s="83" t="s">
        <v>132</v>
      </c>
      <c r="CE4" s="83" t="s">
        <v>142</v>
      </c>
      <c r="CI4" s="83"/>
      <c r="CJ4" s="83"/>
      <c r="CK4" s="83"/>
      <c r="CL4" s="83"/>
      <c r="CM4" s="83"/>
      <c r="CN4" s="83"/>
      <c r="CO4" s="83"/>
    </row>
    <row r="5" spans="1:93" ht="18" x14ac:dyDescent="0.35">
      <c r="A5" s="83"/>
      <c r="B5" s="103"/>
      <c r="C5" s="83"/>
      <c r="D5" s="893" t="s">
        <v>697</v>
      </c>
      <c r="E5" s="894"/>
      <c r="F5" s="83"/>
      <c r="G5" s="83"/>
      <c r="H5" s="893" t="s">
        <v>267</v>
      </c>
      <c r="I5" s="894"/>
      <c r="J5" s="83"/>
      <c r="K5" s="895" t="s">
        <v>712</v>
      </c>
      <c r="L5" s="896"/>
      <c r="M5" s="896"/>
      <c r="N5" s="896"/>
      <c r="O5" s="896"/>
      <c r="P5" s="896"/>
      <c r="Q5" s="896"/>
      <c r="R5" s="896"/>
      <c r="S5" s="897"/>
      <c r="T5" s="104"/>
      <c r="U5" s="103"/>
      <c r="V5" s="83"/>
      <c r="W5" s="83" t="s">
        <v>261</v>
      </c>
      <c r="X5" s="1" t="s">
        <v>9</v>
      </c>
      <c r="Y5" s="1" t="s">
        <v>15</v>
      </c>
      <c r="Z5" s="1" t="s">
        <v>9</v>
      </c>
      <c r="AA5" s="1" t="s">
        <v>31</v>
      </c>
      <c r="AB5" s="1"/>
      <c r="AC5" s="83" t="s">
        <v>38</v>
      </c>
      <c r="AD5" s="83" t="str">
        <f>+'Equipment Data'!B54</f>
        <v>Tray</v>
      </c>
      <c r="AE5" s="83" t="str">
        <f>+'Equipment Data'!B64</f>
        <v>Electrostatic Precipitator</v>
      </c>
      <c r="AF5" s="83" t="s">
        <v>68</v>
      </c>
      <c r="AG5" s="83" t="s">
        <v>73</v>
      </c>
      <c r="AH5" s="83" t="s">
        <v>91</v>
      </c>
      <c r="AI5" s="83" t="s">
        <v>107</v>
      </c>
      <c r="AJ5" s="83" t="s">
        <v>117</v>
      </c>
      <c r="AK5" s="1" t="s">
        <v>148</v>
      </c>
      <c r="AL5" s="1" t="s">
        <v>159</v>
      </c>
      <c r="AM5" s="83" t="s">
        <v>163</v>
      </c>
      <c r="AN5" s="83" t="s">
        <v>169</v>
      </c>
      <c r="AQ5" s="83" t="s">
        <v>184</v>
      </c>
      <c r="AS5" s="83" t="s">
        <v>216</v>
      </c>
      <c r="AX5" s="83" t="s">
        <v>133</v>
      </c>
      <c r="AY5" s="1"/>
      <c r="AZ5" s="1"/>
      <c r="BA5" s="1"/>
      <c r="BD5" s="83" t="s">
        <v>87</v>
      </c>
      <c r="BF5" s="83" t="s">
        <v>87</v>
      </c>
      <c r="BG5" s="83" t="s">
        <v>87</v>
      </c>
      <c r="BH5" s="83" t="s">
        <v>528</v>
      </c>
      <c r="BJ5" s="83" t="s">
        <v>132</v>
      </c>
      <c r="BN5" s="83" t="s">
        <v>132</v>
      </c>
      <c r="BO5" s="13" t="s">
        <v>186</v>
      </c>
      <c r="BP5" s="83" t="s">
        <v>87</v>
      </c>
      <c r="BQ5" s="83" t="s">
        <v>563</v>
      </c>
      <c r="BR5" s="83" t="s">
        <v>228</v>
      </c>
      <c r="BT5" s="83" t="s">
        <v>528</v>
      </c>
      <c r="BU5" s="83" t="s">
        <v>528</v>
      </c>
      <c r="BV5" s="83" t="s">
        <v>528</v>
      </c>
      <c r="BW5" s="83" t="s">
        <v>528</v>
      </c>
      <c r="BX5" s="83" t="s">
        <v>528</v>
      </c>
      <c r="BY5" s="83" t="s">
        <v>528</v>
      </c>
      <c r="BZ5" s="83" t="s">
        <v>528</v>
      </c>
      <c r="CA5" s="83" t="s">
        <v>528</v>
      </c>
      <c r="CB5" s="83" t="s">
        <v>87</v>
      </c>
      <c r="CC5" s="83" t="s">
        <v>87</v>
      </c>
      <c r="CD5" s="83" t="s">
        <v>87</v>
      </c>
      <c r="CE5" s="83" t="s">
        <v>87</v>
      </c>
      <c r="CI5" s="83"/>
      <c r="CJ5" s="83"/>
      <c r="CK5" s="83"/>
      <c r="CL5" s="83"/>
      <c r="CM5" s="83"/>
      <c r="CN5" s="83"/>
      <c r="CO5" s="83"/>
    </row>
    <row r="6" spans="1:93" ht="15.6" x14ac:dyDescent="0.3">
      <c r="A6" s="83"/>
      <c r="B6" s="103"/>
      <c r="C6" s="794" t="s">
        <v>491</v>
      </c>
      <c r="D6" s="498" t="s">
        <v>711</v>
      </c>
      <c r="E6" s="509" t="s">
        <v>696</v>
      </c>
      <c r="F6" s="83"/>
      <c r="G6" s="83"/>
      <c r="H6" s="85"/>
      <c r="I6" s="110" t="s">
        <v>262</v>
      </c>
      <c r="J6" s="83"/>
      <c r="K6" s="898"/>
      <c r="L6" s="899"/>
      <c r="M6" s="899"/>
      <c r="N6" s="899"/>
      <c r="O6" s="899"/>
      <c r="P6" s="899"/>
      <c r="Q6" s="899"/>
      <c r="R6" s="899"/>
      <c r="S6" s="900"/>
      <c r="T6" s="104"/>
      <c r="U6" s="103"/>
      <c r="V6" s="83"/>
      <c r="W6" s="83" t="s">
        <v>243</v>
      </c>
      <c r="X6" s="1"/>
      <c r="Y6" s="1" t="s">
        <v>16</v>
      </c>
      <c r="Z6" s="1" t="s">
        <v>25</v>
      </c>
      <c r="AA6" s="1" t="s">
        <v>32</v>
      </c>
      <c r="AB6" s="1"/>
      <c r="AC6" s="83" t="s">
        <v>40</v>
      </c>
      <c r="AE6" s="83" t="str">
        <f>+'Equipment Data'!B65</f>
        <v>Venturi</v>
      </c>
      <c r="AF6" s="83" t="s">
        <v>69</v>
      </c>
      <c r="AG6" s="83" t="s">
        <v>74</v>
      </c>
      <c r="AH6" s="83" t="s">
        <v>98</v>
      </c>
      <c r="AI6" s="83" t="s">
        <v>108</v>
      </c>
      <c r="AJ6" s="83" t="s">
        <v>119</v>
      </c>
      <c r="AK6" s="1"/>
      <c r="AL6" s="1"/>
      <c r="AM6" s="83" t="s">
        <v>164</v>
      </c>
      <c r="AN6" s="83" t="s">
        <v>170</v>
      </c>
      <c r="AY6" s="1"/>
      <c r="AZ6" s="1"/>
      <c r="BA6" s="1"/>
      <c r="BD6" s="83" t="s">
        <v>133</v>
      </c>
      <c r="BG6" s="83" t="s">
        <v>189</v>
      </c>
      <c r="BH6" s="83" t="s">
        <v>470</v>
      </c>
      <c r="BJ6" s="83" t="s">
        <v>87</v>
      </c>
      <c r="BN6" s="83" t="s">
        <v>87</v>
      </c>
      <c r="BO6" s="13" t="s">
        <v>187</v>
      </c>
      <c r="BP6" s="83" t="s">
        <v>561</v>
      </c>
      <c r="BQ6" s="83" t="s">
        <v>564</v>
      </c>
      <c r="BT6" s="83" t="s">
        <v>556</v>
      </c>
      <c r="BU6" s="83" t="s">
        <v>556</v>
      </c>
      <c r="BV6" s="83" t="s">
        <v>556</v>
      </c>
      <c r="BW6" s="83" t="s">
        <v>556</v>
      </c>
      <c r="BX6" s="83" t="s">
        <v>556</v>
      </c>
      <c r="BY6" s="83" t="s">
        <v>556</v>
      </c>
      <c r="BZ6" s="83" t="s">
        <v>556</v>
      </c>
      <c r="CA6" s="83" t="s">
        <v>556</v>
      </c>
      <c r="CB6" s="83" t="s">
        <v>133</v>
      </c>
      <c r="CC6" s="83" t="s">
        <v>133</v>
      </c>
      <c r="CD6" s="83" t="s">
        <v>133</v>
      </c>
      <c r="CI6" s="83"/>
      <c r="CJ6" s="83"/>
      <c r="CK6" s="83"/>
      <c r="CL6" s="83"/>
      <c r="CM6" s="83"/>
      <c r="CN6" s="83"/>
      <c r="CO6" s="83"/>
    </row>
    <row r="7" spans="1:93" ht="15.6" x14ac:dyDescent="0.3">
      <c r="A7" s="83"/>
      <c r="B7" s="103"/>
      <c r="C7" s="795"/>
      <c r="D7" s="91"/>
      <c r="E7" s="506"/>
      <c r="F7" s="83"/>
      <c r="G7" s="83"/>
      <c r="H7" s="95"/>
      <c r="I7" s="110" t="s">
        <v>263</v>
      </c>
      <c r="J7" s="83"/>
      <c r="K7" s="898"/>
      <c r="L7" s="899"/>
      <c r="M7" s="899"/>
      <c r="N7" s="899"/>
      <c r="O7" s="899"/>
      <c r="P7" s="899"/>
      <c r="Q7" s="899"/>
      <c r="R7" s="899"/>
      <c r="S7" s="900"/>
      <c r="T7" s="104"/>
      <c r="U7" s="103"/>
      <c r="V7" s="83"/>
      <c r="W7" s="83" t="s">
        <v>513</v>
      </c>
      <c r="X7" s="1"/>
      <c r="Y7" s="1"/>
      <c r="Z7" s="1"/>
      <c r="AA7" s="1"/>
      <c r="AB7" s="1"/>
      <c r="AC7" s="83" t="s">
        <v>41</v>
      </c>
      <c r="AG7" s="83" t="s">
        <v>75</v>
      </c>
      <c r="AH7" s="83" t="s">
        <v>99</v>
      </c>
      <c r="AI7" s="83" t="s">
        <v>109</v>
      </c>
      <c r="AJ7" s="83" t="s">
        <v>121</v>
      </c>
      <c r="AK7" s="1"/>
      <c r="AL7" s="1"/>
      <c r="AM7" s="83" t="s">
        <v>165</v>
      </c>
      <c r="AY7" s="1"/>
      <c r="AZ7" s="1"/>
      <c r="BA7" s="1"/>
      <c r="BG7" s="83" t="s">
        <v>134</v>
      </c>
      <c r="BH7" s="83" t="s">
        <v>556</v>
      </c>
      <c r="BJ7" s="83" t="s">
        <v>133</v>
      </c>
      <c r="BN7" s="83" t="s">
        <v>133</v>
      </c>
      <c r="BO7" s="13" t="s">
        <v>87</v>
      </c>
      <c r="BP7" s="83" t="s">
        <v>133</v>
      </c>
      <c r="BT7" s="83" t="s">
        <v>481</v>
      </c>
      <c r="BU7" s="83" t="s">
        <v>481</v>
      </c>
      <c r="BV7" s="83" t="s">
        <v>481</v>
      </c>
      <c r="BW7" s="83" t="s">
        <v>481</v>
      </c>
      <c r="BX7" s="83" t="s">
        <v>481</v>
      </c>
      <c r="BY7" s="83" t="s">
        <v>481</v>
      </c>
      <c r="BZ7" s="83" t="s">
        <v>481</v>
      </c>
      <c r="CA7" s="83" t="s">
        <v>481</v>
      </c>
      <c r="CB7" s="83" t="s">
        <v>134</v>
      </c>
      <c r="CC7" s="83" t="s">
        <v>134</v>
      </c>
      <c r="CD7" s="83" t="s">
        <v>134</v>
      </c>
      <c r="CI7" s="83"/>
      <c r="CJ7" s="83"/>
      <c r="CK7" s="83"/>
      <c r="CL7" s="83"/>
      <c r="CM7" s="83"/>
      <c r="CN7" s="83"/>
      <c r="CO7" s="83"/>
    </row>
    <row r="8" spans="1:93" ht="15.6" x14ac:dyDescent="0.3">
      <c r="A8" s="83"/>
      <c r="B8" s="103"/>
      <c r="C8" s="764"/>
      <c r="D8" s="505"/>
      <c r="E8" s="506"/>
      <c r="F8" s="83"/>
      <c r="G8" s="83"/>
      <c r="H8" s="94"/>
      <c r="I8" s="111" t="s">
        <v>264</v>
      </c>
      <c r="J8" s="83"/>
      <c r="K8" s="898"/>
      <c r="L8" s="899"/>
      <c r="M8" s="899"/>
      <c r="N8" s="899"/>
      <c r="O8" s="899"/>
      <c r="P8" s="899"/>
      <c r="Q8" s="899"/>
      <c r="R8" s="899"/>
      <c r="S8" s="900"/>
      <c r="T8" s="104"/>
      <c r="U8" s="103"/>
      <c r="V8" s="83"/>
      <c r="W8" s="83" t="s">
        <v>514</v>
      </c>
      <c r="X8" s="1"/>
      <c r="Y8" s="1"/>
      <c r="Z8" s="1"/>
      <c r="AA8" s="1"/>
      <c r="AB8" s="1"/>
      <c r="AC8" s="83" t="s">
        <v>42</v>
      </c>
      <c r="AG8" s="83" t="s">
        <v>76</v>
      </c>
      <c r="AH8" s="83" t="s">
        <v>100</v>
      </c>
      <c r="AJ8" s="83" t="s">
        <v>122</v>
      </c>
      <c r="AK8" s="1"/>
      <c r="AL8" s="1"/>
      <c r="AM8" s="83" t="s">
        <v>166</v>
      </c>
      <c r="AY8" s="1"/>
      <c r="AZ8" s="1"/>
      <c r="BA8" s="1"/>
      <c r="BH8" s="83" t="s">
        <v>481</v>
      </c>
      <c r="BJ8" s="83" t="s">
        <v>134</v>
      </c>
      <c r="BN8" s="83" t="s">
        <v>134</v>
      </c>
      <c r="BO8" s="13" t="s">
        <v>188</v>
      </c>
      <c r="BP8" s="83" t="s">
        <v>191</v>
      </c>
      <c r="BT8" s="83" t="s">
        <v>557</v>
      </c>
      <c r="BU8" s="83" t="s">
        <v>557</v>
      </c>
      <c r="BV8" s="83" t="s">
        <v>557</v>
      </c>
      <c r="BW8" s="83" t="s">
        <v>557</v>
      </c>
      <c r="BX8" s="83" t="s">
        <v>557</v>
      </c>
      <c r="BY8" s="83" t="s">
        <v>557</v>
      </c>
      <c r="BZ8" s="83" t="s">
        <v>557</v>
      </c>
      <c r="CA8" s="83" t="s">
        <v>557</v>
      </c>
      <c r="CH8" s="769" t="s">
        <v>666</v>
      </c>
      <c r="CI8" s="770"/>
      <c r="CJ8" s="770"/>
      <c r="CK8" s="770"/>
      <c r="CL8" s="770"/>
      <c r="CM8" s="771"/>
      <c r="CN8" s="83"/>
      <c r="CO8" s="83"/>
    </row>
    <row r="9" spans="1:93" ht="15.6" x14ac:dyDescent="0.3">
      <c r="A9" s="83"/>
      <c r="B9" s="103"/>
      <c r="C9" s="765"/>
      <c r="D9" s="507"/>
      <c r="E9" s="508"/>
      <c r="F9" s="83"/>
      <c r="G9" s="83"/>
      <c r="H9" s="108"/>
      <c r="I9" s="109" t="s">
        <v>268</v>
      </c>
      <c r="J9" s="83"/>
      <c r="K9" s="901"/>
      <c r="L9" s="902"/>
      <c r="M9" s="902"/>
      <c r="N9" s="902"/>
      <c r="O9" s="902"/>
      <c r="P9" s="902"/>
      <c r="Q9" s="902"/>
      <c r="R9" s="902"/>
      <c r="S9" s="903"/>
      <c r="T9" s="104"/>
      <c r="U9" s="103"/>
      <c r="V9" s="83"/>
      <c r="W9" s="83" t="s">
        <v>246</v>
      </c>
      <c r="X9" s="1"/>
      <c r="Y9" s="1"/>
      <c r="Z9" s="1"/>
      <c r="AA9" s="1"/>
      <c r="AB9" s="1"/>
      <c r="AG9" s="83" t="s">
        <v>77</v>
      </c>
      <c r="AH9" s="83" t="s">
        <v>101</v>
      </c>
      <c r="AJ9" s="83" t="s">
        <v>123</v>
      </c>
      <c r="AK9" s="1"/>
      <c r="AL9" s="1"/>
      <c r="AP9" s="83" t="str">
        <f>+""</f>
        <v/>
      </c>
      <c r="AW9"/>
      <c r="AY9" s="1"/>
      <c r="AZ9" s="1"/>
      <c r="BA9" s="1"/>
      <c r="BH9" s="83" t="s">
        <v>557</v>
      </c>
      <c r="BO9" s="13" t="s">
        <v>189</v>
      </c>
      <c r="BP9" s="83" t="s">
        <v>562</v>
      </c>
      <c r="BT9" s="83" t="s">
        <v>559</v>
      </c>
      <c r="BU9" s="83" t="s">
        <v>559</v>
      </c>
      <c r="BV9" s="83" t="s">
        <v>559</v>
      </c>
      <c r="BW9" s="83" t="s">
        <v>559</v>
      </c>
      <c r="BX9" s="83" t="s">
        <v>559</v>
      </c>
      <c r="BY9" s="83" t="s">
        <v>559</v>
      </c>
      <c r="BZ9" s="83" t="s">
        <v>559</v>
      </c>
      <c r="CA9" s="83" t="s">
        <v>559</v>
      </c>
      <c r="CH9" s="772"/>
      <c r="CI9" s="773"/>
      <c r="CJ9" s="773"/>
      <c r="CK9" s="773"/>
      <c r="CL9" s="773"/>
      <c r="CM9" s="774"/>
      <c r="CN9" s="83"/>
      <c r="CO9" s="83"/>
    </row>
    <row r="10" spans="1:93" x14ac:dyDescent="0.3">
      <c r="A10" s="83"/>
      <c r="B10" s="103"/>
      <c r="C10" s="83"/>
      <c r="D10" s="83"/>
      <c r="E10" s="83"/>
      <c r="F10" s="83"/>
      <c r="G10" s="83"/>
      <c r="H10" s="83"/>
      <c r="I10" s="83"/>
      <c r="J10" s="83"/>
      <c r="K10" s="83"/>
      <c r="L10" s="83"/>
      <c r="M10" s="83"/>
      <c r="N10" s="83"/>
      <c r="O10" s="83"/>
      <c r="P10" s="83"/>
      <c r="Q10" s="83"/>
      <c r="R10" s="83"/>
      <c r="S10" s="83"/>
      <c r="T10" s="104"/>
      <c r="U10" s="103"/>
      <c r="V10" s="83"/>
      <c r="W10" s="83" t="s">
        <v>517</v>
      </c>
      <c r="X10" s="1"/>
      <c r="Y10" s="1"/>
      <c r="Z10" s="1"/>
      <c r="AA10" s="1"/>
      <c r="AB10" s="1"/>
      <c r="AG10" s="83" t="s">
        <v>78</v>
      </c>
      <c r="AJ10" s="83" t="s">
        <v>124</v>
      </c>
      <c r="AK10" s="1"/>
      <c r="AL10" s="1"/>
      <c r="AW10" s="1"/>
      <c r="BH10" s="83" t="s">
        <v>559</v>
      </c>
      <c r="BO10" s="13" t="s">
        <v>190</v>
      </c>
      <c r="BT10" s="83" t="s">
        <v>527</v>
      </c>
      <c r="BU10" s="83" t="s">
        <v>527</v>
      </c>
      <c r="BV10" s="83" t="s">
        <v>527</v>
      </c>
      <c r="BW10" s="83" t="s">
        <v>527</v>
      </c>
      <c r="BX10" s="83" t="s">
        <v>527</v>
      </c>
      <c r="BY10" s="83" t="s">
        <v>527</v>
      </c>
      <c r="BZ10" s="83" t="s">
        <v>527</v>
      </c>
      <c r="CA10" s="83" t="s">
        <v>527</v>
      </c>
      <c r="CI10" s="83"/>
      <c r="CJ10" s="83"/>
      <c r="CK10" s="83"/>
      <c r="CL10" s="83"/>
      <c r="CM10" s="83"/>
      <c r="CN10" s="83"/>
      <c r="CO10" s="83"/>
    </row>
    <row r="11" spans="1:93" ht="18" x14ac:dyDescent="0.3">
      <c r="A11" s="83"/>
      <c r="B11" s="103"/>
      <c r="C11" s="83"/>
      <c r="D11" s="750" t="s">
        <v>506</v>
      </c>
      <c r="E11" s="751"/>
      <c r="F11" s="751"/>
      <c r="G11" s="751"/>
      <c r="H11" s="751"/>
      <c r="I11" s="751"/>
      <c r="J11" s="751"/>
      <c r="K11" s="751"/>
      <c r="L11" s="752"/>
      <c r="M11" s="750" t="s">
        <v>507</v>
      </c>
      <c r="N11" s="751"/>
      <c r="O11" s="751"/>
      <c r="P11" s="751"/>
      <c r="Q11" s="752"/>
      <c r="R11" s="83"/>
      <c r="S11" s="83"/>
      <c r="T11" s="104"/>
      <c r="U11" s="103"/>
      <c r="V11" s="83"/>
      <c r="W11" s="83" t="s">
        <v>248</v>
      </c>
      <c r="X11" s="1"/>
      <c r="Y11" s="1"/>
      <c r="Z11" s="1"/>
      <c r="AA11" s="1"/>
      <c r="AB11" s="1"/>
      <c r="AG11" s="83" t="s">
        <v>79</v>
      </c>
      <c r="AJ11" s="83" t="s">
        <v>125</v>
      </c>
      <c r="AK11" s="1"/>
      <c r="AL11" s="1"/>
      <c r="AW11" s="1"/>
      <c r="BH11" s="83" t="s">
        <v>527</v>
      </c>
      <c r="BO11" s="13" t="s">
        <v>134</v>
      </c>
      <c r="BT11" s="83" t="s">
        <v>470</v>
      </c>
      <c r="BU11" s="83" t="s">
        <v>470</v>
      </c>
      <c r="BV11" s="83" t="s">
        <v>470</v>
      </c>
      <c r="BW11" s="83" t="s">
        <v>470</v>
      </c>
      <c r="BX11" s="83" t="s">
        <v>470</v>
      </c>
      <c r="BY11" s="83" t="s">
        <v>470</v>
      </c>
      <c r="BZ11" s="83" t="s">
        <v>470</v>
      </c>
      <c r="CA11" s="83" t="s">
        <v>470</v>
      </c>
      <c r="CI11" s="83"/>
      <c r="CJ11" s="83"/>
      <c r="CK11" s="83"/>
      <c r="CL11" s="83"/>
      <c r="CM11" s="83"/>
      <c r="CN11" s="83"/>
      <c r="CO11" s="83"/>
    </row>
    <row r="12" spans="1:93" ht="18" x14ac:dyDescent="0.3">
      <c r="A12" s="83"/>
      <c r="B12" s="103"/>
      <c r="C12" s="88" t="s">
        <v>239</v>
      </c>
      <c r="D12" s="250" t="s">
        <v>229</v>
      </c>
      <c r="E12" s="250" t="s">
        <v>348</v>
      </c>
      <c r="F12" s="224" t="s">
        <v>234</v>
      </c>
      <c r="G12" s="224" t="s">
        <v>471</v>
      </c>
      <c r="H12" s="226" t="s">
        <v>235</v>
      </c>
      <c r="I12" s="250" t="s">
        <v>236</v>
      </c>
      <c r="J12" s="225" t="s">
        <v>341</v>
      </c>
      <c r="K12" s="224" t="s">
        <v>340</v>
      </c>
      <c r="L12" s="224" t="s">
        <v>530</v>
      </c>
      <c r="M12" s="226" t="s">
        <v>230</v>
      </c>
      <c r="N12" s="226" t="s">
        <v>231</v>
      </c>
      <c r="O12" s="226" t="s">
        <v>529</v>
      </c>
      <c r="P12" s="226" t="s">
        <v>225</v>
      </c>
      <c r="Q12" s="225" t="s">
        <v>233</v>
      </c>
      <c r="R12" s="90" t="s">
        <v>266</v>
      </c>
      <c r="S12" s="90" t="s">
        <v>237</v>
      </c>
      <c r="T12" s="104"/>
      <c r="U12" s="103"/>
      <c r="V12" s="83"/>
      <c r="W12" s="83" t="s">
        <v>518</v>
      </c>
      <c r="X12" s="1"/>
      <c r="Y12" s="1"/>
      <c r="Z12" s="1"/>
      <c r="AA12" s="1"/>
      <c r="AB12" s="1"/>
      <c r="AJ12" s="83" t="s">
        <v>137</v>
      </c>
      <c r="AK12" s="1"/>
      <c r="AL12" s="1"/>
      <c r="AW12" s="1"/>
      <c r="BH12" s="83" t="s">
        <v>85</v>
      </c>
      <c r="BO12" s="13" t="s">
        <v>191</v>
      </c>
      <c r="CI12" s="83"/>
      <c r="CJ12" s="83"/>
      <c r="CK12" s="83"/>
      <c r="CL12" s="83"/>
      <c r="CM12" s="83"/>
      <c r="CN12" s="83"/>
      <c r="CO12" s="83"/>
    </row>
    <row r="13" spans="1:93" x14ac:dyDescent="0.3">
      <c r="A13" s="83"/>
      <c r="B13" s="103"/>
      <c r="C13" s="251"/>
      <c r="D13" s="203" t="s">
        <v>508</v>
      </c>
      <c r="E13" s="203" t="s">
        <v>7</v>
      </c>
      <c r="F13" s="96">
        <v>1</v>
      </c>
      <c r="G13" s="96" t="s">
        <v>354</v>
      </c>
      <c r="H13" s="96" t="s">
        <v>467</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5"/>
      <c r="S13" s="256"/>
      <c r="T13" s="104"/>
      <c r="U13" s="103"/>
      <c r="V13" s="83"/>
      <c r="W13" s="83" t="s">
        <v>519</v>
      </c>
      <c r="X13" s="1"/>
      <c r="Y13" s="1"/>
      <c r="Z13" s="1"/>
      <c r="AA13" s="1"/>
      <c r="AB13" s="1"/>
      <c r="AJ13" s="83" t="s">
        <v>128</v>
      </c>
      <c r="AK13" s="1"/>
      <c r="AL13" s="1"/>
      <c r="AW13" s="1"/>
      <c r="BH13" s="83" t="s">
        <v>132</v>
      </c>
      <c r="CI13" s="83"/>
      <c r="CJ13" s="83"/>
      <c r="CK13" s="83"/>
      <c r="CL13" s="83"/>
      <c r="CM13" s="83"/>
      <c r="CN13" s="83"/>
      <c r="CO13" s="83"/>
    </row>
    <row r="14" spans="1:93" x14ac:dyDescent="0.3">
      <c r="A14" s="83"/>
      <c r="B14" s="103"/>
      <c r="C14" s="252"/>
      <c r="D14" s="203" t="s">
        <v>508</v>
      </c>
      <c r="E14" s="203" t="s">
        <v>8</v>
      </c>
      <c r="F14" s="96">
        <v>1</v>
      </c>
      <c r="G14" s="96" t="s">
        <v>354</v>
      </c>
      <c r="H14" s="96" t="s">
        <v>467</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57"/>
      <c r="S14" s="258"/>
      <c r="T14" s="104"/>
      <c r="U14" s="103"/>
      <c r="V14" s="83"/>
      <c r="W14" s="83" t="s">
        <v>468</v>
      </c>
      <c r="X14" s="1"/>
      <c r="Y14" s="1"/>
      <c r="Z14" s="1"/>
      <c r="AA14" s="1"/>
      <c r="AB14" s="1"/>
      <c r="AJ14" s="83" t="s">
        <v>129</v>
      </c>
      <c r="AK14" s="1"/>
      <c r="AL14" s="1"/>
      <c r="AW14" s="1"/>
      <c r="BH14" s="83" t="s">
        <v>87</v>
      </c>
      <c r="CI14" s="83"/>
      <c r="CJ14" s="83"/>
      <c r="CK14" s="83"/>
      <c r="CL14" s="83"/>
      <c r="CM14" s="83"/>
      <c r="CN14" s="83"/>
      <c r="CO14" s="83"/>
    </row>
    <row r="15" spans="1:93" x14ac:dyDescent="0.3">
      <c r="A15" s="83"/>
      <c r="B15" s="103"/>
      <c r="C15" s="253"/>
      <c r="D15" s="203" t="s">
        <v>508</v>
      </c>
      <c r="E15" s="203" t="s">
        <v>509</v>
      </c>
      <c r="F15" s="96">
        <v>1</v>
      </c>
      <c r="G15" s="96" t="s">
        <v>354</v>
      </c>
      <c r="H15" s="96" t="s">
        <v>467</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59"/>
      <c r="S15" s="260"/>
      <c r="T15" s="104"/>
      <c r="U15" s="103"/>
      <c r="V15" s="83"/>
      <c r="W15" s="83" t="s">
        <v>252</v>
      </c>
      <c r="X15" s="1"/>
      <c r="Y15" s="1"/>
      <c r="Z15" s="1"/>
      <c r="AA15" s="1"/>
      <c r="AB15" s="1"/>
      <c r="AW15" s="1"/>
      <c r="BH15" s="83" t="s">
        <v>133</v>
      </c>
      <c r="CI15" s="83"/>
      <c r="CJ15" s="83"/>
      <c r="CK15" s="83"/>
      <c r="CL15" s="83"/>
      <c r="CM15" s="83"/>
      <c r="CN15" s="83"/>
      <c r="CO15" s="83"/>
    </row>
    <row r="16" spans="1:93" x14ac:dyDescent="0.3">
      <c r="A16" s="83"/>
      <c r="B16" s="103"/>
      <c r="C16" s="189"/>
      <c r="D16" s="203" t="s">
        <v>510</v>
      </c>
      <c r="E16" s="203" t="s">
        <v>511</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521</v>
      </c>
      <c r="X16" s="83"/>
      <c r="AW16" s="1"/>
      <c r="BH16" s="83" t="s">
        <v>134</v>
      </c>
      <c r="CI16" s="83"/>
      <c r="CJ16" s="83"/>
      <c r="CK16" s="83"/>
      <c r="CL16" s="83"/>
      <c r="CM16" s="83"/>
      <c r="CN16" s="83"/>
      <c r="CO16" s="83"/>
    </row>
    <row r="17" spans="1:93" x14ac:dyDescent="0.3">
      <c r="A17" s="83"/>
      <c r="B17" s="103"/>
      <c r="C17" s="187"/>
      <c r="D17" s="203" t="s">
        <v>510</v>
      </c>
      <c r="E17" s="203" t="s">
        <v>512</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3">
      <c r="A18" s="83"/>
      <c r="B18" s="103"/>
      <c r="C18" s="187"/>
      <c r="D18" s="203" t="s">
        <v>510</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522</v>
      </c>
      <c r="X18" s="83"/>
      <c r="AW18" s="1"/>
      <c r="CI18" s="83"/>
      <c r="CJ18" s="83"/>
      <c r="CK18" s="83"/>
      <c r="CL18" s="83"/>
      <c r="CM18" s="83"/>
      <c r="CN18" s="83"/>
      <c r="CO18" s="83"/>
    </row>
    <row r="19" spans="1:93" x14ac:dyDescent="0.3">
      <c r="A19" s="83"/>
      <c r="B19" s="103"/>
      <c r="C19" s="187"/>
      <c r="D19" s="203" t="s">
        <v>510</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523</v>
      </c>
      <c r="X19" s="83"/>
      <c r="AW19" s="1"/>
      <c r="CI19" s="83"/>
      <c r="CJ19" s="83"/>
      <c r="CK19" s="83"/>
      <c r="CL19" s="83"/>
      <c r="CM19" s="83"/>
      <c r="CN19" s="83"/>
      <c r="CO19" s="83"/>
    </row>
    <row r="20" spans="1:93" x14ac:dyDescent="0.3">
      <c r="A20" s="83"/>
      <c r="B20" s="103"/>
      <c r="C20" s="251"/>
      <c r="D20" s="203" t="s">
        <v>261</v>
      </c>
      <c r="E20" s="203" t="s">
        <v>23</v>
      </c>
      <c r="F20" s="96">
        <v>1</v>
      </c>
      <c r="G20" s="96" t="s">
        <v>354</v>
      </c>
      <c r="H20" s="96" t="s">
        <v>469</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5"/>
      <c r="S20" s="261"/>
      <c r="T20" s="104"/>
      <c r="U20" s="103"/>
      <c r="V20" s="83"/>
      <c r="W20" s="83" t="s">
        <v>257</v>
      </c>
      <c r="X20" s="83"/>
      <c r="AW20" s="1"/>
      <c r="CI20" s="83"/>
      <c r="CJ20" s="83"/>
      <c r="CK20" s="83"/>
      <c r="CL20" s="83"/>
      <c r="CM20" s="83"/>
      <c r="CN20" s="83"/>
      <c r="CO20" s="83"/>
    </row>
    <row r="21" spans="1:93" x14ac:dyDescent="0.3">
      <c r="A21" s="83"/>
      <c r="B21" s="103"/>
      <c r="C21" s="252"/>
      <c r="D21" s="203" t="s">
        <v>261</v>
      </c>
      <c r="E21" s="203" t="s">
        <v>24</v>
      </c>
      <c r="F21" s="96">
        <v>1</v>
      </c>
      <c r="G21" s="96" t="s">
        <v>354</v>
      </c>
      <c r="H21" s="96" t="s">
        <v>469</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57"/>
      <c r="S21" s="262"/>
      <c r="T21" s="104"/>
      <c r="U21" s="83"/>
      <c r="V21" s="83"/>
      <c r="W21" s="83" t="s">
        <v>148</v>
      </c>
      <c r="X21" s="83"/>
      <c r="AW21" s="1"/>
      <c r="CI21" s="83"/>
      <c r="CJ21" s="83"/>
      <c r="CK21" s="83"/>
      <c r="CL21" s="83"/>
      <c r="CM21" s="83"/>
      <c r="CN21" s="83"/>
      <c r="CO21" s="83"/>
    </row>
    <row r="22" spans="1:93" x14ac:dyDescent="0.3">
      <c r="A22" s="83"/>
      <c r="B22" s="103"/>
      <c r="C22" s="252"/>
      <c r="D22" s="203" t="s">
        <v>261</v>
      </c>
      <c r="E22" s="203" t="s">
        <v>9</v>
      </c>
      <c r="F22" s="96">
        <v>1</v>
      </c>
      <c r="G22" s="96" t="s">
        <v>354</v>
      </c>
      <c r="H22" s="96" t="s">
        <v>469</v>
      </c>
      <c r="I22" s="96" t="s">
        <v>85</v>
      </c>
      <c r="J22" s="96" t="str">
        <f>+IF(F22&gt;'Equipment Data'!$J$21,"yes","No")</f>
        <v>No</v>
      </c>
      <c r="K22" s="96">
        <v>0.67</v>
      </c>
      <c r="L22" s="96" t="s">
        <v>354</v>
      </c>
      <c r="M22" s="153">
        <f>+IF(AND(D22="Compressor",E22="Rotary"),IF(F22&lt;'Equipment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57"/>
      <c r="S22" s="262"/>
      <c r="T22" s="104"/>
      <c r="U22" s="83"/>
      <c r="V22" s="83"/>
      <c r="W22" s="83" t="s">
        <v>259</v>
      </c>
      <c r="X22" s="83"/>
      <c r="AW22" s="1"/>
      <c r="CI22" s="83"/>
      <c r="CJ22" s="83"/>
      <c r="CK22" s="83"/>
      <c r="CL22" s="83"/>
      <c r="CM22" s="83"/>
      <c r="CN22" s="83"/>
      <c r="CO22" s="83"/>
    </row>
    <row r="23" spans="1:93" x14ac:dyDescent="0.3">
      <c r="A23" s="83"/>
      <c r="B23" s="103"/>
      <c r="C23" s="252"/>
      <c r="D23" s="203" t="s">
        <v>261</v>
      </c>
      <c r="E23" s="203" t="s">
        <v>25</v>
      </c>
      <c r="F23" s="96">
        <v>1</v>
      </c>
      <c r="G23" s="96" t="s">
        <v>354</v>
      </c>
      <c r="H23" s="96" t="s">
        <v>469</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57"/>
      <c r="S23" s="262"/>
      <c r="T23" s="104"/>
      <c r="U23" s="83"/>
      <c r="V23" s="83"/>
      <c r="W23" s="83" t="s">
        <v>260</v>
      </c>
      <c r="X23" s="83"/>
      <c r="AW23" s="1"/>
      <c r="CI23" s="83"/>
      <c r="CJ23" s="83"/>
      <c r="CK23" s="83"/>
      <c r="CL23" s="83"/>
      <c r="CM23" s="83"/>
      <c r="CN23" s="83"/>
      <c r="CO23" s="83"/>
    </row>
    <row r="24" spans="1:93" x14ac:dyDescent="0.3">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3">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531</v>
      </c>
      <c r="X25" s="83"/>
      <c r="CI25" s="83"/>
      <c r="CJ25" s="83"/>
      <c r="CK25" s="83"/>
      <c r="CL25" s="83"/>
      <c r="CM25" s="83"/>
      <c r="CN25" s="83"/>
      <c r="CO25" s="83"/>
    </row>
    <row r="26" spans="1:93" x14ac:dyDescent="0.3">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3">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3">
      <c r="A28" s="83"/>
      <c r="B28" s="103"/>
      <c r="C28" s="254"/>
      <c r="D28" s="203" t="s">
        <v>513</v>
      </c>
      <c r="E28" s="203" t="s">
        <v>34</v>
      </c>
      <c r="F28" s="96">
        <v>1</v>
      </c>
      <c r="G28" s="96" t="s">
        <v>354</v>
      </c>
      <c r="H28" s="96" t="s">
        <v>467</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3"/>
      <c r="S28" s="264"/>
      <c r="T28" s="104"/>
      <c r="U28" s="83"/>
      <c r="V28" s="83"/>
      <c r="W28" s="83"/>
      <c r="X28" s="83"/>
      <c r="CI28" s="83"/>
      <c r="CJ28" s="83"/>
      <c r="CK28" s="83"/>
      <c r="CL28" s="83"/>
      <c r="CM28" s="83"/>
      <c r="CN28" s="83"/>
      <c r="CO28" s="83"/>
    </row>
    <row r="29" spans="1:93" x14ac:dyDescent="0.3">
      <c r="A29" s="83"/>
      <c r="B29" s="103"/>
      <c r="C29" s="189"/>
      <c r="D29" s="203" t="s">
        <v>514</v>
      </c>
      <c r="E29" s="203" t="s">
        <v>36</v>
      </c>
      <c r="F29" s="96">
        <v>1</v>
      </c>
      <c r="G29" s="96" t="s">
        <v>354</v>
      </c>
      <c r="H29" s="96" t="s">
        <v>469</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3">
      <c r="A30" s="83"/>
      <c r="B30" s="103"/>
      <c r="C30" s="187"/>
      <c r="D30" s="203" t="s">
        <v>514</v>
      </c>
      <c r="E30" s="203" t="s">
        <v>37</v>
      </c>
      <c r="F30" s="96">
        <v>1</v>
      </c>
      <c r="G30" s="96" t="s">
        <v>354</v>
      </c>
      <c r="H30" s="96" t="s">
        <v>469</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3">
      <c r="A31" s="83"/>
      <c r="B31" s="103"/>
      <c r="C31" s="187"/>
      <c r="D31" s="203" t="s">
        <v>514</v>
      </c>
      <c r="E31" s="203" t="s">
        <v>38</v>
      </c>
      <c r="F31" s="96">
        <v>1</v>
      </c>
      <c r="G31" s="96" t="s">
        <v>354</v>
      </c>
      <c r="H31" s="96" t="s">
        <v>469</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3">
      <c r="A32" s="83"/>
      <c r="B32" s="103"/>
      <c r="C32" s="187"/>
      <c r="D32" s="203" t="s">
        <v>514</v>
      </c>
      <c r="E32" s="203" t="s">
        <v>40</v>
      </c>
      <c r="F32" s="96">
        <v>1</v>
      </c>
      <c r="G32" s="96" t="s">
        <v>354</v>
      </c>
      <c r="H32" s="96" t="s">
        <v>469</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3">
      <c r="A33" s="83"/>
      <c r="B33" s="103"/>
      <c r="C33" s="187"/>
      <c r="D33" s="203" t="s">
        <v>514</v>
      </c>
      <c r="E33" s="203" t="s">
        <v>41</v>
      </c>
      <c r="F33" s="96">
        <v>1</v>
      </c>
      <c r="G33" s="96" t="s">
        <v>354</v>
      </c>
      <c r="H33" s="96" t="s">
        <v>469</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3">
      <c r="A34" s="83"/>
      <c r="B34" s="103"/>
      <c r="C34" s="195"/>
      <c r="D34" s="203" t="s">
        <v>514</v>
      </c>
      <c r="E34" s="203" t="s">
        <v>42</v>
      </c>
      <c r="F34" s="96">
        <v>1</v>
      </c>
      <c r="G34" s="96" t="s">
        <v>354</v>
      </c>
      <c r="H34" s="96" t="s">
        <v>469</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3">
      <c r="A35" s="83"/>
      <c r="B35" s="103"/>
      <c r="C35" s="251"/>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5"/>
      <c r="S35" s="261"/>
      <c r="T35" s="104"/>
      <c r="U35" s="83"/>
      <c r="V35" s="83"/>
      <c r="W35" s="83"/>
      <c r="X35" s="83"/>
      <c r="CI35" s="83"/>
      <c r="CJ35" s="83"/>
      <c r="CK35" s="83"/>
      <c r="CL35" s="83"/>
      <c r="CM35" s="83"/>
      <c r="CN35" s="83"/>
      <c r="CO35" s="83"/>
    </row>
    <row r="36" spans="1:93" x14ac:dyDescent="0.3">
      <c r="A36" s="83"/>
      <c r="B36" s="103"/>
      <c r="C36" s="252"/>
      <c r="D36" s="203" t="s">
        <v>246</v>
      </c>
      <c r="E36" s="203" t="s">
        <v>515</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57"/>
      <c r="S36" s="262"/>
      <c r="T36" s="104"/>
      <c r="U36" s="83"/>
      <c r="V36" s="83"/>
      <c r="W36" s="83"/>
      <c r="X36" s="83"/>
      <c r="CI36" s="83"/>
      <c r="CJ36" s="83"/>
      <c r="CK36" s="83"/>
      <c r="CL36" s="83"/>
      <c r="CM36" s="83"/>
      <c r="CN36" s="83"/>
      <c r="CO36" s="83"/>
    </row>
    <row r="37" spans="1:93" x14ac:dyDescent="0.3">
      <c r="A37" s="83"/>
      <c r="B37" s="103"/>
      <c r="C37" s="252"/>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57"/>
      <c r="S37" s="262"/>
      <c r="T37" s="104"/>
      <c r="U37" s="83"/>
      <c r="V37" s="83"/>
      <c r="W37" s="83"/>
      <c r="X37" s="83"/>
      <c r="CI37" s="83"/>
      <c r="CJ37" s="83"/>
      <c r="CK37" s="83"/>
      <c r="CL37" s="83"/>
      <c r="CM37" s="83"/>
      <c r="CN37" s="83"/>
      <c r="CO37" s="83"/>
    </row>
    <row r="38" spans="1:93" x14ac:dyDescent="0.3">
      <c r="A38" s="83"/>
      <c r="B38" s="103"/>
      <c r="C38" s="189"/>
      <c r="D38" s="203" t="s">
        <v>517</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3">
      <c r="A39" s="83"/>
      <c r="B39" s="103"/>
      <c r="C39" s="187"/>
      <c r="D39" s="203" t="s">
        <v>517</v>
      </c>
      <c r="E39" s="203" t="s">
        <v>516</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3">
      <c r="A40" s="83"/>
      <c r="B40" s="103"/>
      <c r="C40" s="187"/>
      <c r="D40" s="203" t="s">
        <v>517</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3">
      <c r="A41" s="83"/>
      <c r="B41" s="103"/>
      <c r="C41" s="195"/>
      <c r="D41" s="203" t="s">
        <v>517</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3">
      <c r="A42" s="83"/>
      <c r="B42" s="103"/>
      <c r="C42" s="251"/>
      <c r="D42" s="203" t="s">
        <v>248</v>
      </c>
      <c r="E42" s="203" t="s">
        <v>66</v>
      </c>
      <c r="F42" s="96">
        <v>1</v>
      </c>
      <c r="G42" s="96">
        <v>1</v>
      </c>
      <c r="H42" s="96" t="s">
        <v>469</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5"/>
      <c r="S42" s="261"/>
      <c r="T42" s="104"/>
      <c r="U42" s="83"/>
      <c r="V42" s="83"/>
      <c r="W42" s="83"/>
      <c r="X42" s="83"/>
      <c r="CI42" s="83"/>
      <c r="CJ42" s="83"/>
      <c r="CK42" s="83"/>
      <c r="CL42" s="83"/>
      <c r="CM42" s="83"/>
      <c r="CN42" s="83"/>
      <c r="CO42" s="83"/>
    </row>
    <row r="43" spans="1:93" x14ac:dyDescent="0.3">
      <c r="A43" s="83"/>
      <c r="B43" s="103"/>
      <c r="C43" s="252"/>
      <c r="D43" s="203" t="s">
        <v>248</v>
      </c>
      <c r="E43" s="203" t="s">
        <v>67</v>
      </c>
      <c r="F43" s="96">
        <v>1</v>
      </c>
      <c r="G43" s="96">
        <v>1</v>
      </c>
      <c r="H43" s="96" t="s">
        <v>469</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57"/>
      <c r="S43" s="262"/>
      <c r="T43" s="104"/>
      <c r="U43" s="83"/>
      <c r="V43" s="83"/>
      <c r="W43" s="83"/>
      <c r="X43" s="83"/>
      <c r="CI43" s="83"/>
      <c r="CJ43" s="83"/>
      <c r="CK43" s="83"/>
      <c r="CL43" s="83"/>
      <c r="CM43" s="83"/>
      <c r="CN43" s="83"/>
      <c r="CO43" s="83"/>
    </row>
    <row r="44" spans="1:93" x14ac:dyDescent="0.3">
      <c r="A44" s="83"/>
      <c r="B44" s="103"/>
      <c r="C44" s="252"/>
      <c r="D44" s="203" t="s">
        <v>248</v>
      </c>
      <c r="E44" s="203" t="s">
        <v>68</v>
      </c>
      <c r="F44" s="96">
        <v>1</v>
      </c>
      <c r="G44" s="96">
        <v>1</v>
      </c>
      <c r="H44" s="96" t="s">
        <v>469</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57"/>
      <c r="S44" s="262"/>
      <c r="T44" s="104"/>
      <c r="U44" s="83"/>
      <c r="V44" s="83"/>
      <c r="W44" s="83"/>
      <c r="X44" s="83"/>
      <c r="CI44" s="83"/>
      <c r="CJ44" s="83"/>
      <c r="CK44" s="83"/>
      <c r="CL44" s="83"/>
      <c r="CM44" s="83"/>
      <c r="CN44" s="83"/>
      <c r="CO44" s="83"/>
    </row>
    <row r="45" spans="1:93" x14ac:dyDescent="0.3">
      <c r="A45" s="83"/>
      <c r="B45" s="103"/>
      <c r="C45" s="253"/>
      <c r="D45" s="203" t="s">
        <v>248</v>
      </c>
      <c r="E45" s="203" t="s">
        <v>69</v>
      </c>
      <c r="F45" s="96">
        <v>1</v>
      </c>
      <c r="G45" s="96">
        <v>1</v>
      </c>
      <c r="H45" s="96" t="s">
        <v>469</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57"/>
      <c r="S45" s="262"/>
      <c r="T45" s="104"/>
      <c r="U45" s="83"/>
      <c r="V45" s="83"/>
      <c r="W45" s="83"/>
      <c r="X45" s="83"/>
      <c r="CI45" s="83"/>
      <c r="CJ45" s="83"/>
      <c r="CK45" s="83"/>
      <c r="CL45" s="83"/>
      <c r="CM45" s="83"/>
      <c r="CN45" s="83"/>
      <c r="CO45" s="83"/>
    </row>
    <row r="46" spans="1:93" x14ac:dyDescent="0.3">
      <c r="A46" s="83"/>
      <c r="B46" s="103"/>
      <c r="C46" s="189"/>
      <c r="D46" s="203" t="s">
        <v>518</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2" customHeight="1" x14ac:dyDescent="0.3">
      <c r="A47" s="83"/>
      <c r="B47" s="103"/>
      <c r="C47" s="187"/>
      <c r="D47" s="203" t="s">
        <v>518</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2" customHeight="1" x14ac:dyDescent="0.3">
      <c r="A48" s="83"/>
      <c r="B48" s="103"/>
      <c r="C48" s="187"/>
      <c r="D48" s="203" t="s">
        <v>518</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2" customHeight="1" x14ac:dyDescent="0.3">
      <c r="A49" s="83"/>
      <c r="B49" s="103"/>
      <c r="C49" s="187"/>
      <c r="D49" s="203" t="s">
        <v>518</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2" customHeight="1" x14ac:dyDescent="0.3">
      <c r="A50" s="83"/>
      <c r="B50" s="103"/>
      <c r="C50" s="187"/>
      <c r="D50" s="203" t="s">
        <v>518</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2" customHeight="1" x14ac:dyDescent="0.3">
      <c r="A51" s="83"/>
      <c r="B51" s="103"/>
      <c r="C51" s="187"/>
      <c r="D51" s="203" t="s">
        <v>518</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2" customHeight="1" x14ac:dyDescent="0.3">
      <c r="A52" s="83"/>
      <c r="B52" s="103"/>
      <c r="C52" s="187"/>
      <c r="D52" s="203" t="s">
        <v>518</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2" customHeight="1" x14ac:dyDescent="0.3">
      <c r="A53" s="83"/>
      <c r="B53" s="103"/>
      <c r="C53" s="187"/>
      <c r="D53" s="203" t="s">
        <v>518</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2" customHeight="1" x14ac:dyDescent="0.3">
      <c r="A54" s="83"/>
      <c r="B54" s="103"/>
      <c r="C54" s="195"/>
      <c r="D54" s="203" t="s">
        <v>518</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2" customHeight="1" x14ac:dyDescent="0.3">
      <c r="A55" s="83"/>
      <c r="B55" s="103"/>
      <c r="C55" s="251"/>
      <c r="D55" s="203" t="s">
        <v>519</v>
      </c>
      <c r="E55" s="203" t="s">
        <v>88</v>
      </c>
      <c r="F55" s="96">
        <v>1</v>
      </c>
      <c r="G55" s="96">
        <v>1</v>
      </c>
      <c r="H55" s="96" t="s">
        <v>469</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49"/>
      <c r="P55" s="149">
        <f>+IF(I55="CS",'Equipment Data'!$L$92,IF(I55="Alloy Steel",'Equipment Data'!$M$92,IF(I55="SS",'Equipment Data'!$N$92,"N/A")))</f>
        <v>2.13</v>
      </c>
      <c r="Q55" s="150">
        <f t="shared" ref="Q55:Q60" si="2">+M55*N55*P55</f>
        <v>2491.0337028723284</v>
      </c>
      <c r="R55" s="255"/>
      <c r="S55" s="261"/>
      <c r="T55" s="104"/>
      <c r="U55" s="83"/>
      <c r="V55" s="83"/>
      <c r="W55" s="83"/>
      <c r="X55" s="1"/>
      <c r="CI55" s="83"/>
      <c r="CJ55" s="83"/>
      <c r="CK55" s="83"/>
      <c r="CL55" s="83"/>
      <c r="CM55" s="83"/>
      <c r="CN55" s="83"/>
      <c r="CO55" s="83"/>
    </row>
    <row r="56" spans="1:93" ht="13.2" customHeight="1" x14ac:dyDescent="0.3">
      <c r="A56" s="83"/>
      <c r="B56" s="103"/>
      <c r="C56" s="252"/>
      <c r="D56" s="203" t="s">
        <v>519</v>
      </c>
      <c r="E56" s="203" t="s">
        <v>520</v>
      </c>
      <c r="F56" s="96">
        <v>1</v>
      </c>
      <c r="G56" s="96">
        <v>1</v>
      </c>
      <c r="H56" s="96" t="s">
        <v>469</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57"/>
      <c r="S56" s="262"/>
      <c r="T56" s="104"/>
      <c r="U56" s="83"/>
      <c r="V56" s="83"/>
      <c r="W56" s="83"/>
      <c r="X56" s="1"/>
      <c r="CI56" s="83"/>
      <c r="CJ56" s="83"/>
      <c r="CK56" s="83"/>
      <c r="CL56" s="83"/>
      <c r="CM56" s="83"/>
      <c r="CN56" s="83"/>
      <c r="CO56" s="83"/>
    </row>
    <row r="57" spans="1:93" ht="13.2" customHeight="1" x14ac:dyDescent="0.3">
      <c r="A57" s="83"/>
      <c r="B57" s="103"/>
      <c r="C57" s="252"/>
      <c r="D57" s="203" t="s">
        <v>519</v>
      </c>
      <c r="E57" s="203" t="s">
        <v>91</v>
      </c>
      <c r="F57" s="96">
        <v>1</v>
      </c>
      <c r="G57" s="96">
        <v>1</v>
      </c>
      <c r="H57" s="96" t="s">
        <v>469</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57"/>
      <c r="S57" s="262"/>
      <c r="T57" s="104"/>
      <c r="U57" s="83"/>
      <c r="V57" s="83"/>
      <c r="W57" s="83"/>
      <c r="X57" s="1"/>
      <c r="CI57" s="83"/>
      <c r="CJ57" s="83"/>
      <c r="CK57" s="83"/>
      <c r="CL57" s="83"/>
      <c r="CM57" s="83"/>
      <c r="CN57" s="83"/>
      <c r="CO57" s="83"/>
    </row>
    <row r="58" spans="1:93" ht="13.2" customHeight="1" x14ac:dyDescent="0.3">
      <c r="A58" s="83"/>
      <c r="B58" s="103"/>
      <c r="C58" s="252"/>
      <c r="D58" s="203" t="s">
        <v>519</v>
      </c>
      <c r="E58" s="203" t="s">
        <v>98</v>
      </c>
      <c r="F58" s="96">
        <v>1</v>
      </c>
      <c r="G58" s="96">
        <v>1</v>
      </c>
      <c r="H58" s="96" t="s">
        <v>469</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57"/>
      <c r="S58" s="262"/>
      <c r="T58" s="104"/>
      <c r="U58" s="83"/>
      <c r="V58" s="83"/>
      <c r="W58" s="83"/>
      <c r="X58" s="1"/>
      <c r="CI58" s="83"/>
      <c r="CJ58" s="83"/>
      <c r="CK58" s="83"/>
      <c r="CL58" s="83"/>
      <c r="CM58" s="83"/>
      <c r="CN58" s="83"/>
      <c r="CO58" s="83"/>
    </row>
    <row r="59" spans="1:93" ht="13.2" customHeight="1" x14ac:dyDescent="0.3">
      <c r="A59" s="83"/>
      <c r="B59" s="103"/>
      <c r="C59" s="252"/>
      <c r="D59" s="203" t="s">
        <v>519</v>
      </c>
      <c r="E59" s="203" t="s">
        <v>99</v>
      </c>
      <c r="F59" s="96">
        <v>1</v>
      </c>
      <c r="G59" s="96">
        <v>1</v>
      </c>
      <c r="H59" s="96" t="s">
        <v>469</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57"/>
      <c r="S59" s="262"/>
      <c r="T59" s="104"/>
      <c r="U59" s="83"/>
      <c r="V59" s="83"/>
      <c r="W59" s="83"/>
      <c r="X59" s="1"/>
      <c r="CI59" s="83"/>
      <c r="CJ59" s="83"/>
      <c r="CK59" s="83"/>
      <c r="CL59" s="83"/>
      <c r="CM59" s="83"/>
      <c r="CN59" s="83"/>
      <c r="CO59" s="83"/>
    </row>
    <row r="60" spans="1:93" x14ac:dyDescent="0.3">
      <c r="A60" s="83"/>
      <c r="B60" s="103"/>
      <c r="C60" s="252"/>
      <c r="D60" s="203" t="s">
        <v>519</v>
      </c>
      <c r="E60" s="203" t="s">
        <v>100</v>
      </c>
      <c r="F60" s="96">
        <v>1</v>
      </c>
      <c r="G60" s="96">
        <v>1</v>
      </c>
      <c r="H60" s="96" t="s">
        <v>469</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57"/>
      <c r="S60" s="262"/>
      <c r="T60" s="104"/>
      <c r="U60" s="83"/>
      <c r="V60" s="83"/>
      <c r="W60" s="83"/>
      <c r="X60" s="1"/>
      <c r="CI60" s="83"/>
      <c r="CJ60" s="83"/>
      <c r="CK60" s="83"/>
      <c r="CL60" s="83"/>
      <c r="CM60" s="83"/>
      <c r="CN60" s="83"/>
      <c r="CO60" s="83"/>
    </row>
    <row r="61" spans="1:93" x14ac:dyDescent="0.3">
      <c r="A61" s="83"/>
      <c r="B61" s="103"/>
      <c r="C61" s="252"/>
      <c r="D61" s="203" t="s">
        <v>519</v>
      </c>
      <c r="E61" s="203" t="s">
        <v>101</v>
      </c>
      <c r="F61" s="96">
        <v>1</v>
      </c>
      <c r="G61" s="96">
        <v>1</v>
      </c>
      <c r="H61" s="96" t="s">
        <v>469</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57"/>
      <c r="S61" s="262"/>
      <c r="T61" s="104"/>
      <c r="U61" s="83"/>
      <c r="V61" s="83"/>
      <c r="W61" s="83"/>
      <c r="X61" s="1"/>
      <c r="CI61" s="83"/>
      <c r="CJ61" s="83"/>
      <c r="CK61" s="83"/>
      <c r="CL61" s="83"/>
      <c r="CM61" s="83"/>
      <c r="CN61" s="83"/>
      <c r="CO61" s="83"/>
    </row>
    <row r="62" spans="1:93" x14ac:dyDescent="0.3">
      <c r="A62" s="83"/>
      <c r="B62" s="103"/>
      <c r="C62" s="189"/>
      <c r="D62" s="203" t="s">
        <v>468</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8"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3">
      <c r="A63" s="83"/>
      <c r="B63" s="103"/>
      <c r="C63" s="187"/>
      <c r="D63" s="203" t="s">
        <v>468</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8"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3">
      <c r="A64" s="83"/>
      <c r="B64" s="103"/>
      <c r="C64" s="187"/>
      <c r="D64" s="203" t="s">
        <v>468</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8"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3">
      <c r="A65" s="83"/>
      <c r="B65" s="103"/>
      <c r="C65" s="187"/>
      <c r="D65" s="203" t="s">
        <v>468</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8"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3">
      <c r="A66" s="83"/>
      <c r="B66" s="103"/>
      <c r="C66" s="187"/>
      <c r="D66" s="203" t="s">
        <v>468</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8"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3">
      <c r="A67" s="83"/>
      <c r="B67" s="103"/>
      <c r="C67" s="251"/>
      <c r="D67" s="203" t="s">
        <v>252</v>
      </c>
      <c r="E67" s="203" t="s">
        <v>113</v>
      </c>
      <c r="F67" s="96">
        <v>1</v>
      </c>
      <c r="G67" s="96">
        <v>1</v>
      </c>
      <c r="H67" s="96" t="s">
        <v>352</v>
      </c>
      <c r="I67" s="96" t="s">
        <v>526</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5"/>
      <c r="S67" s="261"/>
      <c r="T67" s="104"/>
      <c r="U67" s="83"/>
      <c r="V67" s="83"/>
      <c r="W67" s="83"/>
      <c r="X67" s="1"/>
      <c r="CI67" s="83"/>
      <c r="CJ67" s="83"/>
      <c r="CK67" s="83"/>
      <c r="CL67" s="83"/>
      <c r="CM67" s="83"/>
      <c r="CN67" s="83"/>
      <c r="CO67" s="83"/>
    </row>
    <row r="68" spans="1:93" x14ac:dyDescent="0.3">
      <c r="A68" s="83"/>
      <c r="B68" s="103"/>
      <c r="C68" s="252"/>
      <c r="D68" s="203" t="s">
        <v>252</v>
      </c>
      <c r="E68" s="203" t="s">
        <v>116</v>
      </c>
      <c r="F68" s="96">
        <v>1</v>
      </c>
      <c r="G68" s="96">
        <v>1</v>
      </c>
      <c r="H68" s="96" t="s">
        <v>352</v>
      </c>
      <c r="I68" s="96" t="s">
        <v>526</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57"/>
      <c r="S68" s="262"/>
      <c r="T68" s="104"/>
      <c r="U68" s="83"/>
      <c r="V68" s="83"/>
      <c r="W68" s="83"/>
      <c r="X68" s="1"/>
      <c r="CI68" s="83"/>
      <c r="CJ68" s="83"/>
      <c r="CK68" s="83"/>
      <c r="CL68" s="83"/>
      <c r="CM68" s="83"/>
      <c r="CN68" s="83"/>
      <c r="CO68" s="83"/>
    </row>
    <row r="69" spans="1:93" x14ac:dyDescent="0.3">
      <c r="A69" s="83"/>
      <c r="B69" s="103"/>
      <c r="C69" s="252"/>
      <c r="D69" s="203" t="s">
        <v>252</v>
      </c>
      <c r="E69" s="203" t="s">
        <v>117</v>
      </c>
      <c r="F69" s="96">
        <v>1</v>
      </c>
      <c r="G69" s="96">
        <v>1</v>
      </c>
      <c r="H69" s="96" t="s">
        <v>352</v>
      </c>
      <c r="I69" s="96" t="s">
        <v>526</v>
      </c>
      <c r="J69" s="96" t="str">
        <f>+IF(F69&gt;'Equipment Data'!$L$126,"yes","No")</f>
        <v>No</v>
      </c>
      <c r="K69" s="96">
        <v>0.67</v>
      </c>
      <c r="L69" s="96" t="s">
        <v>525</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57"/>
      <c r="S69" s="262"/>
      <c r="T69" s="104"/>
      <c r="U69" s="83"/>
      <c r="V69" s="83"/>
      <c r="W69" s="83"/>
      <c r="X69" s="1"/>
      <c r="CI69" s="83"/>
      <c r="CJ69" s="83"/>
      <c r="CK69" s="83"/>
      <c r="CL69" s="83"/>
      <c r="CM69" s="83"/>
      <c r="CN69" s="83"/>
      <c r="CO69" s="83"/>
    </row>
    <row r="70" spans="1:93" x14ac:dyDescent="0.3">
      <c r="A70" s="83"/>
      <c r="B70" s="103"/>
      <c r="C70" s="252"/>
      <c r="D70" s="203" t="s">
        <v>252</v>
      </c>
      <c r="E70" s="203" t="s">
        <v>119</v>
      </c>
      <c r="F70" s="96">
        <v>1</v>
      </c>
      <c r="G70" s="96">
        <v>1</v>
      </c>
      <c r="H70" s="96" t="s">
        <v>352</v>
      </c>
      <c r="I70" s="96" t="s">
        <v>526</v>
      </c>
      <c r="J70" s="96" t="str">
        <f>+IF(F70&gt;'Equipment Data'!$L$128,"yes","No")</f>
        <v>No</v>
      </c>
      <c r="K70" s="96">
        <v>0.67</v>
      </c>
      <c r="L70" s="96" t="s">
        <v>525</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57"/>
      <c r="S70" s="262"/>
      <c r="T70" s="104"/>
      <c r="U70" s="83"/>
      <c r="V70" s="83"/>
      <c r="W70" s="83"/>
      <c r="X70" s="1"/>
      <c r="CI70" s="83"/>
      <c r="CJ70" s="83"/>
      <c r="CK70" s="83"/>
      <c r="CL70" s="83"/>
      <c r="CM70" s="83"/>
      <c r="CN70" s="83"/>
      <c r="CO70" s="83"/>
    </row>
    <row r="71" spans="1:93" x14ac:dyDescent="0.3">
      <c r="A71" s="83"/>
      <c r="B71" s="103"/>
      <c r="C71" s="252"/>
      <c r="D71" s="203" t="s">
        <v>252</v>
      </c>
      <c r="E71" s="203" t="s">
        <v>121</v>
      </c>
      <c r="F71" s="96">
        <v>1</v>
      </c>
      <c r="G71" s="96">
        <v>1</v>
      </c>
      <c r="H71" s="96" t="s">
        <v>352</v>
      </c>
      <c r="I71" s="96" t="s">
        <v>526</v>
      </c>
      <c r="J71" s="96" t="str">
        <f>+IF(F71&gt;'Equipment Data'!$L$130,"yes","No")</f>
        <v>No</v>
      </c>
      <c r="K71" s="96">
        <v>0.67</v>
      </c>
      <c r="L71" s="96" t="s">
        <v>525</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57"/>
      <c r="S71" s="262"/>
      <c r="T71" s="104"/>
      <c r="U71" s="83"/>
      <c r="V71" s="83"/>
      <c r="W71" s="83"/>
      <c r="X71" s="1"/>
      <c r="CI71" s="83"/>
      <c r="CJ71" s="83"/>
      <c r="CK71" s="83"/>
      <c r="CL71" s="83"/>
      <c r="CM71" s="83"/>
      <c r="CN71" s="83"/>
      <c r="CO71" s="83"/>
    </row>
    <row r="72" spans="1:93" x14ac:dyDescent="0.3">
      <c r="A72" s="83"/>
      <c r="B72" s="103"/>
      <c r="C72" s="252"/>
      <c r="D72" s="203" t="s">
        <v>252</v>
      </c>
      <c r="E72" s="203" t="s">
        <v>122</v>
      </c>
      <c r="F72" s="96">
        <v>1</v>
      </c>
      <c r="G72" s="96">
        <v>1</v>
      </c>
      <c r="H72" s="96" t="s">
        <v>352</v>
      </c>
      <c r="I72" s="96" t="s">
        <v>526</v>
      </c>
      <c r="J72" s="96" t="str">
        <f>+IF(F72&gt;'Equipment Data'!$L$132,"yes","No")</f>
        <v>No</v>
      </c>
      <c r="K72" s="96">
        <v>0.67</v>
      </c>
      <c r="L72" s="96" t="s">
        <v>525</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57"/>
      <c r="S72" s="262"/>
      <c r="T72" s="104"/>
      <c r="U72" s="83"/>
      <c r="V72" s="83"/>
      <c r="W72" s="83"/>
      <c r="X72" s="1"/>
      <c r="CI72" s="83"/>
      <c r="CJ72" s="83"/>
      <c r="CK72" s="83"/>
      <c r="CL72" s="83"/>
      <c r="CM72" s="83"/>
      <c r="CN72" s="83"/>
      <c r="CO72" s="83"/>
    </row>
    <row r="73" spans="1:93" x14ac:dyDescent="0.3">
      <c r="A73" s="83"/>
      <c r="B73" s="103"/>
      <c r="C73" s="252"/>
      <c r="D73" s="203" t="s">
        <v>252</v>
      </c>
      <c r="E73" s="203" t="s">
        <v>123</v>
      </c>
      <c r="F73" s="96">
        <v>1</v>
      </c>
      <c r="G73" s="96">
        <v>1</v>
      </c>
      <c r="H73" s="96" t="s">
        <v>352</v>
      </c>
      <c r="I73" s="96" t="s">
        <v>526</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57"/>
      <c r="S73" s="262"/>
      <c r="T73" s="104"/>
      <c r="U73" s="83"/>
      <c r="V73" s="83"/>
      <c r="W73" s="83"/>
      <c r="X73" s="1"/>
      <c r="CI73" s="83"/>
      <c r="CJ73" s="83"/>
      <c r="CK73" s="83"/>
      <c r="CL73" s="83"/>
      <c r="CM73" s="83"/>
      <c r="CN73" s="83"/>
      <c r="CO73" s="83"/>
    </row>
    <row r="74" spans="1:93" x14ac:dyDescent="0.3">
      <c r="A74" s="83"/>
      <c r="B74" s="103"/>
      <c r="C74" s="252"/>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57"/>
      <c r="S74" s="262"/>
      <c r="T74" s="104"/>
      <c r="U74" s="83"/>
      <c r="V74" s="83"/>
      <c r="W74" s="83"/>
      <c r="X74" s="1"/>
      <c r="CI74" s="83"/>
      <c r="CJ74" s="83"/>
      <c r="CK74" s="83"/>
      <c r="CL74" s="83"/>
      <c r="CM74" s="83"/>
      <c r="CN74" s="83"/>
      <c r="CO74" s="83"/>
    </row>
    <row r="75" spans="1:93" x14ac:dyDescent="0.3">
      <c r="A75" s="83"/>
      <c r="B75" s="103"/>
      <c r="C75" s="252"/>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57"/>
      <c r="S75" s="262"/>
      <c r="T75" s="104"/>
      <c r="U75" s="83"/>
      <c r="V75" s="83"/>
      <c r="W75" s="83"/>
      <c r="X75" s="1"/>
      <c r="CI75" s="83"/>
      <c r="CJ75" s="83"/>
      <c r="CK75" s="83"/>
      <c r="CL75" s="83"/>
      <c r="CM75" s="83"/>
      <c r="CN75" s="83"/>
      <c r="CO75" s="83"/>
    </row>
    <row r="76" spans="1:93" x14ac:dyDescent="0.3">
      <c r="A76" s="83"/>
      <c r="B76" s="103"/>
      <c r="C76" s="252"/>
      <c r="D76" s="203" t="s">
        <v>252</v>
      </c>
      <c r="E76" s="203" t="s">
        <v>137</v>
      </c>
      <c r="F76" s="96">
        <v>1</v>
      </c>
      <c r="G76" s="96">
        <v>1</v>
      </c>
      <c r="H76" s="96" t="s">
        <v>352</v>
      </c>
      <c r="I76" s="96" t="s">
        <v>526</v>
      </c>
      <c r="J76" s="96" t="str">
        <f>+IF(F76&gt;'Equipment Data'!$L$139,"yes","No")</f>
        <v>No</v>
      </c>
      <c r="K76" s="96">
        <v>0.67</v>
      </c>
      <c r="L76" s="96" t="s">
        <v>525</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57"/>
      <c r="S76" s="262"/>
      <c r="T76" s="104"/>
      <c r="U76" s="83"/>
      <c r="V76" s="83"/>
      <c r="W76" s="83"/>
      <c r="X76" s="1"/>
      <c r="CI76" s="83"/>
      <c r="CJ76" s="83"/>
      <c r="CK76" s="83"/>
      <c r="CL76" s="83"/>
      <c r="CM76" s="83"/>
      <c r="CN76" s="83"/>
      <c r="CO76" s="83"/>
    </row>
    <row r="77" spans="1:93" x14ac:dyDescent="0.3">
      <c r="A77" s="83"/>
      <c r="B77" s="103"/>
      <c r="C77" s="252"/>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57"/>
      <c r="S77" s="262"/>
      <c r="T77" s="104"/>
      <c r="U77" s="83"/>
      <c r="V77" s="83"/>
      <c r="W77" s="83"/>
      <c r="X77" s="1"/>
      <c r="CI77" s="83"/>
      <c r="CJ77" s="83"/>
      <c r="CK77" s="83"/>
      <c r="CL77" s="83"/>
      <c r="CM77" s="83"/>
      <c r="CN77" s="83"/>
      <c r="CO77" s="83"/>
    </row>
    <row r="78" spans="1:93" x14ac:dyDescent="0.3">
      <c r="A78" s="83"/>
      <c r="B78" s="103"/>
      <c r="C78" s="252"/>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57"/>
      <c r="S78" s="262"/>
      <c r="T78" s="104"/>
      <c r="U78" s="83"/>
      <c r="V78" s="83"/>
      <c r="W78" s="83"/>
      <c r="X78" s="1"/>
      <c r="CI78" s="83"/>
      <c r="CJ78" s="83"/>
      <c r="CK78" s="83"/>
      <c r="CL78" s="83"/>
      <c r="CM78" s="83"/>
      <c r="CN78" s="83"/>
      <c r="CO78" s="83"/>
    </row>
    <row r="79" spans="1:93" x14ac:dyDescent="0.3">
      <c r="A79" s="83"/>
      <c r="B79" s="103"/>
      <c r="C79" s="189"/>
      <c r="D79" s="203" t="s">
        <v>521</v>
      </c>
      <c r="E79" s="203" t="s">
        <v>146</v>
      </c>
      <c r="F79" s="96">
        <v>1</v>
      </c>
      <c r="G79" s="96" t="s">
        <v>354</v>
      </c>
      <c r="H79" s="96" t="s">
        <v>469</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3">
      <c r="A80" s="83"/>
      <c r="B80" s="103"/>
      <c r="C80" s="187"/>
      <c r="D80" s="203" t="s">
        <v>521</v>
      </c>
      <c r="E80" s="203" t="s">
        <v>147</v>
      </c>
      <c r="F80" s="96">
        <v>1</v>
      </c>
      <c r="G80" s="96" t="s">
        <v>354</v>
      </c>
      <c r="H80" s="96" t="s">
        <v>469</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3">
      <c r="A81" s="83"/>
      <c r="B81" s="103"/>
      <c r="C81" s="187"/>
      <c r="D81" s="203" t="s">
        <v>521</v>
      </c>
      <c r="E81" s="203" t="s">
        <v>148</v>
      </c>
      <c r="F81" s="96">
        <v>1</v>
      </c>
      <c r="G81" s="96" t="s">
        <v>354</v>
      </c>
      <c r="H81" s="96" t="s">
        <v>469</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3">
      <c r="A82" s="83"/>
      <c r="B82" s="103"/>
      <c r="C82" s="251"/>
      <c r="D82" s="203" t="s">
        <v>269</v>
      </c>
      <c r="E82" s="203" t="s">
        <v>156</v>
      </c>
      <c r="F82" s="96">
        <v>1</v>
      </c>
      <c r="G82" s="96">
        <v>1</v>
      </c>
      <c r="H82" s="96" t="s">
        <v>469</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5"/>
      <c r="S82" s="256"/>
      <c r="T82" s="104"/>
      <c r="U82" s="83"/>
      <c r="V82" s="83"/>
      <c r="W82" s="83"/>
      <c r="X82" s="1"/>
      <c r="CI82" s="83"/>
      <c r="CJ82" s="83"/>
      <c r="CK82" s="83"/>
      <c r="CL82" s="83"/>
      <c r="CM82" s="83"/>
      <c r="CN82" s="83"/>
      <c r="CO82" s="83"/>
    </row>
    <row r="83" spans="1:93" x14ac:dyDescent="0.3">
      <c r="A83" s="83"/>
      <c r="B83" s="103"/>
      <c r="C83" s="252"/>
      <c r="D83" s="203" t="s">
        <v>269</v>
      </c>
      <c r="E83" s="203" t="s">
        <v>158</v>
      </c>
      <c r="F83" s="96">
        <v>1</v>
      </c>
      <c r="G83" s="96">
        <v>1</v>
      </c>
      <c r="H83" s="96" t="s">
        <v>469</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57"/>
      <c r="S83" s="258"/>
      <c r="T83" s="104"/>
      <c r="U83" s="83"/>
      <c r="V83" s="83"/>
      <c r="W83" s="83"/>
      <c r="X83" s="1"/>
      <c r="CI83" s="83"/>
      <c r="CJ83" s="83"/>
      <c r="CK83" s="83"/>
      <c r="CL83" s="83"/>
      <c r="CM83" s="83"/>
      <c r="CN83" s="83"/>
      <c r="CO83" s="83"/>
    </row>
    <row r="84" spans="1:93" x14ac:dyDescent="0.3">
      <c r="A84" s="83"/>
      <c r="B84" s="103"/>
      <c r="C84" s="252"/>
      <c r="D84" s="203" t="s">
        <v>269</v>
      </c>
      <c r="E84" s="203" t="s">
        <v>159</v>
      </c>
      <c r="F84" s="96">
        <v>1</v>
      </c>
      <c r="G84" s="96">
        <v>1</v>
      </c>
      <c r="H84" s="96" t="s">
        <v>469</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57"/>
      <c r="S84" s="258"/>
      <c r="T84" s="104"/>
      <c r="U84" s="83"/>
      <c r="V84" s="83"/>
      <c r="W84" s="83"/>
      <c r="X84" s="1"/>
      <c r="CI84" s="83"/>
      <c r="CJ84" s="83"/>
      <c r="CK84" s="83"/>
      <c r="CL84" s="83"/>
      <c r="CM84" s="83"/>
      <c r="CN84" s="83"/>
      <c r="CO84" s="83"/>
    </row>
    <row r="85" spans="1:93" x14ac:dyDescent="0.3">
      <c r="A85" s="83"/>
      <c r="B85" s="103"/>
      <c r="C85" s="189"/>
      <c r="D85" s="203" t="s">
        <v>522</v>
      </c>
      <c r="E85" s="203" t="s">
        <v>161</v>
      </c>
      <c r="F85" s="96">
        <v>1</v>
      </c>
      <c r="G85" s="96" t="s">
        <v>354</v>
      </c>
      <c r="H85" s="96" t="s">
        <v>467</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3">
      <c r="A86" s="83"/>
      <c r="B86" s="103"/>
      <c r="C86" s="187"/>
      <c r="D86" s="203" t="s">
        <v>522</v>
      </c>
      <c r="E86" s="203" t="s">
        <v>162</v>
      </c>
      <c r="F86" s="96">
        <v>1</v>
      </c>
      <c r="G86" s="96" t="s">
        <v>354</v>
      </c>
      <c r="H86" s="96" t="s">
        <v>467</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3">
      <c r="A87" s="83"/>
      <c r="B87" s="103"/>
      <c r="C87" s="187"/>
      <c r="D87" s="203" t="s">
        <v>522</v>
      </c>
      <c r="E87" s="203" t="s">
        <v>163</v>
      </c>
      <c r="F87" s="96">
        <v>1</v>
      </c>
      <c r="G87" s="96" t="s">
        <v>354</v>
      </c>
      <c r="H87" s="96" t="s">
        <v>467</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3">
      <c r="A88" s="83"/>
      <c r="B88" s="103"/>
      <c r="C88" s="187"/>
      <c r="D88" s="203" t="s">
        <v>522</v>
      </c>
      <c r="E88" s="203" t="s">
        <v>164</v>
      </c>
      <c r="F88" s="96">
        <v>1</v>
      </c>
      <c r="G88" s="96" t="s">
        <v>354</v>
      </c>
      <c r="H88" s="96" t="s">
        <v>467</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3">
      <c r="A89" s="83"/>
      <c r="B89" s="103"/>
      <c r="C89" s="187"/>
      <c r="D89" s="203" t="s">
        <v>522</v>
      </c>
      <c r="E89" s="203" t="s">
        <v>165</v>
      </c>
      <c r="F89" s="96">
        <v>1</v>
      </c>
      <c r="G89" s="96" t="s">
        <v>354</v>
      </c>
      <c r="H89" s="96" t="s">
        <v>467</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3">
      <c r="A90" s="83"/>
      <c r="B90" s="103"/>
      <c r="C90" s="195"/>
      <c r="D90" s="203" t="s">
        <v>522</v>
      </c>
      <c r="E90" s="203" t="s">
        <v>166</v>
      </c>
      <c r="F90" s="96">
        <v>1</v>
      </c>
      <c r="G90" s="96" t="s">
        <v>354</v>
      </c>
      <c r="H90" s="96" t="s">
        <v>467</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3">
      <c r="A91" s="83"/>
      <c r="B91" s="103"/>
      <c r="C91" s="252"/>
      <c r="D91" s="203" t="s">
        <v>523</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5"/>
      <c r="S91" s="256"/>
      <c r="T91" s="104"/>
      <c r="U91" s="83"/>
      <c r="V91" s="83"/>
      <c r="W91" s="83"/>
      <c r="X91" s="1"/>
      <c r="CI91" s="83"/>
      <c r="CJ91" s="83"/>
      <c r="CK91" s="83"/>
      <c r="CL91" s="83"/>
      <c r="CM91" s="83"/>
      <c r="CN91" s="83"/>
      <c r="CO91" s="83"/>
    </row>
    <row r="92" spans="1:93" x14ac:dyDescent="0.3">
      <c r="A92" s="83"/>
      <c r="B92" s="103"/>
      <c r="C92" s="252"/>
      <c r="D92" s="203" t="s">
        <v>523</v>
      </c>
      <c r="E92" s="203" t="s">
        <v>9</v>
      </c>
      <c r="F92" s="96">
        <v>1</v>
      </c>
      <c r="G92" s="96" t="s">
        <v>354</v>
      </c>
      <c r="H92" s="96" t="s">
        <v>352</v>
      </c>
      <c r="I92" s="96" t="s">
        <v>354</v>
      </c>
      <c r="J92" s="96" t="str">
        <f>+IF(F92&gt;'Equipment Data'!$G$197,"yes","No")</f>
        <v>No</v>
      </c>
      <c r="K92" s="96">
        <v>0.67</v>
      </c>
      <c r="L92" s="96" t="s">
        <v>354</v>
      </c>
      <c r="M92" s="153">
        <f>+IF(AND(D92="Screen",E92="Rotary"),IF(F92&lt;'Equipment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57"/>
      <c r="S92" s="258"/>
      <c r="T92" s="104"/>
      <c r="U92" s="83"/>
      <c r="V92" s="83"/>
      <c r="W92" s="83"/>
      <c r="X92" s="1"/>
      <c r="CI92" s="83"/>
      <c r="CJ92" s="83"/>
      <c r="CK92" s="83"/>
      <c r="CL92" s="83"/>
      <c r="CM92" s="83"/>
      <c r="CN92" s="83"/>
      <c r="CO92" s="83"/>
    </row>
    <row r="93" spans="1:93" x14ac:dyDescent="0.3">
      <c r="A93" s="83"/>
      <c r="B93" s="103"/>
      <c r="C93" s="252"/>
      <c r="D93" s="203" t="s">
        <v>523</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57"/>
      <c r="S93" s="258"/>
      <c r="T93" s="104"/>
      <c r="U93" s="83"/>
      <c r="V93" s="83"/>
      <c r="W93" s="83"/>
      <c r="X93" s="1"/>
      <c r="CI93" s="83"/>
      <c r="CJ93" s="83"/>
      <c r="CK93" s="83"/>
      <c r="CL93" s="83"/>
      <c r="CM93" s="83"/>
      <c r="CN93" s="83"/>
      <c r="CO93" s="83"/>
    </row>
    <row r="94" spans="1:93" x14ac:dyDescent="0.3">
      <c r="A94" s="83"/>
      <c r="B94" s="103"/>
      <c r="C94" s="253"/>
      <c r="D94" s="203" t="s">
        <v>523</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59"/>
      <c r="S94" s="260"/>
      <c r="T94" s="104"/>
      <c r="U94" s="83"/>
      <c r="V94" s="83"/>
      <c r="W94" s="83"/>
      <c r="X94" s="1"/>
      <c r="CI94" s="83"/>
      <c r="CJ94" s="83"/>
      <c r="CK94" s="83"/>
      <c r="CL94" s="83"/>
      <c r="CM94" s="83"/>
      <c r="CN94" s="83"/>
      <c r="CO94" s="83"/>
    </row>
    <row r="95" spans="1:93" x14ac:dyDescent="0.3">
      <c r="A95" s="83"/>
      <c r="B95" s="103"/>
      <c r="C95" s="189"/>
      <c r="D95" s="203" t="s">
        <v>257</v>
      </c>
      <c r="E95" s="203" t="s">
        <v>172</v>
      </c>
      <c r="F95" s="96">
        <v>1</v>
      </c>
      <c r="G95" s="96" t="s">
        <v>354</v>
      </c>
      <c r="H95" s="96" t="s">
        <v>467</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3">
      <c r="A96" s="83"/>
      <c r="B96" s="103"/>
      <c r="C96" s="187"/>
      <c r="D96" s="203" t="s">
        <v>257</v>
      </c>
      <c r="E96" s="203" t="s">
        <v>173</v>
      </c>
      <c r="F96" s="96">
        <v>1</v>
      </c>
      <c r="G96" s="96" t="s">
        <v>354</v>
      </c>
      <c r="H96" s="96" t="s">
        <v>467</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3">
      <c r="A97" s="83"/>
      <c r="B97" s="103"/>
      <c r="C97" s="251"/>
      <c r="D97" s="203" t="s">
        <v>148</v>
      </c>
      <c r="E97" s="203" t="s">
        <v>24</v>
      </c>
      <c r="F97" s="96">
        <v>1</v>
      </c>
      <c r="G97" s="96" t="s">
        <v>354</v>
      </c>
      <c r="H97" s="96" t="s">
        <v>469</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5"/>
      <c r="S97" s="256"/>
      <c r="T97" s="104"/>
      <c r="U97" s="83"/>
      <c r="V97" s="83"/>
      <c r="W97" s="83"/>
      <c r="X97" s="1"/>
      <c r="CI97" s="83"/>
      <c r="CJ97" s="83"/>
      <c r="CK97" s="83"/>
      <c r="CL97" s="83"/>
      <c r="CM97" s="83"/>
      <c r="CN97" s="83"/>
      <c r="CO97" s="83"/>
    </row>
    <row r="98" spans="1:93" x14ac:dyDescent="0.3">
      <c r="A98" s="83"/>
      <c r="B98" s="103"/>
      <c r="C98" s="253"/>
      <c r="D98" s="203" t="s">
        <v>148</v>
      </c>
      <c r="E98" s="203" t="s">
        <v>178</v>
      </c>
      <c r="F98" s="96">
        <v>1</v>
      </c>
      <c r="G98" s="96" t="s">
        <v>354</v>
      </c>
      <c r="H98" s="96" t="s">
        <v>469</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59"/>
      <c r="S98" s="260"/>
      <c r="T98" s="104"/>
      <c r="U98" s="83"/>
      <c r="V98" s="83"/>
      <c r="W98" s="83"/>
      <c r="X98" s="1"/>
      <c r="CI98" s="83"/>
      <c r="CJ98" s="83"/>
      <c r="CK98" s="83"/>
      <c r="CL98" s="83"/>
      <c r="CM98" s="83"/>
      <c r="CN98" s="83"/>
      <c r="CO98" s="83"/>
    </row>
    <row r="99" spans="1:93" x14ac:dyDescent="0.3">
      <c r="A99" s="83"/>
      <c r="B99" s="103"/>
      <c r="C99" s="189"/>
      <c r="D99" s="203" t="s">
        <v>259</v>
      </c>
      <c r="E99" s="203" t="s">
        <v>182</v>
      </c>
      <c r="F99" s="96">
        <v>1</v>
      </c>
      <c r="G99" s="96">
        <v>1</v>
      </c>
      <c r="H99" s="96" t="s">
        <v>467</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3">
      <c r="A100" s="83"/>
      <c r="B100" s="103"/>
      <c r="C100" s="187"/>
      <c r="D100" s="203" t="s">
        <v>259</v>
      </c>
      <c r="E100" s="203" t="s">
        <v>183</v>
      </c>
      <c r="F100" s="96">
        <v>1</v>
      </c>
      <c r="G100" s="96">
        <v>1</v>
      </c>
      <c r="H100" s="96" t="s">
        <v>467</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3">
      <c r="A101" s="83"/>
      <c r="B101" s="103"/>
      <c r="C101" s="187"/>
      <c r="D101" s="203" t="s">
        <v>259</v>
      </c>
      <c r="E101" s="203" t="s">
        <v>184</v>
      </c>
      <c r="F101" s="96">
        <v>1</v>
      </c>
      <c r="G101" s="96">
        <v>1</v>
      </c>
      <c r="H101" s="96" t="s">
        <v>467</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3">
      <c r="A102" s="83"/>
      <c r="B102" s="103"/>
      <c r="C102" s="251"/>
      <c r="D102" s="203" t="s">
        <v>260</v>
      </c>
      <c r="E102" s="203" t="s">
        <v>200</v>
      </c>
      <c r="F102" s="96">
        <v>1</v>
      </c>
      <c r="G102" s="96">
        <v>1</v>
      </c>
      <c r="H102" s="96" t="s">
        <v>467</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5"/>
      <c r="S102" s="256"/>
      <c r="T102" s="104"/>
      <c r="U102" s="83"/>
      <c r="V102" s="83"/>
      <c r="W102" s="83"/>
      <c r="X102" s="1"/>
      <c r="CI102" s="83"/>
      <c r="CJ102" s="83"/>
      <c r="CK102" s="83"/>
      <c r="CL102" s="83"/>
      <c r="CM102" s="83"/>
      <c r="CN102" s="83"/>
      <c r="CO102" s="83"/>
    </row>
    <row r="103" spans="1:93" x14ac:dyDescent="0.3">
      <c r="A103" s="83"/>
      <c r="B103" s="103"/>
      <c r="C103" s="253"/>
      <c r="D103" s="203" t="s">
        <v>260</v>
      </c>
      <c r="E103" s="203" t="s">
        <v>201</v>
      </c>
      <c r="F103" s="96">
        <v>1</v>
      </c>
      <c r="G103" s="96">
        <v>1</v>
      </c>
      <c r="H103" s="96" t="s">
        <v>467</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59"/>
      <c r="S103" s="260"/>
      <c r="T103" s="104"/>
      <c r="U103" s="83"/>
      <c r="V103" s="83"/>
      <c r="W103" s="83"/>
      <c r="X103" s="1"/>
      <c r="CI103" s="83"/>
      <c r="CJ103" s="83"/>
      <c r="CK103" s="83"/>
      <c r="CL103" s="83"/>
      <c r="CM103" s="83"/>
      <c r="CN103" s="83"/>
      <c r="CO103" s="83"/>
    </row>
    <row r="104" spans="1:93" x14ac:dyDescent="0.3">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3">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3">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3">
      <c r="A107" s="83"/>
      <c r="B107" s="103"/>
      <c r="C107" s="252"/>
      <c r="D107" s="203" t="s">
        <v>531</v>
      </c>
      <c r="E107" s="203" t="s">
        <v>667</v>
      </c>
      <c r="F107" s="96">
        <v>1</v>
      </c>
      <c r="G107" s="96" t="s">
        <v>354</v>
      </c>
      <c r="H107" s="96" t="s">
        <v>467</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57"/>
      <c r="S107" s="262"/>
      <c r="T107" s="104"/>
      <c r="U107" s="83"/>
      <c r="V107" s="83"/>
      <c r="W107" s="83"/>
      <c r="X107" s="1"/>
      <c r="CI107" s="83"/>
      <c r="CJ107" s="83"/>
      <c r="CK107" s="83"/>
      <c r="CL107" s="83"/>
      <c r="CM107" s="83"/>
      <c r="CN107" s="83"/>
      <c r="CO107" s="83"/>
    </row>
    <row r="108" spans="1:93" ht="14.4" customHeight="1" x14ac:dyDescent="0.3">
      <c r="A108" s="83"/>
      <c r="B108" s="103"/>
      <c r="C108" s="885"/>
      <c r="D108" s="886"/>
      <c r="E108" s="886"/>
      <c r="F108" s="886"/>
      <c r="G108" s="886"/>
      <c r="H108" s="886"/>
      <c r="I108" s="886"/>
      <c r="J108" s="886"/>
      <c r="K108" s="886"/>
      <c r="L108" s="886"/>
      <c r="M108" s="886"/>
      <c r="N108" s="886"/>
      <c r="O108" s="886"/>
      <c r="P108" s="886"/>
      <c r="Q108" s="886"/>
      <c r="R108" s="887"/>
      <c r="S108" s="888"/>
      <c r="T108" s="104"/>
      <c r="U108" s="83"/>
      <c r="V108" s="83"/>
      <c r="W108" s="83"/>
      <c r="X108" s="1"/>
      <c r="CI108" s="83"/>
      <c r="CJ108" s="83"/>
      <c r="CK108" s="83"/>
      <c r="CL108" s="83"/>
      <c r="CM108" s="83"/>
      <c r="CN108" s="83"/>
      <c r="CO108" s="83"/>
    </row>
    <row r="109" spans="1:93" ht="14.4" customHeight="1" x14ac:dyDescent="0.3">
      <c r="A109" s="83"/>
      <c r="B109" s="103"/>
      <c r="C109" s="720"/>
      <c r="D109" s="721"/>
      <c r="E109" s="721"/>
      <c r="F109" s="721"/>
      <c r="G109" s="721"/>
      <c r="H109" s="721"/>
      <c r="I109" s="721"/>
      <c r="J109" s="721"/>
      <c r="K109" s="721"/>
      <c r="L109" s="721"/>
      <c r="M109" s="721"/>
      <c r="N109" s="721"/>
      <c r="O109" s="721"/>
      <c r="P109" s="721"/>
      <c r="Q109" s="721"/>
      <c r="R109" s="722"/>
      <c r="S109" s="889"/>
      <c r="T109" s="104"/>
      <c r="U109" s="83"/>
      <c r="V109" s="83"/>
      <c r="W109" s="83"/>
      <c r="X109" s="1"/>
      <c r="CI109" s="83"/>
      <c r="CJ109" s="83"/>
      <c r="CK109" s="83"/>
      <c r="CL109" s="83"/>
      <c r="CM109" s="83"/>
      <c r="CN109" s="83"/>
      <c r="CO109" s="83"/>
    </row>
    <row r="110" spans="1:93" x14ac:dyDescent="0.3">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3">
      <c r="A112" s="83"/>
      <c r="B112" s="890"/>
      <c r="C112" s="890"/>
      <c r="D112" s="890"/>
      <c r="E112" s="890"/>
      <c r="F112" s="890"/>
      <c r="G112" s="890"/>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3">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83"/>
      <c r="T114" s="83"/>
      <c r="U114" s="83"/>
      <c r="V114" s="83"/>
      <c r="W114" s="83"/>
      <c r="X114" s="83"/>
      <c r="CI114" s="83"/>
      <c r="CJ114" s="83"/>
      <c r="CK114" s="83"/>
      <c r="CL114" s="83"/>
      <c r="CM114" s="83"/>
      <c r="CN114" s="83"/>
      <c r="CO114" s="83"/>
    </row>
    <row r="115" spans="1:93" x14ac:dyDescent="0.3">
      <c r="A115" s="83"/>
      <c r="B115" s="83"/>
      <c r="T115" s="83"/>
      <c r="U115" s="83"/>
      <c r="V115" s="83"/>
      <c r="W115" s="83"/>
      <c r="X115" s="83"/>
      <c r="CI115" s="83"/>
      <c r="CJ115" s="83"/>
      <c r="CK115" s="83"/>
      <c r="CL115" s="83"/>
      <c r="CM115" s="83"/>
      <c r="CN115" s="83"/>
      <c r="CO115" s="83"/>
    </row>
    <row r="116" spans="1:93" x14ac:dyDescent="0.3">
      <c r="A116" s="83"/>
      <c r="B116" s="83"/>
      <c r="T116" s="83"/>
      <c r="U116" s="83"/>
      <c r="V116" s="83"/>
      <c r="W116" s="83"/>
      <c r="X116" s="83"/>
      <c r="CI116" s="83"/>
      <c r="CJ116" s="83"/>
      <c r="CK116" s="83"/>
      <c r="CL116" s="83"/>
      <c r="CM116" s="83"/>
      <c r="CN116" s="83"/>
      <c r="CO116" s="83"/>
    </row>
    <row r="117" spans="1:93" x14ac:dyDescent="0.3">
      <c r="A117" s="83"/>
      <c r="B117" s="83"/>
      <c r="T117" s="83"/>
      <c r="U117" s="83"/>
      <c r="V117" s="83"/>
      <c r="W117" s="83"/>
      <c r="X117" s="83"/>
      <c r="CI117" s="83"/>
      <c r="CJ117" s="83"/>
      <c r="CK117" s="83"/>
      <c r="CL117" s="83"/>
      <c r="CM117" s="83"/>
      <c r="CN117" s="83"/>
      <c r="CO117" s="83"/>
    </row>
    <row r="118" spans="1:93" x14ac:dyDescent="0.3">
      <c r="A118" s="83"/>
      <c r="B118" s="83"/>
      <c r="T118" s="83"/>
      <c r="U118" s="83"/>
      <c r="V118" s="83"/>
      <c r="W118" s="83"/>
      <c r="X118" s="83"/>
      <c r="CI118" s="83"/>
      <c r="CJ118" s="83"/>
      <c r="CK118" s="83"/>
      <c r="CL118" s="83"/>
      <c r="CM118" s="83"/>
      <c r="CN118" s="83"/>
      <c r="CO118" s="83"/>
    </row>
    <row r="119" spans="1:93" x14ac:dyDescent="0.3">
      <c r="A119" s="83"/>
      <c r="B119" s="83"/>
      <c r="T119" s="83"/>
      <c r="U119" s="83"/>
      <c r="V119" s="83"/>
      <c r="W119" s="83"/>
      <c r="X119" s="83"/>
      <c r="CI119" s="83"/>
      <c r="CJ119" s="83"/>
      <c r="CK119" s="83"/>
      <c r="CL119" s="83"/>
      <c r="CM119" s="83"/>
      <c r="CN119" s="83"/>
      <c r="CO119" s="83"/>
    </row>
    <row r="120" spans="1:93" x14ac:dyDescent="0.3">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96"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744" t="str">
        <f>+'Plant Overview'!E6&amp;": Input to SSM"</f>
        <v>Plant A: Input to SSM</v>
      </c>
      <c r="C2" s="745"/>
      <c r="D2" s="745"/>
      <c r="E2" s="745"/>
      <c r="F2" s="745"/>
      <c r="G2" s="745"/>
      <c r="H2" s="745"/>
      <c r="I2" s="745"/>
      <c r="J2" s="745"/>
      <c r="K2" s="746"/>
    </row>
    <row r="4" spans="2:14" ht="17.399999999999999" customHeight="1" x14ac:dyDescent="0.3">
      <c r="B4" s="583" t="s">
        <v>457</v>
      </c>
      <c r="C4" s="584" t="s">
        <v>662</v>
      </c>
      <c r="D4" s="585" t="s">
        <v>235</v>
      </c>
      <c r="F4" s="905" t="str">
        <f>+'Plant Overview'!D5</f>
        <v>Cost Estimate Details</v>
      </c>
      <c r="G4" s="906"/>
      <c r="I4" s="871" t="s">
        <v>491</v>
      </c>
      <c r="J4" s="872"/>
      <c r="K4" s="586"/>
    </row>
    <row r="5" spans="2:14" ht="17.399999999999999" customHeight="1" x14ac:dyDescent="0.3">
      <c r="C5" s="587"/>
      <c r="F5" s="99" t="str">
        <f>+'Plant Overview'!D7</f>
        <v>Location</v>
      </c>
      <c r="G5" s="177" t="str">
        <f>+'Plant Overview'!E7</f>
        <v>Western Europe</v>
      </c>
      <c r="I5" s="588"/>
      <c r="J5" s="204"/>
      <c r="K5" s="204"/>
    </row>
    <row r="6" spans="2:14" ht="17.399999999999999" customHeight="1" x14ac:dyDescent="0.3">
      <c r="F6" s="99" t="str">
        <f>+'Plant Overview'!D8</f>
        <v>Year</v>
      </c>
      <c r="G6" s="99">
        <f>+'Plant Overview'!E8</f>
        <v>2020</v>
      </c>
      <c r="I6" s="873" t="s">
        <v>750</v>
      </c>
      <c r="J6" s="221" t="s">
        <v>573</v>
      </c>
      <c r="K6" s="222" t="s">
        <v>574</v>
      </c>
      <c r="N6" s="904"/>
    </row>
    <row r="7" spans="2:14" ht="17.399999999999999" customHeight="1" x14ac:dyDescent="0.3">
      <c r="F7" s="170" t="str">
        <f>+'Plant Overview'!D9</f>
        <v xml:space="preserve"> Currency</v>
      </c>
      <c r="G7" s="170" t="str">
        <f>+'Plant Overview'!E9</f>
        <v>€</v>
      </c>
      <c r="I7" s="875"/>
      <c r="J7" s="86"/>
      <c r="K7" s="86"/>
      <c r="N7" s="904"/>
    </row>
    <row r="8" spans="2:14" ht="17.399999999999999" customHeight="1" x14ac:dyDescent="0.3">
      <c r="I8" s="357"/>
    </row>
    <row r="9" spans="2:14" ht="17.399999999999999" customHeight="1" x14ac:dyDescent="0.3">
      <c r="F9" s="676" t="s">
        <v>575</v>
      </c>
      <c r="G9" s="677"/>
      <c r="H9" s="677"/>
      <c r="I9" s="677"/>
      <c r="J9" s="677"/>
      <c r="K9" s="678"/>
    </row>
    <row r="10" spans="2:14" ht="17.399999999999999" customHeight="1" x14ac:dyDescent="0.3">
      <c r="F10" s="679"/>
      <c r="G10" s="731"/>
      <c r="H10" s="731"/>
      <c r="I10" s="731"/>
      <c r="J10" s="731"/>
      <c r="K10" s="732"/>
    </row>
    <row r="11" spans="2:14" ht="17.399999999999999" customHeight="1" x14ac:dyDescent="0.3">
      <c r="F11" s="733"/>
      <c r="G11" s="734"/>
      <c r="H11" s="734"/>
      <c r="I11" s="734"/>
      <c r="J11" s="734"/>
      <c r="K11" s="735"/>
    </row>
    <row r="12" spans="2:14" ht="17.399999999999999" customHeight="1" x14ac:dyDescent="0.3">
      <c r="F12" s="736"/>
      <c r="G12" s="737"/>
      <c r="H12" s="737"/>
      <c r="I12" s="737"/>
      <c r="J12" s="737"/>
      <c r="K12" s="738"/>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21" ht="19.95" customHeight="1" x14ac:dyDescent="0.3"/>
    <row r="2" spans="2:21" ht="19.95" customHeight="1" x14ac:dyDescent="0.3">
      <c r="B2" s="178" t="s">
        <v>644</v>
      </c>
      <c r="C2" s="178"/>
      <c r="D2" s="178"/>
      <c r="E2" s="178"/>
      <c r="F2" s="178"/>
      <c r="G2" s="178"/>
      <c r="H2" s="178"/>
      <c r="I2" s="178"/>
      <c r="J2" s="178"/>
      <c r="K2" s="178"/>
      <c r="L2" s="180"/>
      <c r="M2" s="180"/>
      <c r="O2" s="753" t="s">
        <v>495</v>
      </c>
      <c r="P2" s="907"/>
      <c r="Q2" s="907"/>
      <c r="R2" s="754"/>
      <c r="T2" s="753" t="s">
        <v>267</v>
      </c>
      <c r="U2" s="754"/>
    </row>
    <row r="3" spans="2:21" ht="19.95" customHeight="1" x14ac:dyDescent="0.3">
      <c r="B3" s="891" t="s">
        <v>689</v>
      </c>
      <c r="C3" s="891"/>
      <c r="D3" s="891"/>
      <c r="E3" s="908"/>
      <c r="F3" s="908"/>
      <c r="G3" s="908"/>
      <c r="H3" s="908"/>
      <c r="I3" s="908"/>
      <c r="J3" s="908"/>
      <c r="K3" s="178"/>
      <c r="L3" s="866" t="s">
        <v>649</v>
      </c>
      <c r="M3" s="867"/>
      <c r="N3" s="178"/>
      <c r="O3" s="268"/>
      <c r="P3" s="148"/>
      <c r="Q3" s="185" t="s">
        <v>465</v>
      </c>
      <c r="R3" s="186" t="s">
        <v>499</v>
      </c>
      <c r="T3" s="85"/>
      <c r="U3" s="314" t="s">
        <v>262</v>
      </c>
    </row>
    <row r="4" spans="2:21" ht="19.95" customHeight="1" x14ac:dyDescent="0.3">
      <c r="B4" s="342" t="s">
        <v>491</v>
      </c>
      <c r="C4" s="423" t="s">
        <v>688</v>
      </c>
      <c r="D4" s="462"/>
      <c r="E4" s="373"/>
      <c r="F4" s="346"/>
      <c r="G4" s="346"/>
      <c r="H4" s="346"/>
      <c r="I4" s="346"/>
      <c r="J4" s="347"/>
      <c r="K4" s="330"/>
      <c r="L4" s="344" t="s">
        <v>573</v>
      </c>
      <c r="M4" s="343"/>
      <c r="N4" s="330"/>
      <c r="O4" s="265"/>
      <c r="P4" s="97"/>
      <c r="Q4" s="166" t="s">
        <v>466</v>
      </c>
      <c r="R4" s="86" t="s">
        <v>500</v>
      </c>
      <c r="T4" s="179"/>
      <c r="U4" s="314" t="s">
        <v>263</v>
      </c>
    </row>
    <row r="5" spans="2:21" ht="19.95" customHeight="1" x14ac:dyDescent="0.3">
      <c r="B5" s="794"/>
      <c r="C5" s="416" t="s">
        <v>359</v>
      </c>
      <c r="D5" s="462"/>
      <c r="E5" s="374"/>
      <c r="F5" s="335"/>
      <c r="G5" s="335"/>
      <c r="H5" s="335"/>
      <c r="I5" s="335"/>
      <c r="J5" s="348"/>
      <c r="K5" s="330"/>
      <c r="L5" s="345" t="s">
        <v>574</v>
      </c>
      <c r="M5" s="343"/>
      <c r="N5" s="330"/>
      <c r="O5" s="265"/>
      <c r="P5" s="97"/>
      <c r="Q5" s="185" t="s">
        <v>460</v>
      </c>
      <c r="R5" s="186" t="s">
        <v>498</v>
      </c>
      <c r="T5" s="94"/>
      <c r="U5" s="98" t="s">
        <v>264</v>
      </c>
    </row>
    <row r="6" spans="2:21" ht="19.95" customHeight="1" x14ac:dyDescent="0.3">
      <c r="B6" s="909"/>
      <c r="C6" s="423" t="s">
        <v>584</v>
      </c>
      <c r="D6" s="462"/>
      <c r="E6" s="374"/>
      <c r="F6" s="335"/>
      <c r="G6" s="335"/>
      <c r="H6" s="335"/>
      <c r="I6" s="335"/>
      <c r="J6" s="348"/>
      <c r="K6" s="330"/>
      <c r="L6" s="330"/>
      <c r="M6" s="330"/>
      <c r="N6" s="330"/>
      <c r="O6" s="265"/>
      <c r="P6" s="97"/>
      <c r="Q6" s="185" t="s">
        <v>461</v>
      </c>
      <c r="R6" s="186" t="s">
        <v>496</v>
      </c>
      <c r="T6" s="108"/>
      <c r="U6" s="300" t="s">
        <v>268</v>
      </c>
    </row>
    <row r="7" spans="2:21" ht="19.95" customHeight="1" x14ac:dyDescent="0.3">
      <c r="B7" s="795"/>
      <c r="C7" s="461" t="s">
        <v>312</v>
      </c>
      <c r="D7" s="462"/>
      <c r="E7" s="375"/>
      <c r="F7" s="349"/>
      <c r="G7" s="349"/>
      <c r="H7" s="349"/>
      <c r="I7" s="349"/>
      <c r="J7" s="350"/>
      <c r="K7" s="330"/>
      <c r="L7" s="330"/>
      <c r="M7" s="330"/>
      <c r="N7" s="330"/>
      <c r="O7" s="266"/>
      <c r="P7" s="98"/>
      <c r="Q7" s="185" t="s">
        <v>462</v>
      </c>
      <c r="R7" s="186" t="s">
        <v>497</v>
      </c>
    </row>
    <row r="8" spans="2:21" ht="19.95" customHeight="1" x14ac:dyDescent="0.3">
      <c r="B8" s="171">
        <v>1</v>
      </c>
      <c r="S8" s="332"/>
      <c r="T8" s="331"/>
    </row>
    <row r="9" spans="2:21" ht="19.95" customHeight="1" x14ac:dyDescent="0.3">
      <c r="B9" s="166" t="s">
        <v>648</v>
      </c>
      <c r="C9" s="753"/>
      <c r="D9" s="907"/>
      <c r="E9" s="907"/>
      <c r="F9" s="907"/>
      <c r="G9" s="907"/>
      <c r="H9" s="907"/>
      <c r="I9" s="907"/>
      <c r="J9" s="907"/>
      <c r="K9" s="907"/>
      <c r="L9" s="907"/>
      <c r="M9" s="907"/>
      <c r="N9" s="907"/>
      <c r="O9" s="907"/>
      <c r="P9" s="907"/>
      <c r="Q9" s="907"/>
      <c r="R9" s="907"/>
      <c r="S9" s="907"/>
      <c r="T9" s="907"/>
      <c r="U9" s="754"/>
    </row>
    <row r="10" spans="2:21" ht="19.95" customHeight="1" x14ac:dyDescent="0.3">
      <c r="B10" s="750" t="s">
        <v>685</v>
      </c>
      <c r="C10" s="751"/>
      <c r="D10" s="751"/>
      <c r="E10" s="751"/>
      <c r="F10" s="751"/>
      <c r="G10" s="751"/>
      <c r="H10" s="751"/>
      <c r="I10" s="752"/>
      <c r="J10" s="750" t="s">
        <v>686</v>
      </c>
      <c r="K10" s="751"/>
      <c r="L10" s="751"/>
      <c r="M10" s="751"/>
      <c r="N10" s="751"/>
      <c r="O10" s="751"/>
      <c r="P10" s="751"/>
      <c r="Q10" s="751"/>
      <c r="R10" s="752"/>
      <c r="S10" s="750" t="s">
        <v>639</v>
      </c>
      <c r="T10" s="751"/>
      <c r="U10" s="752"/>
    </row>
    <row r="11" spans="2:21" ht="19.95" customHeight="1" x14ac:dyDescent="0.3">
      <c r="B11" s="423" t="s">
        <v>356</v>
      </c>
      <c r="C11" s="402" t="s">
        <v>641</v>
      </c>
      <c r="D11" s="423" t="s">
        <v>493</v>
      </c>
      <c r="E11" s="428" t="s">
        <v>459</v>
      </c>
      <c r="F11" s="428" t="s">
        <v>315</v>
      </c>
      <c r="G11" s="428" t="s">
        <v>504</v>
      </c>
      <c r="H11" s="423" t="s">
        <v>501</v>
      </c>
      <c r="I11" s="415" t="s">
        <v>235</v>
      </c>
      <c r="J11" s="414" t="s">
        <v>461</v>
      </c>
      <c r="K11" s="414" t="s">
        <v>462</v>
      </c>
      <c r="L11" s="421" t="s">
        <v>581</v>
      </c>
      <c r="M11" s="422" t="s">
        <v>464</v>
      </c>
      <c r="N11" s="418" t="s">
        <v>463</v>
      </c>
      <c r="O11" s="493" t="s">
        <v>645</v>
      </c>
      <c r="P11" s="493" t="s">
        <v>646</v>
      </c>
      <c r="Q11" s="422" t="s">
        <v>460</v>
      </c>
      <c r="R11" s="419" t="s">
        <v>634</v>
      </c>
      <c r="S11" s="493" t="s">
        <v>642</v>
      </c>
      <c r="T11" s="423" t="s">
        <v>359</v>
      </c>
      <c r="U11" s="460" t="s">
        <v>575</v>
      </c>
    </row>
    <row r="12" spans="2:21" ht="19.95" customHeight="1" x14ac:dyDescent="0.3">
      <c r="B12" s="268"/>
      <c r="C12" s="269"/>
      <c r="D12" s="269"/>
      <c r="E12" s="269"/>
      <c r="F12" s="269"/>
      <c r="G12" s="269"/>
      <c r="H12" s="269"/>
      <c r="I12" s="269"/>
      <c r="J12" s="268"/>
      <c r="K12" s="269"/>
      <c r="L12" s="269"/>
      <c r="M12" s="190"/>
      <c r="N12" s="190"/>
      <c r="O12" s="190"/>
      <c r="P12" s="190"/>
      <c r="Q12" s="269"/>
      <c r="R12" s="172" t="str" cm="1">
        <f t="array" aca="1" ref="R12" ca="1">+IF(N12&gt;0,N12*INDIRECT(ADDRESS(MATCH(F12,'Cost Conversion'!$B$3:$B$48,0)+2,4,1,1,"Cost conversion"))*INDIRECT(ADDRESS(MATCH(G12,'Cost Conversion'!$F$3:$F$22,0)+2,8,1,1,"Cost conversion"))/IF(E12="$",'Cost Conversion'!$L$2,1),"")</f>
        <v/>
      </c>
      <c r="S12" s="329"/>
      <c r="T12" s="273"/>
      <c r="U12" s="113"/>
    </row>
    <row r="13" spans="2:21" ht="19.95" customHeight="1" x14ac:dyDescent="0.3">
      <c r="B13" s="265"/>
      <c r="C13" s="96"/>
      <c r="D13" s="96"/>
      <c r="E13" s="96"/>
      <c r="F13" s="96"/>
      <c r="G13" s="96"/>
      <c r="H13" s="96"/>
      <c r="I13" s="96"/>
      <c r="J13" s="265"/>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5"/>
      <c r="U13" s="84"/>
    </row>
    <row r="14" spans="2:21" ht="19.95" customHeight="1" x14ac:dyDescent="0.3">
      <c r="B14" s="265"/>
      <c r="C14" s="96"/>
      <c r="D14" s="96"/>
      <c r="E14" s="96"/>
      <c r="F14" s="96"/>
      <c r="G14" s="96"/>
      <c r="H14" s="96"/>
      <c r="I14" s="96"/>
      <c r="J14" s="265"/>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5"/>
      <c r="U14" s="84"/>
    </row>
    <row r="15" spans="2:21" ht="19.95" customHeight="1" x14ac:dyDescent="0.3">
      <c r="B15" s="265"/>
      <c r="C15" s="96"/>
      <c r="D15" s="96"/>
      <c r="E15" s="96"/>
      <c r="F15" s="96"/>
      <c r="G15" s="96"/>
      <c r="H15" s="96"/>
      <c r="I15" s="333"/>
      <c r="J15" s="265"/>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5"/>
      <c r="U15" s="84"/>
    </row>
    <row r="16" spans="2:21" ht="19.95" customHeight="1" x14ac:dyDescent="0.3">
      <c r="B16" s="265"/>
      <c r="C16" s="96"/>
      <c r="D16" s="96"/>
      <c r="E16" s="96"/>
      <c r="F16" s="96"/>
      <c r="G16" s="96"/>
      <c r="H16" s="96"/>
      <c r="I16" s="96"/>
      <c r="J16" s="265"/>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5"/>
      <c r="U16" s="84"/>
    </row>
    <row r="17" spans="2:21" ht="19.95" customHeight="1" x14ac:dyDescent="0.3">
      <c r="B17" s="266"/>
      <c r="C17" s="267"/>
      <c r="D17" s="267"/>
      <c r="E17" s="267"/>
      <c r="F17" s="267"/>
      <c r="G17" s="267"/>
      <c r="H17" s="267"/>
      <c r="I17" s="267"/>
      <c r="J17" s="266"/>
      <c r="K17" s="267"/>
      <c r="L17" s="267"/>
      <c r="M17" s="267"/>
      <c r="N17" s="267"/>
      <c r="O17" s="267"/>
      <c r="P17" s="267"/>
      <c r="Q17" s="267"/>
      <c r="R17" s="172" t="str" cm="1">
        <f t="array" aca="1" ref="R17" ca="1">+IF(N17&gt;0,N17*INDIRECT(ADDRESS(MATCH(F17,'Cost Conversion'!$B$3:$B$48,0)+2,4,1,1,"Cost conversion"))*INDIRECT(ADDRESS(MATCH(G17,'Cost Conversion'!$F$3:$F$22,0)+2,8,1,1,"Cost conversion"))/IF(E17="$",'Cost Conversion'!$L$2,1),"")</f>
        <v/>
      </c>
      <c r="S17" s="266"/>
      <c r="T17" s="316"/>
      <c r="U17" s="318"/>
    </row>
    <row r="18" spans="2:21" ht="19.95" customHeight="1" x14ac:dyDescent="0.3">
      <c r="B18" s="268"/>
      <c r="C18" s="269"/>
      <c r="D18" s="269"/>
      <c r="E18" s="269"/>
      <c r="F18" s="269"/>
      <c r="G18" s="269"/>
      <c r="H18" s="269"/>
      <c r="I18" s="269"/>
      <c r="J18" s="269"/>
      <c r="K18" s="269"/>
      <c r="L18" s="269"/>
      <c r="M18" s="269"/>
      <c r="N18" s="269"/>
      <c r="O18" s="269"/>
      <c r="P18" s="269"/>
      <c r="Q18" s="269"/>
      <c r="R18" s="269"/>
      <c r="S18" s="269"/>
      <c r="T18" s="273"/>
      <c r="U18" s="113"/>
    </row>
    <row r="19" spans="2:21" ht="19.95" customHeight="1" x14ac:dyDescent="0.3">
      <c r="B19" s="265"/>
      <c r="C19" s="96"/>
      <c r="D19" s="96"/>
      <c r="E19" s="96"/>
      <c r="F19" s="96"/>
      <c r="G19" s="96"/>
      <c r="H19" s="96"/>
      <c r="I19" s="96"/>
      <c r="J19" s="96"/>
      <c r="K19" s="96"/>
      <c r="L19" s="96"/>
      <c r="M19" s="96"/>
      <c r="N19" s="96"/>
      <c r="O19" s="96"/>
      <c r="P19" s="96"/>
      <c r="Q19" s="96"/>
      <c r="R19" s="96"/>
      <c r="S19" s="96"/>
      <c r="U19" s="84"/>
    </row>
    <row r="20" spans="2:21" ht="19.95" customHeight="1" x14ac:dyDescent="0.3">
      <c r="B20" s="265"/>
      <c r="C20" s="96"/>
      <c r="D20" s="96"/>
      <c r="E20" s="96"/>
      <c r="F20" s="96"/>
      <c r="G20" s="96"/>
      <c r="H20" s="96"/>
      <c r="I20" s="96"/>
      <c r="J20" s="96"/>
      <c r="K20" s="96"/>
      <c r="L20" s="96"/>
      <c r="M20" s="96"/>
      <c r="N20" s="96"/>
      <c r="O20" s="96"/>
      <c r="P20" s="96"/>
      <c r="Q20" s="96"/>
      <c r="R20" s="96"/>
      <c r="S20" s="96"/>
      <c r="U20" s="84"/>
    </row>
    <row r="21" spans="2:21" ht="19.95" customHeight="1" x14ac:dyDescent="0.3">
      <c r="B21" s="265"/>
      <c r="C21" s="96"/>
      <c r="D21" s="96"/>
      <c r="E21" s="96"/>
      <c r="F21" s="96"/>
      <c r="G21" s="96"/>
      <c r="H21" s="96"/>
      <c r="I21" s="96"/>
      <c r="J21" s="824" t="str">
        <f>+B9&amp;" "&amp;D6</f>
        <v xml:space="preserve">BENCHMARK  </v>
      </c>
      <c r="K21" s="825"/>
      <c r="L21" s="825"/>
      <c r="M21" s="825"/>
      <c r="N21" s="825"/>
      <c r="O21" s="825"/>
      <c r="P21" s="825"/>
      <c r="Q21" s="825"/>
      <c r="R21" s="825"/>
      <c r="S21" s="825"/>
      <c r="T21" s="826"/>
      <c r="U21" s="84"/>
    </row>
    <row r="22" spans="2:21" ht="19.95" customHeight="1" x14ac:dyDescent="0.3">
      <c r="B22" s="265"/>
      <c r="C22" s="96"/>
      <c r="D22" s="96"/>
      <c r="E22" s="96"/>
      <c r="F22" s="96"/>
      <c r="G22" s="96"/>
      <c r="H22" s="96"/>
      <c r="I22" s="96"/>
      <c r="J22" s="336" t="s">
        <v>643</v>
      </c>
      <c r="K22" s="337">
        <v>1</v>
      </c>
      <c r="L22" s="337">
        <v>2</v>
      </c>
      <c r="M22" s="337">
        <v>3</v>
      </c>
      <c r="N22" s="337">
        <v>4</v>
      </c>
      <c r="O22" s="337">
        <v>5</v>
      </c>
      <c r="P22" s="337">
        <v>6</v>
      </c>
      <c r="Q22" s="337">
        <v>7</v>
      </c>
      <c r="R22" s="337">
        <v>8</v>
      </c>
      <c r="S22" s="337">
        <v>9</v>
      </c>
      <c r="T22" s="338">
        <v>10</v>
      </c>
      <c r="U22" s="84"/>
    </row>
    <row r="23" spans="2:21" ht="19.95" customHeight="1" x14ac:dyDescent="0.3">
      <c r="B23" s="265"/>
      <c r="C23" s="96"/>
      <c r="D23" s="96"/>
      <c r="E23" s="96"/>
      <c r="F23" s="96"/>
      <c r="G23" s="96"/>
      <c r="H23" s="96"/>
      <c r="I23" s="96"/>
      <c r="J23" s="86" t="str">
        <f>+TEXT(H12,0)&amp;" "&amp;"("&amp;TEXT(I12,0)&amp;")"</f>
        <v>0 (0)</v>
      </c>
      <c r="K23" s="359">
        <f>+P12</f>
        <v>0</v>
      </c>
      <c r="L23" s="339">
        <f>+K23+(O12-P12)/(T22-1)</f>
        <v>0</v>
      </c>
      <c r="M23" s="339">
        <f>+L23+(O12-P12)/(T22-1)</f>
        <v>0</v>
      </c>
      <c r="N23" s="339">
        <f>+M23+(O12-P12)/(T22-1)</f>
        <v>0</v>
      </c>
      <c r="O23" s="339">
        <f>+N23+(O12-P12)/(T22-1)</f>
        <v>0</v>
      </c>
      <c r="P23" s="339">
        <f>+O23+(O12-P12)/(T22-1)</f>
        <v>0</v>
      </c>
      <c r="Q23" s="339">
        <f>+P23+(O12-P12)/(T22-1)</f>
        <v>0</v>
      </c>
      <c r="R23" s="339">
        <f>+Q23+(O12-P12)/(T22-1)</f>
        <v>0</v>
      </c>
      <c r="S23" s="339">
        <f>+R23+(O12-P12)/(T22-1)</f>
        <v>0</v>
      </c>
      <c r="T23" s="340">
        <f>+S23+(O12-P12)/(T22-1)</f>
        <v>0</v>
      </c>
      <c r="U23" s="84"/>
    </row>
    <row r="24" spans="2:21" ht="19.95" customHeight="1" x14ac:dyDescent="0.3">
      <c r="B24" s="265"/>
      <c r="C24" s="96"/>
      <c r="D24" s="96"/>
      <c r="E24" s="96"/>
      <c r="F24" s="96"/>
      <c r="G24" s="96"/>
      <c r="H24" s="96"/>
      <c r="I24" s="96"/>
      <c r="J24" s="99" t="str">
        <f t="shared" ref="J24:J29" si="0">+IF(B12="","",TEXT(B12,0)&amp;" - Scaling")</f>
        <v/>
      </c>
      <c r="K24" s="292"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5" t="e">
        <f ca="1">+(Q12/L12)^J12*R12*((T23/Q12)/(M12/L12))^K12</f>
        <v>#DIV/0!</v>
      </c>
      <c r="U24" s="84"/>
    </row>
    <row r="25" spans="2:21" ht="19.95" customHeight="1" x14ac:dyDescent="0.3">
      <c r="B25" s="265"/>
      <c r="C25" s="96"/>
      <c r="D25" s="96"/>
      <c r="E25" s="96"/>
      <c r="F25" s="96"/>
      <c r="G25" s="96"/>
      <c r="H25" s="96"/>
      <c r="I25" s="96"/>
      <c r="J25" s="99" t="str">
        <f t="shared" si="0"/>
        <v/>
      </c>
      <c r="K25" s="228"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7" t="e">
        <f ca="1">+(Q13/L13)^J13*R13*((T23/Q13)/(M13/L13))^K13</f>
        <v>#DIV/0!</v>
      </c>
      <c r="U25" s="84"/>
    </row>
    <row r="26" spans="2:21" ht="19.95" customHeight="1" x14ac:dyDescent="0.3">
      <c r="B26" s="265"/>
      <c r="C26" s="96"/>
      <c r="D26" s="96"/>
      <c r="E26" s="96"/>
      <c r="F26" s="96"/>
      <c r="G26" s="96"/>
      <c r="H26" s="96"/>
      <c r="I26" s="96"/>
      <c r="J26" s="99" t="str">
        <f t="shared" si="0"/>
        <v/>
      </c>
      <c r="K26" s="228"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7" t="e">
        <f ca="1">+(Q14/L14)^J14*R14*((T23/Q14)/(M14/L14))^K14</f>
        <v>#DIV/0!</v>
      </c>
      <c r="U26" s="84"/>
    </row>
    <row r="27" spans="2:21" ht="19.95" customHeight="1" x14ac:dyDescent="0.3">
      <c r="B27" s="265"/>
      <c r="C27" s="96"/>
      <c r="D27" s="96"/>
      <c r="E27" s="96"/>
      <c r="F27" s="96"/>
      <c r="G27" s="96"/>
      <c r="H27" s="96"/>
      <c r="I27" s="96"/>
      <c r="J27" s="99" t="str">
        <f t="shared" si="0"/>
        <v/>
      </c>
      <c r="K27" s="228"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7" t="e">
        <f ca="1">+(Q15/L15)^J15*R15*((T23/Q15)/(M15/L15))^K15</f>
        <v>#DIV/0!</v>
      </c>
      <c r="U27" s="84"/>
    </row>
    <row r="28" spans="2:21" ht="19.95" customHeight="1" x14ac:dyDescent="0.3">
      <c r="B28" s="265"/>
      <c r="C28" s="96"/>
      <c r="D28" s="96"/>
      <c r="E28" s="96"/>
      <c r="F28" s="96"/>
      <c r="G28" s="96"/>
      <c r="H28" s="96"/>
      <c r="I28" s="96"/>
      <c r="J28" s="99" t="str">
        <f t="shared" si="0"/>
        <v/>
      </c>
      <c r="K28" s="265"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7" t="e">
        <f ca="1">+(Q16/L16)^J16*R16*((T23/Q16)/(M16/L16))^K16</f>
        <v>#DIV/0!</v>
      </c>
      <c r="U28" s="84"/>
    </row>
    <row r="29" spans="2:21" ht="19.95" customHeight="1" x14ac:dyDescent="0.3">
      <c r="B29" s="265"/>
      <c r="C29" s="96"/>
      <c r="D29" s="96"/>
      <c r="E29" s="96"/>
      <c r="F29" s="96"/>
      <c r="G29" s="96"/>
      <c r="H29" s="96"/>
      <c r="I29" s="96"/>
      <c r="J29" s="99" t="str">
        <f t="shared" si="0"/>
        <v/>
      </c>
      <c r="K29" s="266" t="e">
        <f ca="1">+(Q17/L17)^J17*R17*((K23/Q17)/(M17/L17))^K17</f>
        <v>#DIV/0!</v>
      </c>
      <c r="L29" s="361" t="e">
        <f ca="1">+(Q17/L17)^J17*R17*((L23/Q17)/(M17/L17))^K17</f>
        <v>#DIV/0!</v>
      </c>
      <c r="M29" s="361" t="e">
        <f ca="1">+(Q17/L17)^J17*R17*((M23/Q17)/(M17/L17))^K17</f>
        <v>#DIV/0!</v>
      </c>
      <c r="N29" s="361" t="e">
        <f ca="1">+(Q17/L17)^J17*R17*((N23/Q17)/(M17/L17))^K17</f>
        <v>#DIV/0!</v>
      </c>
      <c r="O29" s="361" t="e">
        <f ca="1">+(Q17/L17)^J17*R17*((O23/Q17)/(M17/L17))^K17</f>
        <v>#DIV/0!</v>
      </c>
      <c r="P29" s="361" t="e" cm="1">
        <f t="array" aca="1" ref="P29" ca="1">+(Q17/L17)^J17*R17*((P23/Q17)/(M17/P26L17))^K17</f>
        <v>#DIV/0!</v>
      </c>
      <c r="Q29" s="361" t="e">
        <f ca="1">+(Q17/L17)^J17*R17*((Q23/Q17)/(M17/L17))^K17</f>
        <v>#DIV/0!</v>
      </c>
      <c r="R29" s="361" t="e">
        <f ca="1">+(Q17/L17)^J17*R17*((R23/Q17)/(M17/L17))^K17</f>
        <v>#DIV/0!</v>
      </c>
      <c r="S29" s="361" t="e">
        <f ca="1">+(Q17/L17)^J17*R17*((S23/Q17)/(M17/L17))^K17</f>
        <v>#DIV/0!</v>
      </c>
      <c r="T29" s="311" t="e">
        <f ca="1">+(Q17/L17)^J17*R17*((T23/Q17)/(M17/L17))^K17</f>
        <v>#DIV/0!</v>
      </c>
      <c r="U29" s="84"/>
    </row>
    <row r="30" spans="2:21" ht="19.95" customHeight="1" x14ac:dyDescent="0.3">
      <c r="B30" s="265"/>
      <c r="C30" s="96"/>
      <c r="D30" s="96"/>
      <c r="E30" s="96"/>
      <c r="F30" s="96"/>
      <c r="G30" s="96"/>
      <c r="H30" s="96"/>
      <c r="I30" s="96"/>
      <c r="J30" s="177" t="s">
        <v>571</v>
      </c>
      <c r="K30" s="177" t="s">
        <v>647</v>
      </c>
      <c r="L30" s="96"/>
      <c r="M30" s="96"/>
      <c r="N30" s="96"/>
      <c r="O30" s="96"/>
      <c r="P30" s="96"/>
      <c r="Q30" s="96"/>
      <c r="R30" s="96"/>
      <c r="S30" s="96"/>
      <c r="U30" s="84"/>
    </row>
    <row r="31" spans="2:21" ht="19.95" customHeight="1" x14ac:dyDescent="0.3">
      <c r="B31" s="265"/>
      <c r="C31" s="96"/>
      <c r="D31" s="96"/>
      <c r="E31" s="96"/>
      <c r="F31" s="96"/>
      <c r="G31" s="96"/>
      <c r="H31" s="96"/>
      <c r="I31" s="96"/>
      <c r="J31" s="268" t="str">
        <f t="shared" ref="J31:J36" si="1">+IF(B12="","",B12)</f>
        <v/>
      </c>
      <c r="K31" s="579" t="e">
        <f t="shared" ref="K31:K36" ca="1" si="2">+R12/(M12/Q12)</f>
        <v>#VALUE!</v>
      </c>
      <c r="L31" s="96"/>
      <c r="M31" s="96"/>
      <c r="N31" s="96"/>
      <c r="O31" s="96"/>
      <c r="P31" s="96"/>
      <c r="Q31" s="96"/>
      <c r="R31" s="96"/>
      <c r="S31" s="96"/>
      <c r="U31" s="84"/>
    </row>
    <row r="32" spans="2:21" ht="19.95" customHeight="1" x14ac:dyDescent="0.3">
      <c r="B32" s="265"/>
      <c r="C32" s="96"/>
      <c r="D32" s="96"/>
      <c r="E32" s="96"/>
      <c r="F32" s="96"/>
      <c r="G32" s="96"/>
      <c r="H32" s="96"/>
      <c r="I32" s="96"/>
      <c r="J32" s="265" t="str">
        <f t="shared" si="1"/>
        <v/>
      </c>
      <c r="K32" s="580" t="e">
        <f t="shared" ca="1" si="2"/>
        <v>#VALUE!</v>
      </c>
      <c r="L32" s="96"/>
      <c r="M32" s="96"/>
      <c r="N32" s="96"/>
      <c r="O32" s="96"/>
      <c r="P32" s="96"/>
      <c r="Q32" s="96"/>
      <c r="R32" s="96"/>
      <c r="S32" s="96"/>
      <c r="U32" s="84"/>
    </row>
    <row r="33" spans="2:21" ht="19.95" customHeight="1" x14ac:dyDescent="0.3">
      <c r="B33" s="91"/>
      <c r="F33" s="96"/>
      <c r="G33" s="96"/>
      <c r="J33" s="265" t="str">
        <f t="shared" si="1"/>
        <v/>
      </c>
      <c r="K33" s="580" t="e">
        <f t="shared" ca="1" si="2"/>
        <v>#VALUE!</v>
      </c>
      <c r="U33" s="84"/>
    </row>
    <row r="34" spans="2:21" ht="19.95" customHeight="1" x14ac:dyDescent="0.3">
      <c r="B34" s="91"/>
      <c r="F34" s="96"/>
      <c r="G34" s="96"/>
      <c r="J34" s="265" t="str">
        <f t="shared" si="1"/>
        <v/>
      </c>
      <c r="K34" s="580" t="e">
        <f t="shared" ca="1" si="2"/>
        <v>#VALUE!</v>
      </c>
      <c r="U34" s="84"/>
    </row>
    <row r="35" spans="2:21" ht="19.95" customHeight="1" x14ac:dyDescent="0.3">
      <c r="B35" s="91"/>
      <c r="F35" s="96"/>
      <c r="G35" s="96"/>
      <c r="J35" s="265" t="str">
        <f t="shared" si="1"/>
        <v/>
      </c>
      <c r="K35" s="580" t="e">
        <f t="shared" ca="1" si="2"/>
        <v>#VALUE!</v>
      </c>
      <c r="U35" s="84"/>
    </row>
    <row r="36" spans="2:21" ht="19.95" customHeight="1" x14ac:dyDescent="0.3">
      <c r="B36" s="91"/>
      <c r="F36" s="96"/>
      <c r="G36" s="96"/>
      <c r="J36" s="266" t="str">
        <f t="shared" si="1"/>
        <v/>
      </c>
      <c r="K36" s="581" t="e">
        <f t="shared" ca="1" si="2"/>
        <v>#VALUE!</v>
      </c>
      <c r="U36" s="84"/>
    </row>
    <row r="37" spans="2:21" ht="19.95" customHeight="1" x14ac:dyDescent="0.3">
      <c r="B37" s="91"/>
      <c r="F37" s="96"/>
      <c r="G37" s="96"/>
      <c r="U37" s="84"/>
    </row>
    <row r="38" spans="2:21" ht="19.95" customHeight="1" x14ac:dyDescent="0.3">
      <c r="B38" s="91"/>
      <c r="F38" s="96"/>
      <c r="G38" s="96"/>
      <c r="U38" s="84"/>
    </row>
    <row r="39" spans="2:21" ht="19.95" customHeight="1" x14ac:dyDescent="0.3">
      <c r="B39" s="91"/>
      <c r="F39" s="96"/>
      <c r="G39" s="96"/>
      <c r="U39" s="84"/>
    </row>
    <row r="40" spans="2:21" ht="19.95" customHeight="1" x14ac:dyDescent="0.3">
      <c r="B40" s="91"/>
      <c r="F40" s="96"/>
      <c r="G40" s="96"/>
      <c r="U40" s="84"/>
    </row>
    <row r="41" spans="2:21" ht="19.95" customHeight="1" x14ac:dyDescent="0.3">
      <c r="B41" s="91"/>
      <c r="F41" s="96"/>
      <c r="G41" s="96"/>
      <c r="U41" s="84"/>
    </row>
    <row r="42" spans="2:21" ht="19.95" customHeight="1" x14ac:dyDescent="0.3">
      <c r="B42" s="91"/>
      <c r="F42" s="96"/>
      <c r="G42" s="96"/>
      <c r="U42" s="84"/>
    </row>
    <row r="43" spans="2:21" ht="19.95" customHeight="1" x14ac:dyDescent="0.3">
      <c r="B43" s="315"/>
      <c r="C43" s="316"/>
      <c r="D43" s="316"/>
      <c r="E43" s="316"/>
      <c r="F43" s="267"/>
      <c r="G43" s="267"/>
      <c r="H43" s="316"/>
      <c r="I43" s="316"/>
      <c r="J43" s="316"/>
      <c r="K43" s="316"/>
      <c r="L43" s="316"/>
      <c r="M43" s="316"/>
      <c r="N43" s="316"/>
      <c r="O43" s="316"/>
      <c r="P43" s="316"/>
      <c r="Q43" s="316"/>
      <c r="R43" s="316"/>
      <c r="S43" s="316"/>
      <c r="T43" s="316"/>
      <c r="U43" s="318"/>
    </row>
    <row r="44" spans="2:21" x14ac:dyDescent="0.3">
      <c r="B44" s="171">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D37" sqref="D3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2" spans="2:11" ht="27" customHeight="1" x14ac:dyDescent="0.3">
      <c r="B2" s="750" t="s">
        <v>357</v>
      </c>
      <c r="C2" s="751"/>
      <c r="D2" s="751"/>
      <c r="E2" s="752"/>
    </row>
    <row r="3" spans="2:11" ht="27" customHeight="1" x14ac:dyDescent="0.3">
      <c r="B3" s="423" t="s">
        <v>690</v>
      </c>
      <c r="C3" s="495" t="s">
        <v>359</v>
      </c>
      <c r="D3" s="496" t="s">
        <v>575</v>
      </c>
      <c r="E3" s="497" t="s">
        <v>691</v>
      </c>
    </row>
    <row r="4" spans="2:11" ht="27" customHeight="1" x14ac:dyDescent="0.3">
      <c r="B4" s="494"/>
      <c r="C4" s="494"/>
      <c r="D4" s="494"/>
      <c r="E4" s="492"/>
      <c r="G4" s="115"/>
      <c r="H4" s="115"/>
      <c r="I4" s="115"/>
      <c r="J4" s="115"/>
      <c r="K4" s="115"/>
    </row>
    <row r="5" spans="2:11" ht="27" customHeight="1" x14ac:dyDescent="0.3">
      <c r="B5" s="494"/>
      <c r="C5" s="494"/>
      <c r="D5" s="494"/>
      <c r="E5" s="492"/>
      <c r="G5" s="114"/>
      <c r="H5" s="114"/>
      <c r="I5" s="114"/>
      <c r="J5" s="114"/>
      <c r="K5" s="114"/>
    </row>
    <row r="6" spans="2:11" ht="27" customHeight="1" x14ac:dyDescent="0.3">
      <c r="B6" s="494"/>
      <c r="C6" s="494"/>
      <c r="D6" s="494"/>
      <c r="E6" s="492"/>
      <c r="G6" s="114"/>
      <c r="H6" s="114"/>
      <c r="I6" s="114"/>
      <c r="J6" s="114"/>
      <c r="K6" s="114"/>
    </row>
    <row r="7" spans="2:11" ht="27" customHeight="1" x14ac:dyDescent="0.3">
      <c r="B7" s="494"/>
      <c r="C7" s="494"/>
      <c r="D7" s="494"/>
      <c r="E7" s="492"/>
      <c r="G7" s="114"/>
      <c r="H7" s="114"/>
      <c r="I7" s="114"/>
      <c r="J7" s="114"/>
      <c r="K7" s="114"/>
    </row>
    <row r="8" spans="2:11" ht="27" customHeight="1" x14ac:dyDescent="0.3">
      <c r="B8" s="494"/>
      <c r="C8" s="494"/>
      <c r="D8" s="494"/>
      <c r="E8" s="492"/>
      <c r="G8" s="114"/>
      <c r="H8" s="114"/>
      <c r="I8" s="114"/>
      <c r="J8" s="114"/>
      <c r="K8" s="114"/>
    </row>
    <row r="9" spans="2:11" ht="27" customHeight="1" x14ac:dyDescent="0.3">
      <c r="B9" s="494"/>
      <c r="C9" s="494"/>
      <c r="D9" s="494"/>
      <c r="E9" s="492"/>
      <c r="G9" s="114"/>
      <c r="H9" s="114"/>
      <c r="I9" s="114"/>
      <c r="J9" s="114"/>
      <c r="K9" s="114"/>
    </row>
    <row r="10" spans="2:11" ht="27" customHeight="1" x14ac:dyDescent="0.3">
      <c r="B10" s="494"/>
      <c r="C10" s="494"/>
      <c r="D10" s="494"/>
      <c r="E10" s="492"/>
      <c r="G10" s="114"/>
      <c r="H10" s="114"/>
      <c r="I10" s="114"/>
      <c r="J10" s="114"/>
      <c r="K10" s="114"/>
    </row>
    <row r="11" spans="2:11" ht="27" customHeight="1" x14ac:dyDescent="0.3">
      <c r="B11" s="494"/>
      <c r="C11" s="494"/>
      <c r="D11" s="494"/>
      <c r="E11" s="492"/>
      <c r="G11" s="114"/>
      <c r="H11" s="114"/>
      <c r="I11" s="114"/>
      <c r="J11" s="114"/>
      <c r="K11" s="114"/>
    </row>
    <row r="12" spans="2:11" ht="27" customHeight="1" x14ac:dyDescent="0.3">
      <c r="B12" s="494"/>
      <c r="C12" s="494"/>
      <c r="D12" s="494"/>
      <c r="E12" s="492"/>
      <c r="G12" s="114"/>
      <c r="H12" s="114"/>
      <c r="I12" s="114"/>
      <c r="J12" s="114"/>
      <c r="K12" s="114"/>
    </row>
    <row r="13" spans="2:11" ht="27" customHeight="1" x14ac:dyDescent="0.3">
      <c r="B13" s="494"/>
      <c r="C13" s="494"/>
      <c r="D13" s="494"/>
      <c r="E13" s="492"/>
      <c r="G13" s="114"/>
      <c r="H13" s="114"/>
      <c r="I13" s="114"/>
      <c r="J13" s="114"/>
      <c r="K13" s="114"/>
    </row>
    <row r="14" spans="2:11" ht="27" customHeight="1" x14ac:dyDescent="0.3">
      <c r="B14" s="494"/>
      <c r="C14" s="494"/>
      <c r="D14" s="494"/>
      <c r="E14" s="492"/>
      <c r="G14" s="114"/>
      <c r="H14" s="114"/>
      <c r="I14" s="114"/>
      <c r="J14" s="114"/>
      <c r="K14" s="114"/>
    </row>
    <row r="15" spans="2:11" ht="27" customHeight="1" x14ac:dyDescent="0.3">
      <c r="B15" s="494"/>
      <c r="C15" s="494"/>
      <c r="D15" s="494"/>
      <c r="E15" s="492"/>
      <c r="G15" s="114"/>
      <c r="H15" s="114"/>
      <c r="I15" s="114"/>
      <c r="J15" s="114"/>
      <c r="K15" s="114"/>
    </row>
    <row r="16" spans="2:11" ht="27" customHeight="1" x14ac:dyDescent="0.3">
      <c r="B16" s="494"/>
      <c r="C16" s="494"/>
      <c r="D16" s="494"/>
      <c r="E16" s="492"/>
      <c r="G16" s="114"/>
      <c r="H16" s="114"/>
      <c r="I16" s="114"/>
      <c r="J16" s="114"/>
      <c r="K16" s="114"/>
    </row>
    <row r="17" spans="2:11" ht="27" customHeight="1" x14ac:dyDescent="0.3">
      <c r="B17" s="494"/>
      <c r="C17" s="494"/>
      <c r="D17" s="494"/>
      <c r="E17" s="492"/>
      <c r="G17" s="114"/>
      <c r="H17" s="114"/>
      <c r="I17" s="114"/>
      <c r="J17" s="114"/>
      <c r="K17" s="114"/>
    </row>
    <row r="18" spans="2:11" ht="27" customHeight="1" x14ac:dyDescent="0.3">
      <c r="B18" s="494"/>
      <c r="C18" s="494"/>
      <c r="D18" s="494"/>
      <c r="E18" s="492"/>
      <c r="G18" s="114"/>
      <c r="H18" s="114"/>
      <c r="I18" s="114"/>
      <c r="J18" s="114"/>
      <c r="K18" s="114"/>
    </row>
    <row r="19" spans="2:11" ht="27" customHeight="1" x14ac:dyDescent="0.3">
      <c r="B19" s="494"/>
      <c r="C19" s="494"/>
      <c r="D19" s="494"/>
      <c r="E19" s="492"/>
      <c r="G19" s="114"/>
      <c r="H19" s="114"/>
      <c r="I19" s="114"/>
      <c r="J19" s="114"/>
      <c r="K19" s="114"/>
    </row>
    <row r="20" spans="2:11" ht="27" customHeight="1" x14ac:dyDescent="0.3">
      <c r="B20" s="494"/>
      <c r="C20" s="494"/>
      <c r="D20" s="494"/>
      <c r="E20" s="492"/>
      <c r="G20" s="114"/>
      <c r="H20" s="114"/>
      <c r="I20" s="114"/>
      <c r="J20" s="114"/>
      <c r="K20" s="114"/>
    </row>
    <row r="21" spans="2:11" ht="27" customHeight="1" x14ac:dyDescent="0.3">
      <c r="B21" s="494"/>
      <c r="C21" s="494"/>
      <c r="D21" s="494"/>
      <c r="E21" s="492"/>
      <c r="G21" s="114"/>
      <c r="H21" s="114"/>
      <c r="I21" s="114"/>
      <c r="J21" s="114"/>
      <c r="K21" s="114"/>
    </row>
    <row r="22" spans="2:11" ht="27" customHeight="1" x14ac:dyDescent="0.3">
      <c r="B22" s="494"/>
      <c r="C22" s="494"/>
      <c r="D22" s="494"/>
      <c r="E22" s="492"/>
      <c r="G22" s="114"/>
      <c r="H22" s="114"/>
      <c r="I22" s="114"/>
      <c r="J22" s="114"/>
      <c r="K22" s="114"/>
    </row>
    <row r="23" spans="2:11" ht="27" customHeight="1" x14ac:dyDescent="0.3">
      <c r="B23" s="494"/>
      <c r="C23" s="494"/>
      <c r="D23" s="494"/>
      <c r="E23" s="492"/>
      <c r="G23" s="114"/>
      <c r="H23" s="114"/>
      <c r="I23" s="114"/>
      <c r="J23" s="114"/>
      <c r="K23" s="114"/>
    </row>
    <row r="24" spans="2:11" ht="27" customHeight="1" x14ac:dyDescent="0.3">
      <c r="B24" s="494"/>
      <c r="C24" s="494"/>
      <c r="D24" s="494"/>
      <c r="E24" s="492"/>
      <c r="G24" s="114"/>
      <c r="H24" s="114"/>
      <c r="I24" s="114"/>
      <c r="J24" s="114"/>
      <c r="K24" s="114"/>
    </row>
    <row r="25" spans="2:11" ht="27" customHeight="1" x14ac:dyDescent="0.3">
      <c r="B25" s="494"/>
      <c r="C25" s="494"/>
      <c r="D25" s="494"/>
      <c r="E25" s="492"/>
      <c r="G25" s="114"/>
      <c r="H25" s="114"/>
      <c r="I25" s="114"/>
      <c r="J25" s="114"/>
      <c r="K25" s="114"/>
    </row>
    <row r="26" spans="2:11" ht="27" customHeight="1" x14ac:dyDescent="0.3">
      <c r="B26" s="494"/>
      <c r="C26" s="494"/>
      <c r="D26" s="494"/>
      <c r="E26" s="492"/>
      <c r="G26" s="114"/>
      <c r="H26" s="114"/>
      <c r="I26" s="114"/>
      <c r="J26" s="114"/>
      <c r="K26" s="114"/>
    </row>
    <row r="27" spans="2:11" ht="27" customHeight="1" x14ac:dyDescent="0.3">
      <c r="B27" s="494"/>
      <c r="C27" s="494"/>
      <c r="D27" s="494"/>
      <c r="E27" s="492"/>
      <c r="G27" s="114"/>
      <c r="H27" s="114"/>
      <c r="I27" s="114"/>
      <c r="J27" s="114"/>
      <c r="K27" s="114"/>
    </row>
    <row r="28" spans="2:11" ht="27" customHeight="1" x14ac:dyDescent="0.3">
      <c r="B28" s="494"/>
      <c r="C28" s="494"/>
      <c r="D28" s="494"/>
      <c r="E28" s="492"/>
      <c r="G28" s="114"/>
      <c r="H28" s="114"/>
      <c r="I28" s="114"/>
      <c r="J28" s="114"/>
      <c r="K28" s="114"/>
    </row>
    <row r="29" spans="2:11" ht="27" customHeight="1" x14ac:dyDescent="0.3">
      <c r="B29" s="494"/>
      <c r="C29" s="494"/>
      <c r="D29" s="494"/>
      <c r="E29" s="492"/>
      <c r="G29" s="114"/>
      <c r="H29" s="114"/>
      <c r="I29" s="114"/>
      <c r="J29" s="114"/>
      <c r="K29" s="114"/>
    </row>
    <row r="30" spans="2:11" ht="27" customHeight="1" x14ac:dyDescent="0.3">
      <c r="B30" s="494"/>
      <c r="C30" s="494"/>
      <c r="D30" s="494"/>
      <c r="E30" s="492"/>
      <c r="G30" s="114"/>
      <c r="H30" s="114"/>
      <c r="I30" s="114"/>
      <c r="J30" s="114"/>
      <c r="K30" s="114"/>
    </row>
    <row r="31" spans="2:11" ht="27" customHeight="1" x14ac:dyDescent="0.3">
      <c r="B31" s="494"/>
      <c r="C31" s="494"/>
      <c r="D31" s="494"/>
      <c r="E31" s="492"/>
      <c r="G31" s="114"/>
      <c r="H31" s="114"/>
      <c r="I31" s="114"/>
      <c r="J31" s="114"/>
      <c r="K31" s="114"/>
    </row>
    <row r="32" spans="2:11" ht="27" customHeight="1" x14ac:dyDescent="0.3">
      <c r="B32" s="494"/>
      <c r="C32" s="494"/>
      <c r="D32" s="494"/>
      <c r="E32" s="492"/>
      <c r="G32" s="114"/>
      <c r="H32" s="114"/>
      <c r="I32" s="114"/>
      <c r="J32" s="114"/>
      <c r="K32" s="114"/>
    </row>
    <row r="33" spans="2:11" ht="27" customHeight="1" x14ac:dyDescent="0.3">
      <c r="B33" s="494"/>
      <c r="C33" s="494"/>
      <c r="D33" s="494"/>
      <c r="E33" s="492"/>
      <c r="G33" s="114"/>
      <c r="H33" s="114"/>
      <c r="I33" s="114"/>
      <c r="J33" s="114"/>
      <c r="K33" s="114"/>
    </row>
    <row r="34" spans="2:11" ht="27" customHeight="1" x14ac:dyDescent="0.3">
      <c r="B34" s="494"/>
      <c r="C34" s="494"/>
      <c r="D34" s="494"/>
      <c r="E34" s="492"/>
      <c r="G34" s="114"/>
      <c r="H34" s="114"/>
      <c r="I34" s="114"/>
      <c r="J34" s="114"/>
      <c r="K34" s="114"/>
    </row>
    <row r="35" spans="2:11" ht="27" customHeight="1" x14ac:dyDescent="0.3">
      <c r="B35" s="494"/>
      <c r="C35" s="494"/>
      <c r="D35" s="494"/>
      <c r="E35" s="492"/>
      <c r="G35" s="114"/>
      <c r="H35" s="114"/>
      <c r="I35" s="114"/>
      <c r="J35" s="114"/>
      <c r="K35" s="114"/>
    </row>
    <row r="36" spans="2:11" ht="27" customHeight="1" x14ac:dyDescent="0.3">
      <c r="B36" s="494"/>
      <c r="C36" s="494"/>
      <c r="D36" s="494"/>
      <c r="E36" s="492"/>
      <c r="G36" s="114"/>
      <c r="H36" s="114"/>
      <c r="I36" s="114"/>
      <c r="J36" s="114"/>
      <c r="K36" s="114"/>
    </row>
    <row r="37" spans="2:11" ht="27" customHeight="1" x14ac:dyDescent="0.3">
      <c r="B37" s="170"/>
      <c r="C37" s="170"/>
      <c r="D37" s="170"/>
      <c r="E37" s="98"/>
      <c r="G37" s="114"/>
      <c r="H37" s="114"/>
      <c r="I37" s="114"/>
      <c r="J37" s="114"/>
      <c r="K37" s="114"/>
    </row>
    <row r="38" spans="2:11" x14ac:dyDescent="0.3">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70" zoomScaleNormal="70" workbookViewId="0">
      <selection activeCell="G20" sqref="G20"/>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03" t="s">
        <v>485</v>
      </c>
      <c r="C2" s="164" t="s">
        <v>314</v>
      </c>
      <c r="D2" s="305" t="s">
        <v>486</v>
      </c>
      <c r="E2" s="83"/>
      <c r="F2" s="308" t="s">
        <v>472</v>
      </c>
      <c r="G2" s="297" t="s">
        <v>598</v>
      </c>
      <c r="H2" s="248" t="s">
        <v>487</v>
      </c>
      <c r="I2" s="83"/>
      <c r="J2" s="910" t="s">
        <v>488</v>
      </c>
      <c r="K2" s="911"/>
      <c r="L2" s="306">
        <v>1.1000000000000001</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270">
        <v>1995</v>
      </c>
      <c r="C3" s="270">
        <v>381.1</v>
      </c>
      <c r="D3" s="229" cm="1">
        <f t="array" aca="1" ref="D3" ca="1">INDIRECT(ADDRESS(MATCH('Plant Overview'!$E$8,'Cost Conversion'!$B$3:$B$48,0)+2,3))/C3</f>
        <v>1.5644187877197586</v>
      </c>
      <c r="E3" s="83"/>
      <c r="F3" s="163" t="s">
        <v>473</v>
      </c>
      <c r="G3" s="298">
        <v>1</v>
      </c>
      <c r="H3" s="229"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2">
        <v>1996</v>
      </c>
      <c r="C4" s="112">
        <v>381.7</v>
      </c>
      <c r="D4" s="230" cm="1">
        <f t="array" aca="1" ref="D4" ca="1">INDIRECT(ADDRESS(MATCH('Plant Overview'!$E$8,'Cost Conversion'!$B$3:$B$48,0)+2,3))/C4</f>
        <v>1.5619596541786744</v>
      </c>
      <c r="E4" s="83"/>
      <c r="F4" s="147" t="s">
        <v>474</v>
      </c>
      <c r="G4" s="293">
        <v>0.95</v>
      </c>
      <c r="H4" s="230"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2">
        <v>1997</v>
      </c>
      <c r="C5" s="112">
        <v>386.5</v>
      </c>
      <c r="D5" s="230" cm="1">
        <f t="array" aca="1" ref="D5" ca="1">INDIRECT(ADDRESS(MATCH('Plant Overview'!$E$8,'Cost Conversion'!$B$3:$B$48,0)+2,3))/C5</f>
        <v>1.5425614489003883</v>
      </c>
      <c r="E5" s="83"/>
      <c r="F5" s="147" t="s">
        <v>475</v>
      </c>
      <c r="G5" s="293">
        <v>1.1000000000000001</v>
      </c>
      <c r="H5" s="230"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2">
        <v>1998</v>
      </c>
      <c r="C6" s="112">
        <v>389.5</v>
      </c>
      <c r="D6" s="230" cm="1">
        <f t="array" aca="1" ref="D6" ca="1">INDIRECT(ADDRESS(MATCH('Plant Overview'!$E$8,'Cost Conversion'!$B$3:$B$48,0)+2,3))/C6</f>
        <v>1.5306803594351734</v>
      </c>
      <c r="E6" s="83"/>
      <c r="F6" s="147" t="s">
        <v>476</v>
      </c>
      <c r="G6" s="293">
        <v>1.1499999999999999</v>
      </c>
      <c r="H6" s="230"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2">
        <v>1999</v>
      </c>
      <c r="C7" s="112">
        <v>390.6</v>
      </c>
      <c r="D7" s="230" cm="1">
        <f t="array" aca="1" ref="D7" ca="1">INDIRECT(ADDRESS(MATCH('Plant Overview'!$E$8,'Cost Conversion'!$B$3:$B$48,0)+2,3))/C7</f>
        <v>1.5263696876600104</v>
      </c>
      <c r="E7" s="83"/>
      <c r="F7" s="147" t="s">
        <v>477</v>
      </c>
      <c r="G7" s="293">
        <v>1.25</v>
      </c>
      <c r="H7" s="230"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2">
        <v>2000</v>
      </c>
      <c r="C8" s="112">
        <v>394.1</v>
      </c>
      <c r="D8" s="230" cm="1">
        <f t="array" aca="1" ref="D8" ca="1">INDIRECT(ADDRESS(MATCH('Plant Overview'!$E$8,'Cost Conversion'!$B$3:$B$48,0)+2,3))/C8</f>
        <v>1.5128140065973104</v>
      </c>
      <c r="E8" s="83"/>
      <c r="F8" s="147" t="s">
        <v>483</v>
      </c>
      <c r="G8" s="293">
        <v>1.2</v>
      </c>
      <c r="H8" s="230"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2">
        <v>2001</v>
      </c>
      <c r="C9" s="112">
        <v>394.3</v>
      </c>
      <c r="D9" s="230" cm="1">
        <f t="array" aca="1" ref="D9" ca="1">INDIRECT(ADDRESS(MATCH('Plant Overview'!$E$8,'Cost Conversion'!$B$3:$B$48,0)+2,3))/C9</f>
        <v>1.5120466649759068</v>
      </c>
      <c r="E9" s="83"/>
      <c r="F9" s="147" t="s">
        <v>595</v>
      </c>
      <c r="G9" s="277">
        <v>0.9</v>
      </c>
      <c r="H9" s="230"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2">
        <v>2002</v>
      </c>
      <c r="C10" s="112">
        <v>395.6</v>
      </c>
      <c r="D10" s="230" cm="1">
        <f t="array" aca="1" ref="D10" ca="1">INDIRECT(ADDRESS(MATCH('Plant Overview'!$E$8,'Cost Conversion'!$B$3:$B$48,0)+2,3))/C10</f>
        <v>1.5070778564206269</v>
      </c>
      <c r="E10" s="83"/>
      <c r="F10" s="147" t="s">
        <v>478</v>
      </c>
      <c r="G10" s="293">
        <v>0.95</v>
      </c>
      <c r="H10" s="230"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2">
        <v>2003</v>
      </c>
      <c r="C11" s="112">
        <v>402</v>
      </c>
      <c r="D11" s="230" cm="1">
        <f t="array" aca="1" ref="D11" ca="1">INDIRECT(ADDRESS(MATCH('Plant Overview'!$E$8,'Cost Conversion'!$B$3:$B$48,0)+2,3))/C11</f>
        <v>1.4830845771144279</v>
      </c>
      <c r="E11" s="83"/>
      <c r="F11" s="147" t="s">
        <v>597</v>
      </c>
      <c r="G11" s="277">
        <v>0.95</v>
      </c>
      <c r="H11" s="230"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2">
        <v>2004</v>
      </c>
      <c r="C12" s="112">
        <v>444.2</v>
      </c>
      <c r="D12" s="230" cm="1">
        <f t="array" aca="1" ref="D12" ca="1">INDIRECT(ADDRESS(MATCH('Plant Overview'!$E$8,'Cost Conversion'!$B$3:$B$48,0)+2,3))/C12</f>
        <v>1.3421882035119317</v>
      </c>
      <c r="E12" s="83"/>
      <c r="F12" s="147" t="s">
        <v>479</v>
      </c>
      <c r="G12" s="293">
        <v>1.1499999999999999</v>
      </c>
      <c r="H12" s="230"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2">
        <v>2005</v>
      </c>
      <c r="C13" s="112">
        <v>468.2</v>
      </c>
      <c r="D13" s="230" cm="1">
        <f t="array" aca="1" ref="D13" ca="1">INDIRECT(ADDRESS(MATCH('Plant Overview'!$E$8,'Cost Conversion'!$B$3:$B$48,0)+2,3))/C13</f>
        <v>1.2733874412644171</v>
      </c>
      <c r="E13" s="83"/>
      <c r="F13" s="147" t="s">
        <v>596</v>
      </c>
      <c r="G13" s="277">
        <v>1.3</v>
      </c>
      <c r="H13" s="230"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2">
        <v>2006</v>
      </c>
      <c r="C14" s="112">
        <v>499.6</v>
      </c>
      <c r="D14" s="230" cm="1">
        <f t="array" aca="1" ref="D14" ca="1">INDIRECT(ADDRESS(MATCH('Plant Overview'!$E$8,'Cost Conversion'!$B$3:$B$48,0)+2,3))/C14</f>
        <v>1.1933546837469977</v>
      </c>
      <c r="E14" s="83"/>
      <c r="F14" s="147" t="s">
        <v>480</v>
      </c>
      <c r="G14" s="293">
        <v>0.85</v>
      </c>
      <c r="H14" s="230"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2">
        <v>2007</v>
      </c>
      <c r="C15" s="112">
        <v>525.4</v>
      </c>
      <c r="D15" s="230" cm="1">
        <f t="array" aca="1" ref="D15" ca="1">INDIRECT(ADDRESS(MATCH('Plant Overview'!$E$8,'Cost Conversion'!$B$3:$B$48,0)+2,3))/C15</f>
        <v>1.134754472782642</v>
      </c>
      <c r="E15" s="83"/>
      <c r="F15" s="147" t="s">
        <v>592</v>
      </c>
      <c r="G15" s="277">
        <v>0.75</v>
      </c>
      <c r="H15" s="230"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2">
        <v>2008</v>
      </c>
      <c r="C16" s="112">
        <v>575.4</v>
      </c>
      <c r="D16" s="230" cm="1">
        <f t="array" aca="1" ref="D16" ca="1">INDIRECT(ADDRESS(MATCH('Plant Overview'!$E$8,'Cost Conversion'!$B$3:$B$48,0)+2,3))/C16</f>
        <v>1.0361487660757736</v>
      </c>
      <c r="E16" s="83"/>
      <c r="F16" s="147" t="s">
        <v>593</v>
      </c>
      <c r="G16" s="277">
        <v>0.85</v>
      </c>
      <c r="H16" s="230"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2">
        <v>2009</v>
      </c>
      <c r="C17" s="112">
        <v>521.9</v>
      </c>
      <c r="D17" s="230" cm="1">
        <f t="array" aca="1" ref="D17" ca="1">INDIRECT(ADDRESS(MATCH('Plant Overview'!$E$8,'Cost Conversion'!$B$3:$B$48,0)+2,3))/C17</f>
        <v>1.1423644376317303</v>
      </c>
      <c r="E17" s="83"/>
      <c r="F17" s="147" t="s">
        <v>594</v>
      </c>
      <c r="G17" s="277">
        <v>0.9</v>
      </c>
      <c r="H17" s="230"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2">
        <v>2010</v>
      </c>
      <c r="C18" s="112">
        <v>550.79999999999995</v>
      </c>
      <c r="D18" s="230" cm="1">
        <f t="array" aca="1" ref="D18" ca="1">INDIRECT(ADDRESS(MATCH('Plant Overview'!$E$8,'Cost Conversion'!$B$3:$B$48,0)+2,3))/C18</f>
        <v>1.08242556281772</v>
      </c>
      <c r="E18" s="83"/>
      <c r="F18" s="147"/>
      <c r="G18" s="293">
        <v>1</v>
      </c>
      <c r="H18" s="230"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2">
        <v>2011</v>
      </c>
      <c r="C19" s="112">
        <v>585.70000000000005</v>
      </c>
      <c r="D19" s="230" cm="1">
        <f t="array" aca="1" ref="D19" ca="1">INDIRECT(ADDRESS(MATCH('Plant Overview'!$E$8,'Cost Conversion'!$B$3:$B$48,0)+2,3))/C19</f>
        <v>1.0179272665186956</v>
      </c>
      <c r="E19" s="83"/>
      <c r="F19" s="147"/>
      <c r="G19" s="293">
        <v>1</v>
      </c>
      <c r="H19" s="230"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2">
        <v>2012</v>
      </c>
      <c r="C20" s="112">
        <v>584.6</v>
      </c>
      <c r="D20" s="230" cm="1">
        <f t="array" aca="1" ref="D20" ca="1">INDIRECT(ADDRESS(MATCH('Plant Overview'!$E$8,'Cost Conversion'!$B$3:$B$48,0)+2,3))/C20</f>
        <v>1.0198426274375643</v>
      </c>
      <c r="E20" s="83"/>
      <c r="F20" s="147"/>
      <c r="G20" s="293">
        <v>1</v>
      </c>
      <c r="H20" s="230"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2">
        <v>2013</v>
      </c>
      <c r="C21" s="112">
        <v>567.29999999999995</v>
      </c>
      <c r="D21" s="230" cm="1">
        <f t="array" aca="1" ref="D21" ca="1">INDIRECT(ADDRESS(MATCH('Plant Overview'!$E$8,'Cost Conversion'!$B$3:$B$48,0)+2,3))/C21</f>
        <v>1.0509430636347614</v>
      </c>
      <c r="E21" s="83"/>
      <c r="F21" s="147"/>
      <c r="G21" s="293">
        <v>1</v>
      </c>
      <c r="H21" s="230"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2">
        <v>2014</v>
      </c>
      <c r="C22" s="112">
        <v>576.1</v>
      </c>
      <c r="D22" s="230" cm="1">
        <f t="array" aca="1" ref="D22" ca="1">INDIRECT(ADDRESS(MATCH('Plant Overview'!$E$8,'Cost Conversion'!$B$3:$B$48,0)+2,3))/C22</f>
        <v>1.0348897760805416</v>
      </c>
      <c r="E22" s="83"/>
      <c r="F22" s="173"/>
      <c r="G22" s="278">
        <v>1</v>
      </c>
      <c r="H22" s="231"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2">
        <v>2015</v>
      </c>
      <c r="C23" s="112">
        <v>557</v>
      </c>
      <c r="D23" s="230" cm="1">
        <f t="array" aca="1" ref="D23" ca="1">INDIRECT(ADDRESS(MATCH('Plant Overview'!$E$8,'Cost Conversion'!$B$3:$B$48,0)+2,3))/C23</f>
        <v>1.0703770197486535</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2">
        <v>2016</v>
      </c>
      <c r="C24" s="112">
        <v>542</v>
      </c>
      <c r="D24" s="230" cm="1">
        <f t="array" aca="1" ref="D24" ca="1">INDIRECT(ADDRESS(MATCH('Plant Overview'!$E$8,'Cost Conversion'!$B$3:$B$48,0)+2,3))/C24</f>
        <v>1.1000000000000001</v>
      </c>
      <c r="E24" s="83"/>
      <c r="G24" s="912" t="s">
        <v>606</v>
      </c>
      <c r="H24" s="912"/>
      <c r="I24" s="912"/>
      <c r="J24" s="304" t="s">
        <v>605</v>
      </c>
      <c r="K24" s="279">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2">
        <v>2017</v>
      </c>
      <c r="C25" s="112">
        <v>567.5</v>
      </c>
      <c r="D25" s="230" cm="1">
        <f t="array" aca="1" ref="D25" ca="1">INDIRECT(ADDRESS(MATCH('Plant Overview'!$E$8,'Cost Conversion'!$B$3:$B$48,0)+2,3))/C25</f>
        <v>1.0505726872246697</v>
      </c>
      <c r="E25" s="83"/>
      <c r="F25" s="299" t="s">
        <v>472</v>
      </c>
      <c r="G25" s="299" t="s">
        <v>229</v>
      </c>
      <c r="H25" s="304"/>
      <c r="I25" s="300"/>
      <c r="J25" s="306" t="s">
        <v>621</v>
      </c>
      <c r="K25" s="300" t="s">
        <v>607</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2">
        <v>2018</v>
      </c>
      <c r="C26" s="112">
        <v>603.1</v>
      </c>
      <c r="D26" s="230" cm="1">
        <f t="array" aca="1" ref="D26" ca="1">INDIRECT(ADDRESS(MATCH('Plant Overview'!$E$8,'Cost Conversion'!$B$3:$B$48,0)+2,3))/C26</f>
        <v>0.98855911125849782</v>
      </c>
      <c r="E26" s="83"/>
      <c r="F26" s="301" t="s">
        <v>599</v>
      </c>
      <c r="G26" s="293">
        <v>1</v>
      </c>
      <c r="H26" s="210">
        <v>1</v>
      </c>
      <c r="I26" s="294">
        <v>1</v>
      </c>
      <c r="J26" s="232">
        <f t="shared" ref="J26:J38" si="0">H26*I26</f>
        <v>1</v>
      </c>
      <c r="K26" s="294">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2">
        <v>2019</v>
      </c>
      <c r="C27" s="112">
        <v>607.5</v>
      </c>
      <c r="D27" s="230" cm="1">
        <f t="array" aca="1" ref="D27" ca="1">INDIRECT(ADDRESS(MATCH('Plant Overview'!$E$8,'Cost Conversion'!$B$3:$B$48,0)+2,3))/C27</f>
        <v>0.98139917695473255</v>
      </c>
      <c r="E27" s="83"/>
      <c r="F27" s="301" t="s">
        <v>600</v>
      </c>
      <c r="G27" s="293">
        <v>0.95</v>
      </c>
      <c r="H27" s="210">
        <v>1.19</v>
      </c>
      <c r="I27" s="294">
        <v>1.04</v>
      </c>
      <c r="J27" s="232">
        <f t="shared" si="0"/>
        <v>1.2376</v>
      </c>
      <c r="K27" s="294">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2">
        <v>2020</v>
      </c>
      <c r="C28" s="112">
        <v>596.20000000000005</v>
      </c>
      <c r="D28" s="230" cm="1">
        <f t="array" aca="1" ref="D28" ca="1">INDIRECT(ADDRESS(MATCH('Plant Overview'!$E$8,'Cost Conversion'!$B$3:$B$48,0)+2,3))/C28</f>
        <v>1</v>
      </c>
      <c r="E28" s="83"/>
      <c r="F28" s="301" t="s">
        <v>601</v>
      </c>
      <c r="G28" s="293">
        <v>1.01</v>
      </c>
      <c r="H28" s="210">
        <v>1.54</v>
      </c>
      <c r="I28" s="294">
        <v>1.87</v>
      </c>
      <c r="J28" s="232">
        <f t="shared" si="0"/>
        <v>2.8798000000000004</v>
      </c>
      <c r="K28" s="294">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2">
        <v>2021</v>
      </c>
      <c r="C29" s="112">
        <v>708.8</v>
      </c>
      <c r="D29" s="230" cm="1">
        <f t="array" aca="1" ref="D29" ca="1">INDIRECT(ADDRESS(MATCH('Plant Overview'!$E$8,'Cost Conversion'!$B$3:$B$48,0)+2,3))/C29</f>
        <v>0.84113995485327331</v>
      </c>
      <c r="E29" s="83"/>
      <c r="F29" s="301" t="s">
        <v>602</v>
      </c>
      <c r="G29" s="293">
        <v>1.1000000000000001</v>
      </c>
      <c r="H29" s="210">
        <v>1.4</v>
      </c>
      <c r="I29" s="294">
        <v>1.3</v>
      </c>
      <c r="J29" s="232">
        <f t="shared" si="0"/>
        <v>1.8199999999999998</v>
      </c>
      <c r="K29" s="294">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2">
        <v>2022</v>
      </c>
      <c r="C30" s="112">
        <v>816</v>
      </c>
      <c r="D30" s="230" cm="1">
        <f t="array" aca="1" ref="D30" ca="1">INDIRECT(ADDRESS(MATCH('Plant Overview'!$E$8,'Cost Conversion'!$B$3:$B$48,0)+2,3))/C30</f>
        <v>0.73063725490196085</v>
      </c>
      <c r="E30" s="83"/>
      <c r="F30" s="301" t="s">
        <v>592</v>
      </c>
      <c r="G30" s="293">
        <v>0.87</v>
      </c>
      <c r="H30" s="210">
        <v>2.86</v>
      </c>
      <c r="I30" s="294">
        <v>0.21</v>
      </c>
      <c r="J30" s="232">
        <f t="shared" si="0"/>
        <v>0.60059999999999991</v>
      </c>
      <c r="K30" s="294">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2">
        <v>2023</v>
      </c>
      <c r="C31" s="112">
        <v>797.9</v>
      </c>
      <c r="D31" s="230" cm="1">
        <f t="array" aca="1" ref="D31" ca="1">INDIRECT(ADDRESS(MATCH('Plant Overview'!$E$8,'Cost Conversion'!$B$3:$B$48,0)+2,3))/C31</f>
        <v>0.74721143000376</v>
      </c>
      <c r="E31" s="83"/>
      <c r="F31" s="301" t="s">
        <v>595</v>
      </c>
      <c r="G31" s="293">
        <v>0.93</v>
      </c>
      <c r="H31" s="210">
        <v>1.6</v>
      </c>
      <c r="I31" s="294">
        <v>0.55000000000000004</v>
      </c>
      <c r="J31" s="232">
        <f t="shared" si="0"/>
        <v>0.88000000000000012</v>
      </c>
      <c r="K31" s="294">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2">
        <v>2024</v>
      </c>
      <c r="C32" s="112">
        <v>798.8</v>
      </c>
      <c r="D32" s="230" cm="1">
        <f t="array" aca="1" ref="D32" ca="1">INDIRECT(ADDRESS(MATCH('Plant Overview'!$E$8,'Cost Conversion'!$B$3:$B$48,0)+2,3))/C32</f>
        <v>0.74636955433149732</v>
      </c>
      <c r="E32" s="83"/>
      <c r="F32" s="301" t="s">
        <v>603</v>
      </c>
      <c r="G32" s="293">
        <v>1.01</v>
      </c>
      <c r="H32" s="210">
        <v>1.25</v>
      </c>
      <c r="I32" s="294">
        <v>1.36</v>
      </c>
      <c r="J32" s="232">
        <f t="shared" si="0"/>
        <v>1.7000000000000002</v>
      </c>
      <c r="K32" s="294">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2">
        <v>2025</v>
      </c>
      <c r="C33" s="271">
        <v>672.900000000001</v>
      </c>
      <c r="D33" s="230" cm="1">
        <f t="array" aca="1" ref="D33" ca="1">INDIRECT(ADDRESS(MATCH('Plant Overview'!$E$8,'Cost Conversion'!$B$3:$B$48,0)+2,3))/C33</f>
        <v>0.88601575271214028</v>
      </c>
      <c r="E33" s="83"/>
      <c r="F33" s="301" t="s">
        <v>480</v>
      </c>
      <c r="G33" s="293">
        <v>0.94</v>
      </c>
      <c r="H33" s="210">
        <v>3.03</v>
      </c>
      <c r="I33" s="294">
        <v>0.35</v>
      </c>
      <c r="J33" s="232">
        <f t="shared" si="0"/>
        <v>1.0604999999999998</v>
      </c>
      <c r="K33" s="294">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2">
        <v>2026</v>
      </c>
      <c r="C34" s="271">
        <v>681.70000000000095</v>
      </c>
      <c r="D34" s="230" cm="1">
        <f t="array" aca="1" ref="D34" ca="1">INDIRECT(ADDRESS(MATCH('Plant Overview'!$E$8,'Cost Conversion'!$B$3:$B$48,0)+2,3))/C34</f>
        <v>0.87457826023177232</v>
      </c>
      <c r="E34" s="83"/>
      <c r="F34" s="301" t="s">
        <v>479</v>
      </c>
      <c r="G34" s="293">
        <v>0.9</v>
      </c>
      <c r="H34" s="210">
        <v>1.22</v>
      </c>
      <c r="I34" s="294">
        <v>0.92</v>
      </c>
      <c r="J34" s="232">
        <f t="shared" si="0"/>
        <v>1.1224000000000001</v>
      </c>
      <c r="K34" s="294">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2">
        <v>2027</v>
      </c>
      <c r="C35" s="271">
        <v>690.50000000000102</v>
      </c>
      <c r="D35" s="230" cm="1">
        <f t="array" aca="1" ref="D35" ca="1">INDIRECT(ADDRESS(MATCH('Plant Overview'!$E$8,'Cost Conversion'!$B$3:$B$48,0)+2,3))/C35</f>
        <v>0.86343229543808708</v>
      </c>
      <c r="E35" s="83"/>
      <c r="F35" s="301" t="s">
        <v>594</v>
      </c>
      <c r="G35" s="293">
        <v>0.94</v>
      </c>
      <c r="H35" s="210">
        <v>2.2999999999999998</v>
      </c>
      <c r="I35" s="294">
        <v>0.32</v>
      </c>
      <c r="J35" s="232">
        <f t="shared" si="0"/>
        <v>0.73599999999999999</v>
      </c>
      <c r="K35" s="294">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2">
        <v>2028</v>
      </c>
      <c r="C36" s="271">
        <v>699.30000000000098</v>
      </c>
      <c r="D36" s="230" cm="1">
        <f t="array" aca="1" ref="D36" ca="1">INDIRECT(ADDRESS(MATCH('Plant Overview'!$E$8,'Cost Conversion'!$B$3:$B$48,0)+2,3))/C36</f>
        <v>0.85256685256685139</v>
      </c>
      <c r="E36" s="83"/>
      <c r="F36" s="301" t="s">
        <v>604</v>
      </c>
      <c r="G36" s="293">
        <v>1.05</v>
      </c>
      <c r="H36" s="210">
        <v>2.8</v>
      </c>
      <c r="I36" s="294">
        <v>0.95</v>
      </c>
      <c r="J36" s="232">
        <f t="shared" si="0"/>
        <v>2.6599999999999997</v>
      </c>
      <c r="K36" s="294">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2">
        <v>2029</v>
      </c>
      <c r="C37" s="271">
        <v>708.10000000000105</v>
      </c>
      <c r="D37" s="230" cm="1">
        <f t="array" aca="1" ref="D37" ca="1">INDIRECT(ADDRESS(MATCH('Plant Overview'!$E$8,'Cost Conversion'!$B$3:$B$48,0)+2,3))/C37</f>
        <v>0.841971472955796</v>
      </c>
      <c r="E37" s="83"/>
      <c r="F37" s="301" t="s">
        <v>597</v>
      </c>
      <c r="G37" s="293">
        <v>1.01</v>
      </c>
      <c r="H37" s="210">
        <v>2</v>
      </c>
      <c r="I37" s="294">
        <v>0.38</v>
      </c>
      <c r="J37" s="232">
        <f t="shared" si="0"/>
        <v>0.76</v>
      </c>
      <c r="K37" s="294">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2">
        <v>2030</v>
      </c>
      <c r="C38" s="271">
        <v>716.900000000001</v>
      </c>
      <c r="D38" s="230" cm="1">
        <f t="array" aca="1" ref="D38" ca="1">INDIRECT(ADDRESS(MATCH('Plant Overview'!$E$8,'Cost Conversion'!$B$3:$B$48,0)+2,3))/C38</f>
        <v>0.83163621146603317</v>
      </c>
      <c r="E38" s="83"/>
      <c r="F38" s="302" t="s">
        <v>593</v>
      </c>
      <c r="G38" s="295">
        <v>0.93</v>
      </c>
      <c r="H38" s="275">
        <v>2.2200000000000002</v>
      </c>
      <c r="I38" s="296">
        <v>0.32</v>
      </c>
      <c r="J38" s="276">
        <f t="shared" si="0"/>
        <v>0.71040000000000003</v>
      </c>
      <c r="K38" s="296">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2">
        <v>2031</v>
      </c>
      <c r="C39" s="271">
        <v>725.70000000000095</v>
      </c>
      <c r="D39" s="230" cm="1">
        <f t="array" aca="1" ref="D39" ca="1">INDIRECT(ADDRESS(MATCH('Plant Overview'!$E$8,'Cost Conversion'!$B$3:$B$48,0)+2,3))/C39</f>
        <v>0.82155160534656091</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2">
        <v>2032</v>
      </c>
      <c r="C40" s="271">
        <v>734.50000000000102</v>
      </c>
      <c r="D40" s="230" cm="1">
        <f t="array" aca="1" ref="D40" ca="1">INDIRECT(ADDRESS(MATCH('Plant Overview'!$E$8,'Cost Conversion'!$B$3:$B$48,0)+2,3))/C40</f>
        <v>0.81170864533696285</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2">
        <v>2033</v>
      </c>
      <c r="C41" s="271">
        <v>743.30000000000098</v>
      </c>
      <c r="D41" s="230" cm="1">
        <f t="array" aca="1" ref="D41" ca="1">INDIRECT(ADDRESS(MATCH('Plant Overview'!$E$8,'Cost Conversion'!$B$3:$B$48,0)+2,3))/C41</f>
        <v>0.80209874882281618</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2">
        <v>2034</v>
      </c>
      <c r="C42" s="271">
        <v>752.10000000000105</v>
      </c>
      <c r="D42" s="230" cm="1">
        <f t="array" aca="1" ref="D42" ca="1">INDIRECT(ADDRESS(MATCH('Plant Overview'!$E$8,'Cost Conversion'!$B$3:$B$48,0)+2,3))/C42</f>
        <v>0.79271373487568042</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2">
        <v>2035</v>
      </c>
      <c r="C43" s="271">
        <v>760.90000000000202</v>
      </c>
      <c r="D43" s="230" cm="1">
        <f t="array" aca="1" ref="D43" ca="1">INDIRECT(ADDRESS(MATCH('Plant Overview'!$E$8,'Cost Conversion'!$B$3:$B$48,0)+2,3))/C43</f>
        <v>0.78354580102509985</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2">
        <v>2036</v>
      </c>
      <c r="C44" s="271">
        <v>769.70000000000198</v>
      </c>
      <c r="D44" s="230" cm="1">
        <f t="array" aca="1" ref="D44" ca="1">INDIRECT(ADDRESS(MATCH('Plant Overview'!$E$8,'Cost Conversion'!$B$3:$B$48,0)+2,3))/C44</f>
        <v>0.77458750162400747</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2">
        <v>2037</v>
      </c>
      <c r="C45" s="271">
        <v>778.50000000000205</v>
      </c>
      <c r="D45" s="230" cm="1">
        <f t="array" aca="1" ref="D45" ca="1">INDIRECT(ADDRESS(MATCH('Plant Overview'!$E$8,'Cost Conversion'!$B$3:$B$48,0)+2,3))/C45</f>
        <v>0.7658317276814367</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2">
        <v>2038</v>
      </c>
      <c r="C46" s="271">
        <v>787.300000000002</v>
      </c>
      <c r="D46" s="230" cm="1">
        <f t="array" aca="1" ref="D46" ca="1">INDIRECT(ADDRESS(MATCH('Plant Overview'!$E$8,'Cost Conversion'!$B$3:$B$48,0)+2,3))/C46</f>
        <v>0.75727168804775624</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2">
        <v>2039</v>
      </c>
      <c r="C47" s="271">
        <v>796.10000000000196</v>
      </c>
      <c r="D47" s="230" cm="1">
        <f t="array" aca="1" ref="D47" ca="1">INDIRECT(ADDRESS(MATCH('Plant Overview'!$E$8,'Cost Conversion'!$B$3:$B$48,0)+2,3))/C47</f>
        <v>0.74890089184775599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07">
        <v>2040</v>
      </c>
      <c r="C48" s="272">
        <v>804.90000000000202</v>
      </c>
      <c r="D48" s="231" cm="1">
        <f t="array" aca="1" ref="D48" ca="1">INDIRECT(ADDRESS(MATCH('Plant Overview'!$E$8,'Cost Conversion'!$B$3:$B$48,0)+2,3))/C48</f>
        <v>0.74071313206609335</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BD163"/>
  <sheetViews>
    <sheetView showGridLines="0" zoomScale="25" zoomScaleNormal="25" workbookViewId="0">
      <selection activeCell="S78" sqref="S78"/>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 min="12" max="56" width="11.109375" style="655"/>
  </cols>
  <sheetData>
    <row r="2" spans="2:11" ht="25.95" customHeight="1" x14ac:dyDescent="0.3">
      <c r="B2" s="913" t="s">
        <v>330</v>
      </c>
      <c r="C2" s="914"/>
      <c r="D2" s="914"/>
      <c r="E2" s="914"/>
      <c r="F2" s="915"/>
    </row>
    <row r="3" spans="2:11" x14ac:dyDescent="0.3">
      <c r="B3" s="96"/>
      <c r="J3" s="282"/>
      <c r="K3" s="86" t="s">
        <v>624</v>
      </c>
    </row>
    <row r="4" spans="2:11" x14ac:dyDescent="0.3">
      <c r="B4" s="96"/>
      <c r="J4" s="283"/>
      <c r="K4" s="86" t="s">
        <v>625</v>
      </c>
    </row>
    <row r="5" spans="2:11" ht="18" x14ac:dyDescent="0.3">
      <c r="B5" s="87" t="s">
        <v>342</v>
      </c>
      <c r="C5" s="119" t="s">
        <v>312</v>
      </c>
      <c r="D5" s="120" t="s">
        <v>350</v>
      </c>
      <c r="E5" s="120" t="s">
        <v>286</v>
      </c>
      <c r="F5" s="121" t="s">
        <v>375</v>
      </c>
      <c r="G5" s="122" t="s">
        <v>623</v>
      </c>
      <c r="H5" s="120" t="s">
        <v>622</v>
      </c>
    </row>
    <row r="6" spans="2:11" ht="15.6" x14ac:dyDescent="0.3">
      <c r="B6" s="920">
        <v>1</v>
      </c>
      <c r="C6" s="917" t="s">
        <v>313</v>
      </c>
      <c r="D6" s="123" t="s">
        <v>238</v>
      </c>
      <c r="E6" s="123"/>
      <c r="F6" s="124"/>
      <c r="G6" s="268"/>
      <c r="H6" s="177"/>
    </row>
    <row r="7" spans="2:11" ht="15.6" x14ac:dyDescent="0.3">
      <c r="B7" s="921"/>
      <c r="C7" s="918"/>
      <c r="D7" s="125"/>
      <c r="E7" s="125" t="s">
        <v>290</v>
      </c>
      <c r="F7" s="126" t="s">
        <v>288</v>
      </c>
      <c r="G7" s="265"/>
      <c r="H7" s="92"/>
    </row>
    <row r="8" spans="2:11" ht="15.6" x14ac:dyDescent="0.3">
      <c r="B8" s="921"/>
      <c r="C8" s="918"/>
      <c r="D8" s="125"/>
      <c r="E8" s="125"/>
      <c r="F8" s="126" t="s">
        <v>294</v>
      </c>
      <c r="G8" s="265"/>
      <c r="H8" s="99"/>
    </row>
    <row r="9" spans="2:11" ht="15.6" x14ac:dyDescent="0.3">
      <c r="B9" s="921"/>
      <c r="C9" s="918"/>
      <c r="D9" s="125"/>
      <c r="E9" s="125"/>
      <c r="F9" s="126" t="s">
        <v>287</v>
      </c>
      <c r="G9" s="265"/>
      <c r="H9" s="99"/>
    </row>
    <row r="10" spans="2:11" ht="15.6" x14ac:dyDescent="0.3">
      <c r="B10" s="921"/>
      <c r="C10" s="918"/>
      <c r="D10" s="125"/>
      <c r="E10" s="125"/>
      <c r="F10" s="126" t="s">
        <v>289</v>
      </c>
      <c r="G10" s="284"/>
      <c r="H10" s="99" t="s">
        <v>229</v>
      </c>
    </row>
    <row r="11" spans="2:11" ht="15.6" x14ac:dyDescent="0.3">
      <c r="B11" s="921"/>
      <c r="C11" s="918"/>
      <c r="D11" s="125"/>
      <c r="E11" s="125" t="s">
        <v>397</v>
      </c>
      <c r="F11" s="126"/>
      <c r="G11" s="265"/>
      <c r="H11" s="99"/>
    </row>
    <row r="12" spans="2:11" ht="15.6" x14ac:dyDescent="0.3">
      <c r="B12" s="922"/>
      <c r="C12" s="919"/>
      <c r="D12" s="127"/>
      <c r="E12" s="127" t="s">
        <v>291</v>
      </c>
      <c r="F12" s="133"/>
      <c r="G12" s="266"/>
      <c r="H12" s="170"/>
    </row>
    <row r="13" spans="2:11" ht="15.6" x14ac:dyDescent="0.3">
      <c r="B13" s="921">
        <v>2</v>
      </c>
      <c r="C13" s="917" t="s">
        <v>418</v>
      </c>
      <c r="D13" s="128" t="s">
        <v>285</v>
      </c>
      <c r="E13" s="128"/>
      <c r="F13" s="123" t="s">
        <v>295</v>
      </c>
      <c r="G13" s="269"/>
      <c r="H13" s="177"/>
    </row>
    <row r="14" spans="2:11" ht="15.6" x14ac:dyDescent="0.3">
      <c r="B14" s="921"/>
      <c r="C14" s="918"/>
      <c r="D14" s="129"/>
      <c r="E14" s="129" t="s">
        <v>292</v>
      </c>
      <c r="F14" s="125" t="s">
        <v>296</v>
      </c>
      <c r="G14" s="96"/>
      <c r="H14" s="99"/>
    </row>
    <row r="15" spans="2:11" ht="15.6" x14ac:dyDescent="0.3">
      <c r="B15" s="921"/>
      <c r="C15" s="918"/>
      <c r="D15" s="129"/>
      <c r="E15" s="129" t="s">
        <v>338</v>
      </c>
      <c r="F15" s="125" t="s">
        <v>323</v>
      </c>
      <c r="G15" s="285"/>
      <c r="H15" s="99"/>
    </row>
    <row r="16" spans="2:11" ht="15.6" x14ac:dyDescent="0.3">
      <c r="B16" s="921"/>
      <c r="C16" s="918"/>
      <c r="D16" s="129"/>
      <c r="E16" s="129" t="s">
        <v>293</v>
      </c>
      <c r="F16" s="125" t="s">
        <v>324</v>
      </c>
      <c r="G16" s="96"/>
      <c r="H16" s="99"/>
    </row>
    <row r="17" spans="2:8" ht="15.6" x14ac:dyDescent="0.3">
      <c r="B17" s="921"/>
      <c r="C17" s="918"/>
      <c r="D17" s="129"/>
      <c r="E17" s="129" t="s">
        <v>297</v>
      </c>
      <c r="F17" s="125" t="s">
        <v>336</v>
      </c>
      <c r="G17" s="96"/>
      <c r="H17" s="99"/>
    </row>
    <row r="18" spans="2:8" ht="15.6" x14ac:dyDescent="0.3">
      <c r="B18" s="921"/>
      <c r="C18" s="918"/>
      <c r="D18" s="129"/>
      <c r="E18" s="129" t="s">
        <v>335</v>
      </c>
      <c r="F18" s="125" t="s">
        <v>337</v>
      </c>
      <c r="G18" s="96"/>
      <c r="H18" s="99"/>
    </row>
    <row r="19" spans="2:8" ht="15.6" x14ac:dyDescent="0.3">
      <c r="B19" s="921"/>
      <c r="C19" s="918"/>
      <c r="D19" s="129"/>
      <c r="E19" s="129" t="s">
        <v>339</v>
      </c>
      <c r="F19" s="125" t="s">
        <v>345</v>
      </c>
      <c r="G19" s="96"/>
      <c r="H19" s="99"/>
    </row>
    <row r="20" spans="2:8" ht="15.6" x14ac:dyDescent="0.3">
      <c r="B20" s="921"/>
      <c r="C20" s="918"/>
      <c r="D20" s="129"/>
      <c r="E20" s="129"/>
      <c r="F20" s="125" t="s">
        <v>346</v>
      </c>
      <c r="G20" s="96"/>
      <c r="H20" s="99"/>
    </row>
    <row r="21" spans="2:8" ht="15.6" x14ac:dyDescent="0.3">
      <c r="B21" s="921"/>
      <c r="C21" s="918"/>
      <c r="D21" s="129"/>
      <c r="E21" s="129"/>
      <c r="F21" s="125" t="s">
        <v>347</v>
      </c>
      <c r="G21" s="96"/>
      <c r="H21" s="99"/>
    </row>
    <row r="22" spans="2:8" ht="15.6" x14ac:dyDescent="0.3">
      <c r="B22" s="921"/>
      <c r="C22" s="918"/>
      <c r="D22" s="129" t="s">
        <v>317</v>
      </c>
      <c r="E22" s="129"/>
      <c r="F22" s="125"/>
      <c r="G22" s="96"/>
      <c r="H22" s="99"/>
    </row>
    <row r="23" spans="2:8" ht="15.6" x14ac:dyDescent="0.3">
      <c r="B23" s="921"/>
      <c r="C23" s="918"/>
      <c r="D23" s="129"/>
      <c r="E23" s="129" t="s">
        <v>318</v>
      </c>
      <c r="F23" s="125"/>
      <c r="G23" s="96"/>
      <c r="H23" s="99"/>
    </row>
    <row r="24" spans="2:8" ht="15.6" x14ac:dyDescent="0.3">
      <c r="B24" s="921"/>
      <c r="C24" s="918"/>
      <c r="D24" s="129"/>
      <c r="E24" s="129" t="s">
        <v>319</v>
      </c>
      <c r="F24" s="125"/>
      <c r="G24" s="96"/>
      <c r="H24" s="99"/>
    </row>
    <row r="25" spans="2:8" ht="15.6" x14ac:dyDescent="0.3">
      <c r="B25" s="921"/>
      <c r="C25" s="918"/>
      <c r="D25" s="129"/>
      <c r="E25" s="129" t="s">
        <v>389</v>
      </c>
      <c r="F25" s="125" t="s">
        <v>390</v>
      </c>
      <c r="G25" s="96"/>
      <c r="H25" s="99"/>
    </row>
    <row r="26" spans="2:8" ht="15.6" x14ac:dyDescent="0.3">
      <c r="B26" s="921"/>
      <c r="C26" s="918"/>
      <c r="D26" s="129"/>
      <c r="E26" s="129"/>
      <c r="F26" s="125" t="s">
        <v>391</v>
      </c>
      <c r="G26" s="96"/>
      <c r="H26" s="99"/>
    </row>
    <row r="27" spans="2:8" ht="15.6" x14ac:dyDescent="0.3">
      <c r="B27" s="922"/>
      <c r="C27" s="919"/>
      <c r="D27" s="130"/>
      <c r="E27" s="130" t="s">
        <v>433</v>
      </c>
      <c r="F27" s="127"/>
      <c r="G27" s="267"/>
      <c r="H27" s="170"/>
    </row>
    <row r="28" spans="2:8" ht="15.6" x14ac:dyDescent="0.3">
      <c r="B28" s="920">
        <v>3</v>
      </c>
      <c r="C28" s="775" t="s">
        <v>316</v>
      </c>
      <c r="D28" s="123" t="s">
        <v>40</v>
      </c>
      <c r="E28" s="123"/>
      <c r="F28" s="124"/>
      <c r="G28" s="268"/>
      <c r="H28" s="177"/>
    </row>
    <row r="29" spans="2:8" ht="15.6" x14ac:dyDescent="0.3">
      <c r="B29" s="921"/>
      <c r="C29" s="916"/>
      <c r="D29" s="125"/>
      <c r="E29" s="125" t="s">
        <v>298</v>
      </c>
      <c r="F29" s="126" t="s">
        <v>301</v>
      </c>
      <c r="G29" s="265"/>
      <c r="H29" s="99"/>
    </row>
    <row r="30" spans="2:8" ht="15.6" x14ac:dyDescent="0.3">
      <c r="B30" s="921"/>
      <c r="C30" s="916"/>
      <c r="D30" s="125"/>
      <c r="E30" s="125" t="s">
        <v>299</v>
      </c>
      <c r="F30" s="126" t="s">
        <v>302</v>
      </c>
      <c r="G30" s="265"/>
      <c r="H30" s="99"/>
    </row>
    <row r="31" spans="2:8" ht="15.6" x14ac:dyDescent="0.3">
      <c r="B31" s="921"/>
      <c r="C31" s="916"/>
      <c r="D31" s="125"/>
      <c r="E31" s="125" t="s">
        <v>300</v>
      </c>
      <c r="F31" s="126" t="s">
        <v>303</v>
      </c>
      <c r="G31" s="265"/>
      <c r="H31" s="99"/>
    </row>
    <row r="32" spans="2:8" ht="15.6" x14ac:dyDescent="0.3">
      <c r="B32" s="921"/>
      <c r="C32" s="916"/>
      <c r="D32" s="125"/>
      <c r="E32" s="125" t="s">
        <v>362</v>
      </c>
      <c r="F32" s="126"/>
      <c r="G32" s="265"/>
      <c r="H32" s="99"/>
    </row>
    <row r="33" spans="2:8" ht="15.6" x14ac:dyDescent="0.3">
      <c r="B33" s="921"/>
      <c r="C33" s="916"/>
      <c r="D33" s="125" t="s">
        <v>404</v>
      </c>
      <c r="E33" s="125" t="s">
        <v>41</v>
      </c>
      <c r="F33" s="126"/>
      <c r="G33" s="265"/>
      <c r="H33" s="99"/>
    </row>
    <row r="34" spans="2:8" ht="15.6" x14ac:dyDescent="0.3">
      <c r="B34" s="921"/>
      <c r="C34" s="916"/>
      <c r="D34" s="125"/>
      <c r="E34" s="125" t="s">
        <v>331</v>
      </c>
      <c r="F34" s="126" t="s">
        <v>409</v>
      </c>
      <c r="G34" s="265"/>
      <c r="H34" s="99"/>
    </row>
    <row r="35" spans="2:8" ht="15.6" x14ac:dyDescent="0.3">
      <c r="B35" s="921"/>
      <c r="C35" s="916"/>
      <c r="D35" s="125"/>
      <c r="E35" s="125"/>
      <c r="F35" s="126" t="s">
        <v>410</v>
      </c>
      <c r="G35" s="265"/>
      <c r="H35" s="99"/>
    </row>
    <row r="36" spans="2:8" ht="15.6" x14ac:dyDescent="0.3">
      <c r="B36" s="921"/>
      <c r="C36" s="916"/>
      <c r="D36" s="125"/>
      <c r="E36" s="125" t="s">
        <v>405</v>
      </c>
      <c r="F36" s="126" t="s">
        <v>408</v>
      </c>
      <c r="G36" s="265"/>
      <c r="H36" s="99"/>
    </row>
    <row r="37" spans="2:8" ht="15.6" x14ac:dyDescent="0.3">
      <c r="B37" s="921"/>
      <c r="C37" s="916"/>
      <c r="D37" s="125" t="s">
        <v>413</v>
      </c>
      <c r="E37" s="125" t="s">
        <v>332</v>
      </c>
      <c r="F37" s="126"/>
      <c r="G37" s="265"/>
      <c r="H37" s="99"/>
    </row>
    <row r="38" spans="2:8" ht="15.6" x14ac:dyDescent="0.3">
      <c r="B38" s="921"/>
      <c r="C38" s="916"/>
      <c r="D38" s="125"/>
      <c r="E38" s="125" t="s">
        <v>349</v>
      </c>
      <c r="F38" s="126"/>
      <c r="G38" s="265"/>
      <c r="H38" s="99"/>
    </row>
    <row r="39" spans="2:8" ht="15.6" x14ac:dyDescent="0.3">
      <c r="B39" s="921"/>
      <c r="C39" s="916"/>
      <c r="D39" s="125" t="s">
        <v>407</v>
      </c>
      <c r="E39" s="125" t="s">
        <v>435</v>
      </c>
      <c r="F39" s="126"/>
      <c r="G39" s="265"/>
      <c r="H39" s="99"/>
    </row>
    <row r="40" spans="2:8" ht="15.6" x14ac:dyDescent="0.3">
      <c r="B40" s="921"/>
      <c r="C40" s="916"/>
      <c r="D40" s="125" t="s">
        <v>436</v>
      </c>
      <c r="E40" s="125"/>
      <c r="F40" s="126"/>
      <c r="G40" s="265"/>
      <c r="H40" s="99"/>
    </row>
    <row r="41" spans="2:8" ht="15.6" x14ac:dyDescent="0.3">
      <c r="B41" s="921"/>
      <c r="C41" s="916"/>
      <c r="D41" s="125"/>
      <c r="E41" s="125" t="s">
        <v>403</v>
      </c>
      <c r="F41" s="126"/>
      <c r="G41" s="265"/>
      <c r="H41" s="99"/>
    </row>
    <row r="42" spans="2:8" ht="15.6" x14ac:dyDescent="0.3">
      <c r="B42" s="921"/>
      <c r="C42" s="916"/>
      <c r="D42" s="125"/>
      <c r="E42" s="125" t="s">
        <v>406</v>
      </c>
      <c r="F42" s="126"/>
      <c r="G42" s="265"/>
      <c r="H42" s="99"/>
    </row>
    <row r="43" spans="2:8" ht="15.6" x14ac:dyDescent="0.3">
      <c r="B43" s="921"/>
      <c r="C43" s="916"/>
      <c r="D43" s="125" t="s">
        <v>374</v>
      </c>
      <c r="E43" s="125"/>
      <c r="F43" s="126"/>
      <c r="G43" s="265"/>
      <c r="H43" s="99"/>
    </row>
    <row r="44" spans="2:8" ht="15.6" x14ac:dyDescent="0.3">
      <c r="B44" s="921"/>
      <c r="C44" s="916"/>
      <c r="D44" s="125" t="s">
        <v>401</v>
      </c>
      <c r="E44" s="125"/>
      <c r="F44" s="126"/>
      <c r="G44" s="265"/>
      <c r="H44" s="99"/>
    </row>
    <row r="45" spans="2:8" ht="15.6" x14ac:dyDescent="0.3">
      <c r="B45" s="921"/>
      <c r="C45" s="916"/>
      <c r="D45" s="125" t="s">
        <v>402</v>
      </c>
      <c r="E45" s="125"/>
      <c r="F45" s="126"/>
      <c r="G45" s="265"/>
      <c r="H45" s="99"/>
    </row>
    <row r="46" spans="2:8" ht="15.6" x14ac:dyDescent="0.3">
      <c r="B46" s="921"/>
      <c r="C46" s="916"/>
      <c r="D46" s="125"/>
      <c r="E46" s="125" t="s">
        <v>399</v>
      </c>
      <c r="F46" s="126"/>
      <c r="G46" s="265"/>
      <c r="H46" s="99"/>
    </row>
    <row r="47" spans="2:8" ht="15.6" x14ac:dyDescent="0.3">
      <c r="B47" s="921"/>
      <c r="C47" s="916"/>
      <c r="D47" s="125"/>
      <c r="E47" s="125" t="s">
        <v>411</v>
      </c>
      <c r="F47" s="126"/>
      <c r="G47" s="265"/>
      <c r="H47" s="99"/>
    </row>
    <row r="48" spans="2:8" ht="15.6" x14ac:dyDescent="0.3">
      <c r="B48" s="921"/>
      <c r="C48" s="916"/>
      <c r="D48" s="125" t="s">
        <v>355</v>
      </c>
      <c r="E48" s="125"/>
      <c r="F48" s="126"/>
      <c r="G48" s="265"/>
      <c r="H48" s="99"/>
    </row>
    <row r="49" spans="2:8" ht="15.6" x14ac:dyDescent="0.3">
      <c r="B49" s="921"/>
      <c r="C49" s="916"/>
      <c r="D49" s="131"/>
      <c r="E49" s="125" t="s">
        <v>412</v>
      </c>
      <c r="F49" s="126"/>
      <c r="G49" s="265"/>
      <c r="H49" s="99"/>
    </row>
    <row r="50" spans="2:8" ht="15.6" x14ac:dyDescent="0.3">
      <c r="B50" s="921"/>
      <c r="C50" s="916"/>
      <c r="D50" s="131"/>
      <c r="E50" s="125" t="s">
        <v>400</v>
      </c>
      <c r="F50" s="126"/>
      <c r="G50" s="265"/>
      <c r="H50" s="99"/>
    </row>
    <row r="51" spans="2:8" ht="15.6" x14ac:dyDescent="0.3">
      <c r="B51" s="922"/>
      <c r="C51" s="776"/>
      <c r="D51" s="280"/>
      <c r="E51" s="127" t="s">
        <v>363</v>
      </c>
      <c r="F51" s="133"/>
      <c r="G51" s="266"/>
      <c r="H51" s="170"/>
    </row>
    <row r="52" spans="2:8" ht="15.6" x14ac:dyDescent="0.3">
      <c r="B52" s="920">
        <v>4</v>
      </c>
      <c r="C52" s="923" t="s">
        <v>434</v>
      </c>
      <c r="D52" s="123" t="s">
        <v>344</v>
      </c>
      <c r="E52" s="128"/>
      <c r="F52" s="123"/>
      <c r="G52" s="268"/>
      <c r="H52" s="177"/>
    </row>
    <row r="53" spans="2:8" ht="15.6" x14ac:dyDescent="0.3">
      <c r="B53" s="921"/>
      <c r="C53" s="924"/>
      <c r="D53" s="125"/>
      <c r="E53" s="129" t="s">
        <v>307</v>
      </c>
      <c r="F53" s="125" t="s">
        <v>304</v>
      </c>
      <c r="G53" s="265"/>
      <c r="H53" s="99"/>
    </row>
    <row r="54" spans="2:8" ht="15.6" x14ac:dyDescent="0.3">
      <c r="B54" s="921"/>
      <c r="C54" s="924"/>
      <c r="D54" s="125"/>
      <c r="E54" s="129" t="s">
        <v>306</v>
      </c>
      <c r="F54" s="125" t="s">
        <v>305</v>
      </c>
      <c r="G54" s="265"/>
      <c r="H54" s="99"/>
    </row>
    <row r="55" spans="2:8" ht="15.6" x14ac:dyDescent="0.3">
      <c r="B55" s="921"/>
      <c r="C55" s="924"/>
      <c r="D55" s="125"/>
      <c r="E55" s="129" t="s">
        <v>428</v>
      </c>
      <c r="F55" s="125"/>
      <c r="G55" s="265"/>
      <c r="H55" s="99"/>
    </row>
    <row r="56" spans="2:8" ht="15.6" x14ac:dyDescent="0.3">
      <c r="B56" s="921"/>
      <c r="C56" s="924"/>
      <c r="D56" s="125" t="s">
        <v>343</v>
      </c>
      <c r="E56" s="129"/>
      <c r="F56" s="125"/>
      <c r="G56" s="265"/>
      <c r="H56" s="99"/>
    </row>
    <row r="57" spans="2:8" ht="15.6" x14ac:dyDescent="0.3">
      <c r="B57" s="921"/>
      <c r="C57" s="924"/>
      <c r="D57" s="125"/>
      <c r="E57" s="129" t="s">
        <v>307</v>
      </c>
      <c r="F57" s="125"/>
      <c r="G57" s="265"/>
      <c r="H57" s="99"/>
    </row>
    <row r="58" spans="2:8" ht="15.6" x14ac:dyDescent="0.3">
      <c r="B58" s="921"/>
      <c r="C58" s="924"/>
      <c r="D58" s="125" t="s">
        <v>429</v>
      </c>
      <c r="E58" s="281"/>
      <c r="F58" s="125"/>
      <c r="G58" s="265"/>
      <c r="H58" s="99"/>
    </row>
    <row r="59" spans="2:8" ht="15.6" x14ac:dyDescent="0.3">
      <c r="B59" s="921"/>
      <c r="C59" s="924"/>
      <c r="D59" s="125"/>
      <c r="E59" s="129" t="s">
        <v>422</v>
      </c>
      <c r="F59" s="125" t="s">
        <v>426</v>
      </c>
      <c r="G59" s="265"/>
      <c r="H59" s="99"/>
    </row>
    <row r="60" spans="2:8" ht="15.6" x14ac:dyDescent="0.3">
      <c r="B60" s="921"/>
      <c r="C60" s="924"/>
      <c r="D60" s="125"/>
      <c r="E60" s="129" t="s">
        <v>424</v>
      </c>
      <c r="F60" s="125" t="s">
        <v>200</v>
      </c>
      <c r="G60" s="265"/>
      <c r="H60" s="99"/>
    </row>
    <row r="61" spans="2:8" ht="15.6" x14ac:dyDescent="0.3">
      <c r="B61" s="921"/>
      <c r="C61" s="924"/>
      <c r="D61" s="125"/>
      <c r="E61" s="129" t="s">
        <v>423</v>
      </c>
      <c r="F61" s="125" t="s">
        <v>427</v>
      </c>
      <c r="G61" s="265"/>
      <c r="H61" s="99"/>
    </row>
    <row r="62" spans="2:8" ht="15.6" x14ac:dyDescent="0.3">
      <c r="B62" s="921"/>
      <c r="C62" s="924"/>
      <c r="D62" s="125" t="s">
        <v>626</v>
      </c>
      <c r="E62" s="129"/>
      <c r="F62" s="125"/>
      <c r="G62" s="265"/>
      <c r="H62" s="99"/>
    </row>
    <row r="63" spans="2:8" ht="15.6" x14ac:dyDescent="0.3">
      <c r="B63" s="922"/>
      <c r="C63" s="925"/>
      <c r="D63" s="127"/>
      <c r="E63" s="130"/>
      <c r="F63" s="127"/>
      <c r="G63" s="266"/>
      <c r="H63" s="170"/>
    </row>
    <row r="64" spans="2:8" ht="15.6" x14ac:dyDescent="0.3">
      <c r="B64" s="920">
        <v>5</v>
      </c>
      <c r="C64" s="917" t="s">
        <v>419</v>
      </c>
      <c r="D64" s="123" t="s">
        <v>328</v>
      </c>
      <c r="E64" s="123"/>
      <c r="F64" s="124"/>
      <c r="G64" s="268"/>
      <c r="H64" s="177"/>
    </row>
    <row r="65" spans="2:8" ht="15.6" x14ac:dyDescent="0.3">
      <c r="B65" s="921"/>
      <c r="C65" s="918"/>
      <c r="D65" s="125"/>
      <c r="E65" s="125" t="s">
        <v>308</v>
      </c>
      <c r="F65" s="126" t="s">
        <v>305</v>
      </c>
      <c r="G65" s="265"/>
      <c r="H65" s="99"/>
    </row>
    <row r="66" spans="2:8" ht="15.6" x14ac:dyDescent="0.3">
      <c r="B66" s="921"/>
      <c r="C66" s="918"/>
      <c r="D66" s="125"/>
      <c r="E66" s="125"/>
      <c r="F66" s="126" t="s">
        <v>310</v>
      </c>
      <c r="G66" s="265"/>
      <c r="H66" s="99"/>
    </row>
    <row r="67" spans="2:8" ht="15.6" x14ac:dyDescent="0.3">
      <c r="B67" s="921"/>
      <c r="C67" s="918"/>
      <c r="D67" s="125"/>
      <c r="E67" s="125" t="s">
        <v>309</v>
      </c>
      <c r="F67" s="131" t="s">
        <v>311</v>
      </c>
      <c r="G67" s="265"/>
      <c r="H67" s="99"/>
    </row>
    <row r="68" spans="2:8" ht="15.6" x14ac:dyDescent="0.3">
      <c r="B68" s="921"/>
      <c r="C68" s="918"/>
      <c r="D68" s="125"/>
      <c r="E68" s="125"/>
      <c r="F68" s="126" t="s">
        <v>260</v>
      </c>
      <c r="G68" s="265"/>
      <c r="H68" s="99"/>
    </row>
    <row r="69" spans="2:8" ht="15.6" x14ac:dyDescent="0.3">
      <c r="B69" s="921"/>
      <c r="C69" s="918"/>
      <c r="D69" s="125"/>
      <c r="E69" s="125" t="s">
        <v>334</v>
      </c>
      <c r="F69" s="126"/>
      <c r="G69" s="265"/>
      <c r="H69" s="99"/>
    </row>
    <row r="70" spans="2:8" ht="15.6" x14ac:dyDescent="0.3">
      <c r="B70" s="921"/>
      <c r="C70" s="918"/>
      <c r="D70" s="125" t="s">
        <v>417</v>
      </c>
      <c r="E70" s="125"/>
      <c r="F70" s="126"/>
      <c r="G70" s="265"/>
      <c r="H70" s="99"/>
    </row>
    <row r="71" spans="2:8" ht="15.6" x14ac:dyDescent="0.3">
      <c r="B71" s="921"/>
      <c r="C71" s="918"/>
      <c r="D71" s="125"/>
      <c r="E71" s="125" t="s">
        <v>291</v>
      </c>
      <c r="F71" s="126"/>
      <c r="G71" s="265"/>
      <c r="H71" s="99"/>
    </row>
    <row r="72" spans="2:8" ht="15.6" x14ac:dyDescent="0.3">
      <c r="B72" s="921"/>
      <c r="C72" s="918"/>
      <c r="D72" s="125" t="s">
        <v>392</v>
      </c>
      <c r="E72" s="125"/>
      <c r="F72" s="126"/>
      <c r="G72" s="265"/>
      <c r="H72" s="99"/>
    </row>
    <row r="73" spans="2:8" ht="15.6" x14ac:dyDescent="0.3">
      <c r="B73" s="921"/>
      <c r="C73" s="918"/>
      <c r="D73" s="125"/>
      <c r="E73" s="125" t="s">
        <v>393</v>
      </c>
      <c r="F73" s="126" t="s">
        <v>390</v>
      </c>
      <c r="G73" s="265"/>
      <c r="H73" s="99"/>
    </row>
    <row r="74" spans="2:8" ht="15.6" x14ac:dyDescent="0.3">
      <c r="B74" s="921"/>
      <c r="C74" s="918"/>
      <c r="D74" s="125"/>
      <c r="E74" s="125" t="s">
        <v>394</v>
      </c>
      <c r="F74" s="126" t="s">
        <v>395</v>
      </c>
      <c r="G74" s="265"/>
      <c r="H74" s="99"/>
    </row>
    <row r="75" spans="2:8" ht="15.6" x14ac:dyDescent="0.3">
      <c r="B75" s="921"/>
      <c r="C75" s="918"/>
      <c r="D75" s="125" t="s">
        <v>425</v>
      </c>
      <c r="E75" s="125"/>
      <c r="F75" s="126"/>
      <c r="G75" s="265"/>
      <c r="H75" s="99"/>
    </row>
    <row r="76" spans="2:8" ht="15.6" x14ac:dyDescent="0.3">
      <c r="B76" s="921"/>
      <c r="C76" s="918"/>
      <c r="D76" s="125"/>
      <c r="E76" s="125" t="s">
        <v>420</v>
      </c>
      <c r="F76" s="126"/>
      <c r="G76" s="265"/>
      <c r="H76" s="99"/>
    </row>
    <row r="77" spans="2:8" ht="15.6" x14ac:dyDescent="0.3">
      <c r="B77" s="921"/>
      <c r="C77" s="918"/>
      <c r="D77" s="125"/>
      <c r="E77" s="132"/>
      <c r="F77" s="126" t="s">
        <v>333</v>
      </c>
      <c r="G77" s="265"/>
      <c r="H77" s="99"/>
    </row>
    <row r="78" spans="2:8" ht="15.6" x14ac:dyDescent="0.3">
      <c r="B78" s="921"/>
      <c r="C78" s="918"/>
      <c r="D78" s="125"/>
      <c r="E78" s="132"/>
      <c r="F78" s="126" t="s">
        <v>432</v>
      </c>
      <c r="G78" s="265"/>
      <c r="H78" s="99"/>
    </row>
    <row r="79" spans="2:8" ht="15.6" x14ac:dyDescent="0.3">
      <c r="B79" s="921"/>
      <c r="C79" s="918"/>
      <c r="D79" s="125"/>
      <c r="E79" s="125" t="s">
        <v>421</v>
      </c>
      <c r="F79" s="126"/>
      <c r="G79" s="265"/>
      <c r="H79" s="99"/>
    </row>
    <row r="80" spans="2:8" ht="15.6" x14ac:dyDescent="0.3">
      <c r="B80" s="921"/>
      <c r="C80" s="918"/>
      <c r="D80" s="125"/>
      <c r="E80" s="125"/>
      <c r="F80" s="126"/>
      <c r="G80" s="265"/>
      <c r="H80" s="99"/>
    </row>
    <row r="81" spans="2:8" ht="15.6" x14ac:dyDescent="0.3">
      <c r="B81" s="921"/>
      <c r="C81" s="918"/>
      <c r="D81" s="125"/>
      <c r="E81" s="125"/>
      <c r="F81" s="126"/>
      <c r="G81" s="265"/>
      <c r="H81" s="99"/>
    </row>
    <row r="82" spans="2:8" ht="15.6" x14ac:dyDescent="0.3">
      <c r="B82" s="921"/>
      <c r="C82" s="918"/>
      <c r="D82" s="125"/>
      <c r="E82" s="125"/>
      <c r="F82" s="126"/>
      <c r="G82" s="265"/>
      <c r="H82" s="99"/>
    </row>
    <row r="83" spans="2:8" ht="15.6" x14ac:dyDescent="0.3">
      <c r="B83" s="922"/>
      <c r="C83" s="919"/>
      <c r="D83" s="127"/>
      <c r="E83" s="127"/>
      <c r="F83" s="133"/>
      <c r="G83" s="266"/>
      <c r="H83" s="170"/>
    </row>
    <row r="84" spans="2:8" ht="15.6" x14ac:dyDescent="0.3">
      <c r="B84" s="920">
        <v>6</v>
      </c>
      <c r="C84" s="775" t="s">
        <v>430</v>
      </c>
      <c r="D84" s="123" t="s">
        <v>326</v>
      </c>
      <c r="E84" s="123"/>
      <c r="F84" s="124"/>
      <c r="G84" s="268"/>
      <c r="H84" s="177"/>
    </row>
    <row r="85" spans="2:8" ht="15.6" x14ac:dyDescent="0.3">
      <c r="B85" s="921"/>
      <c r="C85" s="916"/>
      <c r="D85" s="125"/>
      <c r="E85" s="125" t="s">
        <v>320</v>
      </c>
      <c r="F85" s="126" t="s">
        <v>321</v>
      </c>
      <c r="G85" s="265"/>
      <c r="H85" s="99"/>
    </row>
    <row r="86" spans="2:8" ht="15.6" x14ac:dyDescent="0.3">
      <c r="B86" s="921"/>
      <c r="C86" s="916"/>
      <c r="D86" s="125"/>
      <c r="E86" s="125"/>
      <c r="F86" s="126" t="s">
        <v>325</v>
      </c>
      <c r="G86" s="265"/>
      <c r="H86" s="99"/>
    </row>
    <row r="87" spans="2:8" ht="15.6" x14ac:dyDescent="0.3">
      <c r="B87" s="921"/>
      <c r="C87" s="916"/>
      <c r="D87" s="125" t="s">
        <v>327</v>
      </c>
      <c r="E87" s="125"/>
      <c r="F87" s="126"/>
      <c r="G87" s="265"/>
      <c r="H87" s="99"/>
    </row>
    <row r="88" spans="2:8" ht="15.6" x14ac:dyDescent="0.3">
      <c r="B88" s="921"/>
      <c r="C88" s="916"/>
      <c r="D88" s="125"/>
      <c r="E88" s="125" t="s">
        <v>322</v>
      </c>
      <c r="F88" s="126"/>
      <c r="G88" s="265"/>
      <c r="H88" s="99"/>
    </row>
    <row r="89" spans="2:8" ht="15.6" x14ac:dyDescent="0.3">
      <c r="B89" s="921"/>
      <c r="C89" s="916"/>
      <c r="D89" s="125"/>
      <c r="E89" s="125" t="s">
        <v>329</v>
      </c>
      <c r="F89" s="126"/>
      <c r="G89" s="265"/>
      <c r="H89" s="99"/>
    </row>
    <row r="90" spans="2:8" ht="15.6" x14ac:dyDescent="0.3">
      <c r="B90" s="921"/>
      <c r="C90" s="916"/>
      <c r="D90" s="125"/>
      <c r="E90" s="125" t="s">
        <v>388</v>
      </c>
      <c r="F90" s="126"/>
      <c r="G90" s="265"/>
      <c r="H90" s="99"/>
    </row>
    <row r="91" spans="2:8" ht="15.6" x14ac:dyDescent="0.3">
      <c r="B91" s="921"/>
      <c r="C91" s="916"/>
      <c r="D91" s="125"/>
      <c r="E91" s="125"/>
      <c r="F91" s="126" t="s">
        <v>431</v>
      </c>
      <c r="G91" s="265"/>
      <c r="H91" s="99"/>
    </row>
    <row r="92" spans="2:8" ht="15.6" x14ac:dyDescent="0.3">
      <c r="B92" s="921"/>
      <c r="C92" s="916"/>
      <c r="D92" s="125" t="s">
        <v>360</v>
      </c>
      <c r="E92" s="125"/>
      <c r="F92" s="126"/>
      <c r="G92" s="265"/>
      <c r="H92" s="99"/>
    </row>
    <row r="93" spans="2:8" ht="15.6" x14ac:dyDescent="0.3">
      <c r="B93" s="921"/>
      <c r="C93" s="916"/>
      <c r="D93" s="125"/>
      <c r="E93" s="125" t="s">
        <v>361</v>
      </c>
      <c r="F93" s="126" t="s">
        <v>365</v>
      </c>
      <c r="G93" s="265"/>
      <c r="H93" s="99"/>
    </row>
    <row r="94" spans="2:8" ht="15.6" x14ac:dyDescent="0.3">
      <c r="B94" s="921"/>
      <c r="C94" s="916"/>
      <c r="D94" s="125"/>
      <c r="E94" s="125"/>
      <c r="F94" s="126" t="s">
        <v>366</v>
      </c>
      <c r="G94" s="265"/>
      <c r="H94" s="99"/>
    </row>
    <row r="95" spans="2:8" ht="15.6" x14ac:dyDescent="0.3">
      <c r="B95" s="921"/>
      <c r="C95" s="916"/>
      <c r="D95" s="125" t="s">
        <v>367</v>
      </c>
      <c r="E95" s="125"/>
      <c r="F95" s="126"/>
      <c r="G95" s="265"/>
      <c r="H95" s="99"/>
    </row>
    <row r="96" spans="2:8" ht="15.6" x14ac:dyDescent="0.3">
      <c r="B96" s="921"/>
      <c r="C96" s="916"/>
      <c r="D96" s="125"/>
      <c r="E96" s="125" t="s">
        <v>368</v>
      </c>
      <c r="F96" s="126" t="s">
        <v>370</v>
      </c>
      <c r="G96" s="265"/>
      <c r="H96" s="99"/>
    </row>
    <row r="97" spans="2:8" ht="15.6" x14ac:dyDescent="0.3">
      <c r="B97" s="921"/>
      <c r="C97" s="916"/>
      <c r="D97" s="125"/>
      <c r="E97" s="125" t="s">
        <v>369</v>
      </c>
      <c r="F97" s="126" t="s">
        <v>371</v>
      </c>
      <c r="G97" s="265"/>
      <c r="H97" s="99"/>
    </row>
    <row r="98" spans="2:8" ht="15.6" x14ac:dyDescent="0.3">
      <c r="B98" s="921"/>
      <c r="C98" s="916"/>
      <c r="D98" s="125"/>
      <c r="E98" s="125"/>
      <c r="F98" s="126" t="s">
        <v>372</v>
      </c>
      <c r="G98" s="265"/>
      <c r="H98" s="99"/>
    </row>
    <row r="99" spans="2:8" ht="15.6" x14ac:dyDescent="0.3">
      <c r="B99" s="922"/>
      <c r="C99" s="776"/>
      <c r="D99" s="127"/>
      <c r="E99" s="127" t="s">
        <v>373</v>
      </c>
      <c r="F99" s="133"/>
      <c r="G99" s="266"/>
      <c r="H99" s="170"/>
    </row>
    <row r="100" spans="2:8" ht="15.6" x14ac:dyDescent="0.3">
      <c r="B100" s="717">
        <v>7</v>
      </c>
      <c r="C100" s="916" t="s">
        <v>414</v>
      </c>
      <c r="D100" s="125"/>
      <c r="E100" s="125"/>
      <c r="F100" s="126"/>
      <c r="G100" s="265"/>
      <c r="H100" s="99"/>
    </row>
    <row r="101" spans="2:8" ht="15.6" x14ac:dyDescent="0.3">
      <c r="B101" s="885"/>
      <c r="C101" s="916"/>
      <c r="D101" s="125" t="s">
        <v>376</v>
      </c>
      <c r="E101" s="125" t="s">
        <v>377</v>
      </c>
      <c r="F101" s="126"/>
      <c r="G101" s="265"/>
      <c r="H101" s="99"/>
    </row>
    <row r="102" spans="2:8" ht="15.6" x14ac:dyDescent="0.3">
      <c r="B102" s="885"/>
      <c r="C102" s="916"/>
      <c r="D102" s="125"/>
      <c r="E102" s="125" t="s">
        <v>396</v>
      </c>
      <c r="F102" s="126" t="s">
        <v>380</v>
      </c>
      <c r="G102" s="265"/>
      <c r="H102" s="99"/>
    </row>
    <row r="103" spans="2:8" ht="15.6" x14ac:dyDescent="0.3">
      <c r="B103" s="885"/>
      <c r="C103" s="916"/>
      <c r="D103" s="125" t="s">
        <v>381</v>
      </c>
      <c r="E103" s="125"/>
      <c r="F103" s="126"/>
      <c r="G103" s="265"/>
      <c r="H103" s="99"/>
    </row>
    <row r="104" spans="2:8" ht="15.6" x14ac:dyDescent="0.3">
      <c r="B104" s="885"/>
      <c r="C104" s="916"/>
      <c r="D104" s="125"/>
      <c r="E104" s="125" t="s">
        <v>378</v>
      </c>
      <c r="F104" s="126" t="s">
        <v>415</v>
      </c>
      <c r="G104" s="265"/>
      <c r="H104" s="99"/>
    </row>
    <row r="105" spans="2:8" ht="15.6" x14ac:dyDescent="0.3">
      <c r="B105" s="885"/>
      <c r="C105" s="916"/>
      <c r="D105" s="125"/>
      <c r="E105" s="125" t="s">
        <v>382</v>
      </c>
      <c r="F105" s="126" t="s">
        <v>416</v>
      </c>
      <c r="G105" s="265"/>
      <c r="H105" s="99"/>
    </row>
    <row r="106" spans="2:8" ht="15.6" x14ac:dyDescent="0.3">
      <c r="B106" s="885"/>
      <c r="C106" s="916"/>
      <c r="D106" s="125"/>
      <c r="E106" s="125" t="s">
        <v>364</v>
      </c>
      <c r="F106" s="126"/>
      <c r="G106" s="265"/>
      <c r="H106" s="99"/>
    </row>
    <row r="107" spans="2:8" ht="15.6" x14ac:dyDescent="0.3">
      <c r="B107" s="885"/>
      <c r="C107" s="916"/>
      <c r="D107" s="125" t="s">
        <v>379</v>
      </c>
      <c r="E107" s="125"/>
      <c r="F107" s="126"/>
      <c r="G107" s="265"/>
      <c r="H107" s="99"/>
    </row>
    <row r="108" spans="2:8" ht="15.6" x14ac:dyDescent="0.3">
      <c r="B108" s="885"/>
      <c r="C108" s="916"/>
      <c r="D108" s="125"/>
      <c r="E108" s="125" t="s">
        <v>386</v>
      </c>
      <c r="F108" s="126"/>
      <c r="G108" s="265"/>
      <c r="H108" s="99"/>
    </row>
    <row r="109" spans="2:8" ht="15.6" x14ac:dyDescent="0.3">
      <c r="B109" s="885"/>
      <c r="C109" s="916"/>
      <c r="D109" s="125"/>
      <c r="E109" s="125" t="s">
        <v>398</v>
      </c>
      <c r="F109" s="126"/>
      <c r="G109" s="265"/>
      <c r="H109" s="99"/>
    </row>
    <row r="110" spans="2:8" ht="15.6" x14ac:dyDescent="0.3">
      <c r="B110" s="885"/>
      <c r="C110" s="916"/>
      <c r="D110" s="125" t="s">
        <v>384</v>
      </c>
      <c r="E110" s="132"/>
      <c r="F110" s="126"/>
      <c r="G110" s="265"/>
      <c r="H110" s="99"/>
    </row>
    <row r="111" spans="2:8" ht="15.6" x14ac:dyDescent="0.3">
      <c r="B111" s="885"/>
      <c r="C111" s="916"/>
      <c r="D111" s="125"/>
      <c r="E111" s="125" t="s">
        <v>383</v>
      </c>
      <c r="F111" s="126"/>
      <c r="G111" s="265"/>
      <c r="H111" s="99"/>
    </row>
    <row r="112" spans="2:8" ht="15.6" x14ac:dyDescent="0.3">
      <c r="B112" s="885"/>
      <c r="C112" s="916"/>
      <c r="D112" s="125"/>
      <c r="E112" s="125" t="s">
        <v>385</v>
      </c>
      <c r="F112" s="126"/>
      <c r="G112" s="265"/>
      <c r="H112" s="99"/>
    </row>
    <row r="113" spans="2:8" ht="15.6" x14ac:dyDescent="0.3">
      <c r="B113" s="720"/>
      <c r="C113" s="776"/>
      <c r="D113" s="127"/>
      <c r="E113" s="127" t="s">
        <v>387</v>
      </c>
      <c r="F113" s="133"/>
      <c r="G113" s="266"/>
      <c r="H113" s="170"/>
    </row>
    <row r="117" spans="2:8" x14ac:dyDescent="0.3">
      <c r="C117" t="s">
        <v>312</v>
      </c>
      <c r="D117" t="s">
        <v>459</v>
      </c>
      <c r="E117" s="217" t="s">
        <v>472</v>
      </c>
      <c r="F117" s="118" t="s">
        <v>315</v>
      </c>
      <c r="G117" s="96" t="s">
        <v>632</v>
      </c>
      <c r="H117" s="96" t="s">
        <v>633</v>
      </c>
    </row>
    <row r="118" spans="2:8" x14ac:dyDescent="0.3">
      <c r="C118" s="96" t="str">
        <f>+C6</f>
        <v>Oxidant Stream</v>
      </c>
      <c r="D118" s="96" t="s">
        <v>482</v>
      </c>
      <c r="E118" s="96" t="s">
        <v>473</v>
      </c>
      <c r="F118" s="270">
        <v>1995</v>
      </c>
      <c r="G118" s="96">
        <v>1</v>
      </c>
      <c r="H118" s="96">
        <v>1</v>
      </c>
    </row>
    <row r="119" spans="2:8" x14ac:dyDescent="0.3">
      <c r="C119" s="96" t="str">
        <f>+C13</f>
        <v>Primary Conversion</v>
      </c>
      <c r="D119" s="218" t="s">
        <v>452</v>
      </c>
      <c r="E119" s="96" t="s">
        <v>474</v>
      </c>
      <c r="F119" s="112">
        <v>1996</v>
      </c>
      <c r="G119" s="96">
        <v>2</v>
      </c>
      <c r="H119" s="96">
        <v>2</v>
      </c>
    </row>
    <row r="120" spans="2:8" x14ac:dyDescent="0.3">
      <c r="C120" s="96" t="str">
        <f>+C28</f>
        <v>Power Generation</v>
      </c>
      <c r="D120" s="96"/>
      <c r="E120" s="96" t="s">
        <v>475</v>
      </c>
      <c r="F120" s="112">
        <v>1997</v>
      </c>
      <c r="G120" s="96">
        <v>3</v>
      </c>
      <c r="H120" s="96">
        <v>3</v>
      </c>
    </row>
    <row r="121" spans="2:8" x14ac:dyDescent="0.3">
      <c r="C121" s="96" t="str">
        <f>+C64</f>
        <v>Secondary Conversion</v>
      </c>
      <c r="D121" s="96"/>
      <c r="E121" s="96" t="s">
        <v>476</v>
      </c>
      <c r="F121" s="112">
        <v>1998</v>
      </c>
      <c r="G121" s="96">
        <v>4</v>
      </c>
      <c r="H121" s="96">
        <v>4</v>
      </c>
    </row>
    <row r="122" spans="2:8" x14ac:dyDescent="0.3">
      <c r="C122" s="96" t="str">
        <f>+C84</f>
        <v>Contaminant Removal</v>
      </c>
      <c r="D122" s="96"/>
      <c r="E122" s="96" t="s">
        <v>477</v>
      </c>
      <c r="F122" s="112">
        <v>1999</v>
      </c>
      <c r="G122" s="96"/>
      <c r="H122" s="96">
        <v>5</v>
      </c>
    </row>
    <row r="123" spans="2:8" x14ac:dyDescent="0.3">
      <c r="C123" s="96" t="str">
        <f>+C100</f>
        <v>Energy Storage</v>
      </c>
      <c r="D123" s="96"/>
      <c r="E123" s="96" t="s">
        <v>483</v>
      </c>
      <c r="F123" s="112">
        <v>2000</v>
      </c>
      <c r="G123" s="96"/>
      <c r="H123" s="96">
        <v>6</v>
      </c>
    </row>
    <row r="124" spans="2:8" x14ac:dyDescent="0.3">
      <c r="C124" s="96" t="s">
        <v>434</v>
      </c>
      <c r="D124" s="96"/>
      <c r="E124" s="96" t="s">
        <v>595</v>
      </c>
      <c r="F124" s="112">
        <v>2001</v>
      </c>
      <c r="G124" s="96"/>
      <c r="H124" s="96">
        <v>7</v>
      </c>
    </row>
    <row r="125" spans="2:8" x14ac:dyDescent="0.3">
      <c r="C125" s="96"/>
      <c r="D125" s="96"/>
      <c r="E125" s="96" t="s">
        <v>478</v>
      </c>
      <c r="F125" s="112">
        <v>2002</v>
      </c>
      <c r="G125" s="96"/>
      <c r="H125" s="96">
        <v>8</v>
      </c>
    </row>
    <row r="126" spans="2:8" x14ac:dyDescent="0.3">
      <c r="C126" s="96"/>
      <c r="D126" s="96"/>
      <c r="E126" s="96" t="s">
        <v>597</v>
      </c>
      <c r="F126" s="112">
        <v>2003</v>
      </c>
      <c r="G126" s="96"/>
      <c r="H126" s="96">
        <v>9</v>
      </c>
    </row>
    <row r="127" spans="2:8" x14ac:dyDescent="0.3">
      <c r="C127" s="96"/>
      <c r="D127" s="96"/>
      <c r="E127" s="96" t="s">
        <v>479</v>
      </c>
      <c r="F127" s="112">
        <v>2004</v>
      </c>
      <c r="G127" s="96"/>
      <c r="H127" s="96">
        <v>10</v>
      </c>
    </row>
    <row r="128" spans="2:8" x14ac:dyDescent="0.3">
      <c r="E128" s="96" t="s">
        <v>596</v>
      </c>
      <c r="F128" s="112">
        <v>2005</v>
      </c>
      <c r="G128" s="96"/>
      <c r="H128" s="96">
        <v>11</v>
      </c>
    </row>
    <row r="129" spans="5:8" x14ac:dyDescent="0.3">
      <c r="E129" s="96" t="s">
        <v>620</v>
      </c>
      <c r="F129" s="112">
        <v>2006</v>
      </c>
      <c r="G129" s="96"/>
      <c r="H129" s="96">
        <v>12</v>
      </c>
    </row>
    <row r="130" spans="5:8" x14ac:dyDescent="0.3">
      <c r="E130" s="96" t="s">
        <v>592</v>
      </c>
      <c r="F130" s="112">
        <v>2007</v>
      </c>
      <c r="G130" s="96"/>
      <c r="H130" s="96">
        <v>13</v>
      </c>
    </row>
    <row r="131" spans="5:8" x14ac:dyDescent="0.3">
      <c r="E131" s="96" t="s">
        <v>593</v>
      </c>
      <c r="F131" s="112">
        <v>2008</v>
      </c>
      <c r="G131" s="96"/>
      <c r="H131" s="96">
        <v>14</v>
      </c>
    </row>
    <row r="132" spans="5:8" x14ac:dyDescent="0.3">
      <c r="E132" s="96" t="s">
        <v>594</v>
      </c>
      <c r="F132" s="112">
        <v>2009</v>
      </c>
      <c r="G132" s="96"/>
      <c r="H132" s="96">
        <v>15</v>
      </c>
    </row>
    <row r="133" spans="5:8" x14ac:dyDescent="0.3">
      <c r="F133" s="112">
        <v>2010</v>
      </c>
      <c r="G133" s="96"/>
      <c r="H133" s="96">
        <v>16</v>
      </c>
    </row>
    <row r="134" spans="5:8" x14ac:dyDescent="0.3">
      <c r="F134" s="112">
        <v>2011</v>
      </c>
      <c r="G134" s="96"/>
      <c r="H134" s="96">
        <v>17</v>
      </c>
    </row>
    <row r="135" spans="5:8" x14ac:dyDescent="0.3">
      <c r="F135" s="112">
        <v>2012</v>
      </c>
      <c r="G135" s="96"/>
      <c r="H135" s="96">
        <v>18</v>
      </c>
    </row>
    <row r="136" spans="5:8" x14ac:dyDescent="0.3">
      <c r="F136" s="112">
        <v>2013</v>
      </c>
      <c r="G136" s="96"/>
      <c r="H136" s="96">
        <v>19</v>
      </c>
    </row>
    <row r="137" spans="5:8" x14ac:dyDescent="0.3">
      <c r="F137" s="112">
        <v>2014</v>
      </c>
      <c r="G137" s="96"/>
      <c r="H137" s="96">
        <v>20</v>
      </c>
    </row>
    <row r="138" spans="5:8" x14ac:dyDescent="0.3">
      <c r="F138" s="112">
        <v>2015</v>
      </c>
      <c r="G138" s="96"/>
      <c r="H138" s="96">
        <v>21</v>
      </c>
    </row>
    <row r="139" spans="5:8" x14ac:dyDescent="0.3">
      <c r="F139" s="112">
        <v>2016</v>
      </c>
      <c r="G139" s="96"/>
      <c r="H139" s="96">
        <v>22</v>
      </c>
    </row>
    <row r="140" spans="5:8" x14ac:dyDescent="0.3">
      <c r="F140" s="112">
        <v>2017</v>
      </c>
      <c r="G140" s="96"/>
      <c r="H140" s="96">
        <v>23</v>
      </c>
    </row>
    <row r="141" spans="5:8" x14ac:dyDescent="0.3">
      <c r="F141" s="112">
        <v>2018</v>
      </c>
      <c r="G141" s="96"/>
      <c r="H141" s="96">
        <v>24</v>
      </c>
    </row>
    <row r="142" spans="5:8" x14ac:dyDescent="0.3">
      <c r="F142" s="112">
        <v>2019</v>
      </c>
      <c r="G142" s="96"/>
      <c r="H142" s="96">
        <v>25</v>
      </c>
    </row>
    <row r="143" spans="5:8" x14ac:dyDescent="0.3">
      <c r="F143" s="112">
        <v>2020</v>
      </c>
      <c r="G143" s="96"/>
      <c r="H143" s="96">
        <v>26</v>
      </c>
    </row>
    <row r="144" spans="5:8" x14ac:dyDescent="0.3">
      <c r="F144" s="112">
        <v>2021</v>
      </c>
      <c r="G144" s="96"/>
      <c r="H144" s="96">
        <v>27</v>
      </c>
    </row>
    <row r="145" spans="6:8" x14ac:dyDescent="0.3">
      <c r="F145" s="112">
        <v>2022</v>
      </c>
      <c r="G145" s="96"/>
      <c r="H145" s="96">
        <v>28</v>
      </c>
    </row>
    <row r="146" spans="6:8" x14ac:dyDescent="0.3">
      <c r="F146" s="112">
        <v>2023</v>
      </c>
      <c r="G146" s="96"/>
      <c r="H146" s="96">
        <v>29</v>
      </c>
    </row>
    <row r="147" spans="6:8" x14ac:dyDescent="0.3">
      <c r="F147" s="112">
        <v>2024</v>
      </c>
      <c r="G147" s="96"/>
      <c r="H147" s="96">
        <v>30</v>
      </c>
    </row>
    <row r="148" spans="6:8" x14ac:dyDescent="0.3">
      <c r="F148" s="112">
        <v>2025</v>
      </c>
      <c r="G148" s="96"/>
      <c r="H148" s="96">
        <v>31</v>
      </c>
    </row>
    <row r="149" spans="6:8" x14ac:dyDescent="0.3">
      <c r="F149" s="112">
        <v>2026</v>
      </c>
      <c r="G149" s="96"/>
      <c r="H149" s="96">
        <v>32</v>
      </c>
    </row>
    <row r="150" spans="6:8" x14ac:dyDescent="0.3">
      <c r="F150" s="112">
        <v>2027</v>
      </c>
      <c r="G150" s="96"/>
      <c r="H150" s="96">
        <v>33</v>
      </c>
    </row>
    <row r="151" spans="6:8" x14ac:dyDescent="0.3">
      <c r="F151" s="112">
        <v>2028</v>
      </c>
      <c r="G151" s="96"/>
      <c r="H151" s="96">
        <v>34</v>
      </c>
    </row>
    <row r="152" spans="6:8" x14ac:dyDescent="0.3">
      <c r="F152" s="112">
        <v>2029</v>
      </c>
      <c r="G152" s="96"/>
      <c r="H152" s="96">
        <v>35</v>
      </c>
    </row>
    <row r="153" spans="6:8" x14ac:dyDescent="0.3">
      <c r="F153" s="112">
        <v>2030</v>
      </c>
      <c r="G153" s="96"/>
      <c r="H153" s="96">
        <v>36</v>
      </c>
    </row>
    <row r="154" spans="6:8" x14ac:dyDescent="0.3">
      <c r="F154" s="112">
        <v>2031</v>
      </c>
      <c r="G154" s="96"/>
      <c r="H154" s="96">
        <v>37</v>
      </c>
    </row>
    <row r="155" spans="6:8" x14ac:dyDescent="0.3">
      <c r="F155" s="112">
        <v>2032</v>
      </c>
      <c r="G155" s="96"/>
      <c r="H155" s="96">
        <v>38</v>
      </c>
    </row>
    <row r="156" spans="6:8" x14ac:dyDescent="0.3">
      <c r="F156" s="112">
        <v>2033</v>
      </c>
      <c r="G156" s="96"/>
      <c r="H156" s="96">
        <v>39</v>
      </c>
    </row>
    <row r="157" spans="6:8" x14ac:dyDescent="0.3">
      <c r="F157" s="112">
        <v>2034</v>
      </c>
      <c r="G157" s="96"/>
      <c r="H157" s="96">
        <v>40</v>
      </c>
    </row>
    <row r="158" spans="6:8" x14ac:dyDescent="0.3">
      <c r="F158" s="112">
        <v>2035</v>
      </c>
    </row>
    <row r="159" spans="6:8" x14ac:dyDescent="0.3">
      <c r="F159" s="112">
        <v>2036</v>
      </c>
    </row>
    <row r="160" spans="6:8" x14ac:dyDescent="0.3">
      <c r="F160" s="112">
        <v>2037</v>
      </c>
    </row>
    <row r="161" spans="6:6" x14ac:dyDescent="0.3">
      <c r="F161" s="112">
        <v>2038</v>
      </c>
    </row>
    <row r="162" spans="6:6" x14ac:dyDescent="0.3">
      <c r="F162" s="112">
        <v>2039</v>
      </c>
    </row>
    <row r="163" spans="6:6" x14ac:dyDescent="0.3">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zoomScale="55" zoomScaleNormal="55" workbookViewId="0">
      <selection activeCell="B21" sqref="B21"/>
    </sheetView>
  </sheetViews>
  <sheetFormatPr defaultColWidth="11.109375" defaultRowHeight="14.4" x14ac:dyDescent="0.3"/>
  <cols>
    <col min="2" max="2" width="52.109375" bestFit="1" customWidth="1"/>
    <col min="4" max="4" width="11.109375"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531</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66" t="s">
        <v>648</v>
      </c>
      <c r="C2" s="753"/>
      <c r="D2" s="907"/>
      <c r="E2" s="907"/>
      <c r="F2" s="907"/>
      <c r="G2" s="907"/>
      <c r="H2" s="907"/>
      <c r="I2" s="907"/>
      <c r="J2" s="907"/>
      <c r="K2" s="907"/>
      <c r="L2" s="907"/>
      <c r="M2" s="907"/>
      <c r="N2" s="907"/>
      <c r="O2" s="907"/>
      <c r="P2" s="907"/>
      <c r="Q2" s="907"/>
      <c r="R2" s="907"/>
      <c r="S2" s="907"/>
      <c r="T2" s="907"/>
      <c r="U2" s="754"/>
    </row>
    <row r="3" spans="2:21" ht="18" x14ac:dyDescent="0.3">
      <c r="B3" s="750" t="s">
        <v>637</v>
      </c>
      <c r="C3" s="751"/>
      <c r="D3" s="751"/>
      <c r="E3" s="751"/>
      <c r="F3" s="751"/>
      <c r="G3" s="751"/>
      <c r="H3" s="751"/>
      <c r="I3" s="752"/>
      <c r="J3" s="750" t="s">
        <v>638</v>
      </c>
      <c r="K3" s="751"/>
      <c r="L3" s="751"/>
      <c r="M3" s="751"/>
      <c r="N3" s="751"/>
      <c r="O3" s="751"/>
      <c r="P3" s="751"/>
      <c r="Q3" s="751"/>
      <c r="R3" s="752"/>
      <c r="S3" s="750" t="s">
        <v>639</v>
      </c>
      <c r="T3" s="751"/>
      <c r="U3" s="752"/>
    </row>
    <row r="4" spans="2:21" ht="18" x14ac:dyDescent="0.3">
      <c r="B4" s="88" t="s">
        <v>356</v>
      </c>
      <c r="C4" s="88" t="s">
        <v>641</v>
      </c>
      <c r="D4" s="88" t="s">
        <v>493</v>
      </c>
      <c r="E4" s="89" t="s">
        <v>459</v>
      </c>
      <c r="F4" s="89" t="s">
        <v>315</v>
      </c>
      <c r="G4" s="89" t="s">
        <v>504</v>
      </c>
      <c r="H4" s="88" t="s">
        <v>501</v>
      </c>
      <c r="I4" s="312" t="s">
        <v>235</v>
      </c>
      <c r="J4" s="224" t="s">
        <v>461</v>
      </c>
      <c r="K4" s="224" t="s">
        <v>462</v>
      </c>
      <c r="L4" s="223" t="s">
        <v>581</v>
      </c>
      <c r="M4" s="225" t="s">
        <v>464</v>
      </c>
      <c r="N4" s="226" t="s">
        <v>463</v>
      </c>
      <c r="O4" s="225" t="s">
        <v>645</v>
      </c>
      <c r="P4" s="225" t="s">
        <v>646</v>
      </c>
      <c r="Q4" s="225" t="s">
        <v>460</v>
      </c>
      <c r="R4" s="90" t="s">
        <v>634</v>
      </c>
      <c r="S4" s="313" t="s">
        <v>642</v>
      </c>
      <c r="T4" s="926" t="s">
        <v>640</v>
      </c>
      <c r="U4" s="927"/>
    </row>
    <row r="5" spans="2:21" x14ac:dyDescent="0.3">
      <c r="B5" s="268"/>
      <c r="C5" s="269"/>
      <c r="D5" s="269"/>
      <c r="E5" s="269"/>
      <c r="F5" s="269"/>
      <c r="G5" s="269"/>
      <c r="H5" s="269"/>
      <c r="I5" s="269"/>
      <c r="J5" s="268"/>
      <c r="K5" s="269"/>
      <c r="L5" s="269"/>
      <c r="M5" s="190"/>
      <c r="N5" s="190"/>
      <c r="O5" s="190"/>
      <c r="P5" s="190"/>
      <c r="Q5" s="269"/>
      <c r="R5" s="172" t="str" cm="1">
        <f t="array" aca="1" ref="R5" ca="1">+IF(N5&gt;0,N5*INDIRECT(ADDRESS(MATCH(F5,'Cost Conversion'!$B$3:$B$48,0)+2,4,1,1,"Cost conversion"))*INDIRECT(ADDRESS(MATCH(G5,'Cost Conversion'!$F$3:$F$22,0)+2,8,1,1,"Cost conversion"))/IF(E5="$",'Cost Conversion'!$L$2,1),"")</f>
        <v/>
      </c>
      <c r="S5" s="329"/>
      <c r="T5" s="273"/>
      <c r="U5" s="113"/>
    </row>
    <row r="6" spans="2:21" x14ac:dyDescent="0.3">
      <c r="B6" s="265"/>
      <c r="C6" s="96"/>
      <c r="D6" s="96"/>
      <c r="E6" s="96"/>
      <c r="F6" s="96"/>
      <c r="G6" s="96"/>
      <c r="H6" s="96"/>
      <c r="I6" s="96"/>
      <c r="J6" s="265"/>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5"/>
      <c r="U6" s="84"/>
    </row>
    <row r="7" spans="2:21" x14ac:dyDescent="0.3">
      <c r="B7" s="265"/>
      <c r="C7" s="96"/>
      <c r="D7" s="96"/>
      <c r="E7" s="96"/>
      <c r="F7" s="96"/>
      <c r="G7" s="96"/>
      <c r="H7" s="96"/>
      <c r="I7" s="96"/>
      <c r="J7" s="265"/>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5"/>
      <c r="U7" s="84"/>
    </row>
    <row r="8" spans="2:21" x14ac:dyDescent="0.3">
      <c r="B8" s="265"/>
      <c r="C8" s="96"/>
      <c r="D8" s="96"/>
      <c r="E8" s="96"/>
      <c r="F8" s="96"/>
      <c r="G8" s="96"/>
      <c r="H8" s="96"/>
      <c r="I8" s="333"/>
      <c r="J8" s="265"/>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5"/>
      <c r="U8" s="84"/>
    </row>
    <row r="9" spans="2:21" x14ac:dyDescent="0.3">
      <c r="B9" s="265"/>
      <c r="C9" s="96"/>
      <c r="D9" s="96"/>
      <c r="E9" s="96"/>
      <c r="F9" s="96"/>
      <c r="G9" s="96"/>
      <c r="H9" s="96"/>
      <c r="I9" s="96"/>
      <c r="J9" s="265"/>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5"/>
      <c r="U9" s="84"/>
    </row>
    <row r="10" spans="2:21" x14ac:dyDescent="0.3">
      <c r="B10" s="266"/>
      <c r="C10" s="267"/>
      <c r="D10" s="267"/>
      <c r="E10" s="267"/>
      <c r="F10" s="267"/>
      <c r="G10" s="267"/>
      <c r="H10" s="267"/>
      <c r="I10" s="267"/>
      <c r="J10" s="266"/>
      <c r="K10" s="267"/>
      <c r="L10" s="267"/>
      <c r="M10" s="267"/>
      <c r="N10" s="267"/>
      <c r="O10" s="267"/>
      <c r="P10" s="267"/>
      <c r="Q10" s="267"/>
      <c r="R10" s="172" t="str" cm="1">
        <f t="array" aca="1" ref="R10" ca="1">+IF(N10&gt;0,N10*INDIRECT(ADDRESS(MATCH(F10,'Cost Conversion'!$B$3:$B$48,0)+2,4,1,1,"Cost conversion"))*INDIRECT(ADDRESS(MATCH(G10,'Cost Conversion'!$F$3:$F$22,0)+2,8,1,1,"Cost conversion"))/IF(E10="$",'Cost Conversion'!$L$2,1),"")</f>
        <v/>
      </c>
      <c r="S10" s="266"/>
      <c r="T10" s="316"/>
      <c r="U10" s="318"/>
    </row>
    <row r="11" spans="2:21" x14ac:dyDescent="0.3">
      <c r="B11" s="268"/>
      <c r="C11" s="269"/>
      <c r="D11" s="269"/>
      <c r="E11" s="269"/>
      <c r="F11" s="269"/>
      <c r="G11" s="269"/>
      <c r="H11" s="269"/>
      <c r="I11" s="269"/>
      <c r="J11" s="269"/>
      <c r="K11" s="269"/>
      <c r="L11" s="269"/>
      <c r="M11" s="269"/>
      <c r="N11" s="269"/>
      <c r="O11" s="269"/>
      <c r="P11" s="269"/>
      <c r="Q11" s="269"/>
      <c r="R11" s="269"/>
      <c r="S11" s="269"/>
      <c r="T11" s="273"/>
      <c r="U11" s="113"/>
    </row>
    <row r="12" spans="2:21" x14ac:dyDescent="0.3">
      <c r="B12" s="265"/>
      <c r="C12" s="96"/>
      <c r="D12" s="96"/>
      <c r="E12" s="96"/>
      <c r="F12" s="96"/>
      <c r="G12" s="96"/>
      <c r="H12" s="96"/>
      <c r="I12" s="96"/>
      <c r="J12" s="96"/>
      <c r="K12" s="96"/>
      <c r="L12" s="96"/>
      <c r="M12" s="96"/>
      <c r="N12" s="96"/>
      <c r="O12" s="96"/>
      <c r="P12" s="96"/>
      <c r="Q12" s="96"/>
      <c r="R12" s="96"/>
      <c r="S12" s="96"/>
      <c r="U12" s="84"/>
    </row>
    <row r="13" spans="2:21" x14ac:dyDescent="0.3">
      <c r="B13" s="265"/>
      <c r="C13" s="96"/>
      <c r="D13" s="96"/>
      <c r="E13" s="96"/>
      <c r="F13" s="96"/>
      <c r="G13" s="96"/>
      <c r="H13" s="96"/>
      <c r="I13" s="96"/>
      <c r="J13" s="96"/>
      <c r="K13" s="96"/>
      <c r="L13" s="96"/>
      <c r="M13" s="96"/>
      <c r="N13" s="96"/>
      <c r="O13" s="96"/>
      <c r="P13" s="96"/>
      <c r="Q13" s="96"/>
      <c r="R13" s="96"/>
      <c r="S13" s="96"/>
      <c r="U13" s="84"/>
    </row>
    <row r="14" spans="2:21" x14ac:dyDescent="0.3">
      <c r="B14" s="265"/>
      <c r="C14" s="96"/>
      <c r="D14" s="96"/>
      <c r="E14" s="96"/>
      <c r="F14" s="96"/>
      <c r="G14" s="96"/>
      <c r="H14" s="96"/>
      <c r="I14" s="96"/>
      <c r="J14" s="824" t="str">
        <f>TEXT(C2,0)</f>
        <v>0</v>
      </c>
      <c r="K14" s="825"/>
      <c r="L14" s="825"/>
      <c r="M14" s="825"/>
      <c r="N14" s="825"/>
      <c r="O14" s="825"/>
      <c r="P14" s="825"/>
      <c r="Q14" s="825"/>
      <c r="R14" s="825"/>
      <c r="S14" s="825"/>
      <c r="T14" s="826"/>
      <c r="U14" s="84"/>
    </row>
    <row r="15" spans="2:21" x14ac:dyDescent="0.3">
      <c r="B15" s="265"/>
      <c r="C15" s="96"/>
      <c r="D15" s="96"/>
      <c r="E15" s="96"/>
      <c r="F15" s="96"/>
      <c r="G15" s="96"/>
      <c r="H15" s="96"/>
      <c r="I15" s="96"/>
      <c r="J15" s="336" t="s">
        <v>643</v>
      </c>
      <c r="K15" s="337">
        <v>1</v>
      </c>
      <c r="L15" s="337">
        <v>2</v>
      </c>
      <c r="M15" s="337">
        <v>3</v>
      </c>
      <c r="N15" s="337">
        <v>4</v>
      </c>
      <c r="O15" s="337">
        <v>5</v>
      </c>
      <c r="P15" s="337">
        <v>6</v>
      </c>
      <c r="Q15" s="337">
        <v>7</v>
      </c>
      <c r="R15" s="337">
        <v>8</v>
      </c>
      <c r="S15" s="337">
        <v>9</v>
      </c>
      <c r="T15" s="338">
        <v>10</v>
      </c>
      <c r="U15" s="84"/>
    </row>
    <row r="16" spans="2:21" x14ac:dyDescent="0.3">
      <c r="B16" s="265"/>
      <c r="C16" s="96"/>
      <c r="D16" s="96"/>
      <c r="E16" s="96"/>
      <c r="F16" s="96"/>
      <c r="G16" s="96"/>
      <c r="H16" s="96"/>
      <c r="I16" s="96"/>
      <c r="J16" s="86" t="str">
        <f>+TEXT(H5,0)&amp;" "&amp;"("&amp;TEXT(I5,0)&amp;")"</f>
        <v>0 (0)</v>
      </c>
      <c r="K16" s="359">
        <f>+P5</f>
        <v>0</v>
      </c>
      <c r="L16" s="339">
        <f>+K16+(O5-P5)/(T15-1)</f>
        <v>0</v>
      </c>
      <c r="M16" s="339">
        <f>+L16+(O5-P5)/(T15-1)</f>
        <v>0</v>
      </c>
      <c r="N16" s="339">
        <f>+M16+(O5-P5)/(T15-1)</f>
        <v>0</v>
      </c>
      <c r="O16" s="339">
        <f>+N16+(O5-P5)/(T15-1)</f>
        <v>0</v>
      </c>
      <c r="P16" s="339">
        <f>+O16+(O5-P5)/(T15-1)</f>
        <v>0</v>
      </c>
      <c r="Q16" s="339">
        <f>+P16+(O5-P5)/(T15-1)</f>
        <v>0</v>
      </c>
      <c r="R16" s="339">
        <f>+Q16+(O5-P5)/(T15-1)</f>
        <v>0</v>
      </c>
      <c r="S16" s="339">
        <f>+R16+(O5-P5)/(T15-1)</f>
        <v>0</v>
      </c>
      <c r="T16" s="340">
        <f>+S16+(O5-P5)/(T15-1)</f>
        <v>0</v>
      </c>
      <c r="U16" s="84"/>
    </row>
    <row r="17" spans="2:21" x14ac:dyDescent="0.3">
      <c r="B17" s="265"/>
      <c r="C17" s="96"/>
      <c r="D17" s="96"/>
      <c r="E17" s="96"/>
      <c r="F17" s="96"/>
      <c r="G17" s="96"/>
      <c r="H17" s="96"/>
      <c r="I17" s="96"/>
      <c r="J17" s="99" t="str">
        <f t="shared" ref="J17:J22" si="0">+TEXT(B5,0)&amp;" - Scaling"</f>
        <v>0 - Scaling</v>
      </c>
      <c r="K17" s="292"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5" t="e">
        <f ca="1">+(Q5/L5)^J5*R5*((T16/Q5)/(M5/L5))^K5</f>
        <v>#DIV/0!</v>
      </c>
      <c r="U17" s="84"/>
    </row>
    <row r="18" spans="2:21" x14ac:dyDescent="0.3">
      <c r="B18" s="265"/>
      <c r="C18" s="96"/>
      <c r="D18" s="96"/>
      <c r="E18" s="96"/>
      <c r="F18" s="96"/>
      <c r="G18" s="96"/>
      <c r="H18" s="96"/>
      <c r="I18" s="96"/>
      <c r="J18" s="99" t="str">
        <f t="shared" si="0"/>
        <v>0 - Scaling</v>
      </c>
      <c r="K18" s="228"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7" t="e">
        <f ca="1">+(Q6/L6)^J6*R6*((T16/Q6)/(M6/L6))^K6</f>
        <v>#DIV/0!</v>
      </c>
      <c r="U18" s="84"/>
    </row>
    <row r="19" spans="2:21" x14ac:dyDescent="0.3">
      <c r="B19" s="265"/>
      <c r="C19" s="96"/>
      <c r="D19" s="96"/>
      <c r="E19" s="96"/>
      <c r="F19" s="96"/>
      <c r="G19" s="96"/>
      <c r="H19" s="96"/>
      <c r="I19" s="96"/>
      <c r="J19" s="99" t="str">
        <f t="shared" si="0"/>
        <v>0 - Scaling</v>
      </c>
      <c r="K19" s="228"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7" t="e">
        <f ca="1">+(Q7/L7)^J7*R7*((T16/Q7)/(M7/L7))^K7</f>
        <v>#DIV/0!</v>
      </c>
      <c r="U19" s="84"/>
    </row>
    <row r="20" spans="2:21" x14ac:dyDescent="0.3">
      <c r="B20" s="265"/>
      <c r="C20" s="96"/>
      <c r="D20" s="96"/>
      <c r="E20" s="96"/>
      <c r="F20" s="96"/>
      <c r="G20" s="96"/>
      <c r="H20" s="96"/>
      <c r="I20" s="96"/>
      <c r="J20" s="99" t="str">
        <f t="shared" si="0"/>
        <v>0 - Scaling</v>
      </c>
      <c r="K20" s="228"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7" t="e">
        <f ca="1">+(Q8/L8)^J8*R8*((T16/Q8)/(M8/L8))^K8</f>
        <v>#DIV/0!</v>
      </c>
      <c r="U20" s="84"/>
    </row>
    <row r="21" spans="2:21" x14ac:dyDescent="0.3">
      <c r="B21" s="265"/>
      <c r="C21" s="96"/>
      <c r="D21" s="96"/>
      <c r="E21" s="96"/>
      <c r="F21" s="96"/>
      <c r="G21" s="96"/>
      <c r="H21" s="96"/>
      <c r="I21" s="96"/>
      <c r="J21" s="99" t="str">
        <f t="shared" si="0"/>
        <v>0 - Scaling</v>
      </c>
      <c r="K21" s="265"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7" t="e">
        <f ca="1">+(Q9/L9)^J9*R9*((T16/Q9)/(M9/L9))^K9</f>
        <v>#DIV/0!</v>
      </c>
      <c r="U21" s="84"/>
    </row>
    <row r="22" spans="2:21" x14ac:dyDescent="0.3">
      <c r="B22" s="265"/>
      <c r="C22" s="96"/>
      <c r="D22" s="96"/>
      <c r="E22" s="96"/>
      <c r="F22" s="96"/>
      <c r="G22" s="96"/>
      <c r="H22" s="96"/>
      <c r="I22" s="96"/>
      <c r="J22" s="99" t="str">
        <f t="shared" si="0"/>
        <v>0 - Scaling</v>
      </c>
      <c r="K22" s="266" t="e">
        <f ca="1">+(Q10/L10)^J10*R10*((K16/Q10)/(M10/L10))^K10</f>
        <v>#DIV/0!</v>
      </c>
      <c r="L22" s="361" t="e">
        <f ca="1">+(Q10/L10)^J10*R10*((L16/Q10)/(M10/L10))^K10</f>
        <v>#DIV/0!</v>
      </c>
      <c r="M22" s="361" t="e">
        <f ca="1">+(Q10/L10)^J10*R10*((M16/Q10)/(M10/L10))^K10</f>
        <v>#DIV/0!</v>
      </c>
      <c r="N22" s="361" t="e">
        <f ca="1">+(Q10/L10)^J10*R10*((N16/Q10)/(M10/L10))^K10</f>
        <v>#DIV/0!</v>
      </c>
      <c r="O22" s="361" t="e">
        <f ca="1">+(Q10/L10)^J10*R10*((O16/Q10)/(M10/L10))^K10</f>
        <v>#DIV/0!</v>
      </c>
      <c r="P22" s="361" t="e" cm="1">
        <f t="array" aca="1" ref="P22" ca="1">+(Q10/L10)^J10*R10*((P16/Q10)/(M10/P26L17))^K10</f>
        <v>#DIV/0!</v>
      </c>
      <c r="Q22" s="361" t="e">
        <f ca="1">+(Q10/L10)^J10*R10*((Q16/Q10)/(M10/L10))^K10</f>
        <v>#DIV/0!</v>
      </c>
      <c r="R22" s="361" t="e">
        <f ca="1">+(Q10/L10)^J10*R10*((R16/Q10)/(M10/L10))^K10</f>
        <v>#DIV/0!</v>
      </c>
      <c r="S22" s="361" t="e">
        <f ca="1">+(Q10/L10)^J10*R10*((S16/Q10)/(M10/L10))^K10</f>
        <v>#DIV/0!</v>
      </c>
      <c r="T22" s="311" t="e">
        <f ca="1">+(Q10/L10)^J10*R10*((T16/Q10)/(M10/L10))^K10</f>
        <v>#DIV/0!</v>
      </c>
      <c r="U22" s="84"/>
    </row>
    <row r="23" spans="2:21" x14ac:dyDescent="0.3">
      <c r="B23" s="265"/>
      <c r="C23" s="96"/>
      <c r="D23" s="96"/>
      <c r="E23" s="96"/>
      <c r="F23" s="96"/>
      <c r="G23" s="96"/>
      <c r="H23" s="96"/>
      <c r="I23" s="96"/>
      <c r="J23" s="86" t="s">
        <v>571</v>
      </c>
      <c r="K23" s="86" t="s">
        <v>647</v>
      </c>
      <c r="L23" s="96"/>
      <c r="M23" s="96"/>
      <c r="N23" s="96"/>
      <c r="O23" s="96"/>
      <c r="P23" s="96"/>
      <c r="Q23" s="96"/>
      <c r="R23" s="96"/>
      <c r="S23" s="96"/>
      <c r="U23" s="84"/>
    </row>
    <row r="24" spans="2:21" x14ac:dyDescent="0.3">
      <c r="B24" s="265"/>
      <c r="C24" s="96"/>
      <c r="D24" s="96"/>
      <c r="E24" s="96"/>
      <c r="F24" s="96"/>
      <c r="G24" s="96"/>
      <c r="H24" s="96"/>
      <c r="I24" s="96"/>
      <c r="J24" s="177">
        <f>+B5</f>
        <v>0</v>
      </c>
      <c r="K24" s="321" t="e">
        <f ca="1">+R5/(M5/Q5)</f>
        <v>#VALUE!</v>
      </c>
      <c r="L24" s="96"/>
      <c r="M24" s="96"/>
      <c r="N24" s="96"/>
      <c r="O24" s="96"/>
      <c r="P24" s="96"/>
      <c r="Q24" s="96"/>
      <c r="R24" s="96"/>
      <c r="S24" s="96"/>
      <c r="U24" s="84"/>
    </row>
    <row r="25" spans="2:21" x14ac:dyDescent="0.3">
      <c r="B25" s="265"/>
      <c r="C25" s="96"/>
      <c r="D25" s="96"/>
      <c r="E25" s="96"/>
      <c r="F25" s="96"/>
      <c r="G25" s="96"/>
      <c r="H25" s="96"/>
      <c r="I25" s="96"/>
      <c r="J25" s="99">
        <f>+B6</f>
        <v>0</v>
      </c>
      <c r="K25" s="334" t="e">
        <f ca="1">+R6/(M6/Q6)</f>
        <v>#VALUE!</v>
      </c>
      <c r="L25" s="96"/>
      <c r="M25" s="96"/>
      <c r="N25" s="96"/>
      <c r="O25" s="96"/>
      <c r="P25" s="96"/>
      <c r="Q25" s="96"/>
      <c r="R25" s="96"/>
      <c r="S25" s="96"/>
      <c r="U25" s="84"/>
    </row>
    <row r="26" spans="2:21" x14ac:dyDescent="0.3">
      <c r="B26" s="91"/>
      <c r="F26" s="96"/>
      <c r="G26" s="96"/>
      <c r="J26" s="99">
        <f>+B7</f>
        <v>0</v>
      </c>
      <c r="K26" s="334" t="e">
        <f ca="1">+R7/(M7/Q7)</f>
        <v>#VALUE!</v>
      </c>
      <c r="U26" s="84"/>
    </row>
    <row r="27" spans="2:21" x14ac:dyDescent="0.3">
      <c r="B27" s="91"/>
      <c r="F27" s="96"/>
      <c r="G27" s="96"/>
      <c r="J27" s="170">
        <f>+B8</f>
        <v>0</v>
      </c>
      <c r="K27" s="341" t="e">
        <f ca="1">+R8/(M8/Q8)</f>
        <v>#VALUE!</v>
      </c>
      <c r="U27" s="84"/>
    </row>
    <row r="28" spans="2:21" x14ac:dyDescent="0.3">
      <c r="B28" s="91"/>
      <c r="F28" s="96"/>
      <c r="G28" s="96"/>
      <c r="J28" s="96"/>
      <c r="U28" s="84"/>
    </row>
    <row r="29" spans="2:21" x14ac:dyDescent="0.3">
      <c r="B29" s="91"/>
      <c r="F29" s="96"/>
      <c r="G29" s="96"/>
      <c r="U29" s="84"/>
    </row>
    <row r="30" spans="2:21" x14ac:dyDescent="0.3">
      <c r="B30" s="91"/>
      <c r="F30" s="96"/>
      <c r="G30" s="96"/>
      <c r="U30" s="84"/>
    </row>
    <row r="31" spans="2:21" x14ac:dyDescent="0.3">
      <c r="B31" s="91"/>
      <c r="F31" s="96"/>
      <c r="G31" s="96"/>
      <c r="U31" s="84"/>
    </row>
    <row r="32" spans="2:21" x14ac:dyDescent="0.3">
      <c r="B32" s="91"/>
      <c r="F32" s="96"/>
      <c r="G32" s="96"/>
      <c r="U32" s="84"/>
    </row>
    <row r="33" spans="2:21" x14ac:dyDescent="0.3">
      <c r="B33" s="91"/>
      <c r="F33" s="96"/>
      <c r="G33" s="96"/>
      <c r="U33" s="84"/>
    </row>
    <row r="34" spans="2:21" x14ac:dyDescent="0.3">
      <c r="B34" s="91"/>
      <c r="F34" s="96"/>
      <c r="G34" s="96"/>
      <c r="U34" s="84"/>
    </row>
    <row r="35" spans="2:21" x14ac:dyDescent="0.3">
      <c r="B35" s="91"/>
      <c r="F35" s="96"/>
      <c r="G35" s="96"/>
      <c r="U35" s="84"/>
    </row>
    <row r="36" spans="2:21" x14ac:dyDescent="0.3">
      <c r="B36" s="315"/>
      <c r="C36" s="316"/>
      <c r="D36" s="316"/>
      <c r="E36" s="316"/>
      <c r="F36" s="267"/>
      <c r="G36" s="267"/>
      <c r="H36" s="316"/>
      <c r="I36" s="316"/>
      <c r="J36" s="316"/>
      <c r="K36" s="316"/>
      <c r="L36" s="316"/>
      <c r="M36" s="316"/>
      <c r="N36" s="316"/>
      <c r="O36" s="316"/>
      <c r="P36" s="316"/>
      <c r="Q36" s="316"/>
      <c r="R36" s="316"/>
      <c r="S36" s="316"/>
      <c r="T36" s="316"/>
      <c r="U36" s="318"/>
    </row>
    <row r="37" spans="2:21" x14ac:dyDescent="0.3">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2.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3.xml><?xml version="1.0" encoding="utf-8"?>
<ds:datastoreItem xmlns:ds="http://schemas.openxmlformats.org/officeDocument/2006/customXml" ds:itemID="{35CF7AD8-694B-44AC-8776-7C928E0A8AE3}">
  <ds:schemaRefs>
    <ds:schemaRef ds:uri="http://schemas.microsoft.com/DataMashup"/>
  </ds:schemaRefs>
</ds:datastoreItem>
</file>

<file path=customXml/itemProps4.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261</vt:i4>
      </vt:variant>
    </vt:vector>
  </HeadingPairs>
  <TitlesOfParts>
    <vt:vector size="279" baseType="lpstr">
      <vt:lpstr>SEA Tool</vt:lpstr>
      <vt:lpstr>Plant Overview</vt:lpstr>
      <vt:lpstr>Unit-100</vt:lpstr>
      <vt:lpstr>Unit-200</vt:lpstr>
      <vt:lpstr>Unit-300</vt:lpstr>
      <vt:lpstr>Unit-400</vt:lpstr>
      <vt:lpstr>Plant CAPEX</vt:lpstr>
      <vt:lpstr>Plant OPEX</vt:lpstr>
      <vt:lpstr>Cash Flow Analysis</vt:lpstr>
      <vt:lpstr>Uncertainty Quantification</vt:lpstr>
      <vt:lpstr>Unit-X00 Equipment</vt:lpstr>
      <vt:lpstr>Input to SSM</vt:lpstr>
      <vt:lpstr>Estimate Benchmark</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'Uncertainty Quantification'!ExpRuns</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'Unit-100'!Screen_Material</vt:lpstr>
      <vt:lpstr>'Unit-200'!Screen_Material</vt:lpstr>
      <vt:lpstr>'Unit-300'!Screen_Material</vt:lpstr>
      <vt:lpstr>'Unit-400'!Screen_Material</vt:lpstr>
      <vt:lpstr>sel_i</vt:lpstr>
      <vt:lpstr>sel_p</vt:lpstr>
      <vt:lpstr>sel_t</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2025-04-22T14:11:54Z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