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4.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5.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6.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tables/table17.xml" ContentType="application/vnd.openxmlformats-officedocument.spreadsheetml.table+xml"/>
  <Override PartName="/xl/comments4.xml" ContentType="application/vnd.openxmlformats-officedocument.spreadsheetml.comments+xml"/>
  <Override PartName="/xl/drawings/drawing10.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tables/table18.xml" ContentType="application/vnd.openxmlformats-officedocument.spreadsheetml.table+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2.xml" ContentType="application/vnd.openxmlformats-officedocument.drawing+xml"/>
  <Override PartName="/xl/ctrlProps/ctrlProp48.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comments5.xml" ContentType="application/vnd.openxmlformats-officedocument.spreadsheetml.comments+xml"/>
  <Override PartName="/xl/threadedComments/threadedComment1.xml" ContentType="application/vnd.ms-excel.threadedcomments+xml"/>
  <Override PartName="/xl/comments6.xml" ContentType="application/vnd.openxmlformats-officedocument.spreadsheetml.comments+xml"/>
  <Override PartName="/xl/threadedComments/threadedComment2.xml" ContentType="application/vnd.ms-excel.threadedcomments+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comments7.xml" ContentType="application/vnd.openxmlformats-officedocument.spreadsheetml.comments+xml"/>
  <Override PartName="/xl/threadedComments/threadedComment3.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14B7C7FF-608C-464C-9C74-D54319D541F1}" xr6:coauthVersionLast="47" xr6:coauthVersionMax="47" xr10:uidLastSave="{00000000-0000-0000-0000-000000000000}"/>
  <bookViews>
    <workbookView xWindow="-108" yWindow="-108" windowWidth="23256" windowHeight="12456"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Uncertainty Quantification" sheetId="97" r:id="rId10"/>
    <sheet name="Input to SSM" sheetId="95" r:id="rId11"/>
    <sheet name="Estimate Benchmark" sheetId="83" r:id="rId12"/>
    <sheet name="Unit-X00 Equipment" sheetId="18" r:id="rId13"/>
    <sheet name="Bibliography" sheetId="4" r:id="rId14"/>
    <sheet name="Cost Conversion" sheetId="30" state="hidden" r:id="rId15"/>
    <sheet name="Technology Block Data" sheetId="3" state="hidden" r:id="rId16"/>
    <sheet name="Equipment Data" sheetId="28" state="hidden" r:id="rId17"/>
    <sheet name="Unit X00 - Benchmark" sheetId="32" state="hidden" r:id="rId18"/>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1">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1">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1">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xpRuns" localSheetId="9">'Uncertainty Quantification'!$R$4:$T$5</definedName>
    <definedName name="ExpRuns">#REF!</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1">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1">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el_i">'Uncertainty Quantification'!$L$6</definedName>
    <definedName name="sel_p">'Uncertainty Quantification'!$K$15</definedName>
    <definedName name="sel_t">'Uncertainty Quantification'!$L$4</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1">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6" i="84" l="1"/>
  <c r="D36" i="84" s="1"/>
  <c r="E36" i="84" s="1"/>
  <c r="F36" i="84" s="1"/>
  <c r="S47" i="93" a="1"/>
  <c r="S47" i="93" s="1"/>
  <c r="S48" i="93" a="1"/>
  <c r="S48" i="93" s="1"/>
  <c r="S49" i="93" a="1"/>
  <c r="S49" i="93" s="1"/>
  <c r="S50" i="93" a="1"/>
  <c r="S50" i="93" s="1"/>
  <c r="S46" i="93" a="1"/>
  <c r="S46" i="93" s="1"/>
  <c r="S47" i="80" l="1" a="1"/>
  <c r="S47" i="80" s="1"/>
  <c r="S48" i="80" a="1"/>
  <c r="S48" i="80" s="1"/>
  <c r="S49" i="80" a="1"/>
  <c r="S49" i="80" s="1"/>
  <c r="S50" i="80" a="1"/>
  <c r="S50" i="80" s="1"/>
  <c r="S46" i="80" a="1"/>
  <c r="S46" i="80" s="1"/>
  <c r="B2" i="97"/>
  <c r="H15" i="84"/>
  <c r="I11" i="84"/>
  <c r="J11" i="84"/>
  <c r="P16" i="16" l="1"/>
  <c r="J15" i="84" l="1"/>
  <c r="J6" i="84"/>
  <c r="E6" i="84"/>
  <c r="E5" i="84"/>
  <c r="E4"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E20" i="84" l="1"/>
  <c r="J16" i="84"/>
  <c r="G17" i="16"/>
  <c r="C34" i="81"/>
  <c r="C12" i="81"/>
  <c r="Y62" i="81"/>
  <c r="Y66" i="81" s="1"/>
  <c r="W62" i="81"/>
  <c r="W66" i="81" s="1"/>
  <c r="S13" i="80"/>
  <c r="G16"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9" i="84"/>
  <c r="E10" i="84"/>
  <c r="E11" i="84"/>
  <c r="E8" i="84"/>
  <c r="J7" i="84"/>
  <c r="E7" i="84" s="1"/>
  <c r="E22" i="84" s="1"/>
  <c r="D5" i="84"/>
  <c r="D4" i="84"/>
  <c r="I17" i="16"/>
  <c r="W16" i="16" s="1"/>
  <c r="I16" i="16"/>
  <c r="W15" i="16" s="1"/>
  <c r="C54" i="81"/>
  <c r="W17" i="16"/>
  <c r="W14" i="16"/>
  <c r="D6" i="84" l="1"/>
  <c r="AE3" i="81"/>
  <c r="O3" i="81"/>
  <c r="E7" i="92"/>
  <c r="G5" i="5" s="1"/>
  <c r="E6" i="92"/>
  <c r="E7" i="85"/>
  <c r="F5" i="5" s="1"/>
  <c r="E6" i="85"/>
  <c r="E7" i="93"/>
  <c r="E5" i="5" s="1"/>
  <c r="E6" i="93"/>
  <c r="E7" i="80"/>
  <c r="E6" i="80"/>
  <c r="O34" i="81"/>
  <c r="R50" i="93"/>
  <c r="R49" i="93"/>
  <c r="R48" i="93"/>
  <c r="R47" i="93"/>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P41" i="84" s="1"/>
  <c r="G16" i="16"/>
  <c r="P106" i="18"/>
  <c r="O106" i="18"/>
  <c r="P107" i="18"/>
  <c r="H14" i="80"/>
  <c r="M107" i="18"/>
  <c r="J103" i="18"/>
  <c r="H15" i="80"/>
  <c r="O104" i="18"/>
  <c r="H17" i="80"/>
  <c r="B34" i="84"/>
  <c r="G19" i="84" s="1"/>
  <c r="G20" i="84"/>
  <c r="G18" i="84"/>
  <c r="G17" i="84"/>
  <c r="S36" i="92" l="1"/>
  <c r="G6" i="5" s="1"/>
  <c r="S53" i="93"/>
  <c r="O3" i="80"/>
  <c r="B56" i="80"/>
  <c r="H56" i="80"/>
  <c r="O3" i="92"/>
  <c r="G39" i="92"/>
  <c r="B39" i="92"/>
  <c r="O3" i="93"/>
  <c r="H56" i="93"/>
  <c r="B56" i="93"/>
  <c r="O3" i="85"/>
  <c r="G39" i="85"/>
  <c r="B39" i="85"/>
  <c r="F4" i="5"/>
  <c r="G4" i="5"/>
  <c r="D4" i="5"/>
  <c r="W3" i="80"/>
  <c r="W34" i="80"/>
  <c r="E4" i="5"/>
  <c r="W3" i="93"/>
  <c r="W34" i="93"/>
  <c r="W3" i="85"/>
  <c r="W3" i="92"/>
  <c r="R52" i="93"/>
  <c r="S52" i="93" s="1" a="1"/>
  <c r="S52" i="93"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G36" i="84"/>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T50" i="80"/>
  <c r="R50" i="80"/>
  <c r="T49" i="80"/>
  <c r="R49" i="80"/>
  <c r="T48" i="80"/>
  <c r="R48" i="80"/>
  <c r="T47" i="80"/>
  <c r="R47" i="80"/>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28" i="30" a="1"/>
  <c r="H13" i="30" a="1"/>
  <c r="H14" i="30" a="1"/>
  <c r="D36" i="30" a="1"/>
  <c r="D14" i="30" a="1"/>
  <c r="D25" i="30" a="1"/>
  <c r="H4" i="30" a="1"/>
  <c r="D37" i="30" a="1"/>
  <c r="D9" i="30" a="1"/>
  <c r="D24" i="30" a="1"/>
  <c r="H17" i="30" a="1"/>
  <c r="D41" i="30" a="1"/>
  <c r="H21" i="30" a="1"/>
  <c r="D21" i="30" a="1"/>
  <c r="H19" i="30" a="1"/>
  <c r="D7" i="30" a="1"/>
  <c r="D48" i="30" a="1"/>
  <c r="D33" i="30" a="1"/>
  <c r="H12" i="30" a="1"/>
  <c r="H18" i="30" a="1"/>
  <c r="H15" i="30" a="1"/>
  <c r="D26" i="30" a="1"/>
  <c r="D38" i="30" a="1"/>
  <c r="D35" i="30" a="1"/>
  <c r="D17" i="30" a="1"/>
  <c r="D11" i="30" a="1"/>
  <c r="D10" i="30" a="1"/>
  <c r="H7" i="30" a="1"/>
  <c r="H3" i="30" a="1"/>
  <c r="D45" i="30" a="1"/>
  <c r="D3" i="30" a="1"/>
  <c r="H20" i="30" a="1"/>
  <c r="H22" i="30" a="1"/>
  <c r="H16" i="30" a="1"/>
  <c r="D6" i="30" a="1"/>
  <c r="D47" i="30" a="1"/>
  <c r="D4" i="30" a="1"/>
  <c r="D32" i="30" a="1"/>
  <c r="D18" i="30" a="1"/>
  <c r="D31" i="30" a="1"/>
  <c r="H10" i="30" a="1"/>
  <c r="D19" i="30" a="1"/>
  <c r="D23" i="30" a="1"/>
  <c r="D13" i="30" a="1"/>
  <c r="D20" i="30" a="1"/>
  <c r="D16" i="30" a="1"/>
  <c r="D40" i="30" a="1"/>
  <c r="H11" i="30" a="1"/>
  <c r="D44" i="30" a="1"/>
  <c r="D22" i="30" a="1"/>
  <c r="D12" i="30" a="1"/>
  <c r="D42" i="30" a="1"/>
  <c r="D5" i="30" a="1"/>
  <c r="D30" i="30" a="1"/>
  <c r="H6" i="30" a="1"/>
  <c r="D39" i="30" a="1"/>
  <c r="D15" i="30" a="1"/>
  <c r="D46" i="30" a="1"/>
  <c r="H5" i="30" a="1"/>
  <c r="D29" i="30" a="1"/>
  <c r="D8" i="30" a="1"/>
  <c r="D27" i="30" a="1"/>
  <c r="D34" i="30" a="1"/>
  <c r="D43" i="30" a="1"/>
  <c r="H9" i="30" a="1"/>
  <c r="H8" i="30" a="1"/>
  <c r="S36" i="85" l="1"/>
  <c r="F6" i="5" s="1"/>
  <c r="T46" i="80"/>
  <c r="S53" i="80"/>
  <c r="C33" i="5"/>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H33" i="84" l="1"/>
  <c r="AR33" i="84"/>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N34" i="84"/>
  <c r="AM34" i="84"/>
  <c r="H34" i="84"/>
  <c r="I34" i="84"/>
  <c r="S34" i="84"/>
  <c r="Q34" i="84"/>
  <c r="S22" i="32"/>
  <c r="R22" i="32"/>
  <c r="S18" i="32"/>
  <c r="T21" i="32"/>
  <c r="T18" i="32"/>
  <c r="S19" i="32"/>
  <c r="S17" i="32"/>
  <c r="T22" i="32"/>
  <c r="T20" i="32"/>
  <c r="S21" i="32"/>
  <c r="R18" i="32"/>
  <c r="T19" i="32"/>
  <c r="R17" i="32"/>
  <c r="R19" i="32"/>
  <c r="R20" i="32"/>
  <c r="R21" i="32"/>
  <c r="S20" i="32"/>
  <c r="AH35" i="84" l="1"/>
  <c r="AH37" i="84" s="1"/>
  <c r="AJ35" i="84"/>
  <c r="AJ37" i="84" s="1"/>
  <c r="AR35" i="84"/>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E4" authorId="0" shapeId="0" xr:uid="{0A2A6BB9-E8BB-476B-8072-ACD4829670B7}">
      <text>
        <r>
          <rPr>
            <b/>
            <sz val="9"/>
            <color indexed="81"/>
            <rFont val="Tahoma"/>
            <family val="2"/>
          </rPr>
          <t>Carlos Arnaiz del Pozo:</t>
        </r>
        <r>
          <rPr>
            <sz val="9"/>
            <color indexed="81"/>
            <rFont val="Tahoma"/>
            <family val="2"/>
          </rPr>
          <t xml:space="preserve">
Introduce mean value</t>
        </r>
      </text>
    </comment>
    <comment ref="I4" authorId="0" shapeId="0" xr:uid="{85B711D8-7AC4-4B25-A5DA-8FF227CB78AC}">
      <text>
        <r>
          <rPr>
            <b/>
            <sz val="9"/>
            <color indexed="81"/>
            <rFont val="Tahoma"/>
            <family val="2"/>
          </rPr>
          <t>Carlos Arnaiz del Pozo:</t>
        </r>
        <r>
          <rPr>
            <sz val="9"/>
            <color indexed="81"/>
            <rFont val="Tahoma"/>
            <family val="2"/>
          </rPr>
          <t xml:space="preserve">
Introduce text of the variable cell location in the SEA file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<sst xmlns="http://schemas.openxmlformats.org/spreadsheetml/2006/main" count="2353" uniqueCount="816">
  <si>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</si>
  <si>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</si>
  <si>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</si>
  <si>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</si>
  <si>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</si>
  <si>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</si>
  <si>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</si>
  <si>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</si>
  <si>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</si>
  <si>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</si>
  <si>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</si>
  <si>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</si>
  <si>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</si>
  <si>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</si>
  <si>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</si>
  <si>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</si>
  <si>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</si>
  <si>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</si>
  <si>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</si>
  <si>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</si>
  <si>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</si>
  <si>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</si>
  <si>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</si>
  <si>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</si>
  <si>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</si>
  <si>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</si>
  <si>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</si>
  <si>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</si>
  <si>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</si>
  <si>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</si>
  <si>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</si>
  <si>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</si>
  <si>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</si>
  <si>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</si>
  <si>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</si>
  <si>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</si>
  <si>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</si>
  <si>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</si>
  <si>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</si>
  <si>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</si>
  <si>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</si>
  <si>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</si>
  <si>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</si>
  <si>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</si>
  <si>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</si>
  <si>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</si>
  <si>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</si>
  <si>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</si>
  <si>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</si>
  <si>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</si>
  <si>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</si>
  <si>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</si>
  <si>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</si>
  <si>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</si>
  <si>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</si>
  <si>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</si>
  <si>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</si>
  <si>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</si>
  <si>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</si>
  <si>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</si>
  <si>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</si>
  <si>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</si>
  <si>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</si>
  <si>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</si>
  <si>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</si>
  <si>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</si>
  <si>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</si>
  <si>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</si>
  <si>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</si>
  <si>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</si>
  <si>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</si>
  <si>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</si>
  <si>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</si>
  <si>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</si>
  <si>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</si>
  <si>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</si>
  <si>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</si>
  <si>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</si>
  <si>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</si>
  <si>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</si>
  <si>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</si>
  <si>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</si>
  <si>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</si>
  <si>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</si>
  <si>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</si>
  <si>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</si>
  <si>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</si>
  <si>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</si>
  <si>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</si>
  <si>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</si>
  <si>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</si>
  <si>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</si>
  <si>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</si>
  <si>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</si>
  <si>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</si>
  <si>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</si>
  <si>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</si>
  <si>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</si>
  <si>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</si>
  <si>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</si>
  <si>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</si>
  <si>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</si>
  <si>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</si>
  <si>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</si>
  <si>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</si>
  <si>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</si>
  <si>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</si>
  <si>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</si>
  <si>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</si>
  <si>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</si>
  <si>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</si>
  <si>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</si>
  <si>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</si>
  <si>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</si>
  <si>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</si>
  <si>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</si>
  <si>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</si>
  <si>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</si>
  <si>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</si>
  <si>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</si>
  <si>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</si>
  <si>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</si>
  <si>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</si>
  <si>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</si>
  <si>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</si>
  <si>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</si>
  <si>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</si>
  <si>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</si>
  <si>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</si>
  <si>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</si>
  <si>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</si>
  <si>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</si>
  <si>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</si>
  <si>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</si>
  <si>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</si>
  <si>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</si>
  <si>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</si>
  <si>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</si>
  <si>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</si>
  <si>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</si>
  <si>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</si>
  <si>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</si>
  <si>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</si>
  <si>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</si>
  <si>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</si>
  <si>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</si>
  <si>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</si>
  <si>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</si>
  <si>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</si>
  <si>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</si>
  <si>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</si>
  <si>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</si>
  <si>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</si>
  <si>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</si>
  <si>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</si>
  <si>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</si>
  <si>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</si>
  <si>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</si>
  <si>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</si>
  <si>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</si>
  <si>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</si>
  <si>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</si>
  <si>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</si>
  <si>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</si>
  <si>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</si>
  <si>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</si>
  <si>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</si>
  <si>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</si>
  <si>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</si>
  <si>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</si>
  <si>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</si>
  <si>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</si>
  <si>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</si>
  <si>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</si>
  <si>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</si>
  <si>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</si>
  <si>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</si>
  <si>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</si>
  <si>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</si>
  <si>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</si>
  <si>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</si>
  <si>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</si>
  <si>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</si>
  <si>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</si>
  <si>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</si>
  <si>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</si>
  <si>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</si>
  <si>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</si>
  <si>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</si>
  <si>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</si>
  <si>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</si>
  <si>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</si>
  <si>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</si>
  <si>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</si>
  <si>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</si>
  <si>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</si>
  <si>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</si>
  <si>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</si>
  <si>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</si>
  <si>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</si>
  <si>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</si>
  <si>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</si>
  <si>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</si>
  <si>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</si>
  <si>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</si>
  <si>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</si>
  <si>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</si>
  <si>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</si>
  <si>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</si>
  <si>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</si>
  <si>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</si>
  <si>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</si>
  <si>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</si>
  <si>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</si>
  <si>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</si>
  <si>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</si>
  <si>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</si>
  <si>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</si>
  <si>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</si>
  <si>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</si>
  <si>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</si>
  <si>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</si>
  <si>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</si>
  <si>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</si>
  <si>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</si>
  <si>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</si>
  <si>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</si>
  <si>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</si>
  <si>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</si>
  <si>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</si>
  <si>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</si>
  <si>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</si>
  <si>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</si>
  <si>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</si>
  <si>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</si>
  <si>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</si>
  <si>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</si>
  <si>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</si>
  <si>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</si>
  <si>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</si>
  <si>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</si>
  <si>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</si>
  <si>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</si>
  <si>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</si>
  <si>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</si>
  <si>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</si>
  <si>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</si>
  <si>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</si>
  <si>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</si>
  <si>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</si>
  <si>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</si>
  <si>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</si>
  <si>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</si>
  <si>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</si>
  <si>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</si>
  <si>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</si>
  <si>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</si>
  <si>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</si>
  <si>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</si>
  <si>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</si>
  <si>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</si>
  <si>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</si>
  <si>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</si>
  <si>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</si>
  <si>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</si>
  <si>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</si>
  <si>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</si>
  <si>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</si>
  <si>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</si>
  <si>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</si>
  <si>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</si>
  <si>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</si>
  <si>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</si>
  <si>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</si>
  <si>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</si>
  <si>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</si>
  <si>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</si>
  <si>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</si>
  <si>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</si>
  <si>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</si>
  <si>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</si>
  <si>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</si>
  <si>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</si>
  <si>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</si>
  <si>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</si>
  <si>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</si>
  <si>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</si>
  <si>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</si>
  <si>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</si>
  <si>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</si>
  <si>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</si>
  <si>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</si>
  <si>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</si>
  <si>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</si>
  <si>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</si>
  <si>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</si>
  <si>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</si>
  <si>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</si>
  <si>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</si>
  <si>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</si>
  <si>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</si>
  <si>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</si>
  <si>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</si>
  <si>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</si>
  <si>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</si>
  <si>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</si>
  <si>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</si>
  <si>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</si>
  <si>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</si>
  <si>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</si>
  <si>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</si>
  <si>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</si>
  <si>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</si>
  <si>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</si>
  <si>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</si>
  <si>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</si>
  <si>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</si>
  <si>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</si>
  <si>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</si>
  <si>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</si>
  <si>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</si>
  <si>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</si>
  <si>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</si>
  <si>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</si>
  <si>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</si>
  <si>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</si>
  <si>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</si>
  <si>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</si>
  <si>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</si>
  <si>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</si>
  <si>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</si>
  <si>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</si>
  <si>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</si>
  <si>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</si>
  <si>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</si>
  <si>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</si>
  <si>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</si>
  <si>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</si>
  <si>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</si>
  <si>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</si>
  <si>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</si>
  <si>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</si>
  <si>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</si>
  <si>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</si>
  <si>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</si>
  <si>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</si>
  <si>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</si>
  <si>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</si>
  <si>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</si>
  <si>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</si>
  <si>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</si>
  <si>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</si>
  <si>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</si>
  <si>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</si>
  <si>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</si>
  <si>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</si>
  <si>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</si>
  <si>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</si>
  <si>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</si>
  <si>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</si>
  <si>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</si>
  <si>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</si>
  <si>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</si>
  <si>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</si>
  <si>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</si>
  <si>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</si>
  <si>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</si>
  <si>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</si>
  <si>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</si>
  <si>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</si>
  <si>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</si>
  <si>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</si>
  <si>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</si>
  <si>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</si>
  <si>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</si>
  <si>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</si>
  <si>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</si>
  <si>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</si>
  <si>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</si>
  <si>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</si>
  <si>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</si>
  <si>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</si>
  <si>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</si>
  <si>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</si>
  <si>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</si>
  <si>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</si>
  <si>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</si>
  <si>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</si>
  <si>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</si>
  <si>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</si>
  <si>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</si>
  <si>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</si>
  <si>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</si>
  <si>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</si>
  <si>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</si>
  <si>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</si>
  <si>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</si>
  <si>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</si>
  <si>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</si>
  <si>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</si>
  <si>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</si>
  <si>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</si>
  <si>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</si>
  <si>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</si>
  <si>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</si>
  <si>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</si>
  <si>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</si>
  <si>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</si>
  <si>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</si>
  <si>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</si>
  <si>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</si>
  <si>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</si>
  <si>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</si>
  <si>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</si>
  <si>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</si>
  <si>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</si>
  <si>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</si>
  <si>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</si>
  <si>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</si>
  <si>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</si>
  <si>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</si>
  <si>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</si>
  <si>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</si>
  <si>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</si>
  <si>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</si>
  <si>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</si>
  <si>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</si>
  <si>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</si>
  <si>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</si>
  <si>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</si>
  <si>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</si>
  <si>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</si>
  <si>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</si>
  <si>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</si>
  <si>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</si>
  <si>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</si>
  <si>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</si>
  <si>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</si>
  <si>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</si>
  <si>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</si>
  <si>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</si>
  <si>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</si>
  <si>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</si>
  <si>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</si>
  <si>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</si>
  <si>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</si>
  <si>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</si>
  <si>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</si>
  <si>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</si>
  <si>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</si>
  <si>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</si>
  <si>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</si>
  <si>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</si>
  <si>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</si>
  <si>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</si>
  <si>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</si>
  <si>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</si>
  <si>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</si>
  <si>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</si>
  <si>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</si>
  <si>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</si>
  <si>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</si>
  <si>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</si>
  <si>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</si>
  <si>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</si>
  <si>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</si>
  <si>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</si>
  <si>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</si>
  <si>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</si>
  <si>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</si>
  <si>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</si>
  <si>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</si>
  <si>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</si>
  <si>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</si>
  <si>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</si>
  <si>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</si>
  <si>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</si>
  <si>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</si>
  <si>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</si>
  <si>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</si>
  <si>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</si>
  <si>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</si>
  <si>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</si>
  <si>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</si>
  <si>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</si>
  <si>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</si>
  <si>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</si>
  <si>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</si>
  <si>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</si>
  <si>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</si>
  <si>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</si>
  <si>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</si>
  <si>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</si>
  <si>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</si>
  <si>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</si>
  <si>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</si>
  <si>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</si>
  <si>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</si>
  <si>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</si>
  <si>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</si>
  <si>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</si>
  <si>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</si>
  <si>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</si>
  <si>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</si>
  <si>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</si>
  <si>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</si>
  <si>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</si>
  <si>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</si>
  <si>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</si>
  <si>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</si>
  <si>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</si>
  <si>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</si>
  <si>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</si>
  <si>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</si>
  <si>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</si>
  <si>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</si>
  <si>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</si>
  <si>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</si>
  <si>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</si>
  <si>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</si>
  <si>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</si>
  <si>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</si>
  <si>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</si>
  <si>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</si>
  <si>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</si>
  <si>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</si>
  <si>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</si>
  <si>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</si>
  <si>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</si>
  <si>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</si>
  <si>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</si>
  <si>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</si>
  <si>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</si>
  <si>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</si>
  <si>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</si>
  <si>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</si>
  <si>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</si>
  <si>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</si>
  <si>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</si>
  <si>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</si>
  <si>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</si>
  <si>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</si>
  <si>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</si>
  <si>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</si>
  <si>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</si>
  <si>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</si>
  <si>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</si>
  <si>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</si>
  <si>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</si>
  <si>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</si>
  <si>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</si>
  <si>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</si>
  <si>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</si>
  <si>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</si>
  <si>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</si>
  <si>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</si>
  <si>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</si>
  <si>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</si>
  <si>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</si>
  <si>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</si>
  <si>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</si>
  <si>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</si>
  <si>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</si>
  <si>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</si>
  <si>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</si>
  <si>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</si>
  <si>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</si>
  <si>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</si>
  <si>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</si>
  <si>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</si>
  <si>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</si>
  <si>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</si>
  <si>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</si>
  <si>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</si>
  <si>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</si>
  <si>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</si>
  <si>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</si>
  <si>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</si>
  <si>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</si>
  <si>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</si>
  <si>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</si>
  <si>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</si>
  <si>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</si>
  <si>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</si>
  <si>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</si>
  <si>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</si>
  <si>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</si>
  <si>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</si>
  <si>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</si>
  <si>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</si>
  <si>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</si>
  <si>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</si>
  <si>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</si>
  <si>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</si>
  <si>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</si>
  <si>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</si>
  <si>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</si>
  <si>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</si>
  <si>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</si>
  <si>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</si>
  <si>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</si>
  <si>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</si>
  <si>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</si>
  <si>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</si>
  <si>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</si>
  <si>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</si>
  <si>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</si>
  <si>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</si>
  <si>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</si>
  <si>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</si>
  <si>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</si>
  <si>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</si>
  <si>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</si>
  <si>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</si>
  <si>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</si>
  <si>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</si>
  <si>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</si>
  <si>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</si>
  <si>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</si>
  <si>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</si>
  <si>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</si>
  <si>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</si>
  <si>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</si>
  <si>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</si>
  <si>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</si>
  <si>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</si>
  <si>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</si>
  <si>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</si>
  <si>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</si>
  <si>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</si>
  <si>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</si>
  <si>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</si>
  <si>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</si>
  <si>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</si>
  <si>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</si>
  <si>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</si>
  <si>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</si>
  <si>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</si>
  <si>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</si>
  <si>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</si>
  <si>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</si>
  <si>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</si>
  <si>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</si>
  <si>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</si>
  <si>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</si>
  <si>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</si>
  <si>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</si>
  <si>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</si>
  <si>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</si>
  <si>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</si>
  <si>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</si>
  <si>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</si>
  <si>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</si>
  <si>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</si>
  <si>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</si>
  <si>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</si>
  <si>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</si>
  <si>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</si>
  <si>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</si>
  <si>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</si>
  <si>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</si>
  <si>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</si>
  <si>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</si>
  <si>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</si>
  <si>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</si>
  <si>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</si>
  <si>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</si>
  <si>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</si>
  <si>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</si>
  <si>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</si>
  <si>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</si>
  <si>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</si>
  <si>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</si>
  <si>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</si>
  <si>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</si>
  <si>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</si>
  <si>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</si>
  <si>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</si>
  <si>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</si>
  <si>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</si>
  <si>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</si>
  <si>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</si>
  <si>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</si>
  <si>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</si>
  <si>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</si>
  <si>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</si>
  <si>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</si>
  <si>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</si>
  <si>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</si>
  <si>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</si>
  <si>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</si>
  <si>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</si>
  <si>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</si>
  <si>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</si>
  <si>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</si>
  <si>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</si>
  <si>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</si>
  <si>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</si>
  <si>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</si>
  <si>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</si>
  <si>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</si>
  <si>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</si>
  <si>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</si>
  <si>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</si>
  <si>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</si>
  <si>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</si>
  <si>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</si>
  <si>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</si>
  <si>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</si>
  <si>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</si>
  <si>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</si>
  <si>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</si>
  <si>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</si>
  <si>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</si>
  <si>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</si>
  <si>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</si>
  <si>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</si>
  <si>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</si>
  <si>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</si>
  <si>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</si>
  <si>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</si>
  <si>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</si>
  <si>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</si>
  <si>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</si>
  <si>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</si>
  <si>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</si>
  <si>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</si>
  <si>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</si>
  <si>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</si>
  <si>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</si>
  <si>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</si>
  <si>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</si>
  <si>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</si>
  <si>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</si>
  <si>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</si>
  <si>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</si>
  <si>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</si>
  <si>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</si>
  <si>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</si>
  <si>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</si>
  <si>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</si>
  <si>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</si>
  <si>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</si>
  <si>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</si>
  <si>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</si>
  <si>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</si>
  <si>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</si>
  <si>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</si>
  <si>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</si>
  <si>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</si>
  <si>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</si>
  <si>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</si>
  <si>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</si>
  <si>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</si>
  <si>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</si>
  <si>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</si>
  <si>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</si>
  <si>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</si>
  <si>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</si>
  <si>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</si>
  <si>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</si>
  <si>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</si>
  <si>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</si>
  <si>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</si>
  <si>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</si>
  <si>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</si>
  <si>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</si>
  <si>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</si>
  <si>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</si>
  <si>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</si>
  <si>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</si>
  <si>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</si>
  <si>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</si>
  <si>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</si>
  <si>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</si>
  <si>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</si>
  <si>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</si>
  <si>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</si>
  <si>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</si>
  <si>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</si>
  <si>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</si>
  <si>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</si>
  <si>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</si>
  <si>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unit_P1</t>
  </si>
  <si>
    <t>unit_P2</t>
  </si>
  <si>
    <t>Final unit</t>
  </si>
  <si>
    <t>unit_E2</t>
  </si>
  <si>
    <t>unit_E1</t>
  </si>
  <si>
    <t>unit_R1</t>
  </si>
  <si>
    <t>unit_R2</t>
  </si>
  <si>
    <t>May 2022</t>
  </si>
  <si>
    <t xml:space="preserve">3. In the Plant Overview sheet, make sure the main product (E32:J32), emissions (E52:J52), and fuel input (E71:J72) are correctly specified. These values are automatically transferred to other sheets. </t>
  </si>
  <si>
    <t>Variable</t>
  </si>
  <si>
    <t>Mean</t>
  </si>
  <si>
    <t>Lambda</t>
  </si>
  <si>
    <t>Export</t>
  </si>
  <si>
    <t>Sigma</t>
  </si>
  <si>
    <t>Trials</t>
  </si>
  <si>
    <t>Results</t>
  </si>
  <si>
    <t>Confidence interval</t>
  </si>
  <si>
    <t>Median</t>
  </si>
  <si>
    <t>High</t>
  </si>
  <si>
    <t>Low</t>
  </si>
  <si>
    <t>Max</t>
  </si>
  <si>
    <t>Min</t>
  </si>
  <si>
    <t>Monte Carlo Analysis</t>
  </si>
  <si>
    <t>Dist.</t>
  </si>
  <si>
    <t>Data -&gt;</t>
  </si>
  <si>
    <t>Chart</t>
  </si>
  <si>
    <t>Average</t>
  </si>
  <si>
    <t>Hist. Par.</t>
  </si>
  <si>
    <t>€/MWh</t>
  </si>
  <si>
    <t>SEA Tool v1.5
Licensed under GPL v3 - a copyleft license that allows free use and modification as long as any derivatives are shared under the same license.</t>
  </si>
  <si>
    <t>UQ</t>
  </si>
  <si>
    <t>Results Summary</t>
  </si>
  <si>
    <t>Cost Estimation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</si>
</sst>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000000"/>
  </numFmts>
  <fonts count="81"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4"/>
      <color rgb="FFFF0000"/>
      <name val="Calibri"/>
      <family val="2"/>
      <scheme val="minor"/>
    </font>
    <font>
      <sz val="11"/>
      <name val="Calibri"/>
      <family val="2"/>
    </font>
    <font>
      <b/>
      <sz val="12"/>
      <color theme="0"/>
      <name val="Calibri"/>
      <family val="2"/>
      <scheme val="minor"/>
    </font>
    <font>
      <i/>
      <sz val="11"/>
      <color theme="1"/>
      <name val="Calibri"/>
      <family val="2"/>
      <scheme val="minor"/>
    </font>
    <font>
      <b/>
      <sz val="16"/>
      <color rgb="FF000000"/>
      <name val="Calibri"/>
      <family val="2"/>
    </font>
    <font>
      <b/>
      <sz val="20"/>
      <color rgb="FF000000"/>
      <name val="Calibri"/>
      <family val="2"/>
    </font>
    <font>
      <b/>
      <sz val="10"/>
      <color rgb="FF000000"/>
      <name val="Calibri"/>
      <family val="2"/>
    </font>
    <font>
      <b/>
      <sz val="12"/>
      <color rgb="FF000000"/>
      <name val="Calibri"/>
      <family val="2"/>
    </font>
    <font>
      <b/>
      <sz val="24"/>
      <color rgb="FF000000"/>
      <name val="Calibri"/>
      <family val="2"/>
    </font>
    <font>
      <b/>
      <sz val="14"/>
      <color rgb="FF000000"/>
      <name val="Calibri"/>
      <family val="2"/>
    </font>
    <font>
      <b/>
      <sz val="18"/>
      <color rgb="FF000000"/>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thin">
        <color indexed="64"/>
      </right>
      <top style="thin">
        <color indexed="64"/>
      </top>
      <bottom style="thin">
        <color rgb="FF000000"/>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0" fillId="16" borderId="0" applyNumberFormat="0" applyBorder="0" applyAlignment="0" applyProtection="0"/>
    <xf numFmtId="0" fontId="63" fillId="0" borderId="0" applyNumberFormat="0" applyFill="0" applyBorder="0" applyAlignment="0" applyProtection="0"/>
  </cellStyleXfs>
  <cellXfs count="927">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0" borderId="7" xfId="0" applyBorder="1"/>
    <xf numFmtId="0" fontId="0" fillId="0" borderId="0" xfId="0" applyAlignment="1">
      <alignment vertical="top" wrapText="1"/>
    </xf>
    <xf numFmtId="0" fontId="10" fillId="0" borderId="0" xfId="0" applyFo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2" fontId="0" fillId="0" borderId="8" xfId="0" applyNumberFormat="1" applyBorder="1" applyAlignment="1">
      <alignment horizontal="center" vertical="center"/>
    </xf>
    <xf numFmtId="168" fontId="0" fillId="0" borderId="0" xfId="0" applyNumberFormat="1" applyAlignment="1">
      <alignment horizontal="center" vertical="center"/>
    </xf>
    <xf numFmtId="1" fontId="0" fillId="0" borderId="9" xfId="0" applyNumberFormat="1" applyBorder="1" applyAlignment="1">
      <alignment horizontal="center" vertical="center"/>
    </xf>
    <xf numFmtId="166" fontId="0" fillId="2" borderId="0" xfId="0" applyNumberFormat="1" applyFill="1" applyAlignment="1">
      <alignment horizontal="center"/>
    </xf>
    <xf numFmtId="0" fontId="20" fillId="2" borderId="0" xfId="0" applyFont="1" applyFill="1"/>
    <xf numFmtId="166" fontId="0" fillId="0" borderId="0" xfId="0" applyNumberFormat="1" applyAlignment="1">
      <alignment horizontal="center" vertical="center"/>
    </xf>
    <xf numFmtId="0" fontId="22" fillId="2" borderId="0" xfId="0" applyFont="1" applyFill="1"/>
    <xf numFmtId="0" fontId="23" fillId="2" borderId="0" xfId="1" applyFont="1" applyFill="1" applyAlignment="1">
      <alignment horizontal="center"/>
    </xf>
    <xf numFmtId="0" fontId="23" fillId="2" borderId="0" xfId="1" applyFont="1" applyFill="1"/>
    <xf numFmtId="165" fontId="23" fillId="2" borderId="0" xfId="1" applyNumberFormat="1" applyFont="1" applyFill="1" applyAlignment="1">
      <alignment horizontal="center"/>
    </xf>
    <xf numFmtId="166" fontId="23" fillId="2" borderId="0" xfId="1" applyNumberFormat="1" applyFont="1" applyFill="1" applyAlignment="1">
      <alignment horizontal="center"/>
    </xf>
    <xf numFmtId="166" fontId="23" fillId="2" borderId="0" xfId="1" applyNumberFormat="1" applyFont="1" applyFill="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14" xfId="0"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Alignment="1">
      <alignment horizontal="center" vertical="center"/>
    </xf>
    <xf numFmtId="0" fontId="0" fillId="0" borderId="15" xfId="0" applyBorder="1" applyAlignment="1">
      <alignment horizontal="center" vertical="center"/>
    </xf>
    <xf numFmtId="0" fontId="11" fillId="2" borderId="0" xfId="0" applyFont="1" applyFill="1" applyAlignment="1">
      <alignment vertical="center"/>
    </xf>
    <xf numFmtId="0" fontId="28" fillId="4" borderId="4" xfId="0" applyFont="1" applyFill="1" applyBorder="1" applyAlignment="1">
      <alignment horizontal="center" vertical="center"/>
    </xf>
    <xf numFmtId="0" fontId="1" fillId="2" borderId="0" xfId="0" applyFont="1" applyFill="1"/>
    <xf numFmtId="0" fontId="11" fillId="0" borderId="0" xfId="0" applyFont="1" applyAlignment="1">
      <alignment vertical="center"/>
    </xf>
    <xf numFmtId="0" fontId="11" fillId="0" borderId="0" xfId="0" applyFont="1" applyAlignment="1">
      <alignment horizontal="center"/>
    </xf>
    <xf numFmtId="0" fontId="12" fillId="2" borderId="0" xfId="0" applyFont="1" applyFill="1" applyAlignment="1">
      <alignment horizontal="center"/>
    </xf>
    <xf numFmtId="0" fontId="12" fillId="2" borderId="0" xfId="0" applyFont="1" applyFill="1" applyAlignment="1">
      <alignment horizontal="center" vertical="center"/>
    </xf>
    <xf numFmtId="0" fontId="10" fillId="2"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1" fontId="2" fillId="2" borderId="6" xfId="1" applyNumberFormat="1" applyFill="1" applyBorder="1" applyAlignment="1">
      <alignment horizontal="center"/>
    </xf>
    <xf numFmtId="171" fontId="2" fillId="2" borderId="12" xfId="1" applyNumberFormat="1" applyFill="1" applyBorder="1" applyAlignment="1">
      <alignment horizontal="center"/>
    </xf>
    <xf numFmtId="0" fontId="21" fillId="0" borderId="0" xfId="1" applyFont="1"/>
    <xf numFmtId="49" fontId="0" fillId="0" borderId="0" xfId="0" applyNumberFormat="1" applyAlignment="1">
      <alignment horizontal="center" vertical="center"/>
    </xf>
    <xf numFmtId="49" fontId="0" fillId="0" borderId="0" xfId="0" applyNumberFormat="1"/>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Alignment="1">
      <alignment horizontal="center"/>
    </xf>
    <xf numFmtId="0" fontId="29" fillId="2" borderId="0" xfId="0" applyFont="1" applyFill="1"/>
    <xf numFmtId="2" fontId="0" fillId="2" borderId="0" xfId="0" applyNumberFormat="1" applyFill="1" applyAlignment="1">
      <alignment horizontal="center" vertical="center"/>
    </xf>
    <xf numFmtId="0" fontId="27" fillId="2" borderId="0" xfId="0" applyFont="1" applyFill="1"/>
    <xf numFmtId="0" fontId="22" fillId="2" borderId="0" xfId="0" applyFont="1" applyFill="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1" fillId="2" borderId="0" xfId="0" applyFont="1" applyFill="1"/>
    <xf numFmtId="0" fontId="27" fillId="2" borderId="0" xfId="0" applyFont="1" applyFill="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3" fillId="2" borderId="4" xfId="0" applyFont="1" applyFill="1" applyBorder="1" applyAlignment="1">
      <alignment horizontal="center" vertical="center"/>
    </xf>
    <xf numFmtId="0" fontId="34"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Border="1" applyAlignment="1">
      <alignment horizontal="center"/>
    </xf>
    <xf numFmtId="1" fontId="0" fillId="2" borderId="0" xfId="0" applyNumberFormat="1" applyFill="1"/>
    <xf numFmtId="0" fontId="19" fillId="2" borderId="0" xfId="0" applyFont="1" applyFill="1"/>
    <xf numFmtId="2" fontId="0" fillId="2" borderId="0" xfId="0" applyNumberFormat="1" applyFill="1"/>
    <xf numFmtId="169" fontId="0" fillId="2" borderId="0" xfId="0" applyNumberFormat="1" applyFill="1"/>
    <xf numFmtId="2" fontId="0" fillId="0" borderId="4" xfId="0" applyNumberFormat="1" applyBorder="1" applyAlignment="1">
      <alignment horizontal="center" vertical="center"/>
    </xf>
    <xf numFmtId="0" fontId="0" fillId="0" borderId="17" xfId="0" applyBorder="1" applyAlignment="1">
      <alignment horizontal="center" vertical="center" wrapText="1"/>
    </xf>
    <xf numFmtId="0" fontId="37" fillId="2" borderId="0" xfId="0" applyFont="1" applyFill="1" applyAlignment="1">
      <alignment vertical="center"/>
    </xf>
    <xf numFmtId="0" fontId="24" fillId="2" borderId="12" xfId="0" applyFont="1" applyFill="1" applyBorder="1" applyAlignment="1">
      <alignment vertical="center" wrapText="1"/>
    </xf>
    <xf numFmtId="0" fontId="37" fillId="2" borderId="0" xfId="0" applyFont="1" applyFill="1" applyAlignment="1">
      <alignment horizontal="center" vertical="center"/>
    </xf>
    <xf numFmtId="0" fontId="0" fillId="0" borderId="26" xfId="0" applyBorder="1" applyAlignment="1">
      <alignment horizontal="center" vertical="center" wrapText="1"/>
    </xf>
    <xf numFmtId="0" fontId="36" fillId="2" borderId="4" xfId="0" applyFont="1" applyFill="1" applyBorder="1" applyAlignment="1">
      <alignment horizontal="center" vertical="center"/>
    </xf>
    <xf numFmtId="0" fontId="1" fillId="2" borderId="7" xfId="0" applyFont="1" applyFill="1" applyBorder="1" applyAlignment="1">
      <alignment horizontal="center" vertical="center"/>
    </xf>
    <xf numFmtId="169" fontId="0" fillId="0" borderId="0" xfId="0" applyNumberFormat="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2" borderId="5" xfId="0" applyFill="1" applyBorder="1" applyAlignment="1">
      <alignment horizont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Border="1" applyAlignment="1">
      <alignment horizontal="center" vertical="center"/>
    </xf>
    <xf numFmtId="1" fontId="0" fillId="0" borderId="12" xfId="0" applyNumberFormat="1" applyBorder="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9" fontId="41"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11" fillId="0" borderId="10" xfId="0" applyFont="1" applyBorder="1" applyAlignment="1">
      <alignment vertical="center"/>
    </xf>
    <xf numFmtId="0" fontId="22" fillId="2" borderId="0" xfId="0" applyFont="1" applyFill="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Border="1" applyAlignment="1">
      <alignment vertical="center"/>
    </xf>
    <xf numFmtId="0" fontId="0" fillId="0" borderId="5" xfId="0" applyBorder="1" applyAlignment="1">
      <alignment vertical="center"/>
    </xf>
    <xf numFmtId="0" fontId="12" fillId="2" borderId="0" xfId="0" applyFont="1" applyFill="1" applyAlignment="1">
      <alignment horizontal="center" vertical="center" wrapText="1"/>
    </xf>
    <xf numFmtId="0" fontId="0" fillId="0" borderId="0" xfId="0" applyAlignment="1">
      <alignment horizontal="center" vertical="center" wrapText="1"/>
    </xf>
    <xf numFmtId="0" fontId="10" fillId="0" borderId="0" xfId="0" applyFont="1" applyAlignment="1">
      <alignment vertical="center" wrapText="1"/>
    </xf>
    <xf numFmtId="0" fontId="0" fillId="0" borderId="0" xfId="0" quotePrefix="1" applyAlignment="1">
      <alignment horizontal="center" vertical="center"/>
    </xf>
    <xf numFmtId="168" fontId="0" fillId="0" borderId="10" xfId="0" applyNumberFormat="1" applyBorder="1" applyAlignment="1">
      <alignment horizontal="center" vertical="center"/>
    </xf>
    <xf numFmtId="0" fontId="12" fillId="0" borderId="0" xfId="0" applyFont="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36"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46" fillId="2" borderId="4" xfId="0" applyFont="1" applyFill="1" applyBorder="1" applyAlignment="1">
      <alignment horizontal="center" vertical="center" wrapText="1"/>
    </xf>
    <xf numFmtId="0" fontId="47" fillId="2" borderId="4" xfId="0" applyFont="1" applyFill="1" applyBorder="1" applyAlignment="1">
      <alignment horizontal="center" vertical="center" wrapText="1"/>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44" fillId="2" borderId="0" xfId="0" applyFont="1" applyFill="1"/>
    <xf numFmtId="0" fontId="45" fillId="2" borderId="4" xfId="0" applyFont="1" applyFill="1"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Alignment="1">
      <alignment horizontal="center" vertical="center"/>
    </xf>
    <xf numFmtId="0" fontId="10" fillId="2" borderId="0" xfId="0" applyFont="1" applyFill="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Alignment="1">
      <alignment vertical="center" wrapText="1"/>
    </xf>
    <xf numFmtId="166" fontId="0" fillId="0" borderId="12" xfId="0" applyNumberFormat="1" applyBorder="1" applyAlignment="1">
      <alignment horizontal="center" vertical="center"/>
    </xf>
    <xf numFmtId="0" fontId="48" fillId="2" borderId="0" xfId="1" applyFont="1" applyFill="1"/>
    <xf numFmtId="0" fontId="29" fillId="0" borderId="0" xfId="0" applyFont="1"/>
    <xf numFmtId="165" fontId="48" fillId="2" borderId="0" xfId="1" applyNumberFormat="1" applyFont="1" applyFill="1" applyAlignment="1">
      <alignment horizontal="center"/>
    </xf>
    <xf numFmtId="2" fontId="48" fillId="2" borderId="0" xfId="1" applyNumberFormat="1" applyFont="1" applyFill="1" applyAlignment="1">
      <alignment horizontal="center"/>
    </xf>
    <xf numFmtId="0" fontId="18" fillId="2" borderId="0" xfId="5" applyFill="1" applyBorder="1" applyAlignment="1">
      <alignment horizontal="center" vertical="center"/>
    </xf>
    <xf numFmtId="0" fontId="48" fillId="2" borderId="0" xfId="1" applyFont="1" applyFill="1" applyAlignment="1">
      <alignment horizontal="center"/>
    </xf>
    <xf numFmtId="166" fontId="48" fillId="2" borderId="0" xfId="1" applyNumberFormat="1" applyFont="1" applyFill="1" applyAlignment="1">
      <alignment horizontal="center"/>
    </xf>
    <xf numFmtId="0" fontId="43" fillId="2" borderId="0" xfId="0" applyFont="1" applyFill="1" applyAlignment="1">
      <alignment horizontal="left" vertical="center"/>
    </xf>
    <xf numFmtId="0" fontId="10" fillId="2" borderId="0" xfId="0" applyFont="1" applyFill="1" applyAlignment="1">
      <alignment horizontal="left" vertical="center"/>
    </xf>
    <xf numFmtId="0" fontId="0" fillId="2" borderId="0" xfId="0" applyFill="1" applyAlignment="1">
      <alignment horizontal="left"/>
    </xf>
    <xf numFmtId="0" fontId="32" fillId="2" borderId="0" xfId="0" applyFont="1" applyFill="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ill="1" applyAlignment="1">
      <alignment horizontal="center" vertical="center"/>
    </xf>
    <xf numFmtId="166" fontId="26" fillId="2" borderId="0" xfId="0" applyNumberFormat="1" applyFont="1" applyFill="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xf>
    <xf numFmtId="0" fontId="15" fillId="0" borderId="0" xfId="6" applyAlignment="1">
      <alignment horizontal="center"/>
    </xf>
    <xf numFmtId="166" fontId="0" fillId="0" borderId="15" xfId="0" applyNumberFormat="1" applyBorder="1" applyAlignment="1">
      <alignment horizontal="center" vertical="center"/>
    </xf>
    <xf numFmtId="168" fontId="22" fillId="0" borderId="7" xfId="0" applyNumberFormat="1" applyFont="1" applyBorder="1" applyAlignment="1">
      <alignment horizontal="center" vertical="center"/>
    </xf>
    <xf numFmtId="168" fontId="22" fillId="0" borderId="10" xfId="0" applyNumberFormat="1" applyFont="1" applyBorder="1" applyAlignment="1">
      <alignment horizontal="center" vertical="center"/>
    </xf>
    <xf numFmtId="166" fontId="35" fillId="0" borderId="0" xfId="0" applyNumberFormat="1" applyFont="1" applyAlignment="1">
      <alignment horizontal="center" vertical="center"/>
    </xf>
    <xf numFmtId="166" fontId="22" fillId="2" borderId="0" xfId="0" applyNumberFormat="1" applyFont="1" applyFill="1" applyAlignment="1">
      <alignment horizontal="center" vertical="center"/>
    </xf>
    <xf numFmtId="0" fontId="22" fillId="2" borderId="15" xfId="0" applyFont="1" applyFill="1" applyBorder="1"/>
    <xf numFmtId="0" fontId="22" fillId="2" borderId="14" xfId="0" applyFont="1" applyFill="1" applyBorder="1"/>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0" xfId="0" applyAlignment="1">
      <alignment vertical="center" wrapText="1"/>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9" fontId="22" fillId="2" borderId="0" xfId="0" applyNumberFormat="1" applyFont="1" applyFill="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2" fillId="2" borderId="0" xfId="0" applyNumberFormat="1" applyFont="1" applyFill="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49" fillId="7" borderId="4" xfId="0" applyFont="1" applyFill="1" applyBorder="1" applyAlignment="1">
      <alignment horizontal="center" vertical="center"/>
    </xf>
    <xf numFmtId="166" fontId="49" fillId="7" borderId="4" xfId="0" applyNumberFormat="1" applyFont="1" applyFill="1" applyBorder="1" applyAlignment="1">
      <alignment horizontal="center" vertical="center"/>
    </xf>
    <xf numFmtId="168" fontId="22" fillId="0" borderId="3" xfId="0" applyNumberFormat="1" applyFont="1" applyBorder="1" applyAlignment="1">
      <alignment horizontal="center" vertical="center"/>
    </xf>
    <xf numFmtId="0" fontId="19" fillId="0" borderId="4" xfId="0" applyFont="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3"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0" xfId="6" applyFont="1" applyAlignment="1">
      <alignment horizontal="center" vertical="center"/>
    </xf>
    <xf numFmtId="0" fontId="22" fillId="0" borderId="10" xfId="6" applyFont="1" applyBorder="1" applyAlignment="1">
      <alignment horizontal="center" vertical="center"/>
    </xf>
    <xf numFmtId="0" fontId="22" fillId="2" borderId="0" xfId="0" applyFont="1" applyFill="1" applyAlignment="1">
      <alignment vertical="center"/>
    </xf>
    <xf numFmtId="0" fontId="22" fillId="0" borderId="0" xfId="0" applyFont="1" applyAlignment="1">
      <alignment vertical="center"/>
    </xf>
    <xf numFmtId="0" fontId="22" fillId="0" borderId="10" xfId="0" applyFont="1" applyBorder="1" applyAlignment="1">
      <alignment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4" fillId="0" borderId="15" xfId="0" applyFont="1" applyBorder="1" applyAlignment="1">
      <alignment horizontal="center" vertical="center" wrapText="1"/>
    </xf>
    <xf numFmtId="0" fontId="11" fillId="2" borderId="15" xfId="0" applyFont="1" applyFill="1" applyBorder="1" applyAlignment="1">
      <alignment horizontal="center" vertical="center"/>
    </xf>
    <xf numFmtId="0" fontId="55" fillId="0" borderId="7" xfId="0" applyFont="1" applyBorder="1" applyAlignment="1">
      <alignment horizontal="center" vertical="center"/>
    </xf>
    <xf numFmtId="0" fontId="11" fillId="2" borderId="4" xfId="0" applyFont="1" applyFill="1" applyBorder="1" applyAlignment="1">
      <alignment horizontal="center" vertical="center"/>
    </xf>
    <xf numFmtId="0" fontId="55" fillId="0" borderId="3" xfId="0" applyFont="1" applyBorder="1" applyAlignment="1">
      <alignment horizontal="center" vertical="center"/>
    </xf>
    <xf numFmtId="0" fontId="56" fillId="2" borderId="4" xfId="0" applyFont="1" applyFill="1" applyBorder="1" applyAlignment="1">
      <alignment horizontal="center" vertical="center"/>
    </xf>
    <xf numFmtId="166" fontId="55" fillId="0" borderId="4" xfId="0" applyNumberFormat="1" applyFont="1" applyBorder="1" applyAlignment="1">
      <alignment horizontal="center" vertical="center"/>
    </xf>
    <xf numFmtId="166" fontId="55" fillId="0" borderId="14" xfId="0" applyNumberFormat="1" applyFont="1" applyBorder="1" applyAlignment="1">
      <alignment horizontal="center" vertical="center"/>
    </xf>
    <xf numFmtId="0" fontId="53" fillId="3" borderId="4" xfId="0" applyFont="1" applyFill="1" applyBorder="1" applyAlignment="1">
      <alignment horizontal="center" vertical="center" wrapText="1"/>
    </xf>
    <xf numFmtId="0" fontId="58" fillId="6" borderId="4" xfId="0" applyFont="1" applyFill="1" applyBorder="1" applyAlignment="1">
      <alignment horizontal="center" vertical="center"/>
    </xf>
    <xf numFmtId="0" fontId="58" fillId="3" borderId="4" xfId="0" applyFont="1" applyFill="1" applyBorder="1" applyAlignment="1">
      <alignment horizontal="center" vertical="center"/>
    </xf>
    <xf numFmtId="0" fontId="59" fillId="5" borderId="4" xfId="0" applyFont="1" applyFill="1" applyBorder="1" applyAlignment="1">
      <alignment horizontal="center" vertical="center"/>
    </xf>
    <xf numFmtId="0" fontId="58" fillId="6" borderId="13" xfId="0" applyFont="1" applyFill="1" applyBorder="1" applyAlignment="1">
      <alignment horizontal="center" vertical="center"/>
    </xf>
    <xf numFmtId="0" fontId="58" fillId="3" borderId="14" xfId="0" applyFont="1" applyFill="1" applyBorder="1" applyAlignment="1">
      <alignment horizontal="center" vertical="center"/>
    </xf>
    <xf numFmtId="0" fontId="58" fillId="6" borderId="14" xfId="0" applyFont="1" applyFill="1" applyBorder="1" applyAlignment="1">
      <alignment horizontal="center" vertical="center"/>
    </xf>
    <xf numFmtId="0" fontId="59"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2" fillId="0" borderId="4" xfId="0" applyFont="1" applyBorder="1" applyAlignment="1">
      <alignment horizontal="center" vertical="center"/>
    </xf>
    <xf numFmtId="0" fontId="22" fillId="0" borderId="4" xfId="0" applyFont="1" applyBorder="1" applyAlignment="1">
      <alignment horizontal="center" vertical="center"/>
    </xf>
    <xf numFmtId="0" fontId="30" fillId="0" borderId="13" xfId="0" applyFont="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Border="1" applyAlignment="1">
      <alignment horizontal="center" vertical="center" wrapText="1"/>
    </xf>
    <xf numFmtId="9" fontId="0" fillId="0" borderId="4" xfId="0" applyNumberFormat="1" applyBorder="1" applyAlignment="1">
      <alignment horizontal="center" vertical="center"/>
    </xf>
    <xf numFmtId="1" fontId="0" fillId="0" borderId="4" xfId="0" applyNumberFormat="1" applyBorder="1" applyAlignment="1">
      <alignment horizontal="center" vertical="center"/>
    </xf>
    <xf numFmtId="9" fontId="0" fillId="0" borderId="4" xfId="8" applyFont="1" applyFill="1" applyBorder="1" applyAlignment="1">
      <alignment horizontal="center" vertical="center"/>
    </xf>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35"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0" xfId="6" applyNumberFormat="1" applyFont="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4" xfId="0" applyBorder="1" applyAlignment="1">
      <alignment horizontal="center"/>
    </xf>
    <xf numFmtId="0" fontId="13" fillId="0" borderId="14" xfId="0" applyFont="1" applyBorder="1" applyAlignment="1">
      <alignment horizontal="center" vertical="center"/>
    </xf>
    <xf numFmtId="0" fontId="1" fillId="3" borderId="15" xfId="0" applyFont="1" applyFill="1" applyBorder="1" applyAlignment="1">
      <alignment horizontal="center" vertical="center"/>
    </xf>
    <xf numFmtId="0" fontId="0" fillId="0" borderId="10" xfId="0" applyBorder="1" applyAlignment="1">
      <alignment horizontal="center" vertical="center" wrapText="1"/>
    </xf>
    <xf numFmtId="0" fontId="10" fillId="3" borderId="5" xfId="0" applyFont="1" applyFill="1" applyBorder="1" applyAlignment="1">
      <alignment horizontal="center" vertical="center"/>
    </xf>
    <xf numFmtId="0" fontId="0" fillId="0" borderId="8" xfId="0"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4" fillId="0" borderId="4" xfId="11" applyFont="1" applyBorder="1" applyAlignment="1">
      <alignment horizontal="center" vertical="center"/>
    </xf>
    <xf numFmtId="0" fontId="60" fillId="0" borderId="10" xfId="0" applyFont="1" applyBorder="1" applyAlignment="1">
      <alignment horizontal="center" vertical="center"/>
    </xf>
    <xf numFmtId="0" fontId="13" fillId="0" borderId="0" xfId="0" applyFont="1"/>
    <xf numFmtId="0" fontId="11" fillId="0" borderId="0" xfId="0" applyFont="1"/>
    <xf numFmtId="0" fontId="65" fillId="0" borderId="0" xfId="0" applyFont="1"/>
    <xf numFmtId="0" fontId="67"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0"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9" fontId="22" fillId="0" borderId="5" xfId="6" applyNumberFormat="1" applyFont="1" applyBorder="1" applyAlignment="1">
      <alignment horizontal="center" vertical="center"/>
    </xf>
    <xf numFmtId="9" fontId="22" fillId="0" borderId="6" xfId="6" applyNumberFormat="1" applyFont="1" applyBorder="1" applyAlignment="1">
      <alignment horizontal="center" vertical="center"/>
    </xf>
    <xf numFmtId="9" fontId="22" fillId="0" borderId="7" xfId="6" applyNumberFormat="1" applyFont="1"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7"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19" fillId="0" borderId="14" xfId="0" applyFont="1" applyBorder="1" applyAlignment="1">
      <alignment horizontal="center" vertical="center"/>
    </xf>
    <xf numFmtId="170" fontId="42"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2" fontId="42"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15" xfId="0" applyBorder="1" applyAlignment="1">
      <alignment vertical="center"/>
    </xf>
    <xf numFmtId="0" fontId="0" fillId="0" borderId="8" xfId="0" applyBorder="1" applyAlignment="1">
      <alignment vertical="center"/>
    </xf>
    <xf numFmtId="0" fontId="0" fillId="0" borderId="14" xfId="0" applyBorder="1" applyAlignment="1">
      <alignment vertical="center"/>
    </xf>
    <xf numFmtId="168" fontId="22" fillId="0" borderId="13" xfId="0" applyNumberFormat="1" applyFont="1" applyBorder="1" applyAlignment="1">
      <alignment horizontal="center" vertical="center"/>
    </xf>
    <xf numFmtId="0" fontId="0" fillId="2" borderId="10" xfId="0" applyFill="1" applyBorder="1" applyAlignment="1">
      <alignment horizontal="center" vertical="center"/>
    </xf>
    <xf numFmtId="0" fontId="1" fillId="2" borderId="0" xfId="0" applyFont="1" applyFill="1" applyAlignment="1">
      <alignment horizontal="center"/>
    </xf>
    <xf numFmtId="0" fontId="0" fillId="2" borderId="29" xfId="0" applyFill="1" applyBorder="1" applyAlignment="1">
      <alignment horizontal="center" vertical="center"/>
    </xf>
    <xf numFmtId="0" fontId="10" fillId="0" borderId="0" xfId="0" applyFont="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68" fillId="3" borderId="12" xfId="0" applyFont="1" applyFill="1" applyBorder="1" applyAlignment="1">
      <alignment horizontal="center" vertical="center"/>
    </xf>
    <xf numFmtId="0" fontId="0" fillId="2" borderId="30" xfId="0"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60" fillId="0" borderId="0" xfId="0" applyFont="1" applyAlignment="1">
      <alignment horizontal="center" vertical="center"/>
    </xf>
    <xf numFmtId="0" fontId="61" fillId="0" borderId="0" xfId="0" applyFont="1" applyAlignment="1">
      <alignment vertical="center"/>
    </xf>
    <xf numFmtId="0" fontId="13" fillId="0" borderId="0" xfId="0" applyFont="1" applyAlignment="1">
      <alignment horizontal="center" vertical="center"/>
    </xf>
    <xf numFmtId="0" fontId="62" fillId="0" borderId="0" xfId="0" applyFont="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13" fillId="0" borderId="0" xfId="0" applyFont="1" applyAlignment="1">
      <alignment vertic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left"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166" fontId="0" fillId="0" borderId="0" xfId="0" applyNumberFormat="1"/>
    <xf numFmtId="0" fontId="10" fillId="3" borderId="8" xfId="0" applyFont="1" applyFill="1" applyBorder="1" applyAlignment="1">
      <alignment horizontal="center" vertical="center"/>
    </xf>
    <xf numFmtId="168" fontId="0" fillId="0" borderId="15" xfId="0" applyNumberFormat="1" applyBorder="1" applyAlignment="1">
      <alignment horizontal="center" vertical="center"/>
    </xf>
    <xf numFmtId="168" fontId="0" fillId="0" borderId="8" xfId="0" applyNumberFormat="1" applyBorder="1" applyAlignment="1">
      <alignment horizontal="center" vertical="center"/>
    </xf>
    <xf numFmtId="168" fontId="0" fillId="0" borderId="14" xfId="0" applyNumberFormat="1" applyBorder="1" applyAlignment="1">
      <alignment horizontal="center" vertical="center"/>
    </xf>
    <xf numFmtId="0" fontId="44" fillId="2" borderId="0" xfId="0" applyFont="1" applyFill="1" applyAlignment="1">
      <alignment vertical="center"/>
    </xf>
    <xf numFmtId="0" fontId="49" fillId="3" borderId="1" xfId="0" applyFont="1" applyFill="1" applyBorder="1" applyAlignment="1">
      <alignment horizontal="center" vertical="center"/>
    </xf>
    <xf numFmtId="0" fontId="49" fillId="5" borderId="1" xfId="0" applyFont="1" applyFill="1" applyBorder="1" applyAlignment="1">
      <alignment horizontal="center" vertical="center"/>
    </xf>
    <xf numFmtId="0" fontId="49"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0" borderId="9" xfId="0" applyFont="1" applyBorder="1" applyAlignment="1">
      <alignment vertical="center" wrapText="1"/>
    </xf>
    <xf numFmtId="0" fontId="10" fillId="0" borderId="12" xfId="0" applyFont="1" applyBorder="1" applyAlignment="1">
      <alignment vertical="center" wrapText="1"/>
    </xf>
    <xf numFmtId="0" fontId="36" fillId="2" borderId="4" xfId="0" applyFont="1" applyFill="1" applyBorder="1" applyAlignment="1">
      <alignment horizontal="center" vertical="center" wrapText="1"/>
    </xf>
    <xf numFmtId="0" fontId="36" fillId="2" borderId="4" xfId="0" applyFont="1" applyFill="1" applyBorder="1" applyAlignment="1">
      <alignment vertical="center" wrapText="1"/>
    </xf>
    <xf numFmtId="2" fontId="20" fillId="2" borderId="10" xfId="0" applyNumberFormat="1" applyFont="1" applyFill="1" applyBorder="1"/>
    <xf numFmtId="0" fontId="0" fillId="0" borderId="5" xfId="0" applyBorder="1" applyAlignment="1">
      <alignment horizontal="center" vertical="center" wrapText="1"/>
    </xf>
    <xf numFmtId="0" fontId="0" fillId="0" borderId="1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4"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56" fillId="3" borderId="15" xfId="0" applyFont="1" applyFill="1" applyBorder="1" applyAlignment="1">
      <alignment horizontal="center" vertical="center"/>
    </xf>
    <xf numFmtId="0" fontId="22" fillId="0" borderId="5" xfId="0" applyFont="1" applyBorder="1" applyAlignment="1">
      <alignment horizontal="center" vertical="center" wrapText="1"/>
    </xf>
    <xf numFmtId="0" fontId="22" fillId="0" borderId="1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9" xfId="0" applyFont="1" applyBorder="1" applyAlignment="1">
      <alignment horizontal="center" vertical="center" wrapText="1"/>
    </xf>
    <xf numFmtId="0" fontId="22" fillId="0" borderId="8" xfId="0" applyFont="1" applyBorder="1" applyAlignment="1">
      <alignment horizontal="center" vertical="center" wrapText="1"/>
    </xf>
    <xf numFmtId="0" fontId="22" fillId="0" borderId="0" xfId="0" applyFont="1" applyAlignment="1">
      <alignment horizontal="center" vertical="center" wrapText="1"/>
    </xf>
    <xf numFmtId="0" fontId="22" fillId="0" borderId="10" xfId="0" applyFont="1" applyBorder="1" applyAlignment="1">
      <alignment horizontal="center" vertical="center" wrapText="1"/>
    </xf>
    <xf numFmtId="0" fontId="22" fillId="0" borderId="11" xfId="0" applyFont="1" applyBorder="1" applyAlignment="1">
      <alignment horizontal="center" vertical="center" wrapText="1"/>
    </xf>
    <xf numFmtId="0" fontId="22" fillId="0" borderId="14" xfId="0" applyFont="1" applyBorder="1" applyAlignment="1">
      <alignment horizontal="center" vertical="center" wrapText="1"/>
    </xf>
    <xf numFmtId="0" fontId="22" fillId="0" borderId="12" xfId="0" applyFont="1" applyBorder="1" applyAlignment="1">
      <alignment horizontal="center" vertical="center" wrapText="1"/>
    </xf>
    <xf numFmtId="0" fontId="22" fillId="0" borderId="13" xfId="0" applyFont="1" applyBorder="1" applyAlignment="1">
      <alignment horizontal="center" vertical="center" wrapText="1"/>
    </xf>
    <xf numFmtId="0" fontId="22" fillId="3" borderId="14" xfId="0" applyFont="1" applyFill="1" applyBorder="1" applyAlignment="1">
      <alignment horizontal="center" vertical="center"/>
    </xf>
    <xf numFmtId="0" fontId="45" fillId="0" borderId="4" xfId="6" applyFont="1" applyBorder="1" applyAlignment="1">
      <alignment horizontal="center" vertical="center"/>
    </xf>
    <xf numFmtId="0" fontId="69" fillId="0" borderId="4" xfId="6" applyFont="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5" fillId="6" borderId="4" xfId="6" applyFont="1" applyFill="1" applyBorder="1" applyAlignment="1">
      <alignment horizontal="center" vertical="center"/>
    </xf>
    <xf numFmtId="0" fontId="35"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0" fillId="2" borderId="0" xfId="6" applyFont="1" applyFill="1" applyAlignment="1">
      <alignment horizontal="center" vertical="center"/>
    </xf>
    <xf numFmtId="0" fontId="70" fillId="2" borderId="0" xfId="0" applyFont="1" applyFill="1" applyAlignment="1">
      <alignment horizontal="center" vertical="center"/>
    </xf>
    <xf numFmtId="2" fontId="22" fillId="2" borderId="0" xfId="0" applyNumberFormat="1" applyFont="1" applyFill="1" applyAlignment="1">
      <alignment horizontal="center" vertical="center"/>
    </xf>
    <xf numFmtId="2" fontId="0" fillId="2" borderId="7" xfId="0" applyNumberFormat="1" applyFill="1" applyBorder="1" applyAlignment="1">
      <alignment horizontal="center" vertical="center"/>
    </xf>
    <xf numFmtId="2" fontId="0" fillId="2" borderId="6" xfId="0" applyNumberFormat="1" applyFill="1" applyBorder="1" applyAlignment="1">
      <alignment horizontal="center" vertical="center"/>
    </xf>
    <xf numFmtId="0" fontId="49" fillId="6" borderId="1" xfId="0" applyFont="1" applyFill="1" applyBorder="1" applyAlignment="1">
      <alignment horizontal="center" vertical="center"/>
    </xf>
    <xf numFmtId="0" fontId="49" fillId="3" borderId="37" xfId="0" applyFont="1" applyFill="1" applyBorder="1" applyAlignment="1">
      <alignment horizontal="center" vertical="center"/>
    </xf>
    <xf numFmtId="0" fontId="49" fillId="3" borderId="4" xfId="0" applyFont="1" applyFill="1" applyBorder="1" applyAlignment="1">
      <alignment horizontal="center" vertical="center"/>
    </xf>
    <xf numFmtId="0" fontId="49" fillId="5" borderId="4" xfId="0" applyFont="1" applyFill="1" applyBorder="1" applyAlignment="1">
      <alignment horizontal="center" vertical="center"/>
    </xf>
    <xf numFmtId="10" fontId="19" fillId="0" borderId="15" xfId="8" applyNumberFormat="1" applyFont="1" applyBorder="1" applyAlignment="1">
      <alignment horizontal="center" vertical="center"/>
    </xf>
    <xf numFmtId="9" fontId="0" fillId="0" borderId="8" xfId="8" applyFont="1" applyBorder="1" applyAlignment="1">
      <alignment horizontal="center" vertical="center"/>
    </xf>
    <xf numFmtId="0" fontId="0" fillId="0" borderId="4" xfId="0" applyBorder="1"/>
    <xf numFmtId="0" fontId="33" fillId="2" borderId="3" xfId="0" applyFont="1" applyFill="1" applyBorder="1" applyAlignment="1">
      <alignment horizontal="center" vertical="center"/>
    </xf>
    <xf numFmtId="0" fontId="19" fillId="0" borderId="8" xfId="0" applyFont="1" applyBorder="1" applyAlignment="1">
      <alignment horizontal="center" vertical="center"/>
    </xf>
    <xf numFmtId="0" fontId="1" fillId="4" borderId="4" xfId="0" applyFont="1" applyFill="1" applyBorder="1" applyAlignment="1">
      <alignment horizontal="center" vertical="center"/>
    </xf>
    <xf numFmtId="9" fontId="1" fillId="0" borderId="4" xfId="8" applyFont="1" applyBorder="1" applyAlignment="1">
      <alignment horizontal="center" vertical="center"/>
    </xf>
    <xf numFmtId="165" fontId="0" fillId="0" borderId="0" xfId="0" applyNumberFormat="1" applyAlignment="1">
      <alignment horizontal="center" vertical="center"/>
    </xf>
    <xf numFmtId="166" fontId="0" fillId="0" borderId="1" xfId="0" applyNumberFormat="1" applyBorder="1" applyAlignment="1">
      <alignment horizontal="center" vertical="center"/>
    </xf>
    <xf numFmtId="0" fontId="72" fillId="5" borderId="3" xfId="0" applyFont="1" applyFill="1" applyBorder="1" applyAlignment="1">
      <alignment horizontal="center" vertical="center"/>
    </xf>
    <xf numFmtId="0" fontId="72" fillId="5" borderId="3" xfId="0" applyFont="1" applyFill="1" applyBorder="1" applyAlignment="1">
      <alignment horizontal="center" vertical="center" wrapText="1"/>
    </xf>
    <xf numFmtId="166" fontId="0" fillId="0" borderId="1" xfId="0" applyNumberFormat="1" applyBorder="1" applyAlignment="1">
      <alignment horizontal="center" vertical="center" wrapText="1"/>
    </xf>
    <xf numFmtId="0" fontId="72" fillId="6" borderId="4" xfId="0" applyFont="1" applyFill="1" applyBorder="1" applyAlignment="1">
      <alignment horizontal="center" vertical="center"/>
    </xf>
    <xf numFmtId="2" fontId="0" fillId="0" borderId="0" xfId="0" applyNumberFormat="1"/>
    <xf numFmtId="0" fontId="49" fillId="4" borderId="1" xfId="0" applyFont="1" applyFill="1" applyBorder="1" applyAlignment="1">
      <alignment horizontal="center" vertical="center"/>
    </xf>
    <xf numFmtId="0" fontId="49" fillId="3" borderId="3" xfId="0" applyFont="1" applyFill="1" applyBorder="1" applyAlignment="1">
      <alignment horizontal="center" vertical="center"/>
    </xf>
    <xf numFmtId="0" fontId="71" fillId="0" borderId="0" xfId="0" applyFont="1" applyAlignment="1">
      <alignment horizontal="center" vertical="center"/>
    </xf>
    <xf numFmtId="0" fontId="20" fillId="0" borderId="0" xfId="0" applyFont="1" applyAlignment="1">
      <alignment horizontal="center" vertical="center"/>
    </xf>
    <xf numFmtId="0" fontId="72" fillId="5" borderId="4" xfId="0" applyFont="1" applyFill="1" applyBorder="1" applyAlignment="1">
      <alignment horizontal="center" vertical="center"/>
    </xf>
    <xf numFmtId="166" fontId="0" fillId="0" borderId="4" xfId="0" applyNumberFormat="1" applyBorder="1" applyAlignment="1">
      <alignment horizontal="center" vertical="center"/>
    </xf>
    <xf numFmtId="0" fontId="1" fillId="6" borderId="4" xfId="0" applyFont="1" applyFill="1" applyBorder="1" applyAlignment="1">
      <alignment horizontal="center" vertical="center"/>
    </xf>
    <xf numFmtId="2" fontId="0" fillId="0" borderId="8" xfId="8" applyNumberFormat="1" applyFont="1" applyBorder="1" applyAlignment="1">
      <alignment horizontal="center" vertical="center"/>
    </xf>
    <xf numFmtId="166" fontId="0" fillId="0" borderId="14" xfId="0" applyNumberForma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2" fontId="12" fillId="0" borderId="1" xfId="0" applyNumberFormat="1" applyFont="1" applyBorder="1" applyAlignment="1">
      <alignment horizontal="center" vertical="center"/>
    </xf>
    <xf numFmtId="2" fontId="12" fillId="0" borderId="2" xfId="0" applyNumberFormat="1" applyFont="1" applyBorder="1" applyAlignment="1">
      <alignment horizontal="center" vertical="center"/>
    </xf>
    <xf numFmtId="2" fontId="12" fillId="0" borderId="3" xfId="0" applyNumberFormat="1" applyFont="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63" fillId="0" borderId="1" xfId="11" applyNumberFormat="1" applyBorder="1" applyAlignment="1">
      <alignment horizontal="center" vertical="center"/>
    </xf>
    <xf numFmtId="49" fontId="63" fillId="0" borderId="2" xfId="11" applyNumberFormat="1" applyBorder="1" applyAlignment="1">
      <alignment horizontal="center" vertical="center"/>
    </xf>
    <xf numFmtId="49" fontId="63" fillId="0" borderId="3" xfId="11" applyNumberFormat="1" applyBorder="1" applyAlignment="1">
      <alignment horizontal="center" vertical="center"/>
    </xf>
    <xf numFmtId="0" fontId="36" fillId="7" borderId="1" xfId="0" applyFont="1" applyFill="1" applyBorder="1" applyAlignment="1">
      <alignment horizontal="center" vertical="center"/>
    </xf>
    <xf numFmtId="0" fontId="36" fillId="7" borderId="2" xfId="0" applyFont="1" applyFill="1" applyBorder="1" applyAlignment="1">
      <alignment horizontal="center" vertical="center"/>
    </xf>
    <xf numFmtId="0" fontId="36" fillId="7" borderId="3" xfId="0" applyFont="1" applyFill="1" applyBorder="1" applyAlignment="1">
      <alignment horizontal="center" vertical="center"/>
    </xf>
    <xf numFmtId="0" fontId="60" fillId="7" borderId="5" xfId="0" applyFont="1" applyFill="1" applyBorder="1" applyAlignment="1">
      <alignment horizontal="center" vertical="center"/>
    </xf>
    <xf numFmtId="0" fontId="60" fillId="7" borderId="6" xfId="0" applyFont="1" applyFill="1" applyBorder="1" applyAlignment="1">
      <alignment horizontal="center" vertical="center"/>
    </xf>
    <xf numFmtId="0" fontId="60" fillId="7" borderId="7" xfId="0" applyFont="1" applyFill="1" applyBorder="1" applyAlignment="1">
      <alignment horizontal="center" vertical="center"/>
    </xf>
    <xf numFmtId="0" fontId="60" fillId="7" borderId="9" xfId="0" applyFont="1" applyFill="1" applyBorder="1" applyAlignment="1">
      <alignment horizontal="center" vertical="center"/>
    </xf>
    <xf numFmtId="0" fontId="60" fillId="7" borderId="0" xfId="0" applyFont="1" applyFill="1" applyAlignment="1">
      <alignment horizontal="center" vertical="center"/>
    </xf>
    <xf numFmtId="0" fontId="60" fillId="7" borderId="10" xfId="0" applyFont="1" applyFill="1" applyBorder="1" applyAlignment="1">
      <alignment horizontal="center" vertical="center"/>
    </xf>
    <xf numFmtId="0" fontId="60" fillId="7" borderId="11" xfId="0" applyFont="1" applyFill="1" applyBorder="1" applyAlignment="1">
      <alignment horizontal="center" vertical="center"/>
    </xf>
    <xf numFmtId="0" fontId="60" fillId="7" borderId="12" xfId="0" applyFont="1" applyFill="1" applyBorder="1" applyAlignment="1">
      <alignment horizontal="center" vertical="center"/>
    </xf>
    <xf numFmtId="0" fontId="60"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3" fillId="2" borderId="15" xfId="0" applyFont="1" applyFill="1" applyBorder="1" applyAlignment="1">
      <alignment horizontal="center" vertical="center"/>
    </xf>
    <xf numFmtId="0" fontId="33" fillId="2" borderId="14" xfId="0" applyFont="1" applyFill="1" applyBorder="1" applyAlignment="1">
      <alignment horizontal="center" vertical="center"/>
    </xf>
    <xf numFmtId="0" fontId="34" fillId="2" borderId="15" xfId="0" applyFont="1" applyFill="1" applyBorder="1" applyAlignment="1">
      <alignment horizontal="center" vertical="center"/>
    </xf>
    <xf numFmtId="0" fontId="34" fillId="2" borderId="14" xfId="0" applyFont="1" applyFill="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8" borderId="4"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0" xfId="0" applyFill="1" applyAlignment="1">
      <alignment horizontal="center" vertical="center"/>
    </xf>
    <xf numFmtId="0" fontId="0" fillId="2" borderId="10"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8" borderId="5" xfId="0" applyFont="1" applyFill="1" applyBorder="1" applyAlignment="1">
      <alignment horizontal="center" vertic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11" xfId="0" applyFont="1" applyFill="1" applyBorder="1" applyAlignment="1">
      <alignment horizontal="center" vertical="center" wrapText="1"/>
    </xf>
    <xf numFmtId="0" fontId="44" fillId="2" borderId="12" xfId="0" applyFont="1" applyFill="1" applyBorder="1" applyAlignment="1">
      <alignment horizontal="center" vertical="center" wrapText="1"/>
    </xf>
    <xf numFmtId="0" fontId="44" fillId="2" borderId="13" xfId="0" applyFont="1" applyFill="1" applyBorder="1" applyAlignment="1">
      <alignment horizontal="center" vertical="center" wrapText="1"/>
    </xf>
    <xf numFmtId="0" fontId="0" fillId="2" borderId="15" xfId="0" applyFill="1" applyBorder="1" applyAlignment="1">
      <alignment horizontal="center"/>
    </xf>
    <xf numFmtId="0" fontId="0" fillId="2" borderId="14" xfId="0" applyFill="1" applyBorder="1" applyAlignment="1">
      <alignment horizontal="center"/>
    </xf>
    <xf numFmtId="0" fontId="10" fillId="6" borderId="4"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56" fillId="6" borderId="5" xfId="0" applyFont="1" applyFill="1" applyBorder="1" applyAlignment="1">
      <alignment horizontal="center" vertical="center"/>
    </xf>
    <xf numFmtId="0" fontId="56" fillId="6" borderId="6" xfId="0" applyFont="1" applyFill="1" applyBorder="1" applyAlignment="1">
      <alignment horizontal="center" vertical="center"/>
    </xf>
    <xf numFmtId="0" fontId="56"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Border="1" applyAlignment="1">
      <alignment horizontal="center" vertical="center"/>
    </xf>
    <xf numFmtId="0" fontId="12" fillId="0" borderId="14" xfId="0" applyFont="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11" xfId="0" applyFont="1" applyFill="1" applyBorder="1" applyAlignment="1">
      <alignment horizontal="center" vertical="center"/>
    </xf>
    <xf numFmtId="0" fontId="44" fillId="2" borderId="12" xfId="0" applyFont="1" applyFill="1" applyBorder="1" applyAlignment="1">
      <alignment horizontal="center" vertical="center"/>
    </xf>
    <xf numFmtId="0" fontId="44" fillId="2" borderId="1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22" fillId="2" borderId="0" xfId="0" applyFont="1" applyFill="1" applyAlignment="1">
      <alignment horizontal="center" vertical="center"/>
    </xf>
    <xf numFmtId="0" fontId="22" fillId="2" borderId="10" xfId="0" applyFont="1" applyFill="1" applyBorder="1" applyAlignment="1">
      <alignment horizontal="center" vertical="center"/>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67"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36" fillId="2" borderId="1" xfId="0" applyFont="1" applyFill="1" applyBorder="1" applyAlignment="1">
      <alignment horizontal="center" vertical="center"/>
    </xf>
    <xf numFmtId="0" fontId="36" fillId="2" borderId="3" xfId="0" applyFont="1" applyFill="1" applyBorder="1" applyAlignment="1">
      <alignment horizontal="center" vertical="center"/>
    </xf>
    <xf numFmtId="0" fontId="66" fillId="2" borderId="1" xfId="0" applyFont="1" applyFill="1" applyBorder="1" applyAlignment="1">
      <alignment horizontal="center" vertical="center"/>
    </xf>
    <xf numFmtId="0" fontId="66" fillId="2" borderId="2" xfId="0" applyFont="1" applyFill="1" applyBorder="1" applyAlignment="1">
      <alignment horizontal="center" vertical="center"/>
    </xf>
    <xf numFmtId="0" fontId="66" fillId="2" borderId="3" xfId="0" applyFont="1" applyFill="1" applyBorder="1" applyAlignment="1">
      <alignment horizontal="center" vertical="center"/>
    </xf>
    <xf numFmtId="0" fontId="15" fillId="5"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0" fillId="4" borderId="4" xfId="6" applyFont="1" applyFill="1" applyBorder="1" applyAlignment="1">
      <alignment horizontal="center" vertical="center"/>
    </xf>
    <xf numFmtId="0" fontId="15" fillId="3"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11" fillId="8" borderId="4" xfId="6"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0" borderId="4" xfId="0"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1" xfId="0" applyFill="1" applyBorder="1" applyAlignment="1">
      <alignment horizontal="center" vertical="center" wrapText="1"/>
    </xf>
    <xf numFmtId="0" fontId="0" fillId="5" borderId="3" xfId="0" applyFill="1"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2" borderId="0" xfId="0" applyFill="1" applyAlignment="1">
      <alignment horizontal="center"/>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11" fillId="0" borderId="2" xfId="0" applyFont="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1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vertical/>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rgb="FF000000"/>
        </left>
        <right style="thin">
          <color rgb="FF000000"/>
        </right>
        <top style="thin">
          <color rgb="FF000000"/>
        </top>
        <bottom style="thin">
          <color rgb="FF000000"/>
        </bottom>
      </border>
    </dxf>
    <dxf>
      <border>
        <bottom style="thin">
          <color rgb="FF000000"/>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0.000</c:formatCode>
                <c:ptCount val="2"/>
                <c:pt idx="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0.000</c:formatCode>
                <c:ptCount val="2"/>
                <c:pt idx="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0.000</c:formatCode>
                <c:ptCount val="2"/>
                <c:pt idx="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0.000</c:formatCode>
                <c:ptCount val="2"/>
                <c:pt idx="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0.000</c:formatCode>
                <c:ptCount val="2"/>
                <c:pt idx="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0.000</c:formatCode>
                <c:ptCount val="2"/>
                <c:pt idx="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0.000</c:formatCode>
                      <c:ptCount val="2"/>
                      <c:pt idx="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55</xdr:row>
          <xdr:rowOff>7620</xdr:rowOff>
        </xdr:from>
        <xdr:to>
          <xdr:col>18</xdr:col>
          <xdr:colOff>1150620</xdr:colOff>
          <xdr:row>57</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58</xdr:row>
          <xdr:rowOff>7620</xdr:rowOff>
        </xdr:from>
        <xdr:to>
          <xdr:col>18</xdr:col>
          <xdr:colOff>1150620</xdr:colOff>
          <xdr:row>59</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61</xdr:row>
          <xdr:rowOff>0</xdr:rowOff>
        </xdr:from>
        <xdr:to>
          <xdr:col>18</xdr:col>
          <xdr:colOff>1143000</xdr:colOff>
          <xdr:row>62</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7620</xdr:rowOff>
        </xdr:from>
        <xdr:to>
          <xdr:col>18</xdr:col>
          <xdr:colOff>1150620</xdr:colOff>
          <xdr:row>65</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1135380</xdr:colOff>
          <xdr:row>68</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SSM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69</xdr:row>
          <xdr:rowOff>289560</xdr:rowOff>
        </xdr:from>
        <xdr:to>
          <xdr:col>18</xdr:col>
          <xdr:colOff>1135380</xdr:colOff>
          <xdr:row>71</xdr:row>
          <xdr:rowOff>266700</xdr:rowOff>
        </xdr:to>
        <xdr:sp macro="" textlink="">
          <xdr:nvSpPr>
            <xdr:cNvPr id="200736" name="Button 32" hidden="1">
              <a:extLst>
                <a:ext uri="{63B3BB69-23CF-44E3-9099-C40C66FF867C}">
                  <a14:compatExt spid="_x0000_s200736"/>
                </a:ext>
                <a:ext uri="{FF2B5EF4-FFF2-40B4-BE49-F238E27FC236}">
                  <a16:creationId xmlns:a16="http://schemas.microsoft.com/office/drawing/2014/main" id="{00000000-0008-0000-0100-00002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UQ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0</xdr:row>
          <xdr:rowOff>45720</xdr:rowOff>
        </xdr:from>
        <xdr:to>
          <xdr:col>2</xdr:col>
          <xdr:colOff>3093720</xdr:colOff>
          <xdr:row>0</xdr:row>
          <xdr:rowOff>365760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8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30480</xdr:colOff>
          <xdr:row>5</xdr:row>
          <xdr:rowOff>7620</xdr:rowOff>
        </xdr:from>
        <xdr:to>
          <xdr:col>14</xdr:col>
          <xdr:colOff>861060</xdr:colOff>
          <xdr:row>6</xdr:row>
          <xdr:rowOff>198120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0900-00000160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5</xdr:row>
          <xdr:rowOff>22860</xdr:rowOff>
        </xdr:from>
        <xdr:to>
          <xdr:col>15</xdr:col>
          <xdr:colOff>868680</xdr:colOff>
          <xdr:row>6</xdr:row>
          <xdr:rowOff>198120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0900-0000026004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3</xdr:row>
          <xdr:rowOff>7620</xdr:rowOff>
        </xdr:from>
        <xdr:to>
          <xdr:col>15</xdr:col>
          <xdr:colOff>868680</xdr:colOff>
          <xdr:row>3</xdr:row>
          <xdr:rowOff>213360</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0900-000003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4</xdr:row>
          <xdr:rowOff>22860</xdr:rowOff>
        </xdr:from>
        <xdr:to>
          <xdr:col>11</xdr:col>
          <xdr:colOff>899160</xdr:colOff>
          <xdr:row>4</xdr:row>
          <xdr:rowOff>213360</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0900-000004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22860</xdr:colOff>
          <xdr:row>6</xdr:row>
          <xdr:rowOff>7620</xdr:rowOff>
        </xdr:from>
        <xdr:to>
          <xdr:col>11</xdr:col>
          <xdr:colOff>899160</xdr:colOff>
          <xdr:row>6</xdr:row>
          <xdr:rowOff>213360</xdr:rowOff>
        </xdr:to>
        <xdr:sp macro="" textlink="">
          <xdr:nvSpPr>
            <xdr:cNvPr id="286725" name="Button 5" hidden="1">
              <a:extLst>
                <a:ext uri="{63B3BB69-23CF-44E3-9099-C40C66FF867C}">
                  <a14:compatExt spid="_x0000_s286725"/>
                </a:ext>
                <a:ext uri="{FF2B5EF4-FFF2-40B4-BE49-F238E27FC236}">
                  <a16:creationId xmlns:a16="http://schemas.microsoft.com/office/drawing/2014/main" id="{00000000-0008-0000-0900-000005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RUN</a:t>
              </a:r>
            </a:p>
          </xdr:txBody>
        </xdr:sp>
        <xdr:clientData fPrintsWithSheet="0"/>
      </xdr:twoCellAnchor>
    </mc:Choice>
    <mc:Fallback/>
  </mc:AlternateContent>
  <xdr:twoCellAnchor>
    <xdr:from>
      <xdr:col>0</xdr:col>
      <xdr:colOff>247650</xdr:colOff>
      <xdr:row>15</xdr:row>
      <xdr:rowOff>142475</xdr:rowOff>
    </xdr:from>
    <xdr:to>
      <xdr:col>16</xdr:col>
      <xdr:colOff>21476</xdr:colOff>
      <xdr:row>36</xdr:row>
      <xdr:rowOff>128756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47650" y="3414593"/>
          <a:ext cx="12526120" cy="3841104"/>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Uncertainty Quantification</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experimental variables from B:5, onwards by using the add/remove buttons. Select the distribution type (Normal or Skewed) for each experimental variable)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For a normal distribution</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introduce the mean  for each variable in D:5 and specify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value in %. This implies that 99% of the experimental values are encountered within the mean ±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Analogously, for a skewed distribution, introduce the high and low values of the experimental variable. </a:t>
          </a:r>
          <a:r>
            <a:rPr kumimoji="0" lang="es-ES" sz="1400" b="0" i="0" u="none" strike="noStrike" kern="0" cap="none" spc="0" normalizeH="0" baseline="0">
              <a:ln>
                <a:noFill/>
              </a:ln>
              <a:solidFill>
                <a:sysClr val="windowText" lastClr="000000"/>
              </a:solidFill>
              <a:effectLst/>
              <a:uLnTx/>
              <a:uFillTx/>
              <a:latin typeface="Calibri" panose="020F0502020204030204"/>
              <a:ea typeface="+mn-ea"/>
              <a:cs typeface="+mn-cs"/>
            </a:rPr>
            <a:t>Export cells from F:5 onwards to the corresponding variable in the file sheets. </a:t>
          </a: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Set the n° of trials in L:4 and run the experimental table by clicking on the EXP button.  A list of trials is generated from R:5 onwards and the set of randomized experimental variable values is presented from T:5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Then, select the economic indicator in L:6, corresponding to the one selected in the cash flow analysis tab (total overnight cost, net present value, levelized cost of product and internal rate of return are avaliable). Subsequently, click on the RUN macro to calculate the target economic indicator from S:5 onwards for each set of the expermiental trials.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table of results is sorted in ascending order by clicking on the macro SORT once a confidence interval is specified in N:10, thus calculating mean, median, standard deviation, maximum and minimum values as well as the boundary values within which the targer variable results are econuntered at the specified confidence interval.</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6)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PLOT macro will provide a graphic representation of the distribution of each experimental and target variable. Correlations between each experimental variable and the economic indicator are also shown.</a:t>
          </a:r>
        </a:p>
      </xdr:txBody>
    </xdr:sp>
    <xdr:clientData/>
  </xdr:twoCellAnchor>
  <mc:AlternateContent xmlns:mc="http://schemas.openxmlformats.org/markup-compatibility/2006">
    <mc:Choice xmlns:a14="http://schemas.microsoft.com/office/drawing/2010/main" Requires="a14">
      <xdr:twoCellAnchor>
        <xdr:from>
          <xdr:col>10</xdr:col>
          <xdr:colOff>7620</xdr:colOff>
          <xdr:row>10</xdr:row>
          <xdr:rowOff>22860</xdr:rowOff>
        </xdr:from>
        <xdr:to>
          <xdr:col>10</xdr:col>
          <xdr:colOff>906780</xdr:colOff>
          <xdr:row>10</xdr:row>
          <xdr:rowOff>213360</xdr:rowOff>
        </xdr:to>
        <xdr:sp macro="" textlink="">
          <xdr:nvSpPr>
            <xdr:cNvPr id="286726" name="Button 6" hidden="1">
              <a:extLst>
                <a:ext uri="{63B3BB69-23CF-44E3-9099-C40C66FF867C}">
                  <a14:compatExt spid="_x0000_s286726"/>
                </a:ext>
                <a:ext uri="{FF2B5EF4-FFF2-40B4-BE49-F238E27FC236}">
                  <a16:creationId xmlns:a16="http://schemas.microsoft.com/office/drawing/2014/main" id="{00000000-0008-0000-0900-000006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SORT</a:t>
              </a:r>
            </a:p>
          </xdr:txBody>
        </xdr:sp>
        <xdr:clientData fPrintsWithSheet="0"/>
      </xdr:twoCellAnchor>
    </mc:Choice>
    <mc:Fallback/>
  </mc:AlternateContent>
  <xdr:twoCellAnchor>
    <xdr:from>
      <xdr:col>0</xdr:col>
      <xdr:colOff>249828</xdr:colOff>
      <xdr:row>37</xdr:row>
      <xdr:rowOff>42295</xdr:rowOff>
    </xdr:from>
    <xdr:to>
      <xdr:col>3</xdr:col>
      <xdr:colOff>892630</xdr:colOff>
      <xdr:row>45</xdr:row>
      <xdr:rowOff>63522</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249828" y="7348530"/>
          <a:ext cx="2749508" cy="14555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Acronym List</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LCOP</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Levelized Cost of Product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NPV</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Net Present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IRR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Internal Rate of Return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TOC</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Total Overnight Cost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MCA: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Monte Carlo Analysis</a:t>
          </a:r>
        </a:p>
      </xdr:txBody>
    </xdr:sp>
    <xdr:clientData/>
  </xdr:twoCellAnchor>
  <mc:AlternateContent xmlns:mc="http://schemas.openxmlformats.org/markup-compatibility/2006">
    <mc:Choice xmlns:a14="http://schemas.microsoft.com/office/drawing/2010/main" Requires="a14">
      <xdr:twoCellAnchor>
        <xdr:from>
          <xdr:col>10</xdr:col>
          <xdr:colOff>7620</xdr:colOff>
          <xdr:row>12</xdr:row>
          <xdr:rowOff>7620</xdr:rowOff>
        </xdr:from>
        <xdr:to>
          <xdr:col>10</xdr:col>
          <xdr:colOff>906780</xdr:colOff>
          <xdr:row>12</xdr:row>
          <xdr:rowOff>213360</xdr:rowOff>
        </xdr:to>
        <xdr:sp macro="" textlink="">
          <xdr:nvSpPr>
            <xdr:cNvPr id="286727" name="Button 7" hidden="1">
              <a:extLst>
                <a:ext uri="{63B3BB69-23CF-44E3-9099-C40C66FF867C}">
                  <a14:compatExt spid="_x0000_s286727"/>
                </a:ext>
                <a:ext uri="{FF2B5EF4-FFF2-40B4-BE49-F238E27FC236}">
                  <a16:creationId xmlns:a16="http://schemas.microsoft.com/office/drawing/2014/main" id="{00000000-0008-0000-0900-000007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xdr:colOff>
          <xdr:row>14</xdr:row>
          <xdr:rowOff>7620</xdr:rowOff>
        </xdr:from>
        <xdr:to>
          <xdr:col>10</xdr:col>
          <xdr:colOff>906780</xdr:colOff>
          <xdr:row>14</xdr:row>
          <xdr:rowOff>213360</xdr:rowOff>
        </xdr:to>
        <xdr:sp macro="" textlink="">
          <xdr:nvSpPr>
            <xdr:cNvPr id="286728" name="Button 8" hidden="1">
              <a:extLst>
                <a:ext uri="{63B3BB69-23CF-44E3-9099-C40C66FF867C}">
                  <a14:compatExt spid="_x0000_s286728"/>
                </a:ext>
                <a:ext uri="{FF2B5EF4-FFF2-40B4-BE49-F238E27FC236}">
                  <a16:creationId xmlns:a16="http://schemas.microsoft.com/office/drawing/2014/main" id="{00000000-0008-0000-0900-000008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A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A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A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B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B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B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B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0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0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18" dataDxfId="316" headerRowBorderDxfId="317" tableBorderDxfId="315">
  <autoFilter ref="AE6:AE7" xr:uid="{BD430C73-D62B-4B34-81C6-4CB5D46BEDB9}">
    <filterColumn colId="0" hiddenButton="1"/>
  </autoFilter>
  <tableColumns count="1">
    <tableColumn id="1" xr3:uid="{84F9157D-4D99-4CBA-AAD8-CC3862882A85}" name="Stream" dataDxfId="31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13" dataDxfId="311" headerRowBorderDxfId="312" tableBorderDxfId="310" totalsRowBorderDxfId="309">
  <autoFilter ref="AG6:AG7" xr:uid="{510DCB59-50DF-48D5-B930-238A03E9FB6D}">
    <filterColumn colId="0" hiddenButton="1"/>
  </autoFilter>
  <tableColumns count="1">
    <tableColumn id="1" xr3:uid="{0220A6D5-F39F-488C-949A-4AABD7B530C9}" name="Component 1" dataDxfId="30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307" dataDxfId="305" headerRowBorderDxfId="306" tableBorderDxfId="304" totalsRowBorderDxfId="303">
  <autoFilter ref="AF6:AF7" xr:uid="{1E496B6B-9D2B-467B-B1BC-B30D13381E1A}">
    <filterColumn colId="0" hiddenButton="1"/>
  </autoFilter>
  <tableColumns count="1">
    <tableColumn id="1" xr3:uid="{876249EE-102A-4A6F-80BD-15A7B17749BB}" name="Property 1" dataDxfId="30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01" dataDxfId="299" headerRowBorderDxfId="300" tableBorderDxfId="298">
  <autoFilter ref="D12:D43" xr:uid="{54D9AD24-3255-47F8-8858-1911F353046A}">
    <filterColumn colId="0" hiddenButton="1"/>
  </autoFilter>
  <tableColumns count="1">
    <tableColumn id="1" xr3:uid="{A355DF28-B822-4D21-91F3-9DBB6C59828A}" name="Equipment" dataDxfId="29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96" dataDxfId="294" headerRowBorderDxfId="295" tableBorderDxfId="293">
  <autoFilter ref="E12:E43" xr:uid="{E7DD97D0-07C4-49A5-A08A-CD158C5E4B0A}">
    <filterColumn colId="0" hiddenButton="1"/>
  </autoFilter>
  <tableColumns count="1">
    <tableColumn id="1" xr3:uid="{6FE28B51-AB7B-4376-A0AF-515604CD3E9B}" name="Subtype" dataDxfId="29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91" headerRowBorderDxfId="290" tableBorderDxfId="289">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88" dataDxfId="286" headerRowBorderDxfId="287" tableBorderDxfId="285">
  <autoFilter ref="D12:D43" xr:uid="{54D9AD24-3255-47F8-8858-1911F353046A}">
    <filterColumn colId="0" hiddenButton="1"/>
  </autoFilter>
  <tableColumns count="1">
    <tableColumn id="1" xr3:uid="{D8802F60-8DD4-42B1-8525-E702B22D8DC1}" name="Equipment" dataDxfId="28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83" dataDxfId="281" headerRowBorderDxfId="282" tableBorderDxfId="280">
  <autoFilter ref="E12:E43" xr:uid="{E7DD97D0-07C4-49A5-A08A-CD158C5E4B0A}">
    <filterColumn colId="0" hiddenButton="1"/>
  </autoFilter>
  <tableColumns count="1">
    <tableColumn id="1" xr3:uid="{7ADAE72C-EC1C-45F5-BA0E-D2E723C5BE55}" name="Subtype" dataDxfId="27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78" headerRowBorderDxfId="277" tableBorderDxfId="276">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75" dataDxfId="273" headerRowBorderDxfId="274" tableBorderDxfId="272">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22" xr3:uid="{118B0DE5-F4D6-41BA-B022-A7A53FBE109A}" name="Total" dataDxfId="263" totalsRowDxfId="262">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61" dataDxfId="259" headerRowBorderDxfId="260" tableBorderDxfId="258">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57"/>
    <tableColumn id="2" xr3:uid="{A2FE6D58-DE8B-428E-BCCE-879A37C47E6E}" name="Item 2" dataDxfId="256"/>
    <tableColumn id="3" xr3:uid="{7925CDB2-450B-4481-AAF3-C97257BEAACF}" name="Item 3" dataDxfId="255"/>
    <tableColumn id="4" xr3:uid="{04880DFB-6CC9-4F3A-8D86-4D2CF229564A}" name="Item 4" dataDxfId="25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53" dataDxfId="251" headerRowBorderDxfId="252" tableBorderDxfId="25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9"/>
    <tableColumn id="2" xr3:uid="{9B4C5D61-F713-41FC-B7C7-9F077DE82275}" name="Value" dataDxfId="248"/>
    <tableColumn id="3" xr3:uid="{A4C06DCA-E860-4A4F-B152-665585967753}" name="unit/year" dataDxfId="247"/>
    <tableColumn id="4" xr3:uid="{CCA6FF56-D426-420F-BF2F-A692827F42E1}" name="Specific Cost" dataDxfId="246"/>
    <tableColumn id="5" xr3:uid="{4648B13C-CDDA-4B0E-ABF0-FBA2AFA9D245}" name="cost/unit" dataDxfId="245"/>
    <tableColumn id="6" xr3:uid="{F22C8FA2-C58A-42CD-927E-2B28BD9711A6}" name="cost/year" dataDxfId="24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43" headerRowBorderDxfId="242" tableBorderDxfId="241">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40"/>
    <tableColumn id="2" xr3:uid="{332EA6EB-8C1E-4D46-8464-EFCB65EA23A5}" name="Value" dataDxfId="239"/>
    <tableColumn id="3" xr3:uid="{BAEA2EAA-B867-4C8B-926B-D331C449D698}" name="unit/year" dataDxfId="238"/>
    <tableColumn id="4" xr3:uid="{23D264B9-CD6B-4F68-92FC-49B00E384F23}" name="Specific Cost" dataDxfId="237"/>
    <tableColumn id="5" xr3:uid="{00D8C109-8039-47C9-A54A-67B25387E9D5}" name="cost/unit" dataDxfId="236"/>
    <tableColumn id="6" xr3:uid="{526DA783-5211-4718-AFCF-98B7F83F959A}" name="cost/year" dataDxfId="235">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34" headerRowBorderDxfId="233" tableBorderDxfId="232">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31"/>
    <tableColumn id="2" xr3:uid="{C2D6BCEA-8C9D-49FB-BFC1-D70F1AF96B3C}" name="Value" dataDxfId="230"/>
    <tableColumn id="3" xr3:uid="{1E8C5934-680E-4CE8-BF03-307BA777810C}" name="unit/year" dataDxfId="229"/>
    <tableColumn id="4" xr3:uid="{F602E6B3-7A75-49BA-AF4A-D607E8EFA18E}" name="Specific Cost" dataDxfId="228"/>
    <tableColumn id="5" xr3:uid="{B0FD65F7-3D14-410A-871D-F32A1D988FCC}" name="cost/unit" dataDxfId="227"/>
    <tableColumn id="6" xr3:uid="{88D3E296-CC80-4404-A1FA-960EC01E83C3}" name="cost/year" dataDxfId="22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25" dataDxfId="223" headerRowBorderDxfId="224" tableBorderDxfId="22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21"/>
    <tableColumn id="8" xr3:uid="{13962B58-5507-471A-BF41-DB3D247F2EB8}" name="Units - Ind." dataDxfId="220" dataCellStyle="Normal 2 2"/>
    <tableColumn id="7" xr3:uid="{7F18E2CB-07BE-41AD-B637-10F7EE62D6EB}" name="Man. Var." dataDxfId="219"/>
    <tableColumn id="9" xr3:uid="{574E43A6-8486-40C7-B651-1962EA7E4007}" name="Units - Man." dataDxfId="218"/>
    <tableColumn id="1" xr3:uid="{C7FD6883-4D11-441B-8033-2F5638C288AB}" name="Ind. Var." dataDxfId="217"/>
    <tableColumn id="2" xr3:uid="{2B96A6EB-3DCE-4ACF-BE25-AD6563C6EACD}" name="Man. Var" dataDxfId="216"/>
    <tableColumn id="10" xr3:uid="{91912897-20E6-402F-8EC7-CB60E9298E64}" name="Base" dataDxfId="215"/>
    <tableColumn id="3" xr3:uid="{3841FCC4-9A9A-4F1B-B6BA-E8710FF67200}" name="Increment" dataDxfId="214"/>
    <tableColumn id="4" xr3:uid="{6476EB88-DCAC-414F-916E-8EFFE60F9B01}" name="nº of points" dataDxfId="213"/>
    <tableColumn id="5" xr3:uid="{1838860E-1D28-4712-AF3D-C97316DBDF49}" name="Initial" dataDxfId="21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32869AD-D11E-4212-B1AF-A5BCD2768AD7}" name="Table3063" displayName="Table3063" ref="B4:I6" totalsRowShown="0" headerRowDxfId="211" headerRowBorderDxfId="210" tableBorderDxfId="209">
  <autoFilter ref="B4:I6" xr:uid="{13B9CF21-C87C-43E8-A2FC-6C7E7E3723B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D6FF0F3-2D84-4CFF-B9B7-E6484FBF0840}" name="Variable" dataDxfId="208"/>
    <tableColumn id="2" xr3:uid="{E6C6CBA9-0EE3-4DBD-8513-A2548EAB1606}" name="Units" dataDxfId="207"/>
    <tableColumn id="8" xr3:uid="{A0F3AFB8-0255-4B80-B216-8DD7E66F1484}" name="Dist." dataDxfId="206"/>
    <tableColumn id="3" xr3:uid="{972CB4A5-1474-48C6-BE80-A2192CBD44D3}" name="Mean" dataDxfId="205"/>
    <tableColumn id="9" xr3:uid="{F9C8895A-D164-4067-9BD4-426BDEAA3BBA}" name="High" dataDxfId="204"/>
    <tableColumn id="10" xr3:uid="{7CA0AA1A-AA4F-4278-A128-450256CE9E20}" name="Low"/>
    <tableColumn id="4" xr3:uid="{B3F26421-8E8B-4307-98EE-610E737B06E8}" name="Lambda" dataDxfId="203" dataCellStyle="Percent"/>
    <tableColumn id="7" xr3:uid="{58AF3497-946E-4B95-96D1-EE7EC9B1D599}" name="Export" dataDxfId="202" dataCellStyle="Percent"/>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7.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table" Target="../tables/table11.xml"/><Relationship Id="rId4" Type="http://schemas.openxmlformats.org/officeDocument/2006/relationships/ctrlProp" Target="../ctrlProps/ctrlProp17.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5.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table" Target="../tables/table12.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9.xml"/><Relationship Id="rId7"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2.xml"/><Relationship Id="rId5" Type="http://schemas.openxmlformats.org/officeDocument/2006/relationships/ctrlProp" Target="../ctrlProps/ctrlProp31.xml"/><Relationship Id="rId10" Type="http://schemas.openxmlformats.org/officeDocument/2006/relationships/comments" Target="../comments3.xml"/><Relationship Id="rId4" Type="http://schemas.openxmlformats.org/officeDocument/2006/relationships/ctrlProp" Target="../ctrlProps/ctrlProp30.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8.xml"/><Relationship Id="rId13" Type="http://schemas.openxmlformats.org/officeDocument/2006/relationships/comments" Target="../comments4.xml"/><Relationship Id="rId3" Type="http://schemas.openxmlformats.org/officeDocument/2006/relationships/vmlDrawing" Target="../drawings/vmlDrawing10.vml"/><Relationship Id="rId7" Type="http://schemas.openxmlformats.org/officeDocument/2006/relationships/ctrlProp" Target="../ctrlProps/ctrlProp37.xml"/><Relationship Id="rId12"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6.xml"/><Relationship Id="rId11" Type="http://schemas.openxmlformats.org/officeDocument/2006/relationships/ctrlProp" Target="../ctrlProps/ctrlProp41.xml"/><Relationship Id="rId5" Type="http://schemas.openxmlformats.org/officeDocument/2006/relationships/ctrlProp" Target="../ctrlProps/ctrlProp35.xml"/><Relationship Id="rId10" Type="http://schemas.openxmlformats.org/officeDocument/2006/relationships/ctrlProp" Target="../ctrlProps/ctrlProp40.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table" Target="../tables/table18.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12.vml"/><Relationship Id="rId1" Type="http://schemas.openxmlformats.org/officeDocument/2006/relationships/drawing" Target="../drawings/drawing11.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26.xml"/><Relationship Id="rId18" Type="http://schemas.openxmlformats.org/officeDocument/2006/relationships/table" Target="../tables/table31.xml"/><Relationship Id="rId26" Type="http://schemas.openxmlformats.org/officeDocument/2006/relationships/table" Target="../tables/table39.xml"/><Relationship Id="rId39" Type="http://schemas.openxmlformats.org/officeDocument/2006/relationships/table" Target="../tables/table52.xml"/><Relationship Id="rId21" Type="http://schemas.openxmlformats.org/officeDocument/2006/relationships/table" Target="../tables/table34.xml"/><Relationship Id="rId34" Type="http://schemas.openxmlformats.org/officeDocument/2006/relationships/table" Target="../tables/table47.xml"/><Relationship Id="rId42" Type="http://schemas.openxmlformats.org/officeDocument/2006/relationships/table" Target="../tables/table55.xml"/><Relationship Id="rId47" Type="http://schemas.openxmlformats.org/officeDocument/2006/relationships/table" Target="../tables/table60.xml"/><Relationship Id="rId50" Type="http://schemas.openxmlformats.org/officeDocument/2006/relationships/table" Target="../tables/table63.xml"/><Relationship Id="rId55" Type="http://schemas.openxmlformats.org/officeDocument/2006/relationships/table" Target="../tables/table68.xml"/><Relationship Id="rId63" Type="http://schemas.openxmlformats.org/officeDocument/2006/relationships/table" Target="../tables/table76.xml"/><Relationship Id="rId7" Type="http://schemas.openxmlformats.org/officeDocument/2006/relationships/table" Target="../tables/table20.xml"/><Relationship Id="rId2" Type="http://schemas.openxmlformats.org/officeDocument/2006/relationships/printerSettings" Target="../printerSettings/printerSettings10.bin"/><Relationship Id="rId16" Type="http://schemas.openxmlformats.org/officeDocument/2006/relationships/table" Target="../tables/table29.xml"/><Relationship Id="rId20" Type="http://schemas.openxmlformats.org/officeDocument/2006/relationships/table" Target="../tables/table33.xml"/><Relationship Id="rId29" Type="http://schemas.openxmlformats.org/officeDocument/2006/relationships/table" Target="../tables/table42.xml"/><Relationship Id="rId41" Type="http://schemas.openxmlformats.org/officeDocument/2006/relationships/table" Target="../tables/table54.xml"/><Relationship Id="rId54" Type="http://schemas.openxmlformats.org/officeDocument/2006/relationships/table" Target="../tables/table67.xml"/><Relationship Id="rId62" Type="http://schemas.openxmlformats.org/officeDocument/2006/relationships/table" Target="../tables/table75.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9.xml"/><Relationship Id="rId11" Type="http://schemas.openxmlformats.org/officeDocument/2006/relationships/table" Target="../tables/table24.xml"/><Relationship Id="rId24" Type="http://schemas.openxmlformats.org/officeDocument/2006/relationships/table" Target="../tables/table37.xml"/><Relationship Id="rId32" Type="http://schemas.openxmlformats.org/officeDocument/2006/relationships/table" Target="../tables/table45.xml"/><Relationship Id="rId37" Type="http://schemas.openxmlformats.org/officeDocument/2006/relationships/table" Target="../tables/table50.xml"/><Relationship Id="rId40" Type="http://schemas.openxmlformats.org/officeDocument/2006/relationships/table" Target="../tables/table53.xml"/><Relationship Id="rId45" Type="http://schemas.openxmlformats.org/officeDocument/2006/relationships/table" Target="../tables/table58.xml"/><Relationship Id="rId53" Type="http://schemas.openxmlformats.org/officeDocument/2006/relationships/table" Target="../tables/table66.xml"/><Relationship Id="rId58" Type="http://schemas.openxmlformats.org/officeDocument/2006/relationships/table" Target="../tables/table71.xml"/><Relationship Id="rId66" Type="http://schemas.microsoft.com/office/2017/10/relationships/threadedComment" Target="../threadedComments/threadedComment1.xml"/><Relationship Id="rId5" Type="http://schemas.openxmlformats.org/officeDocument/2006/relationships/ctrlProp" Target="../ctrlProps/ctrlProp48.xml"/><Relationship Id="rId15" Type="http://schemas.openxmlformats.org/officeDocument/2006/relationships/table" Target="../tables/table28.xml"/><Relationship Id="rId23" Type="http://schemas.openxmlformats.org/officeDocument/2006/relationships/table" Target="../tables/table36.xml"/><Relationship Id="rId28" Type="http://schemas.openxmlformats.org/officeDocument/2006/relationships/table" Target="../tables/table41.xml"/><Relationship Id="rId36" Type="http://schemas.openxmlformats.org/officeDocument/2006/relationships/table" Target="../tables/table49.xml"/><Relationship Id="rId49" Type="http://schemas.openxmlformats.org/officeDocument/2006/relationships/table" Target="../tables/table62.xml"/><Relationship Id="rId57" Type="http://schemas.openxmlformats.org/officeDocument/2006/relationships/table" Target="../tables/table70.xml"/><Relationship Id="rId61" Type="http://schemas.openxmlformats.org/officeDocument/2006/relationships/table" Target="../tables/table74.xml"/><Relationship Id="rId10" Type="http://schemas.openxmlformats.org/officeDocument/2006/relationships/table" Target="../tables/table23.xml"/><Relationship Id="rId19" Type="http://schemas.openxmlformats.org/officeDocument/2006/relationships/table" Target="../tables/table32.xml"/><Relationship Id="rId31" Type="http://schemas.openxmlformats.org/officeDocument/2006/relationships/table" Target="../tables/table44.xml"/><Relationship Id="rId44" Type="http://schemas.openxmlformats.org/officeDocument/2006/relationships/table" Target="../tables/table57.xml"/><Relationship Id="rId52" Type="http://schemas.openxmlformats.org/officeDocument/2006/relationships/table" Target="../tables/table65.xml"/><Relationship Id="rId60" Type="http://schemas.openxmlformats.org/officeDocument/2006/relationships/table" Target="../tables/table73.xml"/><Relationship Id="rId65" Type="http://schemas.openxmlformats.org/officeDocument/2006/relationships/comments" Target="../comments5.xml"/><Relationship Id="rId4" Type="http://schemas.openxmlformats.org/officeDocument/2006/relationships/vmlDrawing" Target="../drawings/vmlDrawing13.vml"/><Relationship Id="rId9" Type="http://schemas.openxmlformats.org/officeDocument/2006/relationships/table" Target="../tables/table22.xml"/><Relationship Id="rId14" Type="http://schemas.openxmlformats.org/officeDocument/2006/relationships/table" Target="../tables/table27.xml"/><Relationship Id="rId22" Type="http://schemas.openxmlformats.org/officeDocument/2006/relationships/table" Target="../tables/table35.xml"/><Relationship Id="rId27" Type="http://schemas.openxmlformats.org/officeDocument/2006/relationships/table" Target="../tables/table40.xml"/><Relationship Id="rId30" Type="http://schemas.openxmlformats.org/officeDocument/2006/relationships/table" Target="../tables/table43.xml"/><Relationship Id="rId35" Type="http://schemas.openxmlformats.org/officeDocument/2006/relationships/table" Target="../tables/table48.xml"/><Relationship Id="rId43" Type="http://schemas.openxmlformats.org/officeDocument/2006/relationships/table" Target="../tables/table56.xml"/><Relationship Id="rId48" Type="http://schemas.openxmlformats.org/officeDocument/2006/relationships/table" Target="../tables/table61.xml"/><Relationship Id="rId56" Type="http://schemas.openxmlformats.org/officeDocument/2006/relationships/table" Target="../tables/table69.xml"/><Relationship Id="rId64" Type="http://schemas.openxmlformats.org/officeDocument/2006/relationships/table" Target="../tables/table77.xml"/><Relationship Id="rId8" Type="http://schemas.openxmlformats.org/officeDocument/2006/relationships/table" Target="../tables/table21.xml"/><Relationship Id="rId51" Type="http://schemas.openxmlformats.org/officeDocument/2006/relationships/table" Target="../tables/table64.xml"/><Relationship Id="rId3" Type="http://schemas.openxmlformats.org/officeDocument/2006/relationships/drawing" Target="../drawings/drawing12.xml"/><Relationship Id="rId12" Type="http://schemas.openxmlformats.org/officeDocument/2006/relationships/table" Target="../tables/table25.xml"/><Relationship Id="rId17" Type="http://schemas.openxmlformats.org/officeDocument/2006/relationships/table" Target="../tables/table30.xml"/><Relationship Id="rId25" Type="http://schemas.openxmlformats.org/officeDocument/2006/relationships/table" Target="../tables/table38.xml"/><Relationship Id="rId33" Type="http://schemas.openxmlformats.org/officeDocument/2006/relationships/table" Target="../tables/table46.xml"/><Relationship Id="rId38" Type="http://schemas.openxmlformats.org/officeDocument/2006/relationships/table" Target="../tables/table51.xml"/><Relationship Id="rId46" Type="http://schemas.openxmlformats.org/officeDocument/2006/relationships/table" Target="../tables/table59.xml"/><Relationship Id="rId59" Type="http://schemas.openxmlformats.org/officeDocument/2006/relationships/table" Target="../tables/table7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6.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table" Target="../tables/table79.xml"/><Relationship Id="rId7" Type="http://schemas.openxmlformats.org/officeDocument/2006/relationships/table" Target="../tables/table83.xml"/><Relationship Id="rId2" Type="http://schemas.openxmlformats.org/officeDocument/2006/relationships/table" Target="../tables/table78.xml"/><Relationship Id="rId1" Type="http://schemas.openxmlformats.org/officeDocument/2006/relationships/vmlDrawing" Target="../drawings/vmlDrawing15.vml"/><Relationship Id="rId6" Type="http://schemas.openxmlformats.org/officeDocument/2006/relationships/table" Target="../tables/table82.xml"/><Relationship Id="rId5" Type="http://schemas.openxmlformats.org/officeDocument/2006/relationships/table" Target="../tables/table81.xml"/><Relationship Id="rId4" Type="http://schemas.openxmlformats.org/officeDocument/2006/relationships/table" Target="../tables/table80.xml"/><Relationship Id="rId9" Type="http://schemas.microsoft.com/office/2017/10/relationships/threadedComment" Target="../threadedComments/threadedComment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55" zoomScaleNormal="55"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474"/>
      <c r="C2" s="276"/>
      <c r="D2" s="509"/>
      <c r="E2" s="509"/>
      <c r="F2" s="509"/>
      <c r="G2" s="509"/>
      <c r="H2" s="509"/>
      <c r="I2" s="509"/>
      <c r="J2" s="509"/>
      <c r="K2" s="509"/>
      <c r="L2" s="509"/>
      <c r="M2" s="509"/>
      <c r="N2" s="509"/>
      <c r="O2" s="509"/>
      <c r="P2" s="509"/>
      <c r="Q2" s="509"/>
      <c r="R2" s="509"/>
      <c r="S2" s="509"/>
      <c r="T2" s="509"/>
      <c r="U2" s="509"/>
      <c r="V2" s="509"/>
      <c r="W2" s="509"/>
      <c r="X2" s="509"/>
      <c r="Y2" s="509"/>
      <c r="Z2" s="510"/>
      <c r="AA2" s="191"/>
      <c r="AB2" s="700" t="s">
        <v>740</v>
      </c>
      <c r="AC2" s="701"/>
      <c r="AD2" s="702"/>
      <c r="AE2" s="191"/>
      <c r="AF2" s="191"/>
    </row>
    <row r="3" spans="2:32" ht="18" customHeight="1" x14ac:dyDescent="0.3">
      <c r="B3" s="91"/>
      <c r="C3" s="703" t="s">
        <v>701</v>
      </c>
      <c r="D3" s="704"/>
      <c r="E3" s="704"/>
      <c r="F3" s="704"/>
      <c r="G3" s="704"/>
      <c r="H3" s="704"/>
      <c r="I3" s="704"/>
      <c r="J3" s="704"/>
      <c r="K3" s="704"/>
      <c r="L3" s="704"/>
      <c r="M3" s="704"/>
      <c r="N3" s="704"/>
      <c r="O3" s="704"/>
      <c r="P3" s="704"/>
      <c r="Q3" s="704"/>
      <c r="R3" s="704"/>
      <c r="S3" s="704"/>
      <c r="T3" s="704"/>
      <c r="U3" s="704"/>
      <c r="V3" s="704"/>
      <c r="W3" s="704"/>
      <c r="X3" s="704"/>
      <c r="Y3" s="705"/>
      <c r="Z3" s="520"/>
      <c r="AA3" s="565"/>
      <c r="AB3" s="166" t="s">
        <v>359</v>
      </c>
      <c r="AC3" s="166" t="s">
        <v>741</v>
      </c>
      <c r="AD3" s="166" t="s">
        <v>742</v>
      </c>
      <c r="AE3" s="565"/>
      <c r="AF3" s="191"/>
    </row>
    <row r="4" spans="2:32" ht="18" customHeight="1" x14ac:dyDescent="0.3">
      <c r="B4" s="91"/>
      <c r="C4" s="706"/>
      <c r="D4" s="707"/>
      <c r="E4" s="707"/>
      <c r="F4" s="707"/>
      <c r="G4" s="707"/>
      <c r="H4" s="707"/>
      <c r="I4" s="707"/>
      <c r="J4" s="707"/>
      <c r="K4" s="707"/>
      <c r="L4" s="707"/>
      <c r="M4" s="707"/>
      <c r="N4" s="707"/>
      <c r="O4" s="707"/>
      <c r="P4" s="707"/>
      <c r="Q4" s="707"/>
      <c r="R4" s="707"/>
      <c r="S4" s="707"/>
      <c r="T4" s="707"/>
      <c r="U4" s="707"/>
      <c r="V4" s="707"/>
      <c r="W4" s="707"/>
      <c r="X4" s="707"/>
      <c r="Y4" s="708"/>
      <c r="Z4" s="511"/>
      <c r="AA4" s="191"/>
      <c r="AB4" s="584"/>
      <c r="AC4" s="587"/>
      <c r="AD4" s="97"/>
      <c r="AE4" s="191"/>
      <c r="AF4" s="191"/>
    </row>
    <row r="5" spans="2:32" ht="18" customHeight="1" x14ac:dyDescent="0.3">
      <c r="B5" s="91"/>
      <c r="C5" s="709"/>
      <c r="D5" s="710"/>
      <c r="E5" s="710"/>
      <c r="F5" s="710"/>
      <c r="G5" s="710"/>
      <c r="H5" s="710"/>
      <c r="I5" s="710"/>
      <c r="J5" s="710"/>
      <c r="K5" s="710"/>
      <c r="L5" s="710"/>
      <c r="M5" s="710"/>
      <c r="N5" s="710"/>
      <c r="O5" s="710"/>
      <c r="P5" s="710"/>
      <c r="Q5" s="710"/>
      <c r="R5" s="710"/>
      <c r="S5" s="710"/>
      <c r="T5" s="710"/>
      <c r="U5" s="710"/>
      <c r="V5" s="710"/>
      <c r="W5" s="710"/>
      <c r="X5" s="710"/>
      <c r="Y5" s="711"/>
      <c r="Z5" s="511"/>
      <c r="AA5" s="191"/>
      <c r="AB5" s="585"/>
      <c r="AC5" s="588"/>
      <c r="AD5" s="97"/>
      <c r="AE5" s="191"/>
      <c r="AF5" s="191"/>
    </row>
    <row r="6" spans="2:32" ht="18" customHeight="1" x14ac:dyDescent="0.3">
      <c r="B6" s="91"/>
      <c r="C6" s="191"/>
      <c r="D6" s="191"/>
      <c r="E6" s="191"/>
      <c r="F6" s="191"/>
      <c r="G6" s="191"/>
      <c r="H6" s="191"/>
      <c r="I6" s="191"/>
      <c r="J6" s="191"/>
      <c r="M6" s="566"/>
      <c r="N6" s="566"/>
      <c r="O6" s="566"/>
      <c r="P6" s="191"/>
      <c r="R6" s="191"/>
      <c r="S6" s="191"/>
      <c r="T6" s="191"/>
      <c r="Y6" s="191"/>
      <c r="Z6" s="511"/>
      <c r="AA6" s="191"/>
      <c r="AB6" s="585"/>
      <c r="AC6" s="588"/>
      <c r="AD6" s="97"/>
      <c r="AE6" s="191"/>
      <c r="AF6" s="191"/>
    </row>
    <row r="7" spans="2:32" ht="18" customHeight="1" x14ac:dyDescent="0.35">
      <c r="B7" s="91"/>
      <c r="C7" s="191"/>
      <c r="D7" s="191"/>
      <c r="E7" s="191"/>
      <c r="H7" s="567"/>
      <c r="I7" s="568"/>
      <c r="J7" s="523"/>
      <c r="K7" s="569"/>
      <c r="L7" s="570" t="s">
        <v>706</v>
      </c>
      <c r="M7" s="569"/>
      <c r="N7" s="569"/>
      <c r="O7" s="569"/>
      <c r="P7" s="523"/>
      <c r="R7" s="568"/>
      <c r="S7" s="568"/>
      <c r="T7" s="568"/>
      <c r="Y7" s="191"/>
      <c r="Z7" s="511"/>
      <c r="AA7" s="191"/>
      <c r="AB7" s="585"/>
      <c r="AC7" s="588"/>
      <c r="AD7" s="97"/>
      <c r="AE7" s="191"/>
      <c r="AF7" s="191"/>
    </row>
    <row r="8" spans="2:32" ht="18" customHeight="1" x14ac:dyDescent="0.35">
      <c r="B8" s="91"/>
      <c r="C8" s="191"/>
      <c r="J8" s="523"/>
      <c r="K8" s="569"/>
      <c r="L8" s="570" t="s">
        <v>698</v>
      </c>
      <c r="M8" s="569"/>
      <c r="N8" s="569"/>
      <c r="O8" s="569"/>
      <c r="P8" s="523"/>
      <c r="Z8" s="84"/>
      <c r="AB8" s="585"/>
      <c r="AC8" s="588"/>
      <c r="AD8" s="97"/>
      <c r="AF8" s="191"/>
    </row>
    <row r="9" spans="2:32" ht="18" customHeight="1" x14ac:dyDescent="0.35">
      <c r="B9" s="91"/>
      <c r="C9" s="191"/>
      <c r="J9" s="569"/>
      <c r="K9" s="569"/>
      <c r="L9" s="570" t="s">
        <v>699</v>
      </c>
      <c r="M9" s="523"/>
      <c r="N9" s="523"/>
      <c r="O9" s="523"/>
      <c r="P9" s="523"/>
      <c r="Z9" s="84"/>
      <c r="AB9" s="585"/>
      <c r="AC9" s="588"/>
      <c r="AD9" s="97"/>
      <c r="AF9" s="191"/>
    </row>
    <row r="10" spans="2:32" ht="18" customHeight="1" x14ac:dyDescent="0.3">
      <c r="B10" s="91"/>
      <c r="C10" s="191"/>
      <c r="D10" s="191"/>
      <c r="E10" s="191"/>
      <c r="F10" s="191"/>
      <c r="L10" s="567"/>
      <c r="R10" s="568"/>
      <c r="S10" s="568"/>
      <c r="T10" s="568"/>
      <c r="U10" s="568"/>
      <c r="V10" s="568"/>
      <c r="W10" s="568"/>
      <c r="X10" s="191"/>
      <c r="Y10" s="191"/>
      <c r="Z10" s="511"/>
      <c r="AA10" s="191"/>
      <c r="AB10" s="585"/>
      <c r="AC10" s="588"/>
      <c r="AD10" s="97"/>
      <c r="AE10" s="191"/>
      <c r="AF10" s="191"/>
    </row>
    <row r="11" spans="2:32" ht="18" customHeight="1" x14ac:dyDescent="0.35">
      <c r="B11" s="91"/>
      <c r="C11" s="191"/>
      <c r="D11" s="191"/>
      <c r="E11" s="191"/>
      <c r="F11" s="191"/>
      <c r="G11" s="191"/>
      <c r="H11" s="191"/>
      <c r="I11" s="571"/>
      <c r="J11" s="522"/>
      <c r="K11" s="522"/>
      <c r="L11" s="361" t="s">
        <v>743</v>
      </c>
      <c r="M11" s="361"/>
      <c r="N11" s="361"/>
      <c r="O11" s="361"/>
      <c r="P11" s="361"/>
      <c r="Q11" s="361"/>
      <c r="R11" s="567"/>
      <c r="S11" s="96"/>
      <c r="T11" s="191"/>
      <c r="U11" s="191"/>
      <c r="V11" s="191"/>
      <c r="W11" s="191"/>
      <c r="X11" s="191"/>
      <c r="Y11" s="191"/>
      <c r="Z11" s="511"/>
      <c r="AA11" s="191"/>
      <c r="AB11" s="585"/>
      <c r="AC11" s="588"/>
      <c r="AD11" s="97"/>
      <c r="AE11" s="191"/>
      <c r="AF11" s="191"/>
    </row>
    <row r="12" spans="2:32" ht="18" customHeight="1" x14ac:dyDescent="0.35">
      <c r="B12" s="91"/>
      <c r="C12" s="191"/>
      <c r="I12" s="521"/>
      <c r="J12" s="181"/>
      <c r="K12" s="522"/>
      <c r="L12" s="361" t="s">
        <v>700</v>
      </c>
      <c r="M12" s="182"/>
      <c r="N12" s="182"/>
      <c r="O12" s="182"/>
      <c r="P12" s="182"/>
      <c r="Q12" s="182"/>
      <c r="R12" s="572"/>
      <c r="S12" s="96"/>
      <c r="T12" s="191"/>
      <c r="U12" s="191"/>
      <c r="V12" s="191"/>
      <c r="W12" s="191"/>
      <c r="X12" s="191"/>
      <c r="Y12" s="191"/>
      <c r="Z12" s="511"/>
      <c r="AA12" s="191"/>
      <c r="AB12" s="585"/>
      <c r="AC12" s="588"/>
      <c r="AD12" s="97"/>
      <c r="AE12" s="191"/>
      <c r="AF12" s="191"/>
    </row>
    <row r="13" spans="2:32" ht="18" customHeight="1" x14ac:dyDescent="0.3">
      <c r="B13" s="91"/>
      <c r="C13" s="191"/>
      <c r="I13" s="286"/>
      <c r="J13" s="573"/>
      <c r="K13" s="286"/>
      <c r="L13" s="131" t="s">
        <v>713</v>
      </c>
      <c r="M13" s="131"/>
      <c r="N13" s="131"/>
      <c r="O13" s="131"/>
      <c r="P13" s="131"/>
      <c r="Q13" s="131"/>
      <c r="R13" s="131"/>
      <c r="S13" s="131"/>
      <c r="T13" s="573"/>
      <c r="U13" s="191"/>
      <c r="V13" s="191"/>
      <c r="W13" s="191"/>
      <c r="X13" s="191"/>
      <c r="Y13" s="191"/>
      <c r="Z13" s="511"/>
      <c r="AA13" s="191"/>
      <c r="AB13" s="585"/>
      <c r="AC13" s="588"/>
      <c r="AD13" s="97"/>
      <c r="AE13" s="191"/>
      <c r="AF13" s="191"/>
    </row>
    <row r="14" spans="2:32" ht="18" customHeight="1" x14ac:dyDescent="0.3">
      <c r="B14" s="91"/>
      <c r="C14" s="191"/>
      <c r="J14" s="191"/>
      <c r="K14" s="191"/>
      <c r="L14" s="191"/>
      <c r="M14" s="191"/>
      <c r="N14" s="191"/>
      <c r="O14" s="191"/>
      <c r="P14" s="191"/>
      <c r="Q14" s="191"/>
      <c r="R14" s="191"/>
      <c r="S14" s="191"/>
      <c r="Y14" s="191"/>
      <c r="Z14" s="511"/>
      <c r="AA14" s="191"/>
      <c r="AB14" s="585"/>
      <c r="AC14" s="588"/>
      <c r="AD14" s="97"/>
      <c r="AE14" s="191"/>
      <c r="AF14" s="191"/>
    </row>
    <row r="15" spans="2:32" ht="18" customHeight="1" x14ac:dyDescent="0.3">
      <c r="B15" s="91"/>
      <c r="C15" s="712" t="s">
        <v>716</v>
      </c>
      <c r="D15" s="713"/>
      <c r="E15" s="714"/>
      <c r="F15" s="715" t="s">
        <v>767</v>
      </c>
      <c r="G15" s="716"/>
      <c r="H15" s="716"/>
      <c r="I15" s="716"/>
      <c r="J15" s="716"/>
      <c r="K15" s="716"/>
      <c r="L15" s="716"/>
      <c r="M15" s="716"/>
      <c r="N15" s="716"/>
      <c r="O15" s="716"/>
      <c r="P15" s="716"/>
      <c r="Q15" s="716"/>
      <c r="R15" s="716"/>
      <c r="S15" s="716"/>
      <c r="T15" s="716"/>
      <c r="U15" s="716"/>
      <c r="V15" s="716"/>
      <c r="W15" s="716"/>
      <c r="X15" s="716"/>
      <c r="Y15" s="717"/>
      <c r="Z15" s="84"/>
      <c r="AB15" s="585"/>
      <c r="AC15" s="588"/>
      <c r="AD15" s="97"/>
      <c r="AF15" s="191"/>
    </row>
    <row r="16" spans="2:32" ht="18" customHeight="1" x14ac:dyDescent="0.3">
      <c r="B16" s="91"/>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511"/>
      <c r="AA16" s="191"/>
      <c r="AB16" s="585"/>
      <c r="AC16" s="588"/>
      <c r="AD16" s="97"/>
      <c r="AE16" s="191"/>
      <c r="AF16" s="191"/>
    </row>
    <row r="17" spans="2:32" ht="18" customHeight="1" x14ac:dyDescent="0.3">
      <c r="B17" s="91"/>
      <c r="C17" s="334"/>
      <c r="D17" s="509"/>
      <c r="E17" s="509"/>
      <c r="F17" s="509"/>
      <c r="G17" s="509"/>
      <c r="H17" s="509"/>
      <c r="I17" s="509"/>
      <c r="J17" s="509"/>
      <c r="K17" s="509"/>
      <c r="L17" s="509"/>
      <c r="M17" s="509"/>
      <c r="N17" s="509"/>
      <c r="O17" s="509"/>
      <c r="P17" s="509"/>
      <c r="Q17" s="510"/>
      <c r="R17" s="191"/>
      <c r="S17" s="334"/>
      <c r="T17" s="509"/>
      <c r="U17" s="509"/>
      <c r="V17" s="509"/>
      <c r="W17" s="509"/>
      <c r="X17" s="509"/>
      <c r="Y17" s="510"/>
      <c r="Z17" s="511"/>
      <c r="AA17" s="191"/>
      <c r="AB17" s="585"/>
      <c r="AC17" s="588"/>
      <c r="AD17" s="97"/>
      <c r="AE17" s="191"/>
      <c r="AF17" s="191"/>
    </row>
    <row r="18" spans="2:32" ht="18" customHeight="1" x14ac:dyDescent="0.3">
      <c r="B18" s="91"/>
      <c r="C18" s="324"/>
      <c r="D18" s="700" t="s">
        <v>704</v>
      </c>
      <c r="E18" s="701"/>
      <c r="F18" s="701"/>
      <c r="G18" s="701"/>
      <c r="H18" s="701"/>
      <c r="I18" s="701"/>
      <c r="J18" s="701"/>
      <c r="K18" s="702"/>
      <c r="L18" s="697" t="s">
        <v>702</v>
      </c>
      <c r="M18" s="698"/>
      <c r="N18" s="698"/>
      <c r="O18" s="698"/>
      <c r="P18" s="699"/>
      <c r="Q18" s="511"/>
      <c r="R18" s="191"/>
      <c r="S18" s="324"/>
      <c r="T18" s="689" t="s">
        <v>709</v>
      </c>
      <c r="U18" s="690"/>
      <c r="V18" s="694" t="s">
        <v>707</v>
      </c>
      <c r="W18" s="695"/>
      <c r="X18" s="696"/>
      <c r="Y18" s="511"/>
      <c r="Z18" s="511"/>
      <c r="AA18" s="191"/>
      <c r="AB18" s="585"/>
      <c r="AC18" s="588"/>
      <c r="AD18" s="97"/>
      <c r="AE18" s="191"/>
      <c r="AF18" s="191"/>
    </row>
    <row r="19" spans="2:32" ht="18" customHeight="1" x14ac:dyDescent="0.3">
      <c r="B19" s="91"/>
      <c r="C19" s="324"/>
      <c r="D19" s="191"/>
      <c r="E19" s="191"/>
      <c r="F19" s="191"/>
      <c r="G19" s="191"/>
      <c r="I19" s="568"/>
      <c r="J19" s="568"/>
      <c r="K19" s="568"/>
      <c r="L19" s="568"/>
      <c r="M19" s="568"/>
      <c r="N19" s="568"/>
      <c r="O19" s="568"/>
      <c r="P19" s="568"/>
      <c r="Q19" s="511"/>
      <c r="R19" s="191"/>
      <c r="S19" s="324"/>
      <c r="T19" s="689" t="s">
        <v>710</v>
      </c>
      <c r="U19" s="690"/>
      <c r="V19" s="691">
        <v>1.5</v>
      </c>
      <c r="W19" s="692"/>
      <c r="X19" s="693"/>
      <c r="Y19" s="511"/>
      <c r="Z19" s="511"/>
      <c r="AA19" s="191"/>
      <c r="AB19" s="585"/>
      <c r="AC19" s="588"/>
      <c r="AD19" s="97"/>
      <c r="AE19" s="191"/>
      <c r="AF19" s="191"/>
    </row>
    <row r="20" spans="2:32" ht="18" customHeight="1" x14ac:dyDescent="0.3">
      <c r="B20" s="91"/>
      <c r="C20" s="324"/>
      <c r="D20" s="573" t="s">
        <v>748</v>
      </c>
      <c r="E20" s="573"/>
      <c r="F20" s="573"/>
      <c r="G20" s="573"/>
      <c r="H20" s="286"/>
      <c r="I20" s="573"/>
      <c r="J20" s="573"/>
      <c r="K20" s="573"/>
      <c r="L20" s="573"/>
      <c r="M20" s="573"/>
      <c r="N20" s="573"/>
      <c r="O20" s="573"/>
      <c r="P20" s="573"/>
      <c r="Q20" s="511"/>
      <c r="R20" s="191"/>
      <c r="S20" s="324"/>
      <c r="T20" s="689" t="s">
        <v>711</v>
      </c>
      <c r="U20" s="690"/>
      <c r="V20" s="694" t="s">
        <v>790</v>
      </c>
      <c r="W20" s="695"/>
      <c r="X20" s="696"/>
      <c r="Y20" s="511"/>
      <c r="Z20" s="511"/>
      <c r="AA20" s="191"/>
      <c r="AB20" s="585"/>
      <c r="AC20" s="588"/>
      <c r="AD20" s="97"/>
      <c r="AE20" s="191"/>
      <c r="AF20" s="191"/>
    </row>
    <row r="21" spans="2:32" ht="18" customHeight="1" x14ac:dyDescent="0.3">
      <c r="B21" s="91"/>
      <c r="C21" s="324"/>
      <c r="D21" s="573" t="s">
        <v>749</v>
      </c>
      <c r="E21" s="573"/>
      <c r="F21" s="573"/>
      <c r="G21" s="573"/>
      <c r="H21" s="286"/>
      <c r="I21" s="573"/>
      <c r="J21" s="573"/>
      <c r="K21" s="573"/>
      <c r="L21" s="573"/>
      <c r="M21" s="573"/>
      <c r="N21" s="573"/>
      <c r="O21" s="573"/>
      <c r="P21" s="573"/>
      <c r="Q21" s="511"/>
      <c r="R21" s="191"/>
      <c r="S21" s="324"/>
      <c r="T21" s="689" t="s">
        <v>712</v>
      </c>
      <c r="U21" s="690"/>
      <c r="V21" s="697" t="s">
        <v>755</v>
      </c>
      <c r="W21" s="698"/>
      <c r="X21" s="699"/>
      <c r="Y21" s="511"/>
      <c r="Z21" s="511"/>
      <c r="AA21" s="191"/>
      <c r="AB21" s="585"/>
      <c r="AC21" s="588"/>
      <c r="AD21" s="97"/>
      <c r="AE21" s="191"/>
      <c r="AF21" s="191"/>
    </row>
    <row r="22" spans="2:32" ht="18" customHeight="1" x14ac:dyDescent="0.3">
      <c r="B22" s="91"/>
      <c r="C22" s="324"/>
      <c r="E22" s="574" t="s">
        <v>750</v>
      </c>
      <c r="F22" s="574"/>
      <c r="G22" s="574"/>
      <c r="J22" s="573"/>
      <c r="K22" s="573"/>
      <c r="L22" s="573"/>
      <c r="M22" s="573"/>
      <c r="N22" s="573"/>
      <c r="O22" s="573"/>
      <c r="P22" s="573"/>
      <c r="Q22" s="511"/>
      <c r="R22" s="191"/>
      <c r="S22" s="324"/>
      <c r="Y22" s="511"/>
      <c r="Z22" s="511"/>
      <c r="AA22" s="191"/>
      <c r="AB22" s="585"/>
      <c r="AC22" s="588"/>
      <c r="AD22" s="97"/>
      <c r="AE22" s="191"/>
      <c r="AF22" s="191"/>
    </row>
    <row r="23" spans="2:32" ht="18" customHeight="1" x14ac:dyDescent="0.3">
      <c r="B23" s="91"/>
      <c r="C23" s="324"/>
      <c r="E23" s="574" t="s">
        <v>751</v>
      </c>
      <c r="F23" s="574"/>
      <c r="G23" s="574"/>
      <c r="J23" s="573"/>
      <c r="K23" s="573"/>
      <c r="L23" s="573"/>
      <c r="M23" s="573"/>
      <c r="N23" s="573"/>
      <c r="O23" s="573"/>
      <c r="P23" s="573"/>
      <c r="Q23" s="511"/>
      <c r="R23" s="191"/>
      <c r="S23" s="324"/>
      <c r="T23" s="677" t="s">
        <v>708</v>
      </c>
      <c r="U23" s="678"/>
      <c r="V23" s="678"/>
      <c r="W23" s="678"/>
      <c r="X23" s="679"/>
      <c r="Y23" s="511"/>
      <c r="Z23" s="511"/>
      <c r="AA23" s="191"/>
      <c r="AB23" s="585"/>
      <c r="AC23" s="588"/>
      <c r="AD23" s="97"/>
      <c r="AE23" s="191"/>
      <c r="AF23" s="191"/>
    </row>
    <row r="24" spans="2:32" ht="18" customHeight="1" x14ac:dyDescent="0.3">
      <c r="B24" s="91"/>
      <c r="C24" s="324"/>
      <c r="D24" s="573" t="s">
        <v>752</v>
      </c>
      <c r="E24" s="573"/>
      <c r="F24" s="573"/>
      <c r="G24" s="573"/>
      <c r="H24" s="573"/>
      <c r="I24" s="573"/>
      <c r="J24" s="573"/>
      <c r="K24" s="573"/>
      <c r="L24" s="573"/>
      <c r="M24" s="573"/>
      <c r="N24" s="573"/>
      <c r="O24" s="573"/>
      <c r="P24" s="573"/>
      <c r="Q24" s="511"/>
      <c r="R24" s="191"/>
      <c r="S24" s="324"/>
      <c r="T24" s="680" t="s">
        <v>812</v>
      </c>
      <c r="U24" s="681"/>
      <c r="V24" s="681"/>
      <c r="W24" s="681"/>
      <c r="X24" s="682"/>
      <c r="Y24" s="511"/>
      <c r="Z24" s="511"/>
      <c r="AA24" s="191"/>
      <c r="AB24" s="585"/>
      <c r="AC24" s="588"/>
      <c r="AD24" s="97"/>
      <c r="AE24" s="191"/>
      <c r="AF24" s="191"/>
    </row>
    <row r="25" spans="2:32" ht="18" customHeight="1" x14ac:dyDescent="0.3">
      <c r="B25" s="91"/>
      <c r="C25" s="324"/>
      <c r="D25" s="573" t="s">
        <v>744</v>
      </c>
      <c r="E25" s="573"/>
      <c r="F25" s="573"/>
      <c r="G25" s="573"/>
      <c r="H25" s="573"/>
      <c r="I25" s="573"/>
      <c r="J25" s="573"/>
      <c r="K25" s="573"/>
      <c r="L25" s="573"/>
      <c r="M25" s="573"/>
      <c r="N25" s="573"/>
      <c r="O25" s="573"/>
      <c r="P25" s="573"/>
      <c r="Q25" s="511"/>
      <c r="R25" s="191"/>
      <c r="S25" s="324"/>
      <c r="T25" s="683"/>
      <c r="U25" s="684"/>
      <c r="V25" s="684"/>
      <c r="W25" s="684"/>
      <c r="X25" s="685"/>
      <c r="Y25" s="511"/>
      <c r="Z25" s="511"/>
      <c r="AA25" s="191"/>
      <c r="AB25" s="585"/>
      <c r="AC25" s="588"/>
      <c r="AD25" s="97"/>
      <c r="AE25" s="191"/>
      <c r="AF25" s="191"/>
    </row>
    <row r="26" spans="2:32" ht="18" customHeight="1" x14ac:dyDescent="0.3">
      <c r="B26" s="91"/>
      <c r="C26" s="324"/>
      <c r="D26" s="573" t="s">
        <v>753</v>
      </c>
      <c r="E26" s="573"/>
      <c r="F26" s="573"/>
      <c r="G26" s="573"/>
      <c r="H26" s="573"/>
      <c r="I26" s="573"/>
      <c r="J26" s="573"/>
      <c r="K26" s="573"/>
      <c r="L26" s="573"/>
      <c r="M26" s="573"/>
      <c r="N26" s="573"/>
      <c r="O26" s="573"/>
      <c r="P26" s="573"/>
      <c r="Q26" s="511"/>
      <c r="R26" s="191"/>
      <c r="S26" s="324"/>
      <c r="T26" s="683"/>
      <c r="U26" s="684"/>
      <c r="V26" s="684"/>
      <c r="W26" s="684"/>
      <c r="X26" s="685"/>
      <c r="Y26" s="511"/>
      <c r="Z26" s="511"/>
      <c r="AA26" s="191"/>
      <c r="AB26" s="585"/>
      <c r="AC26" s="588"/>
      <c r="AD26" s="97"/>
      <c r="AE26" s="191"/>
      <c r="AF26" s="191"/>
    </row>
    <row r="27" spans="2:32" ht="18" customHeight="1" x14ac:dyDescent="0.3">
      <c r="B27" s="91"/>
      <c r="C27" s="324"/>
      <c r="D27" s="573" t="s">
        <v>754</v>
      </c>
      <c r="E27" s="573"/>
      <c r="F27" s="573"/>
      <c r="G27" s="573"/>
      <c r="H27" s="573"/>
      <c r="I27" s="573"/>
      <c r="J27" s="573"/>
      <c r="K27" s="573"/>
      <c r="L27" s="573"/>
      <c r="M27" s="573"/>
      <c r="N27" s="573"/>
      <c r="O27" s="573"/>
      <c r="P27" s="573"/>
      <c r="Q27" s="511"/>
      <c r="R27" s="191"/>
      <c r="S27" s="324"/>
      <c r="T27" s="686"/>
      <c r="U27" s="687"/>
      <c r="V27" s="687"/>
      <c r="W27" s="687"/>
      <c r="X27" s="688"/>
      <c r="Y27" s="511"/>
      <c r="Z27" s="511"/>
      <c r="AA27" s="191"/>
      <c r="AB27" s="585"/>
      <c r="AC27" s="588"/>
      <c r="AD27" s="97"/>
      <c r="AE27" s="191"/>
      <c r="AF27" s="191"/>
    </row>
    <row r="28" spans="2:32" ht="18" customHeight="1" x14ac:dyDescent="0.3">
      <c r="B28" s="91"/>
      <c r="C28" s="512"/>
      <c r="D28" s="513"/>
      <c r="E28" s="513"/>
      <c r="F28" s="513"/>
      <c r="G28" s="513"/>
      <c r="H28" s="513"/>
      <c r="I28" s="513"/>
      <c r="J28" s="513"/>
      <c r="K28" s="513"/>
      <c r="L28" s="513"/>
      <c r="M28" s="513"/>
      <c r="N28" s="513"/>
      <c r="O28" s="513"/>
      <c r="P28" s="513"/>
      <c r="Q28" s="514"/>
      <c r="R28" s="191"/>
      <c r="S28" s="512"/>
      <c r="T28" s="513"/>
      <c r="U28" s="513"/>
      <c r="V28" s="513"/>
      <c r="W28" s="513"/>
      <c r="X28" s="513"/>
      <c r="Y28" s="514"/>
      <c r="Z28" s="511"/>
      <c r="AA28" s="191"/>
      <c r="AB28" s="585"/>
      <c r="AC28" s="588"/>
      <c r="AD28" s="97"/>
      <c r="AE28" s="191"/>
      <c r="AF28" s="191"/>
    </row>
    <row r="29" spans="2:32" ht="18" customHeight="1" x14ac:dyDescent="0.3">
      <c r="B29" s="320"/>
      <c r="C29" s="513"/>
      <c r="D29" s="513"/>
      <c r="E29" s="513"/>
      <c r="F29" s="513"/>
      <c r="G29" s="513"/>
      <c r="H29" s="513"/>
      <c r="I29" s="513"/>
      <c r="J29" s="513"/>
      <c r="K29" s="513"/>
      <c r="L29" s="513"/>
      <c r="M29" s="513"/>
      <c r="N29" s="513"/>
      <c r="O29" s="513"/>
      <c r="P29" s="513"/>
      <c r="Q29" s="513"/>
      <c r="R29" s="513"/>
      <c r="S29" s="513"/>
      <c r="T29" s="513"/>
      <c r="U29" s="513"/>
      <c r="V29" s="513"/>
      <c r="W29" s="513"/>
      <c r="X29" s="513"/>
      <c r="Y29" s="513"/>
      <c r="Z29" s="514"/>
      <c r="AA29" s="191"/>
      <c r="AB29" s="586"/>
      <c r="AC29" s="589"/>
      <c r="AD29" s="98"/>
      <c r="AE29" s="191"/>
      <c r="AF29" s="191"/>
    </row>
    <row r="30" spans="2:32" ht="18" customHeight="1" x14ac:dyDescent="0.3">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row>
    <row r="31" spans="2:32" ht="18" customHeight="1" x14ac:dyDescent="0.3">
      <c r="B31" s="590"/>
      <c r="C31" s="591"/>
      <c r="D31" s="592" t="s">
        <v>745</v>
      </c>
      <c r="E31" s="591"/>
      <c r="F31" s="509"/>
      <c r="G31" s="509"/>
      <c r="H31" s="509"/>
      <c r="I31" s="509"/>
      <c r="J31" s="509"/>
      <c r="K31" s="509"/>
      <c r="L31" s="509"/>
      <c r="M31" s="509"/>
      <c r="N31" s="509"/>
      <c r="O31" s="509"/>
      <c r="P31" s="509"/>
      <c r="Q31" s="509"/>
      <c r="R31" s="509"/>
      <c r="S31" s="509"/>
      <c r="T31" s="509"/>
      <c r="U31" s="509"/>
      <c r="V31" s="509"/>
      <c r="W31" s="509"/>
      <c r="X31" s="509"/>
      <c r="Y31" s="509"/>
      <c r="Z31" s="509"/>
      <c r="AA31" s="509"/>
      <c r="AB31" s="509"/>
      <c r="AC31" s="509"/>
      <c r="AD31" s="510"/>
      <c r="AE31" s="191"/>
      <c r="AF31" s="191"/>
    </row>
    <row r="32" spans="2:32" ht="18" customHeight="1" x14ac:dyDescent="0.3">
      <c r="B32" s="324"/>
      <c r="C32" s="191"/>
      <c r="D32" s="191" t="s">
        <v>746</v>
      </c>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511"/>
      <c r="AE32" s="191"/>
      <c r="AF32" s="191"/>
    </row>
    <row r="33" spans="2:32" ht="18" customHeight="1" x14ac:dyDescent="0.3">
      <c r="B33" s="324"/>
      <c r="C33" s="191"/>
      <c r="D33" s="191" t="s">
        <v>747</v>
      </c>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511"/>
      <c r="AE33" s="191"/>
      <c r="AF33" s="191"/>
    </row>
    <row r="34" spans="2:32" ht="18" customHeight="1" x14ac:dyDescent="0.3">
      <c r="B34" s="324"/>
      <c r="C34" s="191"/>
      <c r="D34" s="191" t="s">
        <v>791</v>
      </c>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511"/>
      <c r="AE34" s="191"/>
      <c r="AF34" s="191"/>
    </row>
    <row r="35" spans="2:32" ht="18" customHeight="1" x14ac:dyDescent="0.3">
      <c r="B35" s="512"/>
      <c r="C35" s="513"/>
      <c r="D35" s="513" t="s">
        <v>756</v>
      </c>
      <c r="E35" s="513"/>
      <c r="F35" s="513"/>
      <c r="G35" s="513"/>
      <c r="H35" s="513"/>
      <c r="I35" s="513"/>
      <c r="J35" s="513"/>
      <c r="K35" s="513"/>
      <c r="L35" s="513"/>
      <c r="M35" s="513"/>
      <c r="N35" s="513"/>
      <c r="O35" s="513"/>
      <c r="P35" s="513"/>
      <c r="Q35" s="513"/>
      <c r="R35" s="513"/>
      <c r="S35" s="513"/>
      <c r="T35" s="513"/>
      <c r="U35" s="513"/>
      <c r="V35" s="513"/>
      <c r="W35" s="513"/>
      <c r="X35" s="513"/>
      <c r="Y35" s="513"/>
      <c r="Z35" s="513"/>
      <c r="AA35" s="513"/>
      <c r="AB35" s="513"/>
      <c r="AC35" s="513"/>
      <c r="AD35" s="514"/>
      <c r="AE35" s="191"/>
      <c r="AF35" s="191"/>
    </row>
    <row r="36" spans="2:32" ht="18" customHeight="1" x14ac:dyDescent="0.3">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row>
    <row r="37" spans="2:32" ht="18.600000000000001" customHeight="1" x14ac:dyDescent="0.3">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row>
    <row r="38" spans="2:32" ht="18.600000000000001" customHeight="1" x14ac:dyDescent="0.3">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row>
    <row r="39" spans="2:32" ht="18.600000000000001" customHeight="1" x14ac:dyDescent="0.3">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row>
    <row r="40" spans="2:32" ht="18.600000000000001" customHeight="1" x14ac:dyDescent="0.3">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row>
    <row r="41" spans="2:32" ht="18.600000000000001" customHeight="1" x14ac:dyDescent="0.3">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40" zoomScaleNormal="40" workbookViewId="0">
      <selection activeCell="AH56" sqref="AH56"/>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62" ht="22.2" customHeight="1" x14ac:dyDescent="0.3">
      <c r="A2" s="83"/>
      <c r="B2" s="100"/>
      <c r="C2" s="101"/>
      <c r="D2" s="101"/>
      <c r="E2" s="101"/>
      <c r="F2" s="101"/>
      <c r="G2" s="101"/>
      <c r="H2" s="101"/>
      <c r="I2" s="101"/>
      <c r="J2" s="101"/>
      <c r="K2" s="101"/>
      <c r="L2" s="102"/>
      <c r="M2" s="83"/>
      <c r="N2" s="100"/>
      <c r="O2" s="101"/>
      <c r="P2" s="101"/>
      <c r="Q2" s="101"/>
      <c r="R2" s="101"/>
      <c r="S2" s="101"/>
      <c r="T2" s="101"/>
      <c r="U2" s="101"/>
      <c r="V2" s="101"/>
      <c r="W2" s="101"/>
      <c r="X2" s="101"/>
      <c r="Y2" s="101"/>
      <c r="Z2" s="101"/>
      <c r="AA2" s="101"/>
      <c r="AB2" s="102"/>
      <c r="AC2" s="83"/>
      <c r="AD2" s="83"/>
      <c r="AE2" s="83"/>
      <c r="AF2" s="83"/>
      <c r="AG2" s="83"/>
      <c r="AH2" s="83"/>
      <c r="AI2" s="83"/>
      <c r="AJ2" s="83"/>
      <c r="AK2" s="83"/>
      <c r="AL2" s="83"/>
      <c r="AM2" s="83"/>
      <c r="AN2" s="83"/>
      <c r="AO2" s="83"/>
      <c r="AP2" s="83"/>
    </row>
    <row r="3" spans="1:62" ht="22.2" customHeight="1" x14ac:dyDescent="0.3">
      <c r="A3" s="83"/>
      <c r="B3" s="103"/>
      <c r="C3" s="751" t="s">
        <v>658</v>
      </c>
      <c r="D3" s="752"/>
      <c r="E3" s="752"/>
      <c r="F3" s="752"/>
      <c r="G3" s="752"/>
      <c r="H3" s="752"/>
      <c r="I3" s="752"/>
      <c r="J3" s="752"/>
      <c r="K3" s="753"/>
      <c r="L3" s="104"/>
      <c r="M3" s="83"/>
      <c r="N3" s="103"/>
      <c r="O3" s="745" t="str">
        <f>+E6&amp;" Diagram"</f>
        <v>Plant A Diagram</v>
      </c>
      <c r="P3" s="746"/>
      <c r="Q3" s="746"/>
      <c r="R3" s="746"/>
      <c r="S3" s="746"/>
      <c r="T3" s="746"/>
      <c r="U3" s="746"/>
      <c r="V3" s="746"/>
      <c r="W3" s="746"/>
      <c r="X3" s="746"/>
      <c r="Y3" s="746"/>
      <c r="Z3" s="746"/>
      <c r="AA3" s="747"/>
      <c r="AB3" s="104"/>
      <c r="AC3" s="83"/>
      <c r="AD3" s="83"/>
      <c r="AE3" s="740" t="str">
        <f>+E6&amp;" Stream Summary"</f>
        <v>Plant A Stream Summary</v>
      </c>
      <c r="AF3" s="740"/>
      <c r="AG3" s="740"/>
      <c r="AH3" s="557"/>
      <c r="AI3" s="557"/>
      <c r="AJ3" s="557"/>
      <c r="AK3" s="557"/>
      <c r="AL3" s="557"/>
      <c r="AM3" s="557"/>
      <c r="AN3" s="557"/>
      <c r="AO3" s="557"/>
      <c r="AP3" s="557"/>
      <c r="AQ3" s="557"/>
      <c r="AR3" s="557"/>
    </row>
    <row r="4" spans="1:62" ht="22.2" customHeight="1" x14ac:dyDescent="0.3">
      <c r="A4" s="83"/>
      <c r="B4" s="103"/>
      <c r="C4" s="83"/>
      <c r="D4" s="83"/>
      <c r="E4" s="83"/>
      <c r="F4" s="83"/>
      <c r="G4" s="83"/>
      <c r="H4" s="83"/>
      <c r="I4" s="83"/>
      <c r="J4" s="83"/>
      <c r="K4" s="83"/>
      <c r="L4" s="104"/>
      <c r="M4" s="83"/>
      <c r="N4" s="103"/>
      <c r="O4" s="83"/>
      <c r="P4" s="83"/>
      <c r="Q4" s="83"/>
      <c r="R4" s="83"/>
      <c r="S4" s="83"/>
      <c r="T4" s="83"/>
      <c r="U4" s="83"/>
      <c r="V4" s="83"/>
      <c r="W4" s="83"/>
      <c r="X4" s="83"/>
      <c r="Y4" s="83"/>
      <c r="Z4" s="83"/>
      <c r="AA4" s="83"/>
      <c r="AB4" s="104"/>
      <c r="AC4" s="83"/>
      <c r="AD4" s="83"/>
      <c r="AE4" s="83"/>
      <c r="AF4" s="83"/>
      <c r="AG4" s="83"/>
      <c r="AH4" s="83"/>
      <c r="AI4" s="83"/>
      <c r="AJ4" s="83"/>
      <c r="AK4" s="83"/>
      <c r="AL4" s="83"/>
      <c r="AM4" s="83"/>
      <c r="AN4" s="83"/>
      <c r="AO4" s="83"/>
      <c r="AP4" s="83"/>
    </row>
    <row r="5" spans="1:62" ht="22.2" customHeight="1" x14ac:dyDescent="0.3">
      <c r="A5" s="83"/>
      <c r="B5" s="103"/>
      <c r="C5" s="83"/>
      <c r="D5" s="756" t="s">
        <v>593</v>
      </c>
      <c r="E5" s="756"/>
      <c r="F5" s="83"/>
      <c r="I5" s="754" t="s">
        <v>267</v>
      </c>
      <c r="J5" s="755"/>
      <c r="K5" s="83"/>
      <c r="L5" s="104"/>
      <c r="M5" s="83"/>
      <c r="N5" s="103"/>
      <c r="O5" s="83"/>
      <c r="P5" s="83"/>
      <c r="Q5" s="83"/>
      <c r="R5" s="83"/>
      <c r="S5" s="83"/>
      <c r="T5" s="83"/>
      <c r="U5" s="83"/>
      <c r="V5" s="83"/>
      <c r="W5" s="83"/>
      <c r="X5" s="83"/>
      <c r="Y5" s="83"/>
      <c r="Z5" s="83"/>
      <c r="AA5" s="83"/>
      <c r="AB5" s="104"/>
      <c r="AC5" s="83"/>
      <c r="AE5" s="557"/>
      <c r="AF5" s="557"/>
      <c r="AG5" s="557"/>
      <c r="AH5" s="557"/>
      <c r="AI5" s="557"/>
      <c r="AJ5" s="557"/>
      <c r="AK5" s="557"/>
      <c r="AL5" s="557"/>
      <c r="AM5" s="557"/>
      <c r="AN5" s="557"/>
      <c r="AO5" s="557"/>
      <c r="AP5" s="557"/>
      <c r="AQ5" s="557"/>
      <c r="AR5" s="557"/>
    </row>
    <row r="6" spans="1:62" ht="22.2" customHeight="1" x14ac:dyDescent="0.3">
      <c r="A6" s="83"/>
      <c r="B6" s="103"/>
      <c r="C6" s="83"/>
      <c r="D6" s="428" t="s">
        <v>682</v>
      </c>
      <c r="E6" s="86" t="s">
        <v>683</v>
      </c>
      <c r="F6" s="83"/>
      <c r="I6" s="85"/>
      <c r="J6" s="319" t="s">
        <v>262</v>
      </c>
      <c r="K6" s="83"/>
      <c r="L6" s="104"/>
      <c r="M6" s="83"/>
      <c r="N6" s="103"/>
      <c r="O6" s="83"/>
      <c r="P6" s="83"/>
      <c r="Q6" s="83"/>
      <c r="R6" s="83"/>
      <c r="S6" s="83"/>
      <c r="T6" s="83"/>
      <c r="U6" s="83"/>
      <c r="V6" s="83"/>
      <c r="W6" s="83"/>
      <c r="X6" s="83"/>
      <c r="Y6" s="83"/>
      <c r="Z6" s="83"/>
      <c r="AA6" s="83"/>
      <c r="AB6" s="104"/>
      <c r="AC6" s="83"/>
      <c r="AD6" s="83"/>
      <c r="AE6" s="560" t="s">
        <v>736</v>
      </c>
      <c r="AF6" s="559" t="s">
        <v>734</v>
      </c>
      <c r="AG6" s="561" t="s">
        <v>735</v>
      </c>
      <c r="AH6" s="83"/>
      <c r="AI6" s="83"/>
      <c r="AJ6" s="83"/>
    </row>
    <row r="7" spans="1:62" ht="22.2" customHeight="1" x14ac:dyDescent="0.3">
      <c r="A7" s="83"/>
      <c r="B7" s="103"/>
      <c r="C7" s="83"/>
      <c r="D7" s="433" t="s">
        <v>476</v>
      </c>
      <c r="E7" s="465" t="s">
        <v>487</v>
      </c>
      <c r="F7" s="83"/>
      <c r="I7" s="95"/>
      <c r="J7" s="319" t="s">
        <v>263</v>
      </c>
      <c r="K7" s="83"/>
      <c r="L7" s="104"/>
      <c r="M7" s="83"/>
      <c r="N7" s="103"/>
      <c r="O7" s="83"/>
      <c r="P7" s="83"/>
      <c r="Q7" s="83"/>
      <c r="R7" s="83"/>
      <c r="S7" s="83"/>
      <c r="T7" s="83"/>
      <c r="U7" s="83"/>
      <c r="V7" s="83"/>
      <c r="W7" s="83"/>
      <c r="X7" s="83"/>
      <c r="Y7" s="83"/>
      <c r="Z7" s="83"/>
      <c r="AA7" s="83"/>
      <c r="AB7" s="104"/>
      <c r="AC7" s="83"/>
      <c r="AD7" s="83"/>
      <c r="AE7" s="562">
        <v>1</v>
      </c>
      <c r="AF7" s="556"/>
      <c r="AG7" s="556"/>
      <c r="AH7" s="83"/>
      <c r="AI7" s="83"/>
      <c r="AJ7" s="83"/>
    </row>
    <row r="8" spans="1:62" ht="22.2" customHeight="1" x14ac:dyDescent="0.3">
      <c r="A8" s="83"/>
      <c r="B8" s="103"/>
      <c r="C8" s="83"/>
      <c r="D8" s="433" t="s">
        <v>315</v>
      </c>
      <c r="E8" s="466">
        <v>2020</v>
      </c>
      <c r="F8" s="83"/>
      <c r="I8" s="94"/>
      <c r="J8" s="98" t="s">
        <v>264</v>
      </c>
      <c r="K8" s="83"/>
      <c r="L8" s="104"/>
      <c r="M8" s="83"/>
      <c r="N8" s="103"/>
      <c r="O8" s="83"/>
      <c r="P8" s="83"/>
      <c r="Q8" s="83"/>
      <c r="R8" s="83"/>
      <c r="S8" s="83"/>
      <c r="T8" s="83"/>
      <c r="U8" s="83"/>
      <c r="V8" s="83"/>
      <c r="W8" s="83"/>
      <c r="X8" s="83"/>
      <c r="Y8" s="83"/>
      <c r="Z8" s="83"/>
      <c r="AA8" s="83"/>
      <c r="AB8" s="104"/>
      <c r="AC8" s="83"/>
      <c r="AD8" s="83"/>
      <c r="AE8" s="83"/>
      <c r="AF8" s="96"/>
      <c r="AG8" s="83"/>
      <c r="AM8" s="83"/>
      <c r="AT8" s="83"/>
      <c r="AU8" s="83"/>
      <c r="AV8" s="83"/>
      <c r="AX8" s="83"/>
      <c r="AY8" s="83"/>
      <c r="BA8" s="83"/>
      <c r="BB8" s="83"/>
      <c r="BC8" s="83"/>
      <c r="BD8" s="83"/>
      <c r="BE8" s="83"/>
      <c r="BF8" s="83"/>
      <c r="BG8" s="83"/>
      <c r="BH8" s="83"/>
    </row>
    <row r="9" spans="1:62" ht="22.2" customHeight="1" x14ac:dyDescent="0.3">
      <c r="A9" s="83"/>
      <c r="B9" s="103"/>
      <c r="C9" s="83"/>
      <c r="D9" s="433" t="s">
        <v>572</v>
      </c>
      <c r="E9" s="467" t="s">
        <v>455</v>
      </c>
      <c r="F9" s="83"/>
      <c r="I9" s="108"/>
      <c r="J9" s="305" t="s">
        <v>268</v>
      </c>
      <c r="K9" s="83"/>
      <c r="L9" s="104"/>
      <c r="M9" s="83"/>
      <c r="N9" s="103"/>
      <c r="O9" s="83"/>
      <c r="P9" s="83"/>
      <c r="Q9" s="83"/>
      <c r="R9" s="83"/>
      <c r="S9" s="83"/>
      <c r="T9" s="83"/>
      <c r="U9" s="83"/>
      <c r="V9" s="83"/>
      <c r="W9" s="83"/>
      <c r="X9" s="83"/>
      <c r="Y9" s="83"/>
      <c r="Z9" s="83"/>
      <c r="AA9" s="83"/>
      <c r="AB9" s="104"/>
      <c r="AC9" s="83"/>
      <c r="AD9" s="83"/>
      <c r="AE9" s="83"/>
      <c r="AF9" s="83"/>
      <c r="AM9" s="83"/>
      <c r="AN9" s="83"/>
      <c r="AX9" s="83"/>
      <c r="AY9" s="83"/>
      <c r="BA9" s="83"/>
      <c r="BC9" s="83"/>
      <c r="BD9" s="557"/>
      <c r="BE9" s="83"/>
      <c r="BF9" s="83"/>
      <c r="BG9" s="83"/>
      <c r="BH9" s="83"/>
      <c r="BI9" s="83"/>
      <c r="BJ9" s="83"/>
    </row>
    <row r="10" spans="1:62" ht="22.2" customHeight="1" x14ac:dyDescent="0.3">
      <c r="A10" s="83"/>
      <c r="B10" s="103"/>
      <c r="C10" s="83"/>
      <c r="D10" s="83"/>
      <c r="E10" s="83"/>
      <c r="F10" s="83"/>
      <c r="G10" s="83"/>
      <c r="H10" s="83"/>
      <c r="I10" s="83"/>
      <c r="J10" s="83"/>
      <c r="K10" s="83"/>
      <c r="L10" s="104"/>
      <c r="M10" s="83"/>
      <c r="N10" s="103"/>
      <c r="O10" s="83"/>
      <c r="P10" s="83"/>
      <c r="Q10" s="83"/>
      <c r="R10" s="83"/>
      <c r="S10" s="83"/>
      <c r="T10" s="83"/>
      <c r="U10" s="83"/>
      <c r="V10" s="83"/>
      <c r="W10" s="83"/>
      <c r="X10" s="83"/>
      <c r="Y10" s="83"/>
      <c r="Z10" s="83"/>
      <c r="AA10" s="83"/>
      <c r="AB10" s="104"/>
      <c r="AC10" s="83"/>
      <c r="AD10" s="83"/>
      <c r="AF10" s="83"/>
      <c r="AG10" s="557"/>
      <c r="AJ10" s="83"/>
      <c r="AM10" s="83"/>
      <c r="AN10" s="83"/>
      <c r="AT10" s="83"/>
      <c r="AU10" s="83"/>
      <c r="AV10" s="557"/>
      <c r="BB10" s="83"/>
      <c r="BC10" s="83"/>
      <c r="BD10" s="83"/>
      <c r="BE10" s="83"/>
    </row>
    <row r="11" spans="1:62" ht="22.2" customHeight="1" x14ac:dyDescent="0.3">
      <c r="A11" s="83"/>
      <c r="B11" s="103"/>
      <c r="C11" s="83"/>
      <c r="D11" s="83"/>
      <c r="E11" s="83"/>
      <c r="F11" s="83"/>
      <c r="G11" s="83"/>
      <c r="H11" s="83"/>
      <c r="I11" s="83"/>
      <c r="J11" s="83"/>
      <c r="K11" s="83"/>
      <c r="L11" s="104"/>
      <c r="M11" s="83"/>
      <c r="N11" s="103"/>
      <c r="O11" s="83"/>
      <c r="P11" s="83"/>
      <c r="Q11" s="83"/>
      <c r="R11" s="83"/>
      <c r="S11" s="83"/>
      <c r="T11" s="83"/>
      <c r="U11" s="83"/>
      <c r="V11" s="83"/>
      <c r="W11" s="83"/>
      <c r="X11" s="83"/>
      <c r="Y11" s="83"/>
      <c r="Z11" s="83"/>
      <c r="AA11" s="83"/>
      <c r="AB11" s="104"/>
      <c r="AC11" s="83"/>
      <c r="AD11" s="83"/>
      <c r="AJ11" s="83"/>
      <c r="AM11" s="83"/>
      <c r="AN11" s="83"/>
      <c r="AT11" s="83"/>
      <c r="AU11" s="83"/>
      <c r="AW11" s="557"/>
      <c r="AY11" s="557"/>
      <c r="BA11" s="557"/>
      <c r="BB11" s="83"/>
      <c r="BC11" s="83"/>
      <c r="BD11" s="83"/>
      <c r="BE11" s="83"/>
    </row>
    <row r="12" spans="1:62" ht="22.2" customHeight="1" x14ac:dyDescent="0.3">
      <c r="A12" s="83"/>
      <c r="B12" s="103"/>
      <c r="C12" s="745" t="str">
        <f>+E6&amp;": Mass &amp; Energy Balance"</f>
        <v>Plant A: Mass &amp; Energy Balance</v>
      </c>
      <c r="D12" s="746"/>
      <c r="E12" s="746"/>
      <c r="F12" s="746"/>
      <c r="G12" s="746"/>
      <c r="H12" s="746"/>
      <c r="I12" s="746"/>
      <c r="J12" s="746"/>
      <c r="K12" s="747"/>
      <c r="L12" s="104"/>
      <c r="M12" s="83"/>
      <c r="N12" s="103"/>
      <c r="O12" s="83"/>
      <c r="P12" s="83"/>
      <c r="Q12" s="83"/>
      <c r="R12" s="83"/>
      <c r="S12" s="83"/>
      <c r="T12" s="83"/>
      <c r="U12" s="83"/>
      <c r="V12" s="83"/>
      <c r="W12" s="83"/>
      <c r="X12" s="83"/>
      <c r="Y12" s="83"/>
      <c r="Z12" s="83"/>
      <c r="AA12" s="83"/>
      <c r="AB12" s="104"/>
      <c r="AC12" s="83"/>
      <c r="AD12" s="83"/>
      <c r="AJ12" s="83"/>
      <c r="AM12" s="83"/>
      <c r="AN12" s="83"/>
      <c r="AT12" s="83"/>
      <c r="AU12" s="83"/>
      <c r="AV12" s="83"/>
      <c r="AW12" s="83"/>
    </row>
    <row r="13" spans="1:62" ht="22.2" customHeight="1" x14ac:dyDescent="0.3">
      <c r="A13" s="83"/>
      <c r="B13" s="103"/>
      <c r="C13" s="134"/>
      <c r="K13" s="140"/>
      <c r="L13" s="104"/>
      <c r="M13" s="83"/>
      <c r="N13" s="103"/>
      <c r="O13" s="83"/>
      <c r="P13" s="83"/>
      <c r="Q13" s="83"/>
      <c r="R13" s="83"/>
      <c r="S13" s="83"/>
      <c r="T13" s="83"/>
      <c r="U13" s="83"/>
      <c r="V13" s="83"/>
      <c r="W13" s="83"/>
      <c r="X13" s="83"/>
      <c r="Y13" s="83"/>
      <c r="Z13" s="83"/>
      <c r="AA13" s="83"/>
      <c r="AB13" s="104"/>
      <c r="AC13" s="83"/>
      <c r="AD13" s="83"/>
      <c r="AH13" s="83"/>
      <c r="AJ13" s="83"/>
      <c r="AL13" s="83"/>
      <c r="AM13" s="83"/>
      <c r="AN13" s="83"/>
      <c r="AT13" s="83"/>
      <c r="AU13" s="83"/>
      <c r="AV13" s="83"/>
      <c r="AW13" s="83"/>
    </row>
    <row r="14" spans="1:62" ht="22.2" customHeight="1" x14ac:dyDescent="0.3">
      <c r="A14" s="83"/>
      <c r="B14" s="103"/>
      <c r="C14" s="112"/>
      <c r="K14" s="137"/>
      <c r="L14" s="104"/>
      <c r="M14" s="83"/>
      <c r="N14" s="103"/>
      <c r="O14" s="83"/>
      <c r="P14" s="83"/>
      <c r="Q14" s="83"/>
      <c r="R14" s="83"/>
      <c r="S14" s="83"/>
      <c r="T14" s="83"/>
      <c r="U14" s="83"/>
      <c r="V14" s="83"/>
      <c r="W14" s="83"/>
      <c r="X14" s="83"/>
      <c r="Y14" s="83"/>
      <c r="Z14" s="83"/>
      <c r="AA14" s="83"/>
      <c r="AB14" s="104"/>
      <c r="AC14" s="83"/>
      <c r="AD14" s="83"/>
      <c r="AH14" s="83"/>
      <c r="AI14" s="83"/>
      <c r="AJ14" s="83"/>
      <c r="AK14" s="83"/>
      <c r="AL14" s="83"/>
      <c r="AM14" s="83"/>
      <c r="AN14" s="83"/>
      <c r="AO14" s="83"/>
    </row>
    <row r="15" spans="1:62" ht="22.2" customHeight="1" x14ac:dyDescent="0.3">
      <c r="A15" s="83"/>
      <c r="B15" s="103"/>
      <c r="C15" s="112"/>
      <c r="K15" s="137"/>
      <c r="L15" s="104"/>
      <c r="M15" s="83"/>
      <c r="N15" s="103"/>
      <c r="O15" s="83"/>
      <c r="P15" s="83"/>
      <c r="Q15" s="83"/>
      <c r="R15" s="83"/>
      <c r="S15" s="83"/>
      <c r="T15" s="83"/>
      <c r="U15" s="83"/>
      <c r="V15" s="83"/>
      <c r="W15" s="83"/>
      <c r="X15" s="83"/>
      <c r="Y15" s="83"/>
      <c r="Z15" s="83"/>
      <c r="AA15" s="83"/>
      <c r="AB15" s="104"/>
      <c r="AC15" s="83"/>
      <c r="AD15" s="83"/>
      <c r="AH15" s="83"/>
      <c r="AI15" s="83"/>
      <c r="AJ15" s="83"/>
      <c r="AK15" s="83"/>
      <c r="AL15" s="83"/>
      <c r="AM15" s="83"/>
      <c r="AN15" s="83"/>
      <c r="AO15" s="83"/>
    </row>
    <row r="16" spans="1:62" ht="22.2" customHeight="1" x14ac:dyDescent="0.3">
      <c r="A16" s="83"/>
      <c r="B16" s="103"/>
      <c r="C16" s="112"/>
      <c r="K16" s="137"/>
      <c r="L16" s="104"/>
      <c r="M16" s="83"/>
      <c r="N16" s="103"/>
      <c r="O16" s="83"/>
      <c r="P16" s="83"/>
      <c r="Q16" s="83"/>
      <c r="R16" s="83"/>
      <c r="S16" s="83"/>
      <c r="T16" s="83"/>
      <c r="U16" s="83"/>
      <c r="V16" s="83"/>
      <c r="W16" s="83"/>
      <c r="X16" s="83"/>
      <c r="Y16" s="83"/>
      <c r="Z16" s="83"/>
      <c r="AA16" s="83"/>
      <c r="AB16" s="104"/>
      <c r="AC16" s="83"/>
      <c r="AD16" s="83"/>
      <c r="AH16" s="83"/>
      <c r="AI16" s="83"/>
      <c r="AJ16" s="83"/>
      <c r="AK16" s="83"/>
      <c r="AL16" s="83"/>
      <c r="AM16" s="83"/>
      <c r="AN16" s="83"/>
      <c r="AO16" s="83"/>
    </row>
    <row r="17" spans="1:49" ht="22.2" customHeight="1" x14ac:dyDescent="0.3">
      <c r="A17" s="83"/>
      <c r="B17" s="103"/>
      <c r="C17" s="112"/>
      <c r="K17" s="137"/>
      <c r="L17" s="104"/>
      <c r="M17" s="83"/>
      <c r="N17" s="103"/>
      <c r="O17" s="83"/>
      <c r="P17" s="83"/>
      <c r="Q17" s="83"/>
      <c r="R17" s="83"/>
      <c r="S17" s="83"/>
      <c r="T17" s="83"/>
      <c r="U17" s="83"/>
      <c r="V17" s="83"/>
      <c r="W17" s="83"/>
      <c r="X17" s="83"/>
      <c r="Y17" s="83"/>
      <c r="Z17" s="83"/>
      <c r="AA17" s="83"/>
      <c r="AB17" s="104"/>
      <c r="AC17" s="83"/>
      <c r="AD17" s="83"/>
      <c r="AH17" s="83"/>
      <c r="AI17" s="83"/>
      <c r="AJ17" s="83"/>
      <c r="AK17" s="83"/>
      <c r="AL17" s="83"/>
      <c r="AM17" s="83"/>
      <c r="AN17" s="83"/>
      <c r="AO17" s="83"/>
    </row>
    <row r="18" spans="1:49" ht="22.2" customHeight="1" x14ac:dyDescent="0.3">
      <c r="A18" s="83"/>
      <c r="B18" s="103"/>
      <c r="C18" s="112"/>
      <c r="K18" s="137"/>
      <c r="L18" s="104"/>
      <c r="M18" s="83"/>
      <c r="N18" s="103"/>
      <c r="O18" s="83"/>
      <c r="P18" s="83"/>
      <c r="Q18" s="83"/>
      <c r="R18" s="83"/>
      <c r="S18" s="83"/>
      <c r="T18" s="83"/>
      <c r="U18" s="83"/>
      <c r="V18" s="83"/>
      <c r="W18" s="83"/>
      <c r="X18" s="83"/>
      <c r="Y18" s="83"/>
      <c r="Z18" s="83"/>
      <c r="AA18" s="83"/>
      <c r="AB18" s="104"/>
      <c r="AC18" s="83"/>
      <c r="AD18" s="83"/>
      <c r="AH18" s="83"/>
      <c r="AI18" s="83"/>
      <c r="AJ18" s="83"/>
      <c r="AK18" s="83"/>
      <c r="AL18" s="83"/>
      <c r="AM18" s="83"/>
      <c r="AN18" s="83"/>
      <c r="AO18" s="83"/>
    </row>
    <row r="19" spans="1:49" ht="22.2" customHeight="1" x14ac:dyDescent="0.3">
      <c r="A19" s="83"/>
      <c r="B19" s="103"/>
      <c r="C19" s="112"/>
      <c r="K19" s="137"/>
      <c r="L19" s="104"/>
      <c r="M19" s="83"/>
      <c r="N19" s="103"/>
      <c r="O19" s="83"/>
      <c r="P19" s="83"/>
      <c r="Q19" s="83"/>
      <c r="R19" s="83"/>
      <c r="S19" s="83"/>
      <c r="T19" s="83"/>
      <c r="U19" s="83"/>
      <c r="V19" s="83"/>
      <c r="W19" s="83"/>
      <c r="X19" s="83"/>
      <c r="Y19" s="83"/>
      <c r="Z19" s="83"/>
      <c r="AA19" s="83"/>
      <c r="AB19" s="104"/>
      <c r="AC19" s="83"/>
      <c r="AD19" s="83"/>
      <c r="AH19" s="83"/>
      <c r="AI19" s="83"/>
      <c r="AJ19" s="83"/>
      <c r="AK19" s="83"/>
      <c r="AL19" s="83"/>
      <c r="AN19" s="83"/>
      <c r="AT19" s="83"/>
      <c r="AU19" s="83"/>
      <c r="AV19" s="83"/>
      <c r="AW19" s="83"/>
    </row>
    <row r="20" spans="1:49" ht="22.2" customHeight="1" x14ac:dyDescent="0.3">
      <c r="A20" s="83"/>
      <c r="B20" s="103"/>
      <c r="C20" s="112"/>
      <c r="K20" s="137"/>
      <c r="L20" s="104"/>
      <c r="M20" s="83"/>
      <c r="N20" s="103"/>
      <c r="O20" s="83"/>
      <c r="P20" s="83"/>
      <c r="Q20" s="83"/>
      <c r="R20" s="83"/>
      <c r="S20" s="83"/>
      <c r="T20" s="83"/>
      <c r="U20" s="83"/>
      <c r="V20" s="83"/>
      <c r="W20" s="83"/>
      <c r="X20" s="83"/>
      <c r="Y20" s="83"/>
      <c r="Z20" s="83"/>
      <c r="AA20" s="83"/>
      <c r="AB20" s="104"/>
      <c r="AC20" s="83"/>
      <c r="AD20" s="83"/>
      <c r="AH20" s="83"/>
      <c r="AI20" s="83"/>
      <c r="AJ20" s="83"/>
      <c r="AK20" s="83"/>
      <c r="AL20" s="83"/>
      <c r="AT20" s="83"/>
      <c r="AU20" s="83"/>
      <c r="AV20" s="83"/>
      <c r="AW20" s="83"/>
    </row>
    <row r="21" spans="1:49" ht="22.2" customHeight="1" x14ac:dyDescent="0.3">
      <c r="A21" s="83"/>
      <c r="B21" s="103"/>
      <c r="C21" s="112"/>
      <c r="K21" s="137"/>
      <c r="L21" s="104"/>
      <c r="M21" s="83"/>
      <c r="N21" s="103"/>
      <c r="O21" s="83"/>
      <c r="P21" s="83"/>
      <c r="Q21" s="83"/>
      <c r="R21" s="83"/>
      <c r="S21" s="83"/>
      <c r="T21" s="83"/>
      <c r="U21" s="83"/>
      <c r="V21" s="83"/>
      <c r="W21" s="83"/>
      <c r="X21" s="83"/>
      <c r="Y21" s="83"/>
      <c r="Z21" s="83"/>
      <c r="AA21" s="83"/>
      <c r="AB21" s="104"/>
      <c r="AC21" s="83"/>
      <c r="AD21" s="83"/>
      <c r="AH21" s="83"/>
      <c r="AI21" s="83"/>
      <c r="AJ21" s="83"/>
      <c r="AK21" s="83"/>
      <c r="AL21" s="83"/>
      <c r="AT21" s="83"/>
      <c r="AU21" s="83"/>
      <c r="AV21" s="83"/>
      <c r="AW21" s="83"/>
    </row>
    <row r="22" spans="1:49" ht="22.2" customHeight="1" x14ac:dyDescent="0.3">
      <c r="A22" s="83"/>
      <c r="B22" s="103"/>
      <c r="C22" s="112"/>
      <c r="K22" s="137"/>
      <c r="L22" s="104"/>
      <c r="M22" s="83"/>
      <c r="N22" s="103"/>
      <c r="O22" s="83"/>
      <c r="P22" s="83"/>
      <c r="Q22" s="83"/>
      <c r="R22" s="83"/>
      <c r="S22" s="83"/>
      <c r="T22" s="83"/>
      <c r="U22" s="83"/>
      <c r="V22" s="83"/>
      <c r="W22" s="83"/>
      <c r="X22" s="83"/>
      <c r="Y22" s="83"/>
      <c r="Z22" s="83"/>
      <c r="AA22" s="83"/>
      <c r="AB22" s="104"/>
      <c r="AC22" s="83"/>
      <c r="AD22" s="83"/>
      <c r="AH22" s="83"/>
      <c r="AI22" s="83"/>
      <c r="AJ22" s="83"/>
      <c r="AK22" s="83"/>
      <c r="AL22" s="83"/>
      <c r="AT22" s="83"/>
      <c r="AU22" s="83"/>
      <c r="AV22" s="83"/>
      <c r="AW22" s="83"/>
    </row>
    <row r="23" spans="1:49" ht="22.2" customHeight="1" x14ac:dyDescent="0.3">
      <c r="A23" s="83"/>
      <c r="B23" s="103"/>
      <c r="C23" s="135"/>
      <c r="K23" s="137"/>
      <c r="L23" s="104"/>
      <c r="M23" s="83"/>
      <c r="N23" s="103"/>
      <c r="O23" s="83"/>
      <c r="P23" s="83"/>
      <c r="Q23" s="83"/>
      <c r="R23" s="83"/>
      <c r="S23" s="83"/>
      <c r="T23" s="83"/>
      <c r="U23" s="83"/>
      <c r="V23" s="83"/>
      <c r="W23" s="83"/>
      <c r="X23" s="83"/>
      <c r="Y23" s="83"/>
      <c r="Z23" s="83"/>
      <c r="AA23" s="83"/>
      <c r="AB23" s="104"/>
      <c r="AC23" s="83"/>
      <c r="AD23" s="83"/>
      <c r="AH23" s="83"/>
      <c r="AI23" s="83"/>
      <c r="AJ23" s="83"/>
      <c r="AK23" s="83"/>
      <c r="AL23" s="83"/>
      <c r="AT23" s="83"/>
      <c r="AU23" s="83"/>
      <c r="AV23" s="83"/>
      <c r="AW23" s="83"/>
    </row>
    <row r="24" spans="1:49" ht="22.2" customHeight="1" x14ac:dyDescent="0.3">
      <c r="A24" s="83"/>
      <c r="B24" s="103"/>
      <c r="C24" s="135"/>
      <c r="K24" s="137"/>
      <c r="L24" s="104"/>
      <c r="M24" s="83"/>
      <c r="N24" s="103"/>
      <c r="O24" s="83"/>
      <c r="P24" s="83"/>
      <c r="Q24" s="83"/>
      <c r="R24" s="83"/>
      <c r="S24" s="83"/>
      <c r="T24" s="83"/>
      <c r="U24" s="83"/>
      <c r="V24" s="83"/>
      <c r="W24" s="83"/>
      <c r="X24" s="83"/>
      <c r="Y24" s="83"/>
      <c r="Z24" s="83"/>
      <c r="AA24" s="83"/>
      <c r="AB24" s="104"/>
      <c r="AC24" s="83"/>
      <c r="AD24" s="83"/>
      <c r="AH24" s="83"/>
      <c r="AI24" s="83"/>
      <c r="AJ24" s="83"/>
      <c r="AK24" s="83"/>
      <c r="AL24" s="83"/>
      <c r="AS24" s="83"/>
      <c r="AT24" s="83"/>
      <c r="AU24" s="83"/>
      <c r="AV24" s="83"/>
    </row>
    <row r="25" spans="1:49" ht="22.2" customHeight="1" x14ac:dyDescent="0.3">
      <c r="A25" s="83"/>
      <c r="B25" s="103"/>
      <c r="C25" s="135"/>
      <c r="K25" s="137"/>
      <c r="L25" s="104"/>
      <c r="M25" s="83"/>
      <c r="N25" s="103"/>
      <c r="O25" s="83"/>
      <c r="P25" s="83"/>
      <c r="Q25" s="83"/>
      <c r="R25" s="83"/>
      <c r="S25" s="83"/>
      <c r="T25" s="83"/>
      <c r="U25" s="83"/>
      <c r="V25" s="83"/>
      <c r="W25" s="83"/>
      <c r="X25" s="83"/>
      <c r="Y25" s="83"/>
      <c r="Z25" s="83"/>
      <c r="AA25" s="83"/>
      <c r="AB25" s="104"/>
      <c r="AC25" s="83"/>
      <c r="AD25" s="83"/>
      <c r="AH25" s="83"/>
      <c r="AI25" s="83"/>
      <c r="AJ25" s="83"/>
      <c r="AK25" s="83"/>
      <c r="AL25" s="83"/>
      <c r="AO25" s="83"/>
      <c r="AP25" s="83"/>
    </row>
    <row r="26" spans="1:49" ht="22.2" customHeight="1" x14ac:dyDescent="0.3">
      <c r="A26" s="83"/>
      <c r="B26" s="103"/>
      <c r="C26" s="135"/>
      <c r="K26" s="137"/>
      <c r="L26" s="104"/>
      <c r="M26" s="83"/>
      <c r="N26" s="103"/>
      <c r="O26" s="83"/>
      <c r="P26" s="83"/>
      <c r="Q26" s="83"/>
      <c r="R26" s="83"/>
      <c r="S26" s="83"/>
      <c r="T26" s="83"/>
      <c r="U26" s="83"/>
      <c r="V26" s="83"/>
      <c r="W26" s="83"/>
      <c r="X26" s="83"/>
      <c r="Y26" s="83"/>
      <c r="Z26" s="83"/>
      <c r="AA26" s="83"/>
      <c r="AB26" s="104"/>
      <c r="AC26" s="83"/>
      <c r="AD26" s="83"/>
      <c r="AH26" s="83"/>
      <c r="AI26" s="83"/>
      <c r="AJ26" s="83"/>
      <c r="AK26" s="83"/>
      <c r="AL26" s="83"/>
      <c r="AO26" s="83"/>
      <c r="AP26" s="83"/>
    </row>
    <row r="27" spans="1:49" ht="22.2" customHeight="1" x14ac:dyDescent="0.3">
      <c r="A27" s="83"/>
      <c r="B27" s="103"/>
      <c r="C27" s="135"/>
      <c r="K27" s="137"/>
      <c r="L27" s="104"/>
      <c r="M27" s="83"/>
      <c r="N27" s="103"/>
      <c r="O27" s="83"/>
      <c r="P27" s="83"/>
      <c r="Q27" s="83"/>
      <c r="R27" s="83"/>
      <c r="S27" s="83"/>
      <c r="T27" s="83"/>
      <c r="U27" s="83"/>
      <c r="V27" s="83"/>
      <c r="W27" s="83"/>
      <c r="X27" s="83"/>
      <c r="Y27" s="83"/>
      <c r="Z27" s="83"/>
      <c r="AA27" s="83"/>
      <c r="AB27" s="104"/>
      <c r="AC27" s="83"/>
      <c r="AD27" s="83"/>
      <c r="AH27" s="83"/>
      <c r="AI27" s="83"/>
      <c r="AJ27" s="83"/>
      <c r="AK27" s="83"/>
      <c r="AL27" s="83"/>
      <c r="AO27" s="83"/>
      <c r="AP27" s="83"/>
    </row>
    <row r="28" spans="1:49" ht="22.2" customHeight="1" x14ac:dyDescent="0.3">
      <c r="A28" s="83"/>
      <c r="B28" s="103"/>
      <c r="C28" s="135"/>
      <c r="K28" s="137"/>
      <c r="L28" s="104"/>
      <c r="M28" s="83"/>
      <c r="N28" s="103"/>
      <c r="O28" s="83"/>
      <c r="P28" s="83"/>
      <c r="Q28" s="83"/>
      <c r="R28" s="83"/>
      <c r="S28" s="83"/>
      <c r="T28" s="83"/>
      <c r="U28" s="83"/>
      <c r="V28" s="83"/>
      <c r="W28" s="83"/>
      <c r="X28" s="83"/>
      <c r="Y28" s="83"/>
      <c r="Z28" s="83"/>
      <c r="AA28" s="83"/>
      <c r="AB28" s="104"/>
      <c r="AC28" s="83"/>
      <c r="AD28" s="83"/>
      <c r="AH28" s="83"/>
      <c r="AI28" s="83"/>
      <c r="AJ28" s="83"/>
      <c r="AK28" s="83"/>
      <c r="AL28" s="83"/>
      <c r="AO28" s="83"/>
      <c r="AP28" s="83"/>
    </row>
    <row r="29" spans="1:49" ht="22.2" customHeight="1" x14ac:dyDescent="0.3">
      <c r="A29" s="83"/>
      <c r="B29" s="103"/>
      <c r="C29" s="135"/>
      <c r="K29" s="137"/>
      <c r="L29" s="104"/>
      <c r="M29" s="83"/>
      <c r="N29" s="103"/>
      <c r="O29" s="83"/>
      <c r="P29" s="83"/>
      <c r="Q29" s="83"/>
      <c r="R29" s="83"/>
      <c r="S29" s="83"/>
      <c r="T29" s="83"/>
      <c r="U29" s="83"/>
      <c r="V29" s="83"/>
      <c r="W29" s="83"/>
      <c r="X29" s="83"/>
      <c r="Y29" s="83"/>
      <c r="Z29" s="83"/>
      <c r="AA29" s="83"/>
      <c r="AB29" s="104"/>
      <c r="AC29" s="83"/>
      <c r="AD29" s="83"/>
      <c r="AG29" s="83"/>
      <c r="AH29" s="83"/>
      <c r="AI29" s="83"/>
      <c r="AJ29" s="83"/>
      <c r="AK29" s="83"/>
      <c r="AL29" s="83"/>
      <c r="AO29" s="83"/>
      <c r="AP29" s="83"/>
    </row>
    <row r="30" spans="1:49" ht="22.2" customHeight="1" x14ac:dyDescent="0.3">
      <c r="A30" s="83"/>
      <c r="B30" s="103"/>
      <c r="C30" s="135"/>
      <c r="D30" s="384"/>
      <c r="E30" s="154"/>
      <c r="F30" s="384"/>
      <c r="G30" s="555"/>
      <c r="K30" s="137"/>
      <c r="L30" s="104"/>
      <c r="M30" s="83"/>
      <c r="N30" s="103"/>
      <c r="O30" s="83"/>
      <c r="P30" s="83"/>
      <c r="Q30" s="83"/>
      <c r="R30" s="83"/>
      <c r="S30" s="83"/>
      <c r="T30" s="83"/>
      <c r="U30" s="83"/>
      <c r="V30" s="83"/>
      <c r="W30" s="83"/>
      <c r="X30" s="83"/>
      <c r="Y30" s="83"/>
      <c r="Z30" s="83"/>
      <c r="AA30" s="83"/>
      <c r="AB30" s="104"/>
      <c r="AC30" s="83"/>
      <c r="AD30" s="83"/>
      <c r="AE30" s="83"/>
      <c r="AG30" s="83"/>
      <c r="AH30" s="83"/>
      <c r="AI30" s="83"/>
      <c r="AJ30" s="83"/>
      <c r="AK30" s="83"/>
      <c r="AL30" s="83"/>
      <c r="AO30" s="83"/>
      <c r="AP30" s="83"/>
    </row>
    <row r="31" spans="1:49" ht="22.2" customHeight="1" x14ac:dyDescent="0.3">
      <c r="A31" s="83"/>
      <c r="B31" s="103"/>
      <c r="C31" s="135"/>
      <c r="D31" s="384"/>
      <c r="E31" s="428" t="s">
        <v>359</v>
      </c>
      <c r="F31" s="428" t="s">
        <v>666</v>
      </c>
      <c r="G31" s="428" t="s">
        <v>782</v>
      </c>
      <c r="H31" s="428" t="s">
        <v>785</v>
      </c>
      <c r="I31" s="428" t="s">
        <v>780</v>
      </c>
      <c r="J31" s="237" t="s">
        <v>781</v>
      </c>
      <c r="K31" s="137"/>
      <c r="L31" s="104"/>
      <c r="M31" s="83"/>
      <c r="N31" s="105"/>
      <c r="O31" s="106"/>
      <c r="P31" s="106"/>
      <c r="Q31" s="106"/>
      <c r="R31" s="106"/>
      <c r="S31" s="106"/>
      <c r="T31" s="106"/>
      <c r="U31" s="106"/>
      <c r="V31" s="106"/>
      <c r="W31" s="106"/>
      <c r="X31" s="106"/>
      <c r="Y31" s="106"/>
      <c r="Z31" s="106"/>
      <c r="AA31" s="106"/>
      <c r="AB31" s="107"/>
      <c r="AC31" s="83"/>
      <c r="AD31" s="83"/>
      <c r="AE31" s="83"/>
      <c r="AF31" s="83"/>
      <c r="AG31" s="83"/>
      <c r="AH31" s="83"/>
      <c r="AI31" s="83"/>
      <c r="AJ31" s="83"/>
      <c r="AK31" s="83"/>
      <c r="AL31" s="83"/>
      <c r="AO31" s="83"/>
      <c r="AP31" s="83"/>
    </row>
    <row r="32" spans="1:49" ht="22.2" customHeight="1" x14ac:dyDescent="0.3">
      <c r="A32" s="83"/>
      <c r="B32" s="103"/>
      <c r="C32" s="135"/>
      <c r="D32" s="384"/>
      <c r="E32" s="86" t="s">
        <v>670</v>
      </c>
      <c r="F32" s="86"/>
      <c r="G32" s="86" t="s">
        <v>783</v>
      </c>
      <c r="H32" s="86" t="s">
        <v>784</v>
      </c>
      <c r="I32" s="86"/>
      <c r="J32" s="86" t="str">
        <f>G32&amp;"/"&amp;H32</f>
        <v>unit_P1/unit_P2</v>
      </c>
      <c r="K32" s="137"/>
      <c r="L32" s="104"/>
      <c r="M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O32" s="83"/>
      <c r="AP32" s="83"/>
    </row>
    <row r="33" spans="1:42" ht="22.2" customHeight="1" x14ac:dyDescent="0.3">
      <c r="A33" s="83"/>
      <c r="B33" s="103"/>
      <c r="C33" s="136"/>
      <c r="D33" s="138"/>
      <c r="E33" s="138"/>
      <c r="F33" s="138"/>
      <c r="G33" s="138"/>
      <c r="H33" s="138"/>
      <c r="I33" s="138"/>
      <c r="J33" s="138"/>
      <c r="K33" s="139"/>
      <c r="L33" s="104"/>
      <c r="M33" s="83"/>
      <c r="N33" s="100"/>
      <c r="O33" s="101"/>
      <c r="P33" s="101"/>
      <c r="Q33" s="101"/>
      <c r="R33" s="101"/>
      <c r="S33" s="101"/>
      <c r="T33" s="101"/>
      <c r="U33" s="101"/>
      <c r="V33" s="101"/>
      <c r="W33" s="101"/>
      <c r="X33" s="101"/>
      <c r="Y33" s="101"/>
      <c r="Z33" s="101"/>
      <c r="AA33" s="101"/>
      <c r="AB33" s="102"/>
      <c r="AC33" s="83"/>
      <c r="AD33" s="83"/>
      <c r="AE33" s="83"/>
      <c r="AF33" s="83"/>
      <c r="AG33" s="83"/>
      <c r="AH33" s="83"/>
      <c r="AI33" s="83"/>
      <c r="AJ33" s="83"/>
      <c r="AK33" s="83"/>
      <c r="AL33" s="83"/>
      <c r="AO33" s="83"/>
      <c r="AP33" s="83"/>
    </row>
    <row r="34" spans="1:42" ht="22.2" customHeight="1" x14ac:dyDescent="0.3">
      <c r="A34" s="83"/>
      <c r="B34" s="103"/>
      <c r="C34" s="745" t="str">
        <f>+E6&amp;": Environmental Performance"</f>
        <v>Plant A: Environmental Performance</v>
      </c>
      <c r="D34" s="746"/>
      <c r="E34" s="746"/>
      <c r="F34" s="746"/>
      <c r="G34" s="746"/>
      <c r="H34" s="746"/>
      <c r="I34" s="746"/>
      <c r="J34" s="746"/>
      <c r="K34" s="747"/>
      <c r="L34" s="104"/>
      <c r="M34" s="83"/>
      <c r="N34" s="112"/>
      <c r="O34" s="745" t="str">
        <f>+E6</f>
        <v>Plant A</v>
      </c>
      <c r="P34" s="746"/>
      <c r="Q34" s="746"/>
      <c r="R34" s="746"/>
      <c r="S34" s="746"/>
      <c r="T34" s="747"/>
      <c r="V34" s="745" t="s">
        <v>693</v>
      </c>
      <c r="W34" s="746"/>
      <c r="X34" s="746"/>
      <c r="Y34" s="746"/>
      <c r="Z34" s="746"/>
      <c r="AA34" s="747"/>
      <c r="AB34" s="104"/>
      <c r="AC34" s="83"/>
      <c r="AE34" s="83"/>
      <c r="AF34" s="83"/>
      <c r="AG34" s="83"/>
      <c r="AH34" s="83"/>
      <c r="AI34" s="83"/>
      <c r="AJ34" s="83"/>
      <c r="AK34" s="83"/>
      <c r="AL34" s="83"/>
      <c r="AO34" s="83"/>
      <c r="AP34" s="83"/>
    </row>
    <row r="35" spans="1:42" ht="22.2" customHeight="1" x14ac:dyDescent="0.3">
      <c r="A35" s="83"/>
      <c r="B35" s="103"/>
      <c r="C35" s="141"/>
      <c r="K35" s="310"/>
      <c r="L35" s="104"/>
      <c r="M35" s="83"/>
      <c r="N35" s="103"/>
      <c r="O35" s="83"/>
      <c r="P35" s="83"/>
      <c r="Q35" s="83"/>
      <c r="R35" s="83"/>
      <c r="T35" s="83"/>
      <c r="U35" s="83"/>
      <c r="V35" s="83"/>
      <c r="W35" s="83"/>
      <c r="X35" s="83"/>
      <c r="Y35" s="83"/>
      <c r="Z35" s="83"/>
      <c r="AA35" s="83"/>
      <c r="AB35" s="104"/>
      <c r="AC35" s="83"/>
      <c r="AE35" s="83"/>
      <c r="AF35" s="83"/>
      <c r="AG35" s="83"/>
      <c r="AH35" s="83"/>
      <c r="AI35" s="83"/>
      <c r="AJ35" s="83"/>
      <c r="AK35" s="83"/>
      <c r="AL35" s="83"/>
      <c r="AO35" s="83"/>
      <c r="AP35" s="83"/>
    </row>
    <row r="36" spans="1:42" ht="22.2" customHeight="1" x14ac:dyDescent="0.3">
      <c r="A36" s="83"/>
      <c r="B36" s="103"/>
      <c r="C36" s="112"/>
      <c r="K36" s="137"/>
      <c r="L36" s="104"/>
      <c r="M36" s="83"/>
      <c r="N36" s="103"/>
      <c r="O36" s="677" t="s">
        <v>579</v>
      </c>
      <c r="P36" s="678"/>
      <c r="Q36" s="678"/>
      <c r="R36" s="678"/>
      <c r="S36" s="678"/>
      <c r="T36" s="679"/>
      <c r="V36" s="464" t="s">
        <v>359</v>
      </c>
      <c r="W36" s="501" t="s">
        <v>588</v>
      </c>
      <c r="X36" s="757" t="s">
        <v>579</v>
      </c>
      <c r="Y36" s="757"/>
      <c r="Z36" s="757"/>
      <c r="AA36" s="758"/>
      <c r="AB36" s="104"/>
      <c r="AC36" s="83"/>
      <c r="AE36" s="83"/>
      <c r="AF36" s="83"/>
      <c r="AG36" s="83"/>
      <c r="AH36" s="83"/>
      <c r="AI36" s="83"/>
      <c r="AJ36" s="83"/>
      <c r="AK36" s="83"/>
      <c r="AL36" s="83"/>
      <c r="AO36" s="83"/>
      <c r="AP36" s="83"/>
    </row>
    <row r="37" spans="1:42" ht="22.2" customHeight="1" x14ac:dyDescent="0.3">
      <c r="A37" s="83"/>
      <c r="B37" s="103"/>
      <c r="C37" s="112"/>
      <c r="K37" s="137"/>
      <c r="L37" s="104"/>
      <c r="M37" s="83"/>
      <c r="N37" s="103"/>
      <c r="O37" s="680"/>
      <c r="P37" s="732"/>
      <c r="Q37" s="732"/>
      <c r="R37" s="732"/>
      <c r="S37" s="732"/>
      <c r="T37" s="733"/>
      <c r="U37" s="83"/>
      <c r="V37" s="304" t="s">
        <v>678</v>
      </c>
      <c r="W37" s="86" t="s">
        <v>240</v>
      </c>
      <c r="X37" s="741"/>
      <c r="Y37" s="741"/>
      <c r="Z37" s="741"/>
      <c r="AA37" s="742"/>
      <c r="AB37" s="104"/>
      <c r="AC37" s="83"/>
      <c r="AF37" s="83"/>
      <c r="AG37" s="83"/>
      <c r="AH37" s="83"/>
      <c r="AI37" s="83"/>
      <c r="AJ37" s="83"/>
      <c r="AK37" s="83"/>
      <c r="AL37" s="83"/>
      <c r="AO37" s="83"/>
      <c r="AP37" s="83"/>
    </row>
    <row r="38" spans="1:42" ht="22.2" customHeight="1" x14ac:dyDescent="0.3">
      <c r="A38" s="83"/>
      <c r="B38" s="103"/>
      <c r="C38" s="112"/>
      <c r="K38" s="137"/>
      <c r="L38" s="104"/>
      <c r="M38" s="83"/>
      <c r="N38" s="103"/>
      <c r="O38" s="734"/>
      <c r="P38" s="735"/>
      <c r="Q38" s="735"/>
      <c r="R38" s="735"/>
      <c r="S38" s="735"/>
      <c r="T38" s="736"/>
      <c r="U38" s="83"/>
      <c r="V38" s="304" t="s">
        <v>679</v>
      </c>
      <c r="W38" s="86" t="s">
        <v>452</v>
      </c>
      <c r="X38" s="741"/>
      <c r="Y38" s="741"/>
      <c r="Z38" s="741"/>
      <c r="AA38" s="742"/>
      <c r="AB38" s="104"/>
      <c r="AC38" s="83"/>
      <c r="AG38" s="83"/>
      <c r="AH38" s="83"/>
      <c r="AI38" s="83"/>
      <c r="AJ38" s="83"/>
      <c r="AK38" s="83"/>
      <c r="AL38" s="83"/>
      <c r="AO38" s="83"/>
      <c r="AP38" s="83"/>
    </row>
    <row r="39" spans="1:42" ht="22.2" customHeight="1" x14ac:dyDescent="0.3">
      <c r="A39" s="83"/>
      <c r="B39" s="103"/>
      <c r="C39" s="112"/>
      <c r="K39" s="137"/>
      <c r="L39" s="104"/>
      <c r="M39" s="83"/>
      <c r="N39" s="103"/>
      <c r="O39" s="734"/>
      <c r="P39" s="735"/>
      <c r="Q39" s="735"/>
      <c r="R39" s="735"/>
      <c r="S39" s="735"/>
      <c r="T39" s="736"/>
      <c r="U39" s="83"/>
      <c r="V39" s="304" t="s">
        <v>680</v>
      </c>
      <c r="W39" s="86" t="s">
        <v>453</v>
      </c>
      <c r="X39" s="743"/>
      <c r="Y39" s="743"/>
      <c r="Z39" s="743"/>
      <c r="AA39" s="744"/>
      <c r="AB39" s="104"/>
      <c r="AC39" s="83"/>
      <c r="AG39" s="83"/>
      <c r="AH39" s="83"/>
      <c r="AI39" s="83"/>
      <c r="AJ39" s="83"/>
      <c r="AK39" s="83"/>
      <c r="AL39" s="83"/>
      <c r="AO39" s="83"/>
      <c r="AP39" s="83"/>
    </row>
    <row r="40" spans="1:42" ht="22.2" customHeight="1" x14ac:dyDescent="0.3">
      <c r="A40" s="83"/>
      <c r="B40" s="103"/>
      <c r="C40" s="112"/>
      <c r="K40" s="137"/>
      <c r="L40" s="104"/>
      <c r="M40" s="83"/>
      <c r="N40" s="103"/>
      <c r="O40" s="734"/>
      <c r="P40" s="735"/>
      <c r="Q40" s="735"/>
      <c r="R40" s="735"/>
      <c r="S40" s="735"/>
      <c r="T40" s="736"/>
      <c r="U40" s="83"/>
      <c r="V40" s="304" t="s">
        <v>681</v>
      </c>
      <c r="W40" s="86" t="s">
        <v>454</v>
      </c>
      <c r="X40" s="741"/>
      <c r="Y40" s="741"/>
      <c r="Z40" s="741"/>
      <c r="AA40" s="742"/>
      <c r="AB40" s="104"/>
      <c r="AC40" s="83"/>
      <c r="AG40" s="83"/>
      <c r="AH40" s="83"/>
      <c r="AI40" s="83"/>
      <c r="AJ40" s="83"/>
      <c r="AK40" s="83"/>
      <c r="AL40" s="83"/>
      <c r="AO40" s="83"/>
      <c r="AP40" s="83"/>
    </row>
    <row r="41" spans="1:42" ht="22.2" customHeight="1" x14ac:dyDescent="0.3">
      <c r="A41" s="83"/>
      <c r="B41" s="103"/>
      <c r="C41" s="112"/>
      <c r="K41" s="137"/>
      <c r="L41" s="104"/>
      <c r="M41" s="83"/>
      <c r="N41" s="103"/>
      <c r="O41" s="734"/>
      <c r="P41" s="735"/>
      <c r="Q41" s="735"/>
      <c r="R41" s="735"/>
      <c r="S41" s="735"/>
      <c r="T41" s="736"/>
      <c r="U41" s="83"/>
      <c r="V41" s="306"/>
      <c r="W41" s="99"/>
      <c r="X41" s="743"/>
      <c r="Y41" s="743"/>
      <c r="Z41" s="743"/>
      <c r="AA41" s="744"/>
      <c r="AB41" s="554"/>
      <c r="AC41" s="83"/>
      <c r="AG41" s="83"/>
      <c r="AH41" s="83"/>
      <c r="AI41" s="83"/>
      <c r="AK41" s="83"/>
      <c r="AL41" s="83"/>
      <c r="AO41" s="83"/>
      <c r="AP41" s="83"/>
    </row>
    <row r="42" spans="1:42" ht="22.2" customHeight="1" x14ac:dyDescent="0.3">
      <c r="A42" s="83"/>
      <c r="B42" s="103"/>
      <c r="C42" s="135"/>
      <c r="K42" s="137"/>
      <c r="L42" s="104"/>
      <c r="M42" s="83"/>
      <c r="N42" s="103"/>
      <c r="O42" s="734"/>
      <c r="P42" s="735"/>
      <c r="Q42" s="735"/>
      <c r="R42" s="735"/>
      <c r="S42" s="735"/>
      <c r="T42" s="736"/>
      <c r="U42" s="83"/>
      <c r="V42" s="306"/>
      <c r="W42" s="99"/>
      <c r="X42" s="743"/>
      <c r="Y42" s="743"/>
      <c r="Z42" s="743"/>
      <c r="AA42" s="744"/>
      <c r="AB42" s="104"/>
      <c r="AC42" s="83"/>
      <c r="AG42" s="83"/>
      <c r="AH42" s="83"/>
      <c r="AI42" s="83"/>
      <c r="AK42" s="83"/>
      <c r="AL42" s="83"/>
      <c r="AM42" s="83"/>
      <c r="AO42" s="83"/>
      <c r="AP42" s="83"/>
    </row>
    <row r="43" spans="1:42" ht="22.2" customHeight="1" x14ac:dyDescent="0.3">
      <c r="A43" s="83"/>
      <c r="B43" s="103"/>
      <c r="C43" s="135"/>
      <c r="K43" s="137"/>
      <c r="L43" s="104"/>
      <c r="M43" s="83"/>
      <c r="N43" s="103"/>
      <c r="O43" s="734"/>
      <c r="P43" s="735"/>
      <c r="Q43" s="735"/>
      <c r="R43" s="735"/>
      <c r="S43" s="735"/>
      <c r="T43" s="736"/>
      <c r="U43" s="83"/>
      <c r="V43" s="306"/>
      <c r="W43" s="99"/>
      <c r="X43" s="743"/>
      <c r="Y43" s="743"/>
      <c r="Z43" s="743"/>
      <c r="AA43" s="744"/>
      <c r="AB43" s="104"/>
      <c r="AC43" s="83"/>
      <c r="AG43" s="83"/>
      <c r="AH43" s="83"/>
      <c r="AI43" s="83"/>
      <c r="AK43" s="83"/>
      <c r="AL43" s="83"/>
      <c r="AM43" s="83"/>
      <c r="AN43" s="83"/>
      <c r="AO43" s="83"/>
      <c r="AP43" s="83"/>
    </row>
    <row r="44" spans="1:42" ht="22.2" customHeight="1" x14ac:dyDescent="0.3">
      <c r="A44" s="83"/>
      <c r="B44" s="103"/>
      <c r="C44" s="135"/>
      <c r="K44" s="137"/>
      <c r="L44" s="104"/>
      <c r="M44" s="83"/>
      <c r="N44" s="103"/>
      <c r="O44" s="734"/>
      <c r="P44" s="735"/>
      <c r="Q44" s="735"/>
      <c r="R44" s="735"/>
      <c r="S44" s="735"/>
      <c r="T44" s="736"/>
      <c r="U44" s="83"/>
      <c r="V44" s="306"/>
      <c r="W44" s="99"/>
      <c r="X44" s="743"/>
      <c r="Y44" s="743"/>
      <c r="Z44" s="743"/>
      <c r="AA44" s="744"/>
      <c r="AB44" s="104"/>
      <c r="AC44" s="83"/>
      <c r="AG44" s="83"/>
      <c r="AI44" s="83"/>
      <c r="AK44" s="83"/>
      <c r="AM44" s="83"/>
      <c r="AN44" s="83"/>
      <c r="AO44" s="83"/>
      <c r="AP44" s="83"/>
    </row>
    <row r="45" spans="1:42" ht="22.2" customHeight="1" x14ac:dyDescent="0.3">
      <c r="A45" s="83"/>
      <c r="B45" s="103"/>
      <c r="C45" s="135"/>
      <c r="K45" s="137"/>
      <c r="L45" s="104"/>
      <c r="M45" s="83"/>
      <c r="N45" s="103"/>
      <c r="O45" s="734"/>
      <c r="P45" s="735"/>
      <c r="Q45" s="735"/>
      <c r="R45" s="735"/>
      <c r="S45" s="735"/>
      <c r="T45" s="736"/>
      <c r="U45" s="83"/>
      <c r="V45" s="306"/>
      <c r="W45" s="99"/>
      <c r="X45" s="743"/>
      <c r="Y45" s="743"/>
      <c r="Z45" s="743"/>
      <c r="AA45" s="744"/>
      <c r="AB45" s="104"/>
      <c r="AC45" s="83"/>
      <c r="AG45" s="83"/>
      <c r="AM45" s="83"/>
      <c r="AN45" s="83"/>
      <c r="AO45" s="83"/>
      <c r="AP45" s="83"/>
    </row>
    <row r="46" spans="1:42" ht="22.2" customHeight="1" x14ac:dyDescent="0.3">
      <c r="A46" s="83"/>
      <c r="B46" s="103"/>
      <c r="C46" s="135"/>
      <c r="K46" s="137"/>
      <c r="L46" s="104"/>
      <c r="M46" s="83"/>
      <c r="N46" s="103"/>
      <c r="O46" s="734"/>
      <c r="P46" s="735"/>
      <c r="Q46" s="735"/>
      <c r="R46" s="735"/>
      <c r="S46" s="735"/>
      <c r="T46" s="736"/>
      <c r="U46" s="83"/>
      <c r="V46" s="306"/>
      <c r="W46" s="99"/>
      <c r="X46" s="383"/>
      <c r="Y46" s="383"/>
      <c r="Z46" s="383"/>
      <c r="AA46" s="104"/>
      <c r="AB46" s="104"/>
      <c r="AC46" s="83"/>
      <c r="AG46" s="83"/>
      <c r="AM46" s="83"/>
      <c r="AN46" s="83"/>
      <c r="AO46" s="83"/>
      <c r="AP46" s="83"/>
    </row>
    <row r="47" spans="1:42" ht="22.2" customHeight="1" x14ac:dyDescent="0.3">
      <c r="A47" s="83"/>
      <c r="B47" s="103"/>
      <c r="C47" s="135"/>
      <c r="K47" s="137"/>
      <c r="L47" s="104"/>
      <c r="M47" s="83"/>
      <c r="N47" s="103"/>
      <c r="O47" s="734"/>
      <c r="P47" s="735"/>
      <c r="Q47" s="735"/>
      <c r="R47" s="735"/>
      <c r="S47" s="735"/>
      <c r="T47" s="736"/>
      <c r="U47" s="83"/>
      <c r="V47" s="306"/>
      <c r="W47" s="99"/>
      <c r="X47" s="383"/>
      <c r="Y47" s="383"/>
      <c r="Z47" s="383"/>
      <c r="AA47" s="104"/>
      <c r="AB47" s="104"/>
      <c r="AC47" s="83"/>
      <c r="AG47" s="83"/>
      <c r="AM47" s="83"/>
      <c r="AN47" s="83"/>
      <c r="AO47" s="83"/>
      <c r="AP47" s="83"/>
    </row>
    <row r="48" spans="1:42" ht="22.2" customHeight="1" x14ac:dyDescent="0.3">
      <c r="A48" s="83"/>
      <c r="B48" s="103"/>
      <c r="C48" s="135"/>
      <c r="K48" s="137"/>
      <c r="L48" s="104"/>
      <c r="M48" s="83"/>
      <c r="N48" s="103"/>
      <c r="O48" s="734"/>
      <c r="P48" s="735"/>
      <c r="Q48" s="735"/>
      <c r="R48" s="735"/>
      <c r="S48" s="735"/>
      <c r="T48" s="736"/>
      <c r="U48" s="83"/>
      <c r="V48" s="306"/>
      <c r="W48" s="99"/>
      <c r="X48" s="383"/>
      <c r="Y48" s="383"/>
      <c r="Z48" s="383"/>
      <c r="AA48" s="104"/>
      <c r="AB48" s="104"/>
      <c r="AC48" s="83"/>
      <c r="AG48" s="83"/>
      <c r="AM48" s="83"/>
      <c r="AN48" s="83"/>
      <c r="AO48" s="83"/>
      <c r="AP48" s="83"/>
    </row>
    <row r="49" spans="1:42" ht="22.2" customHeight="1" x14ac:dyDescent="0.3">
      <c r="A49" s="83"/>
      <c r="B49" s="103"/>
      <c r="C49" s="135"/>
      <c r="K49" s="137"/>
      <c r="L49" s="104"/>
      <c r="M49" s="83"/>
      <c r="N49" s="103"/>
      <c r="O49" s="734"/>
      <c r="P49" s="735"/>
      <c r="Q49" s="735"/>
      <c r="R49" s="735"/>
      <c r="S49" s="735"/>
      <c r="T49" s="736"/>
      <c r="U49" s="83"/>
      <c r="V49" s="306"/>
      <c r="W49" s="99"/>
      <c r="X49" s="383"/>
      <c r="Y49" s="383"/>
      <c r="Z49" s="383"/>
      <c r="AA49" s="104"/>
      <c r="AB49" s="104"/>
      <c r="AC49" s="83"/>
      <c r="AG49" s="83"/>
      <c r="AM49" s="83"/>
      <c r="AN49" s="83"/>
      <c r="AO49" s="83"/>
      <c r="AP49" s="83"/>
    </row>
    <row r="50" spans="1:42" ht="22.2" customHeight="1" x14ac:dyDescent="0.3">
      <c r="A50" s="83"/>
      <c r="B50" s="103"/>
      <c r="C50" s="135"/>
      <c r="K50" s="137"/>
      <c r="L50" s="104"/>
      <c r="M50" s="83"/>
      <c r="N50" s="103"/>
      <c r="O50" s="734"/>
      <c r="P50" s="735"/>
      <c r="Q50" s="735"/>
      <c r="R50" s="735"/>
      <c r="S50" s="735"/>
      <c r="T50" s="736"/>
      <c r="U50" s="83"/>
      <c r="V50" s="306"/>
      <c r="W50" s="99"/>
      <c r="X50" s="383"/>
      <c r="Y50" s="383"/>
      <c r="Z50" s="383"/>
      <c r="AA50" s="104"/>
      <c r="AB50" s="104"/>
      <c r="AC50" s="83"/>
      <c r="AG50" s="83"/>
      <c r="AM50" s="83"/>
      <c r="AN50" s="83"/>
      <c r="AO50" s="83"/>
      <c r="AP50" s="83"/>
    </row>
    <row r="51" spans="1:42" ht="22.2" customHeight="1" x14ac:dyDescent="0.3">
      <c r="A51" s="83"/>
      <c r="B51" s="103"/>
      <c r="C51" s="135"/>
      <c r="D51" s="555"/>
      <c r="E51" s="428" t="s">
        <v>359</v>
      </c>
      <c r="F51" s="428" t="s">
        <v>666</v>
      </c>
      <c r="G51" s="428" t="s">
        <v>235</v>
      </c>
      <c r="H51" s="428" t="s">
        <v>785</v>
      </c>
      <c r="I51" s="428" t="s">
        <v>780</v>
      </c>
      <c r="J51" s="237" t="s">
        <v>781</v>
      </c>
      <c r="K51" s="137"/>
      <c r="L51" s="104"/>
      <c r="M51" s="83"/>
      <c r="N51" s="103"/>
      <c r="O51" s="734"/>
      <c r="P51" s="735"/>
      <c r="Q51" s="735"/>
      <c r="R51" s="735"/>
      <c r="S51" s="735"/>
      <c r="T51" s="736"/>
      <c r="U51" s="83"/>
      <c r="V51" s="306"/>
      <c r="W51" s="99"/>
      <c r="X51" s="383"/>
      <c r="Y51" s="383"/>
      <c r="Z51" s="383"/>
      <c r="AA51" s="104"/>
      <c r="AB51" s="104"/>
      <c r="AC51" s="83"/>
      <c r="AG51" s="83"/>
      <c r="AM51" s="83"/>
      <c r="AN51" s="83"/>
      <c r="AO51" s="83"/>
      <c r="AP51" s="83"/>
    </row>
    <row r="52" spans="1:42" ht="22.2" customHeight="1" x14ac:dyDescent="0.3">
      <c r="A52" s="83"/>
      <c r="B52" s="103"/>
      <c r="C52" s="135"/>
      <c r="D52" s="555"/>
      <c r="E52" s="86" t="s">
        <v>669</v>
      </c>
      <c r="F52" s="86"/>
      <c r="G52" s="86" t="s">
        <v>787</v>
      </c>
      <c r="H52" s="86" t="s">
        <v>786</v>
      </c>
      <c r="I52" s="86"/>
      <c r="J52" s="86" t="str">
        <f>G52&amp;"/"&amp;H52</f>
        <v>unit_E1/unit_E2</v>
      </c>
      <c r="K52" s="137"/>
      <c r="L52" s="104"/>
      <c r="M52" s="83"/>
      <c r="N52" s="103"/>
      <c r="O52" s="737"/>
      <c r="P52" s="738"/>
      <c r="Q52" s="738"/>
      <c r="R52" s="738"/>
      <c r="S52" s="738"/>
      <c r="T52" s="739"/>
      <c r="U52" s="83"/>
      <c r="V52" s="105"/>
      <c r="W52" s="173"/>
      <c r="X52" s="106"/>
      <c r="Y52" s="106"/>
      <c r="Z52" s="106"/>
      <c r="AA52" s="107"/>
      <c r="AB52" s="104"/>
      <c r="AC52" s="83"/>
      <c r="AG52" s="83"/>
      <c r="AM52" s="83"/>
      <c r="AN52" s="83"/>
      <c r="AO52" s="83"/>
      <c r="AP52" s="83"/>
    </row>
    <row r="53" spans="1:42" ht="22.2" customHeight="1" x14ac:dyDescent="0.3">
      <c r="A53" s="83"/>
      <c r="B53" s="103"/>
      <c r="C53" s="136"/>
      <c r="D53" s="138"/>
      <c r="E53" s="138"/>
      <c r="F53" s="138"/>
      <c r="G53" s="138"/>
      <c r="H53" s="138"/>
      <c r="I53" s="138"/>
      <c r="J53" s="138"/>
      <c r="K53" s="139"/>
      <c r="L53" s="104"/>
      <c r="M53" s="83"/>
      <c r="N53" s="103"/>
      <c r="O53" s="399"/>
      <c r="P53" s="399"/>
      <c r="Q53" s="399"/>
      <c r="R53" s="399"/>
      <c r="S53" s="399"/>
      <c r="T53" s="399"/>
      <c r="U53" s="83"/>
      <c r="AB53" s="104"/>
      <c r="AC53" s="83"/>
      <c r="AG53" s="83"/>
      <c r="AM53" s="83"/>
      <c r="AN53" s="83"/>
      <c r="AO53" s="83"/>
      <c r="AP53" s="83"/>
    </row>
    <row r="54" spans="1:42" ht="22.2" customHeight="1" x14ac:dyDescent="0.3">
      <c r="A54" s="83"/>
      <c r="B54" s="103"/>
      <c r="C54" s="745" t="str">
        <f>+E6&amp;" Fuel / Raw Materials"</f>
        <v>Plant A Fuel / Raw Materials</v>
      </c>
      <c r="D54" s="746"/>
      <c r="E54" s="746"/>
      <c r="F54" s="746"/>
      <c r="G54" s="746"/>
      <c r="H54" s="746"/>
      <c r="I54" s="746"/>
      <c r="J54" s="746"/>
      <c r="K54" s="747"/>
      <c r="L54" s="104"/>
      <c r="M54" s="83"/>
      <c r="N54" s="103"/>
      <c r="O54" s="748" t="s">
        <v>730</v>
      </c>
      <c r="P54" s="749"/>
      <c r="Q54" s="749"/>
      <c r="R54" s="749"/>
      <c r="S54" s="749"/>
      <c r="T54" s="750"/>
      <c r="U54" s="83"/>
      <c r="V54" s="751" t="s">
        <v>738</v>
      </c>
      <c r="W54" s="752"/>
      <c r="X54" s="752"/>
      <c r="Y54" s="752"/>
      <c r="Z54" s="752"/>
      <c r="AA54" s="753"/>
      <c r="AB54" s="104"/>
      <c r="AC54" s="83"/>
      <c r="AE54" s="83"/>
      <c r="AG54" s="83"/>
      <c r="AM54" s="83"/>
      <c r="AN54" s="83"/>
      <c r="AO54" s="83"/>
      <c r="AP54" s="83"/>
    </row>
    <row r="55" spans="1:42" ht="22.2" customHeight="1" x14ac:dyDescent="0.3">
      <c r="A55" s="83"/>
      <c r="B55" s="103"/>
      <c r="C55" s="141"/>
      <c r="K55" s="310"/>
      <c r="L55" s="104"/>
      <c r="M55" s="83"/>
      <c r="N55" s="103"/>
      <c r="O55" s="474"/>
      <c r="P55" s="276"/>
      <c r="Q55" s="276"/>
      <c r="R55" s="276"/>
      <c r="S55" s="276"/>
      <c r="T55" s="113"/>
      <c r="U55" s="83"/>
      <c r="V55" s="474"/>
      <c r="W55" s="276"/>
      <c r="X55" s="276"/>
      <c r="Y55" s="276"/>
      <c r="Z55" s="276"/>
      <c r="AA55" s="113"/>
      <c r="AB55" s="104"/>
      <c r="AC55" s="83"/>
      <c r="AD55" s="83"/>
      <c r="AE55" s="83"/>
      <c r="AF55" s="83"/>
      <c r="AG55" s="83"/>
      <c r="AM55" s="83"/>
      <c r="AN55" s="83"/>
      <c r="AO55" s="83"/>
      <c r="AP55" s="83"/>
    </row>
    <row r="56" spans="1:42" ht="22.2" customHeight="1" x14ac:dyDescent="0.3">
      <c r="A56" s="83"/>
      <c r="B56" s="91"/>
      <c r="C56" s="112"/>
      <c r="K56" s="137"/>
      <c r="L56" s="104"/>
      <c r="M56" s="83"/>
      <c r="N56" s="91"/>
      <c r="O56" s="322"/>
      <c r="P56" s="718" t="s">
        <v>760</v>
      </c>
      <c r="Q56" s="719"/>
      <c r="R56" s="720"/>
      <c r="S56" s="563"/>
      <c r="T56" s="314"/>
      <c r="U56" s="83"/>
      <c r="V56" s="103"/>
      <c r="W56" s="83"/>
      <c r="X56" s="83"/>
      <c r="Y56" s="83"/>
      <c r="Z56" s="83"/>
      <c r="AA56" s="104"/>
      <c r="AB56" s="104"/>
      <c r="AC56" s="83"/>
      <c r="AD56" s="83"/>
      <c r="AE56" s="83"/>
      <c r="AF56" s="83"/>
      <c r="AG56" s="83"/>
      <c r="AM56" s="83"/>
      <c r="AN56" s="83"/>
      <c r="AO56" s="83"/>
      <c r="AP56" s="83"/>
    </row>
    <row r="57" spans="1:42" ht="22.2" customHeight="1" x14ac:dyDescent="0.3">
      <c r="A57" s="83"/>
      <c r="B57" s="91"/>
      <c r="C57" s="112"/>
      <c r="K57" s="137"/>
      <c r="L57" s="104"/>
      <c r="M57" s="83"/>
      <c r="N57" s="103"/>
      <c r="O57" s="91"/>
      <c r="P57" s="721"/>
      <c r="Q57" s="722"/>
      <c r="R57" s="723"/>
      <c r="S57" s="564"/>
      <c r="T57" s="84"/>
      <c r="U57" s="83"/>
      <c r="V57" s="103"/>
      <c r="W57" s="727" t="s">
        <v>731</v>
      </c>
      <c r="X57" s="727"/>
      <c r="Y57" s="727"/>
      <c r="Z57" s="430" t="s">
        <v>342</v>
      </c>
      <c r="AA57" s="104"/>
      <c r="AB57" s="104"/>
      <c r="AC57" s="83"/>
      <c r="AD57" s="83"/>
      <c r="AE57" s="83"/>
      <c r="AF57" s="83"/>
      <c r="AG57" s="83"/>
      <c r="AM57" s="83"/>
      <c r="AN57" s="83"/>
      <c r="AO57" s="83"/>
      <c r="AP57" s="83"/>
    </row>
    <row r="58" spans="1:42" ht="22.2" customHeight="1" x14ac:dyDescent="0.3">
      <c r="A58" s="83"/>
      <c r="B58" s="91"/>
      <c r="C58" s="112"/>
      <c r="K58" s="137"/>
      <c r="L58" s="104"/>
      <c r="M58" s="83"/>
      <c r="N58" s="103"/>
      <c r="O58" s="91"/>
      <c r="T58" s="84"/>
      <c r="U58" s="83"/>
      <c r="V58" s="103"/>
      <c r="W58" s="728" t="s">
        <v>577</v>
      </c>
      <c r="X58" s="563"/>
      <c r="Y58" s="730" t="s">
        <v>578</v>
      </c>
      <c r="Z58" s="776">
        <v>1</v>
      </c>
      <c r="AA58" s="104"/>
      <c r="AB58" s="104"/>
      <c r="AC58" s="83"/>
      <c r="AD58" s="83"/>
      <c r="AE58" s="83"/>
      <c r="AF58" s="83"/>
      <c r="AG58" s="83"/>
      <c r="AM58" s="83"/>
      <c r="AN58" s="83"/>
      <c r="AO58" s="83"/>
      <c r="AP58" s="83"/>
    </row>
    <row r="59" spans="1:42" ht="22.2" customHeight="1" x14ac:dyDescent="0.3">
      <c r="A59" s="83"/>
      <c r="B59" s="91"/>
      <c r="C59" s="112"/>
      <c r="K59" s="137"/>
      <c r="L59" s="104"/>
      <c r="M59" s="83"/>
      <c r="N59" s="103"/>
      <c r="O59" s="91"/>
      <c r="P59" s="718" t="s">
        <v>761</v>
      </c>
      <c r="Q59" s="719"/>
      <c r="R59" s="720"/>
      <c r="S59" s="563"/>
      <c r="T59" s="84"/>
      <c r="U59" s="83"/>
      <c r="V59" s="103"/>
      <c r="W59" s="729"/>
      <c r="X59" s="564"/>
      <c r="Y59" s="731"/>
      <c r="Z59" s="777"/>
      <c r="AA59" s="104"/>
      <c r="AB59" s="104"/>
      <c r="AC59" s="83"/>
      <c r="AD59" s="83"/>
      <c r="AE59" s="83"/>
      <c r="AF59" s="83"/>
      <c r="AG59" s="83"/>
      <c r="AM59" s="83"/>
      <c r="AN59" s="83"/>
      <c r="AO59" s="83"/>
      <c r="AP59" s="83"/>
    </row>
    <row r="60" spans="1:42" ht="22.2" customHeight="1" x14ac:dyDescent="0.3">
      <c r="A60" s="83"/>
      <c r="B60" s="91"/>
      <c r="C60" s="112"/>
      <c r="K60" s="137"/>
      <c r="L60" s="104"/>
      <c r="M60" s="83"/>
      <c r="N60" s="103"/>
      <c r="O60" s="91"/>
      <c r="P60" s="721"/>
      <c r="Q60" s="722"/>
      <c r="R60" s="723"/>
      <c r="S60" s="564"/>
      <c r="T60" s="84"/>
      <c r="U60" s="83"/>
      <c r="V60" s="103"/>
      <c r="AA60" s="104"/>
      <c r="AB60" s="104"/>
      <c r="AC60" s="83"/>
      <c r="AD60" s="83"/>
      <c r="AE60" s="83"/>
      <c r="AF60" s="83"/>
      <c r="AM60" s="83"/>
      <c r="AN60" s="83"/>
      <c r="AO60" s="83"/>
      <c r="AP60" s="83"/>
    </row>
    <row r="61" spans="1:42" ht="22.2" customHeight="1" x14ac:dyDescent="0.3">
      <c r="A61" s="83"/>
      <c r="B61" s="91"/>
      <c r="C61" s="112"/>
      <c r="K61" s="137"/>
      <c r="L61" s="104"/>
      <c r="M61" s="83"/>
      <c r="N61" s="103"/>
      <c r="O61" s="91"/>
      <c r="T61" s="84"/>
      <c r="U61" s="83"/>
      <c r="V61" s="103"/>
      <c r="W61" s="724" t="s">
        <v>733</v>
      </c>
      <c r="X61" s="725"/>
      <c r="Y61" s="726"/>
      <c r="Z61" s="424" t="s">
        <v>342</v>
      </c>
      <c r="AA61" s="104"/>
      <c r="AB61" s="104"/>
      <c r="AC61" s="83"/>
      <c r="AD61" s="83"/>
      <c r="AF61" s="83"/>
      <c r="AM61" s="83"/>
      <c r="AN61" s="83"/>
      <c r="AO61" s="83"/>
      <c r="AP61" s="83"/>
    </row>
    <row r="62" spans="1:42" ht="22.2" customHeight="1" x14ac:dyDescent="0.3">
      <c r="A62" s="83"/>
      <c r="B62" s="91"/>
      <c r="C62" s="135"/>
      <c r="K62" s="137"/>
      <c r="L62" s="104"/>
      <c r="M62" s="83"/>
      <c r="N62" s="103"/>
      <c r="O62" s="91"/>
      <c r="P62" s="770" t="s">
        <v>762</v>
      </c>
      <c r="Q62" s="771"/>
      <c r="R62" s="772"/>
      <c r="S62" s="563"/>
      <c r="T62" s="84"/>
      <c r="U62" s="83"/>
      <c r="V62" s="103"/>
      <c r="W62" s="728" t="str">
        <f>+W58</f>
        <v>ADD</v>
      </c>
      <c r="X62" s="765"/>
      <c r="Y62" s="730" t="str">
        <f>+Y58</f>
        <v>REMOVE</v>
      </c>
      <c r="Z62" s="776">
        <v>1</v>
      </c>
      <c r="AA62" s="104"/>
      <c r="AB62" s="104"/>
      <c r="AC62" s="83"/>
      <c r="AD62" s="83"/>
      <c r="AM62" s="83"/>
      <c r="AN62" s="83"/>
      <c r="AO62" s="83"/>
      <c r="AP62" s="83"/>
    </row>
    <row r="63" spans="1:42" ht="22.2" customHeight="1" x14ac:dyDescent="0.3">
      <c r="A63" s="83"/>
      <c r="B63" s="91"/>
      <c r="C63" s="135"/>
      <c r="K63" s="137"/>
      <c r="L63" s="104"/>
      <c r="M63" s="83"/>
      <c r="N63" s="103"/>
      <c r="O63" s="91"/>
      <c r="P63" s="773"/>
      <c r="Q63" s="774"/>
      <c r="R63" s="775"/>
      <c r="S63" s="564"/>
      <c r="T63" s="84"/>
      <c r="U63" s="83"/>
      <c r="V63" s="103"/>
      <c r="W63" s="729"/>
      <c r="X63" s="766"/>
      <c r="Y63" s="731"/>
      <c r="Z63" s="777"/>
      <c r="AA63" s="104"/>
      <c r="AB63" s="104"/>
      <c r="AC63" s="83"/>
      <c r="AD63" s="83"/>
      <c r="AM63" s="83"/>
      <c r="AN63" s="83"/>
      <c r="AO63" s="83"/>
      <c r="AP63" s="83"/>
    </row>
    <row r="64" spans="1:42" ht="22.2" customHeight="1" x14ac:dyDescent="0.3">
      <c r="A64" s="83"/>
      <c r="B64" s="91"/>
      <c r="C64" s="135"/>
      <c r="K64" s="137"/>
      <c r="L64" s="104"/>
      <c r="M64" s="83"/>
      <c r="N64" s="103"/>
      <c r="O64" s="91"/>
      <c r="T64" s="84"/>
      <c r="U64" s="83"/>
      <c r="V64" s="103"/>
      <c r="W64" s="83"/>
      <c r="X64" s="83"/>
      <c r="Y64" s="83"/>
      <c r="Z64" s="83"/>
      <c r="AA64" s="104"/>
      <c r="AB64" s="104"/>
      <c r="AC64" s="83"/>
      <c r="AD64" s="83"/>
      <c r="AM64" s="83"/>
      <c r="AN64" s="83"/>
      <c r="AO64" s="83"/>
      <c r="AP64" s="83"/>
    </row>
    <row r="65" spans="1:42" ht="22.2" customHeight="1" x14ac:dyDescent="0.3">
      <c r="A65" s="83"/>
      <c r="B65" s="91"/>
      <c r="C65" s="135"/>
      <c r="K65" s="137"/>
      <c r="L65" s="104"/>
      <c r="M65" s="83"/>
      <c r="N65" s="103"/>
      <c r="O65" s="91"/>
      <c r="P65" s="718" t="s">
        <v>763</v>
      </c>
      <c r="Q65" s="719"/>
      <c r="R65" s="720"/>
      <c r="S65" s="563"/>
      <c r="T65" s="84"/>
      <c r="U65" s="83"/>
      <c r="V65" s="103"/>
      <c r="W65" s="724" t="s">
        <v>732</v>
      </c>
      <c r="X65" s="725"/>
      <c r="Y65" s="726"/>
      <c r="Z65" s="424" t="s">
        <v>342</v>
      </c>
      <c r="AA65" s="104"/>
      <c r="AB65" s="104"/>
      <c r="AC65" s="83"/>
      <c r="AD65" s="83"/>
      <c r="AM65" s="83"/>
      <c r="AN65" s="83"/>
      <c r="AO65" s="83"/>
      <c r="AP65" s="83"/>
    </row>
    <row r="66" spans="1:42" ht="22.2" customHeight="1" x14ac:dyDescent="0.3">
      <c r="A66" s="83"/>
      <c r="B66" s="91"/>
      <c r="C66" s="135"/>
      <c r="K66" s="137"/>
      <c r="L66" s="104"/>
      <c r="M66" s="83"/>
      <c r="N66" s="103"/>
      <c r="O66" s="91"/>
      <c r="P66" s="721"/>
      <c r="Q66" s="722"/>
      <c r="R66" s="723"/>
      <c r="S66" s="564"/>
      <c r="T66" s="84"/>
      <c r="U66" s="83"/>
      <c r="V66" s="103"/>
      <c r="W66" s="728" t="str">
        <f>+W62</f>
        <v>ADD</v>
      </c>
      <c r="X66" s="765"/>
      <c r="Y66" s="730" t="str">
        <f>+Y62</f>
        <v>REMOVE</v>
      </c>
      <c r="Z66" s="776">
        <v>1</v>
      </c>
      <c r="AA66" s="104"/>
      <c r="AB66" s="104"/>
      <c r="AC66" s="83"/>
      <c r="AD66" s="83"/>
      <c r="AM66" s="83"/>
      <c r="AN66" s="83"/>
      <c r="AO66" s="83"/>
      <c r="AP66" s="83"/>
    </row>
    <row r="67" spans="1:42" ht="22.2" customHeight="1" x14ac:dyDescent="0.3">
      <c r="A67" s="83"/>
      <c r="B67" s="91"/>
      <c r="C67" s="135"/>
      <c r="K67" s="137"/>
      <c r="L67" s="104"/>
      <c r="M67" s="83"/>
      <c r="N67" s="103"/>
      <c r="O67" s="606"/>
      <c r="T67" s="84"/>
      <c r="U67" s="83"/>
      <c r="V67" s="103"/>
      <c r="W67" s="729"/>
      <c r="X67" s="766"/>
      <c r="Y67" s="731"/>
      <c r="Z67" s="777"/>
      <c r="AA67" s="104"/>
      <c r="AB67" s="104"/>
      <c r="AC67" s="83"/>
      <c r="AD67" s="83"/>
      <c r="AM67" s="83"/>
      <c r="AN67" s="83"/>
      <c r="AO67" s="83"/>
      <c r="AP67" s="83"/>
    </row>
    <row r="68" spans="1:42" ht="22.2" customHeight="1" x14ac:dyDescent="0.3">
      <c r="A68" s="83"/>
      <c r="B68" s="91"/>
      <c r="C68" s="135"/>
      <c r="K68" s="137"/>
      <c r="L68" s="104"/>
      <c r="M68" s="83"/>
      <c r="N68" s="103"/>
      <c r="O68" s="606"/>
      <c r="P68" s="718" t="s">
        <v>764</v>
      </c>
      <c r="Q68" s="719"/>
      <c r="R68" s="720"/>
      <c r="S68" s="768"/>
      <c r="T68" s="84"/>
      <c r="U68" s="83"/>
      <c r="V68" s="103"/>
      <c r="AA68" s="104"/>
      <c r="AB68" s="104"/>
      <c r="AC68" s="83"/>
      <c r="AD68" s="83"/>
      <c r="AM68" s="83"/>
      <c r="AN68" s="83"/>
      <c r="AO68" s="83"/>
      <c r="AP68" s="83"/>
    </row>
    <row r="69" spans="1:42" ht="22.2" customHeight="1" x14ac:dyDescent="0.3">
      <c r="A69" s="83"/>
      <c r="B69" s="91"/>
      <c r="C69" s="135"/>
      <c r="K69" s="137"/>
      <c r="L69" s="104"/>
      <c r="M69" s="83"/>
      <c r="N69" s="103"/>
      <c r="O69" s="606"/>
      <c r="P69" s="721"/>
      <c r="Q69" s="722"/>
      <c r="R69" s="723"/>
      <c r="S69" s="769"/>
      <c r="T69" s="84"/>
      <c r="U69" s="83"/>
      <c r="V69" s="103"/>
      <c r="AA69" s="104"/>
      <c r="AB69" s="104"/>
      <c r="AC69" s="83"/>
      <c r="AD69" s="83"/>
      <c r="AM69" s="83"/>
      <c r="AN69" s="83"/>
      <c r="AO69" s="83"/>
      <c r="AP69" s="83"/>
    </row>
    <row r="70" spans="1:42" ht="22.2" customHeight="1" x14ac:dyDescent="0.3">
      <c r="A70" s="83"/>
      <c r="B70" s="91"/>
      <c r="C70" s="135"/>
      <c r="D70" s="555"/>
      <c r="E70" s="428" t="s">
        <v>359</v>
      </c>
      <c r="F70" s="428" t="s">
        <v>666</v>
      </c>
      <c r="G70" s="428" t="s">
        <v>235</v>
      </c>
      <c r="H70" s="428" t="s">
        <v>785</v>
      </c>
      <c r="I70" s="428" t="s">
        <v>780</v>
      </c>
      <c r="J70" s="237" t="s">
        <v>781</v>
      </c>
      <c r="K70" s="137"/>
      <c r="L70" s="104"/>
      <c r="M70" s="83"/>
      <c r="N70" s="103"/>
      <c r="O70" s="91"/>
      <c r="T70" s="84"/>
      <c r="U70" s="83"/>
      <c r="V70" s="103"/>
      <c r="W70" s="767" t="s">
        <v>268</v>
      </c>
      <c r="X70" s="767"/>
      <c r="Y70" s="767"/>
      <c r="Z70" s="767"/>
      <c r="AA70" s="104"/>
      <c r="AB70" s="104"/>
      <c r="AC70" s="83"/>
      <c r="AD70" s="83"/>
      <c r="AM70" s="83"/>
      <c r="AN70" s="83"/>
      <c r="AO70" s="83"/>
      <c r="AP70" s="83"/>
    </row>
    <row r="71" spans="1:42" ht="22.2" customHeight="1" x14ac:dyDescent="0.3">
      <c r="A71" s="83"/>
      <c r="B71" s="91"/>
      <c r="C71" s="135"/>
      <c r="D71" s="555"/>
      <c r="E71" s="86" t="s">
        <v>660</v>
      </c>
      <c r="F71" s="86"/>
      <c r="G71" s="86" t="s">
        <v>788</v>
      </c>
      <c r="H71" s="86" t="s">
        <v>789</v>
      </c>
      <c r="I71" s="86"/>
      <c r="J71" s="86" t="str">
        <f>G71&amp;"/"&amp;H71</f>
        <v>unit_R1/unit_R2</v>
      </c>
      <c r="K71" s="137"/>
      <c r="L71" s="104"/>
      <c r="M71" s="83"/>
      <c r="N71" s="103"/>
      <c r="O71" s="91"/>
      <c r="P71" s="718" t="s">
        <v>805</v>
      </c>
      <c r="Q71" s="719"/>
      <c r="R71" s="720"/>
      <c r="S71" s="768"/>
      <c r="T71" s="84"/>
      <c r="U71" s="83"/>
      <c r="V71" s="103"/>
      <c r="W71" s="759" t="s">
        <v>737</v>
      </c>
      <c r="X71" s="760"/>
      <c r="Y71" s="760"/>
      <c r="Z71" s="761"/>
      <c r="AA71" s="104"/>
      <c r="AB71" s="104"/>
      <c r="AC71" s="83"/>
      <c r="AD71" s="83"/>
      <c r="AN71" s="83"/>
      <c r="AO71" s="83"/>
      <c r="AP71" s="83"/>
    </row>
    <row r="72" spans="1:42" ht="22.2" customHeight="1" x14ac:dyDescent="0.3">
      <c r="A72" s="83"/>
      <c r="B72" s="91"/>
      <c r="C72" s="135"/>
      <c r="D72" s="555"/>
      <c r="E72" s="86" t="s">
        <v>661</v>
      </c>
      <c r="F72" s="86"/>
      <c r="G72" s="86"/>
      <c r="H72" s="86"/>
      <c r="I72" s="86"/>
      <c r="J72" s="86" t="str">
        <f>G72&amp;"/"&amp;H72</f>
        <v>/</v>
      </c>
      <c r="K72" s="137"/>
      <c r="L72" s="104"/>
      <c r="M72" s="83"/>
      <c r="N72" s="103"/>
      <c r="O72" s="91"/>
      <c r="P72" s="721"/>
      <c r="Q72" s="722"/>
      <c r="R72" s="723"/>
      <c r="S72" s="769"/>
      <c r="T72" s="84"/>
      <c r="U72" s="83"/>
      <c r="V72" s="103"/>
      <c r="W72" s="762"/>
      <c r="X72" s="763"/>
      <c r="Y72" s="763"/>
      <c r="Z72" s="764"/>
      <c r="AA72" s="104"/>
      <c r="AB72" s="104"/>
      <c r="AC72" s="83"/>
      <c r="AD72" s="83"/>
      <c r="AO72" s="83"/>
      <c r="AP72" s="83"/>
    </row>
    <row r="73" spans="1:42" ht="22.2" customHeight="1" x14ac:dyDescent="0.3">
      <c r="A73" s="83"/>
      <c r="B73" s="91"/>
      <c r="C73" s="136"/>
      <c r="D73" s="138"/>
      <c r="E73" s="138"/>
      <c r="F73" s="138"/>
      <c r="G73" s="138"/>
      <c r="H73" s="138"/>
      <c r="I73" s="138"/>
      <c r="J73" s="138"/>
      <c r="K73" s="139"/>
      <c r="L73" s="104"/>
      <c r="M73" s="83"/>
      <c r="N73" s="103"/>
      <c r="O73" s="320"/>
      <c r="P73" s="607"/>
      <c r="Q73" s="607"/>
      <c r="R73" s="321"/>
      <c r="S73" s="321"/>
      <c r="T73" s="323"/>
      <c r="U73" s="83"/>
      <c r="V73" s="105"/>
      <c r="W73" s="106"/>
      <c r="X73" s="106"/>
      <c r="Y73" s="106"/>
      <c r="Z73" s="106"/>
      <c r="AA73" s="107"/>
      <c r="AB73" s="104"/>
      <c r="AC73" s="83"/>
      <c r="AD73" s="83"/>
      <c r="AO73" s="83"/>
      <c r="AP73" s="83"/>
    </row>
    <row r="74" spans="1:42" ht="18" customHeight="1" x14ac:dyDescent="0.3">
      <c r="A74" s="83"/>
      <c r="B74" s="320"/>
      <c r="C74" s="321"/>
      <c r="D74" s="321"/>
      <c r="E74" s="321"/>
      <c r="F74" s="321"/>
      <c r="G74" s="321"/>
      <c r="H74" s="321"/>
      <c r="I74" s="106"/>
      <c r="J74" s="106"/>
      <c r="K74" s="106"/>
      <c r="L74" s="107"/>
      <c r="M74" s="83"/>
      <c r="N74" s="105"/>
      <c r="O74" s="558"/>
      <c r="P74" s="558"/>
      <c r="Q74" s="558"/>
      <c r="R74" s="106"/>
      <c r="S74" s="106"/>
      <c r="T74" s="106"/>
      <c r="U74" s="106"/>
      <c r="V74" s="106"/>
      <c r="W74" s="106"/>
      <c r="X74" s="106"/>
      <c r="Y74" s="106"/>
      <c r="Z74" s="106"/>
      <c r="AA74" s="106"/>
      <c r="AB74" s="107"/>
      <c r="AC74" s="83"/>
      <c r="AD74" s="83"/>
      <c r="AO74" s="83"/>
      <c r="AP74" s="83"/>
    </row>
    <row r="75" spans="1:42" ht="18" customHeight="1" x14ac:dyDescent="0.3">
      <c r="A75" s="83"/>
      <c r="I75" s="83"/>
      <c r="J75" s="83"/>
      <c r="K75" s="83"/>
      <c r="L75" s="83"/>
      <c r="M75" s="83"/>
      <c r="N75" s="83"/>
      <c r="O75" s="362"/>
      <c r="P75" s="362"/>
      <c r="Q75" s="362"/>
      <c r="R75" s="83"/>
      <c r="S75" s="83"/>
      <c r="T75" s="83"/>
      <c r="U75" s="83"/>
      <c r="V75" s="83"/>
      <c r="W75" s="83"/>
      <c r="X75" s="83"/>
      <c r="Y75" s="83"/>
      <c r="Z75" s="83"/>
      <c r="AA75" s="83"/>
      <c r="AB75" s="83"/>
      <c r="AC75" s="83"/>
      <c r="AD75" s="83"/>
      <c r="AO75" s="83"/>
      <c r="AP75" s="83"/>
    </row>
    <row r="76" spans="1:42" ht="18" customHeight="1" x14ac:dyDescent="0.3">
      <c r="A76" s="83"/>
      <c r="I76" s="83"/>
      <c r="J76" s="83"/>
      <c r="K76" s="83"/>
      <c r="L76" s="83"/>
      <c r="M76" s="83"/>
      <c r="N76" s="83"/>
      <c r="P76" s="362"/>
      <c r="Q76" s="362"/>
      <c r="R76" s="83"/>
      <c r="S76" s="83"/>
      <c r="T76" s="83"/>
      <c r="U76" s="83"/>
      <c r="V76" s="83"/>
      <c r="W76" s="83"/>
      <c r="X76" s="83"/>
      <c r="Y76" s="83"/>
      <c r="Z76" s="83"/>
      <c r="AA76" s="83"/>
      <c r="AB76" s="83"/>
      <c r="AC76" s="83"/>
      <c r="AD76" s="83"/>
      <c r="AO76" s="83"/>
      <c r="AP76" s="83"/>
    </row>
    <row r="77" spans="1:42" ht="18" customHeight="1" x14ac:dyDescent="0.3">
      <c r="A77" s="83"/>
      <c r="I77" s="83"/>
      <c r="J77" s="83"/>
      <c r="K77" s="83"/>
      <c r="L77" s="83"/>
      <c r="M77" s="83"/>
      <c r="N77" s="83"/>
      <c r="P77" s="83"/>
      <c r="Q77" s="83"/>
      <c r="R77" s="83"/>
      <c r="S77" s="83"/>
      <c r="T77" s="83"/>
      <c r="U77" s="83"/>
      <c r="V77" s="83"/>
      <c r="W77" s="83"/>
      <c r="X77" s="83"/>
      <c r="Y77" s="83"/>
      <c r="Z77" s="83"/>
      <c r="AA77" s="83"/>
      <c r="AB77" s="83"/>
      <c r="AC77" s="83"/>
      <c r="AD77" s="83"/>
      <c r="AO77" s="83"/>
      <c r="AP77" s="83"/>
    </row>
    <row r="78" spans="1:42" ht="18" customHeight="1" x14ac:dyDescent="0.3">
      <c r="A78" s="83"/>
      <c r="I78" s="83"/>
      <c r="J78" s="83"/>
      <c r="K78" s="83"/>
      <c r="L78" s="83"/>
      <c r="M78" s="83"/>
      <c r="N78" s="83"/>
      <c r="O78" s="83"/>
      <c r="P78" s="83"/>
      <c r="Q78" s="83"/>
      <c r="R78" s="83"/>
      <c r="S78" s="83"/>
      <c r="T78" s="83"/>
      <c r="U78" s="83"/>
      <c r="V78" s="83"/>
      <c r="W78" s="83"/>
      <c r="X78" s="83"/>
      <c r="Y78" s="83"/>
      <c r="Z78" s="83"/>
      <c r="AA78" s="83"/>
      <c r="AB78" s="83"/>
      <c r="AC78" s="83"/>
      <c r="AD78" s="83"/>
      <c r="AO78" s="83"/>
      <c r="AP78" s="83"/>
    </row>
    <row r="79" spans="1:42" ht="18" customHeight="1" x14ac:dyDescent="0.3">
      <c r="A79" s="83"/>
      <c r="I79" s="83"/>
      <c r="J79" s="83"/>
      <c r="K79" s="83"/>
      <c r="L79" s="83"/>
      <c r="M79" s="83"/>
      <c r="N79" s="83"/>
      <c r="O79" s="83"/>
      <c r="P79" s="83"/>
      <c r="Q79" s="83"/>
      <c r="R79" s="83"/>
      <c r="S79" s="83"/>
      <c r="T79" s="83"/>
      <c r="U79" s="83"/>
      <c r="V79" s="83"/>
      <c r="W79" s="83"/>
      <c r="X79" s="83"/>
      <c r="Y79" s="83"/>
      <c r="Z79" s="83"/>
      <c r="AA79" s="83"/>
      <c r="AB79" s="83"/>
      <c r="AC79" s="83"/>
      <c r="AD79" s="83"/>
      <c r="AO79" s="83"/>
      <c r="AP79" s="83"/>
    </row>
    <row r="80" spans="1:42" ht="18" customHeight="1" x14ac:dyDescent="0.3">
      <c r="A80" s="83"/>
      <c r="I80" s="83"/>
      <c r="J80" s="83"/>
      <c r="K80" s="83"/>
      <c r="L80" s="83"/>
      <c r="M80" s="83"/>
      <c r="N80" s="83"/>
      <c r="O80" s="83"/>
      <c r="P80" s="83"/>
      <c r="Q80" s="83"/>
      <c r="R80" s="83"/>
      <c r="S80" s="83"/>
      <c r="T80" s="83"/>
      <c r="U80" s="83"/>
      <c r="V80" s="83"/>
      <c r="W80" s="83"/>
      <c r="X80" s="83"/>
      <c r="Y80" s="83"/>
      <c r="Z80" s="83"/>
      <c r="AA80" s="83"/>
      <c r="AB80" s="83"/>
      <c r="AC80" s="83"/>
      <c r="AD80" s="83"/>
      <c r="AO80" s="83"/>
      <c r="AP80" s="83"/>
    </row>
    <row r="81" spans="1:42" ht="15" customHeight="1"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48">
    <mergeCell ref="Z58:Z59"/>
    <mergeCell ref="Z62:Z63"/>
    <mergeCell ref="Z66:Z67"/>
    <mergeCell ref="Y66:Y67"/>
    <mergeCell ref="W66:W67"/>
    <mergeCell ref="W71:Z72"/>
    <mergeCell ref="P71:R72"/>
    <mergeCell ref="P68:R69"/>
    <mergeCell ref="X62:X63"/>
    <mergeCell ref="W70:Z70"/>
    <mergeCell ref="W65:Y65"/>
    <mergeCell ref="S71:S72"/>
    <mergeCell ref="S68:S69"/>
    <mergeCell ref="P65:R66"/>
    <mergeCell ref="P62:R63"/>
    <mergeCell ref="W62:W63"/>
    <mergeCell ref="Y62:Y63"/>
    <mergeCell ref="X66:X67"/>
    <mergeCell ref="C54:K54"/>
    <mergeCell ref="O54:T54"/>
    <mergeCell ref="V54:AA54"/>
    <mergeCell ref="O36:T36"/>
    <mergeCell ref="C3:K3"/>
    <mergeCell ref="O3:AA3"/>
    <mergeCell ref="I5:J5"/>
    <mergeCell ref="D5:E5"/>
    <mergeCell ref="C12:K12"/>
    <mergeCell ref="C34:K34"/>
    <mergeCell ref="O34:T34"/>
    <mergeCell ref="V34:AA34"/>
    <mergeCell ref="X39:AA39"/>
    <mergeCell ref="X43:AA43"/>
    <mergeCell ref="X45:AA45"/>
    <mergeCell ref="X36:AA36"/>
    <mergeCell ref="O37:T52"/>
    <mergeCell ref="AE3:AG3"/>
    <mergeCell ref="X37:AA37"/>
    <mergeCell ref="X38:AA38"/>
    <mergeCell ref="X42:AA42"/>
    <mergeCell ref="X40:AA40"/>
    <mergeCell ref="X41:AA41"/>
    <mergeCell ref="X44:AA44"/>
    <mergeCell ref="P56:R57"/>
    <mergeCell ref="W61:Y61"/>
    <mergeCell ref="W57:Y57"/>
    <mergeCell ref="W58:W59"/>
    <mergeCell ref="Y58:Y59"/>
    <mergeCell ref="P59:R60"/>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55</xdr:row>
                    <xdr:rowOff>7620</xdr:rowOff>
                  </from>
                  <to>
                    <xdr:col>18</xdr:col>
                    <xdr:colOff>1150620</xdr:colOff>
                    <xdr:row>57</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58</xdr:row>
                    <xdr:rowOff>7620</xdr:rowOff>
                  </from>
                  <to>
                    <xdr:col>18</xdr:col>
                    <xdr:colOff>1150620</xdr:colOff>
                    <xdr:row>59</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61</xdr:row>
                    <xdr:rowOff>0</xdr:rowOff>
                  </from>
                  <to>
                    <xdr:col>18</xdr:col>
                    <xdr:colOff>1143000</xdr:colOff>
                    <xdr:row>62</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64</xdr:row>
                    <xdr:rowOff>7620</xdr:rowOff>
                  </from>
                  <to>
                    <xdr:col>18</xdr:col>
                    <xdr:colOff>1150620</xdr:colOff>
                    <xdr:row>65</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67</xdr:row>
                    <xdr:rowOff>7620</xdr:rowOff>
                  </from>
                  <to>
                    <xdr:col>18</xdr:col>
                    <xdr:colOff>1135380</xdr:colOff>
                    <xdr:row>68</xdr:row>
                    <xdr:rowOff>274320</xdr:rowOff>
                  </to>
                </anchor>
              </controlPr>
            </control>
          </mc:Choice>
        </mc:AlternateContent>
        <mc:AlternateContent xmlns:mc="http://schemas.openxmlformats.org/markup-compatibility/2006">
          <mc:Choice Requires="x14">
            <control shapeId="200736" r:id="rId15" name="Button 32">
              <controlPr defaultSize="0" print="0" autoFill="0" autoPict="0" macro="[0]!UQ">
                <anchor moveWithCells="1" sizeWithCells="1">
                  <from>
                    <xdr:col>18</xdr:col>
                    <xdr:colOff>22860</xdr:colOff>
                    <xdr:row>69</xdr:row>
                    <xdr:rowOff>289560</xdr:rowOff>
                  </from>
                  <to>
                    <xdr:col>18</xdr:col>
                    <xdr:colOff>1135380</xdr:colOff>
                    <xdr:row>71</xdr:row>
                    <xdr:rowOff>266700</xdr:rowOff>
                  </to>
                </anchor>
              </controlPr>
            </control>
          </mc:Choice>
        </mc:AlternateContent>
      </controls>
    </mc:Choice>
  </mc:AlternateContent>
  <tableParts count="3">
    <tablePart r:id="rId16"/>
    <tablePart r:id="rId17"/>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topLeftCell="A9" zoomScale="70" zoomScaleNormal="70" workbookViewId="0">
      <selection activeCell="S52" sqref="S52"/>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8"/>
    <col min="44" max="44" width="11.109375" style="368"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2" customHeight="1" x14ac:dyDescent="0.3">
      <c r="A3" s="83"/>
      <c r="B3" s="103"/>
      <c r="C3" s="751" t="s">
        <v>815</v>
      </c>
      <c r="D3" s="752"/>
      <c r="E3" s="752"/>
      <c r="F3" s="752"/>
      <c r="G3" s="751" t="s">
        <v>229</v>
      </c>
      <c r="H3" s="753"/>
      <c r="J3" s="751" t="s">
        <v>671</v>
      </c>
      <c r="K3" s="752"/>
      <c r="L3" s="752"/>
      <c r="M3" s="753"/>
      <c r="N3" s="181"/>
      <c r="O3" s="751" t="str">
        <f>+E6</f>
        <v>Unit 1</v>
      </c>
      <c r="P3" s="752"/>
      <c r="Q3" s="752"/>
      <c r="R3" s="752"/>
      <c r="S3" s="753"/>
      <c r="T3" s="104"/>
      <c r="U3" s="104"/>
      <c r="V3" s="83"/>
      <c r="W3" s="778" t="str">
        <f>+E6&amp;" Diagram"</f>
        <v>Unit 1 Diagram</v>
      </c>
      <c r="X3" s="779"/>
      <c r="Y3" s="779"/>
      <c r="Z3" s="779"/>
      <c r="AA3" s="779"/>
      <c r="AB3" s="779"/>
      <c r="AC3" s="779"/>
      <c r="AD3" s="779"/>
      <c r="AE3" s="779"/>
      <c r="AF3" s="779"/>
      <c r="AG3" s="779"/>
      <c r="AH3" s="779"/>
      <c r="AI3" s="779"/>
      <c r="AJ3" s="779"/>
      <c r="AK3" s="779"/>
      <c r="AL3" s="779"/>
      <c r="AM3" s="779"/>
      <c r="AN3" s="780"/>
      <c r="AO3" s="104"/>
      <c r="AP3" s="83"/>
      <c r="AQ3" s="210"/>
      <c r="AR3" s="367"/>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2" customHeight="1" x14ac:dyDescent="0.3">
      <c r="A5" s="83"/>
      <c r="B5" s="103"/>
      <c r="C5" s="83"/>
      <c r="D5" s="754" t="s">
        <v>265</v>
      </c>
      <c r="E5" s="755"/>
      <c r="F5" s="83"/>
      <c r="G5" s="754" t="s">
        <v>267</v>
      </c>
      <c r="H5" s="755"/>
      <c r="J5" s="785"/>
      <c r="K5" s="786"/>
      <c r="L5" s="185" t="s">
        <v>469</v>
      </c>
      <c r="M5" s="186" t="s">
        <v>504</v>
      </c>
      <c r="N5" s="399"/>
      <c r="O5" s="677" t="s">
        <v>579</v>
      </c>
      <c r="P5" s="678"/>
      <c r="Q5" s="678"/>
      <c r="R5" s="678"/>
      <c r="S5" s="679"/>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2" customHeight="1" x14ac:dyDescent="0.3">
      <c r="A6" s="83"/>
      <c r="B6" s="103"/>
      <c r="C6" s="796" t="s">
        <v>495</v>
      </c>
      <c r="D6" s="237" t="s">
        <v>686</v>
      </c>
      <c r="E6" s="413" t="str">
        <f>+'Plant Overview'!V37</f>
        <v>Unit 1</v>
      </c>
      <c r="F6" s="83"/>
      <c r="G6" s="85"/>
      <c r="H6" s="319" t="s">
        <v>262</v>
      </c>
      <c r="J6" s="787"/>
      <c r="K6" s="788"/>
      <c r="L6" s="166" t="s">
        <v>470</v>
      </c>
      <c r="M6" s="86" t="s">
        <v>503</v>
      </c>
      <c r="N6" s="399"/>
      <c r="O6" s="494"/>
      <c r="P6" s="399"/>
      <c r="Q6" s="399"/>
      <c r="R6" s="399"/>
      <c r="S6" s="495"/>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2" customHeight="1" x14ac:dyDescent="0.3">
      <c r="A7" s="83"/>
      <c r="B7" s="103"/>
      <c r="C7" s="797"/>
      <c r="D7" s="237" t="s">
        <v>685</v>
      </c>
      <c r="E7" s="413" t="str">
        <f>+'Plant Overview'!W37</f>
        <v>U-100</v>
      </c>
      <c r="F7" s="83"/>
      <c r="G7" s="95"/>
      <c r="H7" s="319" t="s">
        <v>263</v>
      </c>
      <c r="J7" s="787"/>
      <c r="K7" s="788"/>
      <c r="L7" s="185" t="s">
        <v>464</v>
      </c>
      <c r="M7" s="186" t="s">
        <v>502</v>
      </c>
      <c r="N7" s="399"/>
      <c r="O7" s="494"/>
      <c r="P7" s="399"/>
      <c r="Q7" s="399"/>
      <c r="R7" s="399"/>
      <c r="S7" s="495"/>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2" customHeight="1" x14ac:dyDescent="0.3">
      <c r="A8" s="83"/>
      <c r="B8" s="103"/>
      <c r="C8" s="765"/>
      <c r="D8" s="801" t="s">
        <v>312</v>
      </c>
      <c r="E8" s="803"/>
      <c r="F8" s="83"/>
      <c r="G8" s="94"/>
      <c r="H8" s="98" t="s">
        <v>264</v>
      </c>
      <c r="J8" s="787"/>
      <c r="K8" s="788"/>
      <c r="L8" s="185" t="s">
        <v>465</v>
      </c>
      <c r="M8" s="186" t="s">
        <v>500</v>
      </c>
      <c r="N8" s="399"/>
      <c r="O8" s="494"/>
      <c r="P8" s="399"/>
      <c r="Q8" s="399"/>
      <c r="R8" s="399"/>
      <c r="S8" s="495"/>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2" customHeight="1" x14ac:dyDescent="0.3">
      <c r="A9" s="83"/>
      <c r="B9" s="103"/>
      <c r="C9" s="766"/>
      <c r="D9" s="802"/>
      <c r="E9" s="804"/>
      <c r="F9" s="83"/>
      <c r="G9" s="108"/>
      <c r="H9" s="305" t="s">
        <v>268</v>
      </c>
      <c r="J9" s="789"/>
      <c r="K9" s="790"/>
      <c r="L9" s="185" t="s">
        <v>466</v>
      </c>
      <c r="M9" s="186" t="s">
        <v>501</v>
      </c>
      <c r="N9" s="399"/>
      <c r="O9" s="496"/>
      <c r="P9" s="497"/>
      <c r="Q9" s="497"/>
      <c r="R9" s="497"/>
      <c r="S9" s="498"/>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2" customHeight="1" x14ac:dyDescent="0.3">
      <c r="A11" s="83"/>
      <c r="B11" s="103"/>
      <c r="C11" s="83"/>
      <c r="D11" s="751" t="s">
        <v>571</v>
      </c>
      <c r="E11" s="752"/>
      <c r="F11" s="752"/>
      <c r="G11" s="752"/>
      <c r="H11" s="752"/>
      <c r="I11" s="752"/>
      <c r="J11" s="752"/>
      <c r="K11" s="752"/>
      <c r="L11" s="753"/>
      <c r="M11" s="751" t="s">
        <v>580</v>
      </c>
      <c r="N11" s="752"/>
      <c r="O11" s="752"/>
      <c r="P11" s="752"/>
      <c r="Q11" s="752"/>
      <c r="R11" s="753"/>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2" customHeight="1" x14ac:dyDescent="0.3">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2" customHeight="1" x14ac:dyDescent="0.3">
      <c r="A13" s="83"/>
      <c r="B13" s="103"/>
      <c r="C13" s="177"/>
      <c r="D13" s="203"/>
      <c r="E13" s="203"/>
      <c r="F13" s="156"/>
      <c r="G13" s="156"/>
      <c r="H13" s="383" t="str">
        <f>IF(Tabla278891121136[[#This Row],[Subtype]]="","",VLOOKUP(Tabla278891121136[[#This Row],[Subtype]],'Unit-X00 Equipment'!$E$13:$H$107,4,FALSE))</f>
        <v/>
      </c>
      <c r="I13" s="96"/>
      <c r="J13" s="96"/>
      <c r="K13" s="96"/>
      <c r="L13" s="96"/>
      <c r="M13" s="297"/>
      <c r="N13" s="190"/>
      <c r="O13" s="190"/>
      <c r="P13" s="190"/>
      <c r="Q13" s="190"/>
      <c r="R13" s="148"/>
      <c r="S13" s="194" t="str">
        <f>+IF(Tabla258790120135[[#This Row],[Equipment]]="","",Q13*R13/10^6)</f>
        <v/>
      </c>
      <c r="T13" s="593"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2" customHeight="1" x14ac:dyDescent="0.3">
      <c r="A14" s="83"/>
      <c r="B14" s="103"/>
      <c r="C14" s="99"/>
      <c r="D14" s="203"/>
      <c r="E14" s="203"/>
      <c r="F14" s="156"/>
      <c r="G14" s="156"/>
      <c r="H14" s="383" t="str">
        <f>IF(Tabla278891121136[[#This Row],[Subtype]]="","",VLOOKUP(Tabla278891121136[[#This Row],[Subtype]],'Unit-X00 Equipment'!$E$13:$H$107,4,FALSE))</f>
        <v/>
      </c>
      <c r="I14" s="96"/>
      <c r="J14" s="96"/>
      <c r="K14" s="96"/>
      <c r="L14" s="96"/>
      <c r="M14" s="229"/>
      <c r="N14" s="156"/>
      <c r="O14" s="156"/>
      <c r="P14" s="156"/>
      <c r="Q14" s="156"/>
      <c r="R14" s="97"/>
      <c r="S14" s="188" t="str">
        <f>+IF(Tabla258790120135[[#This Row],[Equipment]]="","",Q14*R14/10^6)</f>
        <v/>
      </c>
      <c r="T14" s="593"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2" customHeight="1" x14ac:dyDescent="0.3">
      <c r="A15" s="83"/>
      <c r="B15" s="103"/>
      <c r="C15" s="99"/>
      <c r="D15" s="203"/>
      <c r="E15" s="203"/>
      <c r="F15" s="96"/>
      <c r="G15" s="96"/>
      <c r="H15" s="383" t="str">
        <f>IF(Tabla278891121136[[#This Row],[Subtype]]="","",VLOOKUP(Tabla278891121136[[#This Row],[Subtype]],'Unit-X00 Equipment'!$E$13:$H$107,4,FALSE))</f>
        <v/>
      </c>
      <c r="I15" s="96"/>
      <c r="J15" s="96"/>
      <c r="K15" s="96"/>
      <c r="L15" s="96"/>
      <c r="M15" s="153"/>
      <c r="N15" s="96"/>
      <c r="O15" s="156"/>
      <c r="P15" s="149"/>
      <c r="Q15" s="150"/>
      <c r="R15" s="97"/>
      <c r="S15" s="188" t="str">
        <f>+IF(Tabla258790120135[[#This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2" customHeight="1" x14ac:dyDescent="0.3">
      <c r="A16" s="83"/>
      <c r="B16" s="103"/>
      <c r="C16" s="99"/>
      <c r="D16" s="203"/>
      <c r="E16" s="203"/>
      <c r="F16" s="156"/>
      <c r="G16" s="156"/>
      <c r="H16" s="383" t="str">
        <f>IF(Tabla278891121136[[#This Row],[Subtype]]="","",VLOOKUP(Tabla278891121136[[#This Row],[Subtype]],'Unit-X00 Equipment'!$E$13:$H$107,4,FALSE))</f>
        <v/>
      </c>
      <c r="I16" s="96"/>
      <c r="J16" s="96"/>
      <c r="K16" s="96"/>
      <c r="L16" s="96"/>
      <c r="M16" s="229"/>
      <c r="N16" s="156"/>
      <c r="O16" s="156"/>
      <c r="P16" s="156"/>
      <c r="Q16" s="156"/>
      <c r="R16" s="97"/>
      <c r="S16" s="188" t="str">
        <f>+IF(Tabla258790120135[[#This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2" customHeight="1" x14ac:dyDescent="0.3">
      <c r="A17" s="83"/>
      <c r="B17" s="103"/>
      <c r="C17" s="99"/>
      <c r="D17" s="203"/>
      <c r="E17" s="96"/>
      <c r="F17" s="156"/>
      <c r="G17" s="156"/>
      <c r="H17" s="383" t="str">
        <f>IF(Tabla278891121136[[#This Row],[Subtype]]="","",VLOOKUP(Tabla278891121136[[#This Row],[Subtype]],'Unit-X00 Equipment'!$E$13:$H$107,4,FALSE))</f>
        <v/>
      </c>
      <c r="I17" s="96"/>
      <c r="J17" s="96"/>
      <c r="K17" s="96"/>
      <c r="L17" s="96"/>
      <c r="M17" s="229"/>
      <c r="N17" s="156"/>
      <c r="O17" s="156"/>
      <c r="P17" s="156"/>
      <c r="Q17" s="156"/>
      <c r="R17" s="97"/>
      <c r="S17" s="188" t="str">
        <f>+IF(Tabla258790120135[[#This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2" customHeight="1" x14ac:dyDescent="0.3">
      <c r="A18" s="83"/>
      <c r="B18" s="103"/>
      <c r="C18" s="99"/>
      <c r="D18" s="203"/>
      <c r="E18" s="203"/>
      <c r="F18" s="156"/>
      <c r="G18" s="156"/>
      <c r="H18" s="383" t="str">
        <f>IF(Tabla278891121136[[#This Row],[Subtype]]="","",VLOOKUP(Tabla278891121136[[#This Row],[Subtype]],'Unit-X00 Equipment'!$E$13:$H$107,4,FALSE))</f>
        <v/>
      </c>
      <c r="I18" s="96"/>
      <c r="J18" s="96"/>
      <c r="K18" s="96"/>
      <c r="L18" s="156"/>
      <c r="M18" s="229"/>
      <c r="N18" s="156"/>
      <c r="O18" s="156"/>
      <c r="P18" s="156"/>
      <c r="Q18" s="156"/>
      <c r="R18" s="97"/>
      <c r="S18" s="188" t="str">
        <f>+IF(Tabla258790120135[[#This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2" customHeight="1" x14ac:dyDescent="0.3">
      <c r="A19" s="83"/>
      <c r="B19" s="103"/>
      <c r="C19" s="99"/>
      <c r="D19" s="203"/>
      <c r="E19" s="203"/>
      <c r="F19" s="156"/>
      <c r="G19" s="156"/>
      <c r="H19" s="383" t="str">
        <f>IF(Tabla278891121136[[#This Row],[Subtype]]="","",VLOOKUP(Tabla278891121136[[#This Row],[Subtype]],'Unit-X00 Equipment'!$E$13:$H$107,4,FALSE))</f>
        <v/>
      </c>
      <c r="I19" s="96"/>
      <c r="J19" s="96"/>
      <c r="K19" s="96"/>
      <c r="L19" s="156"/>
      <c r="M19" s="229"/>
      <c r="N19" s="156"/>
      <c r="O19" s="156"/>
      <c r="P19" s="156"/>
      <c r="Q19" s="156"/>
      <c r="R19" s="97"/>
      <c r="S19" s="188" t="str">
        <f>+IF(Tabla258790120135[[#This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2" customHeight="1" x14ac:dyDescent="0.3">
      <c r="A20" s="83"/>
      <c r="B20" s="103"/>
      <c r="C20" s="99"/>
      <c r="D20" s="203"/>
      <c r="E20" s="203"/>
      <c r="F20" s="156"/>
      <c r="G20" s="156"/>
      <c r="H20" s="383" t="str">
        <f>IF(Tabla278891121136[[#This Row],[Subtype]]="","",VLOOKUP(Tabla278891121136[[#This Row],[Subtype]],'Unit-X00 Equipment'!$E$13:$H$107,4,FALSE))</f>
        <v/>
      </c>
      <c r="I20" s="96"/>
      <c r="J20" s="96"/>
      <c r="K20" s="96"/>
      <c r="L20" s="96"/>
      <c r="M20" s="229"/>
      <c r="N20" s="156"/>
      <c r="O20" s="156"/>
      <c r="P20" s="156"/>
      <c r="Q20" s="156"/>
      <c r="R20" s="97"/>
      <c r="S20" s="188" t="str">
        <f>+IF(Tabla258790120135[[#This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2" customHeight="1" x14ac:dyDescent="0.3">
      <c r="A21" s="83"/>
      <c r="B21" s="103"/>
      <c r="C21" s="99"/>
      <c r="D21" s="203"/>
      <c r="E21" s="203"/>
      <c r="F21" s="156"/>
      <c r="G21" s="156"/>
      <c r="H21" s="383" t="str">
        <f>IF(Tabla278891121136[[#This Row],[Subtype]]="","",VLOOKUP(Tabla278891121136[[#This Row],[Subtype]],'Unit-X00 Equipment'!$E$13:$H$107,4,FALSE))</f>
        <v/>
      </c>
      <c r="I21" s="96"/>
      <c r="J21" s="96"/>
      <c r="K21" s="96"/>
      <c r="L21" s="96"/>
      <c r="M21" s="229"/>
      <c r="N21" s="156"/>
      <c r="O21" s="156"/>
      <c r="P21" s="156"/>
      <c r="Q21" s="156"/>
      <c r="R21" s="97"/>
      <c r="S21" s="188" t="str">
        <f>+IF(Tabla258790120135[[#This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2" customHeight="1" x14ac:dyDescent="0.3">
      <c r="A22" s="83"/>
      <c r="B22" s="103"/>
      <c r="C22" s="99"/>
      <c r="D22" s="203"/>
      <c r="E22" s="203"/>
      <c r="F22" s="156"/>
      <c r="G22" s="156"/>
      <c r="H22" s="383" t="str">
        <f>IF(Tabla278891121136[[#This Row],[Subtype]]="","",VLOOKUP(Tabla278891121136[[#This Row],[Subtype]],'Unit-X00 Equipment'!$E$13:$H$107,4,FALSE))</f>
        <v/>
      </c>
      <c r="I22" s="96"/>
      <c r="J22" s="96"/>
      <c r="K22" s="96"/>
      <c r="L22" s="96"/>
      <c r="M22" s="229"/>
      <c r="N22" s="156"/>
      <c r="O22" s="156"/>
      <c r="P22" s="156"/>
      <c r="Q22" s="156"/>
      <c r="R22" s="97"/>
      <c r="S22" s="188" t="str">
        <f>+IF(Tabla258790120135[[#This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2" customHeight="1" x14ac:dyDescent="0.3">
      <c r="A23" s="83"/>
      <c r="B23" s="103"/>
      <c r="C23" s="99"/>
      <c r="D23" s="203"/>
      <c r="E23" s="203"/>
      <c r="F23" s="156"/>
      <c r="G23" s="96"/>
      <c r="H23" s="383" t="str">
        <f>IF(Tabla278891121136[[#This Row],[Subtype]]="","",VLOOKUP(Tabla278891121136[[#This Row],[Subtype]],'Unit-X00 Equipment'!$E$13:$H$107,4,FALSE))</f>
        <v/>
      </c>
      <c r="I23" s="96"/>
      <c r="J23" s="96"/>
      <c r="K23" s="96"/>
      <c r="L23" s="96"/>
      <c r="M23" s="229"/>
      <c r="N23" s="156"/>
      <c r="O23" s="156"/>
      <c r="P23" s="156"/>
      <c r="Q23" s="156"/>
      <c r="R23" s="97"/>
      <c r="S23" s="188" t="str">
        <f>+IF(Tabla258790120135[[#This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2" customHeight="1" x14ac:dyDescent="0.3">
      <c r="A24" s="83"/>
      <c r="B24" s="103"/>
      <c r="C24" s="99"/>
      <c r="D24" s="203"/>
      <c r="E24" s="203"/>
      <c r="F24" s="156"/>
      <c r="G24" s="156"/>
      <c r="H24" s="383" t="str">
        <f>IF(Tabla278891121136[[#This Row],[Subtype]]="","",VLOOKUP(Tabla278891121136[[#This Row],[Subtype]],'Unit-X00 Equipment'!$E$13:$H$107,4,FALSE))</f>
        <v/>
      </c>
      <c r="I24" s="96"/>
      <c r="J24" s="96"/>
      <c r="K24" s="96"/>
      <c r="L24" s="96"/>
      <c r="M24" s="229"/>
      <c r="N24" s="156"/>
      <c r="O24" s="156"/>
      <c r="P24" s="156"/>
      <c r="Q24" s="156"/>
      <c r="R24" s="97"/>
      <c r="S24" s="188" t="str">
        <f>+IF(Tabla258790120135[[#This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2" customHeight="1" x14ac:dyDescent="0.3">
      <c r="A25" s="83"/>
      <c r="B25" s="103"/>
      <c r="C25" s="99"/>
      <c r="D25" s="203"/>
      <c r="E25" s="203"/>
      <c r="F25" s="156"/>
      <c r="G25" s="156"/>
      <c r="H25" s="383" t="str">
        <f>IF(Tabla278891121136[[#This Row],[Subtype]]="","",VLOOKUP(Tabla278891121136[[#This Row],[Subtype]],'Unit-X00 Equipment'!$E$13:$H$107,4,FALSE))</f>
        <v/>
      </c>
      <c r="I25" s="96"/>
      <c r="J25" s="96"/>
      <c r="K25" s="96"/>
      <c r="L25" s="96"/>
      <c r="M25" s="229"/>
      <c r="N25" s="156"/>
      <c r="O25" s="156"/>
      <c r="P25" s="156"/>
      <c r="Q25" s="156"/>
      <c r="R25" s="97"/>
      <c r="S25" s="188" t="str">
        <f>+IF(Tabla258790120135[[#This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2" customHeight="1" x14ac:dyDescent="0.3">
      <c r="A26" s="83"/>
      <c r="B26" s="103"/>
      <c r="C26" s="99"/>
      <c r="D26" s="203"/>
      <c r="E26" s="203"/>
      <c r="F26" s="156"/>
      <c r="G26" s="156"/>
      <c r="H26" s="383" t="str">
        <f>IF(Tabla278891121136[[#This Row],[Subtype]]="","",VLOOKUP(Tabla278891121136[[#This Row],[Subtype]],'Unit-X00 Equipment'!$E$13:$H$107,4,FALSE))</f>
        <v/>
      </c>
      <c r="I26" s="96"/>
      <c r="J26" s="96"/>
      <c r="K26" s="96"/>
      <c r="L26" s="96"/>
      <c r="M26" s="229"/>
      <c r="N26" s="156"/>
      <c r="O26" s="156"/>
      <c r="P26" s="156"/>
      <c r="Q26" s="156"/>
      <c r="R26" s="97"/>
      <c r="S26" s="188" t="str">
        <f>+IF(Tabla258790120135[[#This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2" customHeight="1" x14ac:dyDescent="0.3">
      <c r="A27" s="83"/>
      <c r="B27" s="103"/>
      <c r="C27" s="99"/>
      <c r="D27" s="203"/>
      <c r="E27" s="203"/>
      <c r="F27" s="156"/>
      <c r="G27" s="156"/>
      <c r="H27" s="383" t="str">
        <f>IF(Tabla278891121136[[#This Row],[Subtype]]="","",VLOOKUP(Tabla278891121136[[#This Row],[Subtype]],'Unit-X00 Equipment'!$E$13:$H$107,4,FALSE))</f>
        <v/>
      </c>
      <c r="I27" s="96"/>
      <c r="J27" s="96"/>
      <c r="K27" s="96"/>
      <c r="L27" s="96"/>
      <c r="M27" s="229"/>
      <c r="N27" s="156"/>
      <c r="O27" s="156"/>
      <c r="P27" s="156"/>
      <c r="Q27" s="156"/>
      <c r="R27" s="97"/>
      <c r="S27" s="188" t="str">
        <f>+IF(Tabla258790120135[[#This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2" customHeight="1" x14ac:dyDescent="0.3">
      <c r="A28" s="83"/>
      <c r="B28" s="103"/>
      <c r="C28" s="99"/>
      <c r="D28" s="203"/>
      <c r="E28" s="203"/>
      <c r="F28" s="156"/>
      <c r="G28" s="156"/>
      <c r="H28" s="383" t="str">
        <f>IF(Tabla278891121136[[#This Row],[Subtype]]="","",VLOOKUP(Tabla278891121136[[#This Row],[Subtype]],'Unit-X00 Equipment'!$E$13:$H$107,4,FALSE))</f>
        <v/>
      </c>
      <c r="I28" s="96"/>
      <c r="J28" s="96"/>
      <c r="K28" s="96"/>
      <c r="L28" s="96"/>
      <c r="M28" s="229"/>
      <c r="N28" s="156"/>
      <c r="O28" s="156"/>
      <c r="P28" s="156"/>
      <c r="Q28" s="156"/>
      <c r="R28" s="97"/>
      <c r="S28" s="188" t="str">
        <f>+IF(Tabla258790120135[[#This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2" customHeight="1" x14ac:dyDescent="0.3">
      <c r="A29" s="83"/>
      <c r="B29" s="103"/>
      <c r="C29" s="99"/>
      <c r="D29" s="203"/>
      <c r="E29" s="203"/>
      <c r="F29" s="156"/>
      <c r="G29" s="156"/>
      <c r="H29" s="383" t="str">
        <f>IF(Tabla278891121136[[#This Row],[Subtype]]="","",VLOOKUP(Tabla278891121136[[#This Row],[Subtype]],'Unit-X00 Equipment'!$E$13:$H$107,4,FALSE))</f>
        <v/>
      </c>
      <c r="I29" s="96"/>
      <c r="J29" s="96"/>
      <c r="K29" s="96"/>
      <c r="L29" s="96"/>
      <c r="M29" s="229"/>
      <c r="N29" s="156"/>
      <c r="O29" s="156"/>
      <c r="P29" s="156"/>
      <c r="Q29" s="156"/>
      <c r="R29" s="97"/>
      <c r="S29" s="188" t="str">
        <f>+IF(Tabla258790120135[[#This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2" customHeight="1" x14ac:dyDescent="0.3">
      <c r="A30" s="83"/>
      <c r="B30" s="103"/>
      <c r="C30" s="99"/>
      <c r="D30" s="203"/>
      <c r="E30" s="203"/>
      <c r="F30" s="156"/>
      <c r="G30" s="156"/>
      <c r="H30" s="383" t="str">
        <f>IF(Tabla278891121136[[#This Row],[Subtype]]="","",VLOOKUP(Tabla278891121136[[#This Row],[Subtype]],'Unit-X00 Equipment'!$E$13:$H$107,4,FALSE))</f>
        <v/>
      </c>
      <c r="I30" s="96"/>
      <c r="J30" s="96"/>
      <c r="K30" s="96"/>
      <c r="L30" s="96"/>
      <c r="M30" s="229"/>
      <c r="N30" s="156"/>
      <c r="O30" s="156"/>
      <c r="P30" s="156"/>
      <c r="Q30" s="156"/>
      <c r="R30" s="97"/>
      <c r="S30" s="188" t="str">
        <f>+IF(Tabla258790120135[[#This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2" customHeight="1" x14ac:dyDescent="0.3">
      <c r="A31" s="83"/>
      <c r="B31" s="103"/>
      <c r="C31" s="99"/>
      <c r="D31" s="203"/>
      <c r="E31" s="203"/>
      <c r="F31" s="156"/>
      <c r="G31" s="156"/>
      <c r="H31" s="383" t="str">
        <f>IF(Tabla278891121136[[#This Row],[Subtype]]="","",VLOOKUP(Tabla278891121136[[#This Row],[Subtype]],'Unit-X00 Equipment'!$E$13:$H$107,4,FALSE))</f>
        <v/>
      </c>
      <c r="I31" s="96"/>
      <c r="J31" s="96"/>
      <c r="K31" s="96"/>
      <c r="L31" s="96"/>
      <c r="M31" s="229"/>
      <c r="N31" s="156"/>
      <c r="O31" s="156"/>
      <c r="P31" s="156"/>
      <c r="Q31" s="156"/>
      <c r="R31" s="97"/>
      <c r="S31" s="188" t="str">
        <f>+IF(Tabla258790120135[[#This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2" customHeight="1" x14ac:dyDescent="0.3">
      <c r="A32" s="83"/>
      <c r="B32" s="103"/>
      <c r="C32" s="99"/>
      <c r="D32" s="203"/>
      <c r="E32" s="203"/>
      <c r="F32" s="156"/>
      <c r="G32" s="156"/>
      <c r="H32" s="383" t="str">
        <f>IF(Tabla278891121136[[#This Row],[Subtype]]="","",VLOOKUP(Tabla278891121136[[#This Row],[Subtype]],'Unit-X00 Equipment'!$E$13:$H$107,4,FALSE))</f>
        <v/>
      </c>
      <c r="I32" s="96"/>
      <c r="J32" s="96"/>
      <c r="K32" s="96"/>
      <c r="L32" s="96"/>
      <c r="M32" s="153"/>
      <c r="N32" s="96"/>
      <c r="O32" s="96"/>
      <c r="P32" s="149"/>
      <c r="Q32" s="150"/>
      <c r="R32" s="97"/>
      <c r="S32" s="188" t="str">
        <f>+IF(Tabla258790120135[[#This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2" customHeight="1" x14ac:dyDescent="0.3">
      <c r="A33" s="83"/>
      <c r="B33" s="103"/>
      <c r="C33" s="99"/>
      <c r="D33" s="203"/>
      <c r="E33" s="203"/>
      <c r="F33" s="156"/>
      <c r="G33" s="156"/>
      <c r="H33" s="383" t="str">
        <f>IF(Tabla278891121136[[#This Row],[Subtype]]="","",VLOOKUP(Tabla278891121136[[#This Row],[Subtype]],'Unit-X00 Equipment'!$E$13:$H$107,4,FALSE))</f>
        <v/>
      </c>
      <c r="I33" s="96"/>
      <c r="J33" s="96"/>
      <c r="K33" s="96"/>
      <c r="L33" s="96"/>
      <c r="M33" s="153"/>
      <c r="N33" s="96"/>
      <c r="O33" s="96"/>
      <c r="P33" s="156"/>
      <c r="Q33" s="150"/>
      <c r="R33" s="97"/>
      <c r="S33" s="188" t="str">
        <f>+IF(Tabla258790120135[[#This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2" customHeight="1" x14ac:dyDescent="0.3">
      <c r="A34" s="83"/>
      <c r="B34" s="103"/>
      <c r="C34" s="359"/>
      <c r="D34" s="203"/>
      <c r="E34" s="203"/>
      <c r="F34" s="156"/>
      <c r="G34" s="156"/>
      <c r="H34" s="383" t="str">
        <f>IF(Tabla278891121136[[#This Row],[Subtype]]="","",VLOOKUP(Tabla278891121136[[#This Row],[Subtype]],'Unit-X00 Equipment'!$E$13:$H$107,4,FALSE))</f>
        <v/>
      </c>
      <c r="I34" s="96"/>
      <c r="J34" s="96"/>
      <c r="K34" s="96"/>
      <c r="L34" s="96"/>
      <c r="M34" s="153"/>
      <c r="N34" s="96"/>
      <c r="O34" s="96"/>
      <c r="P34" s="96"/>
      <c r="Q34" s="150"/>
      <c r="R34" s="97"/>
      <c r="S34" s="188" t="str">
        <f>+IF(Tabla258790120135[[#This Row],[Equipment]]="","",Q34*R34/10^6)</f>
        <v/>
      </c>
      <c r="T34" s="593" t="e">
        <f t="shared" ca="1" si="0"/>
        <v>#VALUE!</v>
      </c>
      <c r="U34" s="83"/>
      <c r="V34" s="112"/>
      <c r="W34" s="745" t="str">
        <f>+E6&amp;" Calculations"</f>
        <v>Unit 1 Calculations</v>
      </c>
      <c r="X34" s="746"/>
      <c r="Y34" s="746"/>
      <c r="Z34" s="746"/>
      <c r="AA34" s="746"/>
      <c r="AB34" s="746"/>
      <c r="AC34" s="746"/>
      <c r="AD34" s="746"/>
      <c r="AE34" s="746"/>
      <c r="AF34" s="746"/>
      <c r="AG34" s="746"/>
      <c r="AH34" s="746"/>
      <c r="AI34" s="746"/>
      <c r="AJ34" s="746"/>
      <c r="AK34" s="746"/>
      <c r="AL34" s="746"/>
      <c r="AM34" s="746"/>
      <c r="AN34" s="747"/>
      <c r="AO34" s="104"/>
      <c r="AP34" s="83"/>
      <c r="AQ34" s="210"/>
      <c r="AR34" s="367"/>
    </row>
    <row r="35" spans="1:44" ht="16.2" customHeight="1" x14ac:dyDescent="0.3">
      <c r="A35" s="83"/>
      <c r="B35" s="103"/>
      <c r="C35" s="359"/>
      <c r="D35" s="203"/>
      <c r="E35" s="203"/>
      <c r="F35" s="156"/>
      <c r="G35" s="156"/>
      <c r="H35" s="383" t="str">
        <f>IF(Tabla278891121136[[#This Row],[Subtype]]="","",VLOOKUP(Tabla278891121136[[#This Row],[Subtype]],'Unit-X00 Equipment'!$E$13:$H$107,4,FALSE))</f>
        <v/>
      </c>
      <c r="I35" s="96"/>
      <c r="J35" s="96"/>
      <c r="K35" s="96"/>
      <c r="L35" s="96"/>
      <c r="M35" s="153"/>
      <c r="N35" s="96"/>
      <c r="O35" s="96"/>
      <c r="P35" s="96"/>
      <c r="Q35" s="150"/>
      <c r="R35" s="97"/>
      <c r="S35" s="188" t="str">
        <f>+IF(Tabla258790120135[[#This Row],[Equipment]]="","",Q35*R35/10^6)</f>
        <v/>
      </c>
      <c r="T35" s="593" t="e">
        <f t="shared" ca="1" si="0"/>
        <v>#VALUE!</v>
      </c>
      <c r="U35" s="83"/>
      <c r="V35" s="306"/>
      <c r="AO35" s="104"/>
      <c r="AP35" s="83"/>
      <c r="AQ35" s="210"/>
      <c r="AR35" s="367"/>
    </row>
    <row r="36" spans="1:44" ht="16.2" customHeight="1" x14ac:dyDescent="0.3">
      <c r="A36" s="83"/>
      <c r="B36" s="103"/>
      <c r="C36" s="359"/>
      <c r="D36" s="203"/>
      <c r="E36" s="203"/>
      <c r="F36" s="156"/>
      <c r="G36" s="156"/>
      <c r="H36" s="383" t="str">
        <f>IF(Tabla278891121136[[#This Row],[Subtype]]="","",VLOOKUP(Tabla278891121136[[#This Row],[Subtype]],'Unit-X00 Equipment'!$E$13:$H$107,4,FALSE))</f>
        <v/>
      </c>
      <c r="I36" s="96"/>
      <c r="J36" s="96"/>
      <c r="K36" s="96"/>
      <c r="L36" s="96"/>
      <c r="M36" s="153"/>
      <c r="N36" s="96"/>
      <c r="O36" s="96"/>
      <c r="P36" s="96"/>
      <c r="Q36" s="150"/>
      <c r="R36" s="97"/>
      <c r="S36" s="188" t="str">
        <f>+IF(Tabla258790120135[[#This Row],[Equipment]]="","",Q36*R36/10^6)</f>
        <v/>
      </c>
      <c r="T36" s="593" t="e">
        <f t="shared" ca="1" si="0"/>
        <v>#VALUE!</v>
      </c>
      <c r="U36" s="83"/>
      <c r="V36" s="306"/>
      <c r="AO36" s="104"/>
      <c r="AP36" s="83"/>
      <c r="AQ36" s="210"/>
      <c r="AR36" s="367"/>
    </row>
    <row r="37" spans="1:44" ht="16.2" customHeight="1" x14ac:dyDescent="0.3">
      <c r="A37" s="83"/>
      <c r="B37" s="103"/>
      <c r="C37" s="359"/>
      <c r="D37" s="203"/>
      <c r="E37" s="203"/>
      <c r="F37" s="156"/>
      <c r="G37" s="156"/>
      <c r="H37" s="383" t="str">
        <f>IF(Tabla278891121136[[#This Row],[Subtype]]="","",VLOOKUP(Tabla278891121136[[#This Row],[Subtype]],'Unit-X00 Equipment'!$E$13:$H$107,4,FALSE))</f>
        <v/>
      </c>
      <c r="I37" s="96"/>
      <c r="J37" s="96"/>
      <c r="K37" s="96"/>
      <c r="L37" s="96"/>
      <c r="M37" s="153"/>
      <c r="N37" s="96"/>
      <c r="O37" s="96"/>
      <c r="P37" s="96"/>
      <c r="Q37" s="150"/>
      <c r="R37" s="97"/>
      <c r="S37" s="188" t="str">
        <f>+IF(Tabla258790120135[[#This Row],[Equipment]]="","",Q37*R37/10^6)</f>
        <v/>
      </c>
      <c r="T37" s="593" t="e">
        <f t="shared" ca="1" si="0"/>
        <v>#VALUE!</v>
      </c>
      <c r="U37" s="83"/>
      <c r="V37" s="306"/>
      <c r="AO37" s="104"/>
      <c r="AP37" s="83"/>
      <c r="AQ37" s="210"/>
      <c r="AR37" s="367"/>
    </row>
    <row r="38" spans="1:44" ht="16.2" customHeight="1" x14ac:dyDescent="0.3">
      <c r="A38" s="83"/>
      <c r="B38" s="103"/>
      <c r="C38" s="359"/>
      <c r="D38" s="203"/>
      <c r="E38" s="203"/>
      <c r="F38" s="156"/>
      <c r="G38" s="156"/>
      <c r="H38" s="383" t="str">
        <f>IF(Tabla278891121136[[#This Row],[Subtype]]="","",VLOOKUP(Tabla278891121136[[#This Row],[Subtype]],'Unit-X00 Equipment'!$E$13:$H$107,4,FALSE))</f>
        <v/>
      </c>
      <c r="I38" s="96"/>
      <c r="J38" s="96"/>
      <c r="K38" s="96"/>
      <c r="L38" s="96"/>
      <c r="M38" s="153"/>
      <c r="N38" s="96"/>
      <c r="O38" s="96"/>
      <c r="P38" s="96"/>
      <c r="Q38" s="150"/>
      <c r="R38" s="97"/>
      <c r="S38" s="188" t="str">
        <f>+IF(Tabla258790120135[[#This Row],[Equipment]]="","",Q38*R38/10^6)</f>
        <v/>
      </c>
      <c r="T38" s="593" t="e">
        <f t="shared" ca="1" si="0"/>
        <v>#VALUE!</v>
      </c>
      <c r="U38" s="83"/>
      <c r="V38" s="306"/>
      <c r="AO38" s="84"/>
      <c r="AP38" s="83"/>
      <c r="AQ38" s="210"/>
      <c r="AR38" s="367"/>
    </row>
    <row r="39" spans="1:44" ht="16.2" customHeight="1" x14ac:dyDescent="0.3">
      <c r="A39" s="83"/>
      <c r="B39" s="103"/>
      <c r="C39" s="92"/>
      <c r="D39" s="204"/>
      <c r="E39" s="204"/>
      <c r="F39" s="594"/>
      <c r="G39" s="594"/>
      <c r="H39" s="383" t="str">
        <f>IF(Tabla278891121136[[#This Row],[Subtype]]="","",VLOOKUP(Tabla278891121136[[#This Row],[Subtype]],'Unit-X00 Equipment'!$E$13:$H$107,4,FALSE))</f>
        <v/>
      </c>
      <c r="M39" s="230"/>
      <c r="Q39" s="231"/>
      <c r="R39" s="84"/>
      <c r="S39" s="188" t="str">
        <f>+IF(Tabla258790120135[[#This Row],[Equipment]]="","",Q39*R39/10^6)</f>
        <v/>
      </c>
      <c r="T39" s="593" t="e">
        <f t="shared" ca="1" si="0"/>
        <v>#VALUE!</v>
      </c>
      <c r="U39" s="83"/>
      <c r="V39" s="306"/>
      <c r="AO39" s="104"/>
      <c r="AP39" s="83"/>
      <c r="AQ39" s="210"/>
      <c r="AR39" s="367"/>
    </row>
    <row r="40" spans="1:44" ht="16.2" customHeight="1" x14ac:dyDescent="0.3">
      <c r="A40" s="83"/>
      <c r="B40" s="103"/>
      <c r="C40" s="92"/>
      <c r="D40" s="204"/>
      <c r="E40" s="204"/>
      <c r="F40" s="594"/>
      <c r="G40" s="594"/>
      <c r="H40" s="383" t="str">
        <f>IF(Tabla278891121136[[#This Row],[Subtype]]="","",VLOOKUP(Tabla278891121136[[#This Row],[Subtype]],'Unit-X00 Equipment'!$E$13:$H$107,4,FALSE))</f>
        <v/>
      </c>
      <c r="M40" s="230"/>
      <c r="Q40" s="231"/>
      <c r="R40" s="84"/>
      <c r="S40" s="188" t="str">
        <f>+IF(Tabla258790120135[[#This Row],[Equipment]]="","",Q40*R40/10^6)</f>
        <v/>
      </c>
      <c r="T40" s="593" t="e">
        <f t="shared" ca="1" si="0"/>
        <v>#VALUE!</v>
      </c>
      <c r="U40" s="83"/>
      <c r="V40" s="306"/>
      <c r="AO40" s="104"/>
      <c r="AP40" s="83"/>
      <c r="AQ40" s="210"/>
      <c r="AR40" s="367"/>
    </row>
    <row r="41" spans="1:44" ht="16.2" customHeight="1" x14ac:dyDescent="0.3">
      <c r="A41" s="83"/>
      <c r="B41" s="103"/>
      <c r="C41" s="99"/>
      <c r="D41" s="203"/>
      <c r="E41" s="203"/>
      <c r="F41" s="156"/>
      <c r="G41" s="156"/>
      <c r="H41" s="383" t="str">
        <f>IF(Tabla278891121136[[#This Row],[Subtype]]="","",VLOOKUP(Tabla278891121136[[#This Row],[Subtype]],'Unit-X00 Equipment'!$E$13:$H$107,4,FALSE))</f>
        <v/>
      </c>
      <c r="I41" s="96"/>
      <c r="J41" s="96"/>
      <c r="K41" s="96"/>
      <c r="L41" s="96"/>
      <c r="M41" s="153"/>
      <c r="N41" s="96"/>
      <c r="O41" s="96"/>
      <c r="P41" s="149"/>
      <c r="Q41" s="150"/>
      <c r="R41" s="97"/>
      <c r="S41" s="188" t="str">
        <f>+IF(Tabla258790120135[[#This Row],[Equipment]]="","",Q41*R41/10^6)</f>
        <v/>
      </c>
      <c r="T41" s="593" t="e">
        <f t="shared" ca="1" si="0"/>
        <v>#VALUE!</v>
      </c>
      <c r="U41" s="83"/>
      <c r="V41" s="306"/>
      <c r="AO41" s="104"/>
      <c r="AP41" s="83"/>
      <c r="AQ41" s="210"/>
      <c r="AR41" s="367"/>
    </row>
    <row r="42" spans="1:44" ht="16.2" customHeight="1" x14ac:dyDescent="0.3">
      <c r="A42" s="83"/>
      <c r="B42" s="103"/>
      <c r="C42" s="99"/>
      <c r="D42" s="203"/>
      <c r="E42" s="203"/>
      <c r="F42" s="156"/>
      <c r="G42" s="156"/>
      <c r="H42" s="383" t="str">
        <f>IF(Tabla278891121136[[#This Row],[Subtype]]="","",VLOOKUP(Tabla278891121136[[#This Row],[Subtype]],'Unit-X00 Equipment'!$E$13:$H$107,4,FALSE))</f>
        <v/>
      </c>
      <c r="I42" s="96"/>
      <c r="J42" s="96"/>
      <c r="K42" s="96"/>
      <c r="L42" s="96"/>
      <c r="M42" s="153"/>
      <c r="N42" s="96"/>
      <c r="O42" s="96"/>
      <c r="P42" s="156"/>
      <c r="Q42" s="150"/>
      <c r="R42" s="97"/>
      <c r="S42" s="188" t="str">
        <f>+IF(Tabla258790120135[[#This Row],[Equipment]]="","",Q42*R42/10^6)</f>
        <v/>
      </c>
      <c r="T42" s="593" t="e">
        <f t="shared" ca="1" si="0"/>
        <v>#VALUE!</v>
      </c>
      <c r="U42" s="83"/>
      <c r="V42" s="306"/>
      <c r="AO42" s="104"/>
      <c r="AP42" s="83"/>
      <c r="AQ42" s="210"/>
      <c r="AR42" s="367"/>
    </row>
    <row r="43" spans="1:44" ht="16.2" customHeight="1" x14ac:dyDescent="0.3">
      <c r="A43" s="83"/>
      <c r="B43" s="103"/>
      <c r="C43" s="359"/>
      <c r="D43" s="203"/>
      <c r="E43" s="203"/>
      <c r="F43" s="156"/>
      <c r="G43" s="156"/>
      <c r="H43" s="383" t="str">
        <f>IF(Tabla278891121136[[#This Row],[Subtype]]="","",VLOOKUP(Tabla278891121136[[#This Row],[Subtype]],'Unit-X00 Equipment'!$E$13:$H$107,4,FALSE))</f>
        <v/>
      </c>
      <c r="I43" s="96"/>
      <c r="J43" s="96"/>
      <c r="K43" s="96"/>
      <c r="L43" s="96"/>
      <c r="M43" s="278"/>
      <c r="N43" s="270"/>
      <c r="O43" s="270"/>
      <c r="P43" s="270"/>
      <c r="Q43" s="279"/>
      <c r="R43" s="98"/>
      <c r="S43" s="188" t="str">
        <f>+IF(Tabla258790120135[[#This Row],[Equipment]]="","",Q43*R43/10^6)</f>
        <v/>
      </c>
      <c r="T43" s="593" t="e">
        <f t="shared" ca="1" si="0"/>
        <v>#VALUE!</v>
      </c>
      <c r="U43" s="83"/>
      <c r="V43" s="306"/>
      <c r="AO43" s="104"/>
      <c r="AP43" s="83"/>
      <c r="AQ43" s="210"/>
      <c r="AR43" s="367"/>
    </row>
    <row r="44" spans="1:44" ht="16.2" customHeight="1" x14ac:dyDescent="0.3">
      <c r="A44" s="83"/>
      <c r="B44" s="103"/>
      <c r="C44" s="360"/>
      <c r="D44" s="752" t="s">
        <v>536</v>
      </c>
      <c r="E44" s="752"/>
      <c r="F44" s="752"/>
      <c r="G44" s="752"/>
      <c r="H44" s="752"/>
      <c r="I44" s="752"/>
      <c r="J44" s="752"/>
      <c r="K44" s="752"/>
      <c r="L44" s="752"/>
      <c r="M44" s="784"/>
      <c r="N44" s="784"/>
      <c r="O44" s="784"/>
      <c r="P44" s="784"/>
      <c r="Q44" s="784"/>
      <c r="R44" s="784"/>
      <c r="S44" s="175"/>
      <c r="T44" s="593"/>
      <c r="U44" s="83"/>
      <c r="V44" s="306"/>
      <c r="AO44" s="104"/>
      <c r="AP44" s="83"/>
      <c r="AQ44" s="210"/>
      <c r="AR44" s="367"/>
    </row>
    <row r="45" spans="1:44" ht="16.2" customHeight="1" x14ac:dyDescent="0.3">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2" customHeight="1" x14ac:dyDescent="0.3">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610" t="str">
        <f ca="1">+S46</f>
        <v/>
      </c>
      <c r="U46" s="83"/>
      <c r="V46" s="306"/>
      <c r="AO46" s="104"/>
      <c r="AP46" s="83"/>
      <c r="AQ46" s="210"/>
      <c r="AR46" s="367"/>
    </row>
    <row r="47" spans="1:44" ht="16.2" customHeight="1" x14ac:dyDescent="0.3">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610" t="str">
        <f ca="1">+S47</f>
        <v/>
      </c>
      <c r="U47" s="83"/>
      <c r="V47" s="306"/>
      <c r="AO47" s="104"/>
      <c r="AP47" s="83"/>
      <c r="AQ47" s="210"/>
      <c r="AR47" s="367"/>
    </row>
    <row r="48" spans="1:44" ht="16.2" customHeight="1" x14ac:dyDescent="0.3">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610" t="str">
        <f ca="1">+S48</f>
        <v/>
      </c>
      <c r="U48" s="83"/>
      <c r="V48" s="103"/>
      <c r="AG48" s="620" t="s">
        <v>696</v>
      </c>
      <c r="AH48" s="620" t="s">
        <v>359</v>
      </c>
      <c r="AI48" s="781" t="s">
        <v>579</v>
      </c>
      <c r="AJ48" s="782"/>
      <c r="AK48" s="782"/>
      <c r="AL48" s="782"/>
      <c r="AM48" s="782"/>
      <c r="AN48" s="783"/>
      <c r="AO48" s="104"/>
      <c r="AP48" s="83"/>
      <c r="AQ48" s="210"/>
      <c r="AR48" s="367"/>
    </row>
    <row r="49" spans="1:57" ht="16.2" customHeight="1" x14ac:dyDescent="0.3">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610" t="str">
        <f ca="1">+S49</f>
        <v/>
      </c>
      <c r="U49" s="83"/>
      <c r="V49" s="103"/>
      <c r="AG49" s="621"/>
      <c r="AH49" s="622"/>
      <c r="AI49" s="623"/>
      <c r="AJ49" s="623"/>
      <c r="AK49" s="623"/>
      <c r="AL49" s="623"/>
      <c r="AM49" s="623"/>
      <c r="AN49" s="624"/>
      <c r="AO49" s="104"/>
      <c r="AP49" s="83"/>
      <c r="AQ49" s="210"/>
      <c r="AR49" s="367"/>
    </row>
    <row r="50" spans="1:57" ht="16.2" customHeight="1" x14ac:dyDescent="0.3">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610" t="str">
        <f ca="1">+S50</f>
        <v/>
      </c>
      <c r="U50" s="83"/>
      <c r="V50" s="103"/>
      <c r="AG50" s="625"/>
      <c r="AH50" s="626"/>
      <c r="AI50" s="627"/>
      <c r="AJ50" s="627"/>
      <c r="AK50" s="627"/>
      <c r="AL50" s="627"/>
      <c r="AM50" s="627"/>
      <c r="AN50" s="628"/>
      <c r="AO50" s="104"/>
      <c r="AP50" s="83"/>
      <c r="AQ50" s="210"/>
      <c r="AR50" s="367"/>
    </row>
    <row r="51" spans="1:57" ht="16.2" customHeight="1" x14ac:dyDescent="0.3">
      <c r="A51" s="83"/>
      <c r="B51" s="103"/>
      <c r="C51" s="195"/>
      <c r="D51" s="269"/>
      <c r="E51" s="270"/>
      <c r="F51" s="270"/>
      <c r="G51" s="270"/>
      <c r="H51" s="270"/>
      <c r="I51" s="270"/>
      <c r="J51" s="270"/>
      <c r="K51" s="270"/>
      <c r="L51" s="98"/>
      <c r="M51" s="429" t="s">
        <v>584</v>
      </c>
      <c r="N51" s="422" t="s">
        <v>463</v>
      </c>
      <c r="O51" s="576" t="s">
        <v>315</v>
      </c>
      <c r="P51" s="794" t="s">
        <v>476</v>
      </c>
      <c r="Q51" s="795"/>
      <c r="R51" s="424" t="s">
        <v>639</v>
      </c>
      <c r="S51" s="430" t="s">
        <v>638</v>
      </c>
      <c r="T51" s="593"/>
      <c r="U51" s="83"/>
      <c r="V51" s="103"/>
      <c r="AG51" s="625"/>
      <c r="AH51" s="626"/>
      <c r="AI51" s="627"/>
      <c r="AJ51" s="627"/>
      <c r="AK51" s="627"/>
      <c r="AL51" s="627"/>
      <c r="AM51" s="627"/>
      <c r="AN51" s="628"/>
      <c r="AO51" s="104"/>
      <c r="AP51" s="83"/>
      <c r="AQ51" s="210"/>
      <c r="AR51" s="367"/>
    </row>
    <row r="52" spans="1:57" ht="16.2" customHeight="1" x14ac:dyDescent="0.3">
      <c r="A52" s="83"/>
      <c r="B52" s="103"/>
      <c r="C52" s="583"/>
      <c r="D52" s="361"/>
      <c r="E52" s="361"/>
      <c r="F52" s="361"/>
      <c r="G52" s="361"/>
      <c r="H52" s="361"/>
      <c r="I52" s="361"/>
      <c r="J52" s="361"/>
      <c r="K52" s="361"/>
      <c r="L52" s="579"/>
      <c r="M52" s="508" t="s">
        <v>488</v>
      </c>
      <c r="N52" s="413" t="s">
        <v>486</v>
      </c>
      <c r="O52" s="481">
        <v>2001</v>
      </c>
      <c r="P52" s="715" t="s">
        <v>477</v>
      </c>
      <c r="Q52" s="717"/>
      <c r="R52" s="431" t="str">
        <f>+IF(SUM(S13:S43)&gt;0,IF(G3="Equipment",SUM(S13:S43),"NaN"),"")</f>
        <v/>
      </c>
      <c r="S52" s="432" cm="1">
        <f t="array" aca="1" ref="S52" ca="1">+IF(R52="",0,R52*INDIRECT(ADDRESS(MATCH(O52,'Cost Conversion'!$B$3:$B$48,0)+2,4,1,1,"Cost conversion"))*INDIRECT(ADDRESS(MATCH(P52,'Cost Conversion'!$F$3:$F$22,0)+2,8,1,1,"Cost conversion"))/IF('Plant Overview'!$E$9="€",IF(N52="$",'Cost Conversion'!$L$2,1),IF('Plant Overview'!$E$9="$",1,1/'Cost Conversion'!$L$2)))</f>
        <v>0</v>
      </c>
      <c r="T52" s="593"/>
      <c r="U52" s="83"/>
      <c r="V52" s="103"/>
      <c r="AG52" s="625"/>
      <c r="AH52" s="626"/>
      <c r="AI52" s="627"/>
      <c r="AJ52" s="627"/>
      <c r="AK52" s="627"/>
      <c r="AL52" s="627"/>
      <c r="AM52" s="627"/>
      <c r="AN52" s="628"/>
      <c r="AO52" s="104"/>
      <c r="AP52" s="83"/>
      <c r="AQ52" s="210"/>
      <c r="AR52" s="367"/>
    </row>
    <row r="53" spans="1:57" ht="16.2" customHeight="1" x14ac:dyDescent="0.3">
      <c r="A53" s="83"/>
      <c r="B53" s="103"/>
      <c r="C53" s="580"/>
      <c r="D53" s="581"/>
      <c r="E53" s="581"/>
      <c r="F53" s="581"/>
      <c r="G53" s="581"/>
      <c r="H53" s="581"/>
      <c r="I53" s="581"/>
      <c r="J53" s="581"/>
      <c r="K53" s="581"/>
      <c r="L53" s="582"/>
      <c r="M53" s="413" t="s">
        <v>640</v>
      </c>
      <c r="N53" s="127"/>
      <c r="O53" s="133"/>
      <c r="P53" s="715"/>
      <c r="Q53" s="717"/>
      <c r="R53" s="431" t="s">
        <v>354</v>
      </c>
      <c r="S53" s="432">
        <f ca="1">+IF(SUM(S46:S50)&gt;=0,SUM(S46:S50),"")</f>
        <v>0</v>
      </c>
      <c r="T53" s="593"/>
      <c r="U53" s="83"/>
      <c r="V53" s="103"/>
      <c r="AG53" s="629"/>
      <c r="AH53" s="630"/>
      <c r="AI53" s="631"/>
      <c r="AJ53" s="631"/>
      <c r="AK53" s="631"/>
      <c r="AL53" s="631"/>
      <c r="AM53" s="631"/>
      <c r="AN53" s="632"/>
      <c r="AO53" s="104"/>
      <c r="AP53" s="83"/>
      <c r="AQ53" s="210"/>
      <c r="AR53" s="367"/>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2" customHeight="1" x14ac:dyDescent="0.3">
      <c r="A56" s="83"/>
      <c r="B56" s="751" t="str">
        <f>+"BEC Distribution: "&amp;E6</f>
        <v>BEC Distribution: Unit 1</v>
      </c>
      <c r="C56" s="752"/>
      <c r="D56" s="752"/>
      <c r="E56" s="752"/>
      <c r="F56" s="752"/>
      <c r="G56" s="753"/>
      <c r="H56" s="751" t="str">
        <f>"Estimate Benchmark: "&amp;E6</f>
        <v>Estimate Benchmark: Unit 1</v>
      </c>
      <c r="I56" s="752"/>
      <c r="J56" s="752"/>
      <c r="K56" s="752"/>
      <c r="L56" s="752"/>
      <c r="M56" s="752"/>
      <c r="N56" s="75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2" customHeight="1" x14ac:dyDescent="0.3">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2" customHeight="1" x14ac:dyDescent="0.3">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2" customHeight="1" x14ac:dyDescent="0.3">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2" customHeight="1" x14ac:dyDescent="0.3">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2" customHeight="1" x14ac:dyDescent="0.3">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2" customHeight="1" x14ac:dyDescent="0.3">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2" customHeight="1" x14ac:dyDescent="0.3">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2" customHeight="1" x14ac:dyDescent="0.3">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2" customHeight="1" x14ac:dyDescent="0.3">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2" customHeight="1" x14ac:dyDescent="0.3">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2" customHeight="1" x14ac:dyDescent="0.3">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2" customHeight="1" x14ac:dyDescent="0.3">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2" customHeight="1" x14ac:dyDescent="0.3">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2" customHeight="1" x14ac:dyDescent="0.3">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2" customHeight="1" x14ac:dyDescent="0.3">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2" customHeight="1" x14ac:dyDescent="0.3">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2" customHeight="1" x14ac:dyDescent="0.3">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2" customHeight="1" x14ac:dyDescent="0.3">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2" customHeight="1" x14ac:dyDescent="0.3">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2" customHeight="1" x14ac:dyDescent="0.3">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2" customHeight="1" x14ac:dyDescent="0.3">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2" customHeight="1" x14ac:dyDescent="0.3">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2" customHeight="1" x14ac:dyDescent="0.3">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2" customHeight="1" x14ac:dyDescent="0.3">
      <c r="A80" s="83"/>
      <c r="B80" s="805" t="s">
        <v>757</v>
      </c>
      <c r="C80" s="806"/>
      <c r="D80" s="806"/>
      <c r="E80" s="806"/>
      <c r="F80" s="806"/>
      <c r="G80" s="807"/>
      <c r="H80" s="116" t="s">
        <v>696</v>
      </c>
      <c r="I80" s="117" t="s">
        <v>359</v>
      </c>
      <c r="J80" s="798" t="s">
        <v>579</v>
      </c>
      <c r="K80" s="799"/>
      <c r="L80" s="799"/>
      <c r="M80" s="799"/>
      <c r="N80" s="800"/>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2" customHeight="1" x14ac:dyDescent="0.3">
      <c r="A81" s="83"/>
      <c r="B81" s="808"/>
      <c r="C81" s="809"/>
      <c r="D81" s="809"/>
      <c r="E81" s="809"/>
      <c r="F81" s="809"/>
      <c r="G81" s="810"/>
      <c r="H81" s="499"/>
      <c r="I81" s="110"/>
      <c r="J81" s="791"/>
      <c r="K81" s="792"/>
      <c r="L81" s="792"/>
      <c r="M81" s="792"/>
      <c r="N81" s="793"/>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2" customHeight="1" x14ac:dyDescent="0.3">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3">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3">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3">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3">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3">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3">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3">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3">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3">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3">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3">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3">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3">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3">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3">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3">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3">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3">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6">
    <mergeCell ref="J81:N81"/>
    <mergeCell ref="P51:Q51"/>
    <mergeCell ref="P52:Q52"/>
    <mergeCell ref="P53:Q53"/>
    <mergeCell ref="C6:C7"/>
    <mergeCell ref="C8:C9"/>
    <mergeCell ref="B56:G56"/>
    <mergeCell ref="H56:N56"/>
    <mergeCell ref="J80:N80"/>
    <mergeCell ref="D8:D9"/>
    <mergeCell ref="E8:E9"/>
    <mergeCell ref="B80:G81"/>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disablePrompts="1"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topLeftCell="A15" zoomScale="70" zoomScaleNormal="70" workbookViewId="0">
      <selection activeCell="S52" sqref="S52"/>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8"/>
    <col min="44" max="44" width="11.109375" style="368"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2" customHeight="1" x14ac:dyDescent="0.3">
      <c r="A3" s="83"/>
      <c r="B3" s="103"/>
      <c r="C3" s="751" t="s">
        <v>815</v>
      </c>
      <c r="D3" s="752"/>
      <c r="E3" s="752"/>
      <c r="F3" s="752"/>
      <c r="G3" s="751" t="s">
        <v>229</v>
      </c>
      <c r="H3" s="753"/>
      <c r="J3" s="751" t="s">
        <v>671</v>
      </c>
      <c r="K3" s="752"/>
      <c r="L3" s="752"/>
      <c r="M3" s="753"/>
      <c r="N3" s="181"/>
      <c r="O3" s="751" t="str">
        <f>+E6</f>
        <v>Unit 2</v>
      </c>
      <c r="P3" s="752"/>
      <c r="Q3" s="752"/>
      <c r="R3" s="752"/>
      <c r="S3" s="753"/>
      <c r="T3" s="104"/>
      <c r="U3" s="104"/>
      <c r="V3" s="83"/>
      <c r="W3" s="778" t="str">
        <f>+E6&amp;" Diagram"</f>
        <v>Unit 2 Diagram</v>
      </c>
      <c r="X3" s="779"/>
      <c r="Y3" s="779"/>
      <c r="Z3" s="779"/>
      <c r="AA3" s="779"/>
      <c r="AB3" s="779"/>
      <c r="AC3" s="779"/>
      <c r="AD3" s="779"/>
      <c r="AE3" s="779"/>
      <c r="AF3" s="779"/>
      <c r="AG3" s="779"/>
      <c r="AH3" s="779"/>
      <c r="AI3" s="779"/>
      <c r="AJ3" s="779"/>
      <c r="AK3" s="779"/>
      <c r="AL3" s="779"/>
      <c r="AM3" s="779"/>
      <c r="AN3" s="780"/>
      <c r="AO3" s="104"/>
      <c r="AP3" s="83"/>
      <c r="AQ3" s="210"/>
      <c r="AR3" s="367"/>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2" customHeight="1" x14ac:dyDescent="0.3">
      <c r="A5" s="83"/>
      <c r="B5" s="103"/>
      <c r="C5" s="83"/>
      <c r="D5" s="754" t="s">
        <v>265</v>
      </c>
      <c r="E5" s="755"/>
      <c r="F5" s="83"/>
      <c r="G5" s="754" t="s">
        <v>267</v>
      </c>
      <c r="H5" s="755"/>
      <c r="J5" s="785"/>
      <c r="K5" s="786"/>
      <c r="L5" s="185" t="s">
        <v>469</v>
      </c>
      <c r="M5" s="186" t="s">
        <v>504</v>
      </c>
      <c r="N5" s="399"/>
      <c r="O5" s="677" t="s">
        <v>579</v>
      </c>
      <c r="P5" s="678"/>
      <c r="Q5" s="678"/>
      <c r="R5" s="678"/>
      <c r="S5" s="679"/>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2" customHeight="1" x14ac:dyDescent="0.3">
      <c r="A6" s="83"/>
      <c r="B6" s="103"/>
      <c r="C6" s="796" t="s">
        <v>495</v>
      </c>
      <c r="D6" s="237" t="s">
        <v>686</v>
      </c>
      <c r="E6" s="413" t="str">
        <f>+'Plant Overview'!V38</f>
        <v>Unit 2</v>
      </c>
      <c r="F6" s="83"/>
      <c r="G6" s="85"/>
      <c r="H6" s="319" t="s">
        <v>262</v>
      </c>
      <c r="J6" s="787"/>
      <c r="K6" s="788"/>
      <c r="L6" s="166" t="s">
        <v>470</v>
      </c>
      <c r="M6" s="86" t="s">
        <v>503</v>
      </c>
      <c r="N6" s="399"/>
      <c r="O6" s="680"/>
      <c r="P6" s="732"/>
      <c r="Q6" s="732"/>
      <c r="R6" s="732"/>
      <c r="S6" s="733"/>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2" customHeight="1" x14ac:dyDescent="0.3">
      <c r="A7" s="83"/>
      <c r="B7" s="103"/>
      <c r="C7" s="797"/>
      <c r="D7" s="237" t="s">
        <v>685</v>
      </c>
      <c r="E7" s="413" t="str">
        <f>+'Plant Overview'!W38</f>
        <v>U-200</v>
      </c>
      <c r="F7" s="83"/>
      <c r="G7" s="95"/>
      <c r="H7" s="319" t="s">
        <v>263</v>
      </c>
      <c r="J7" s="787"/>
      <c r="K7" s="788"/>
      <c r="L7" s="185" t="s">
        <v>464</v>
      </c>
      <c r="M7" s="186" t="s">
        <v>502</v>
      </c>
      <c r="N7" s="399"/>
      <c r="O7" s="734"/>
      <c r="P7" s="735"/>
      <c r="Q7" s="735"/>
      <c r="R7" s="735"/>
      <c r="S7" s="736"/>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2" customHeight="1" x14ac:dyDescent="0.3">
      <c r="A8" s="83"/>
      <c r="B8" s="103"/>
      <c r="C8" s="765"/>
      <c r="D8" s="801" t="s">
        <v>312</v>
      </c>
      <c r="E8" s="803"/>
      <c r="F8" s="83"/>
      <c r="G8" s="94"/>
      <c r="H8" s="98" t="s">
        <v>264</v>
      </c>
      <c r="J8" s="787"/>
      <c r="K8" s="788"/>
      <c r="L8" s="185" t="s">
        <v>465</v>
      </c>
      <c r="M8" s="186" t="s">
        <v>500</v>
      </c>
      <c r="N8" s="399"/>
      <c r="O8" s="734"/>
      <c r="P8" s="735"/>
      <c r="Q8" s="735"/>
      <c r="R8" s="735"/>
      <c r="S8" s="736"/>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2" customHeight="1" x14ac:dyDescent="0.3">
      <c r="A9" s="83"/>
      <c r="B9" s="103"/>
      <c r="C9" s="766"/>
      <c r="D9" s="802"/>
      <c r="E9" s="804"/>
      <c r="F9" s="83"/>
      <c r="G9" s="108"/>
      <c r="H9" s="305" t="s">
        <v>268</v>
      </c>
      <c r="J9" s="789"/>
      <c r="K9" s="790"/>
      <c r="L9" s="185" t="s">
        <v>466</v>
      </c>
      <c r="M9" s="186" t="s">
        <v>501</v>
      </c>
      <c r="N9" s="399"/>
      <c r="O9" s="737"/>
      <c r="P9" s="738"/>
      <c r="Q9" s="738"/>
      <c r="R9" s="738"/>
      <c r="S9" s="739"/>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2" customHeight="1" x14ac:dyDescent="0.3">
      <c r="A11" s="83"/>
      <c r="B11" s="103"/>
      <c r="C11" s="83"/>
      <c r="D11" s="751" t="s">
        <v>571</v>
      </c>
      <c r="E11" s="752"/>
      <c r="F11" s="752"/>
      <c r="G11" s="752"/>
      <c r="H11" s="752"/>
      <c r="I11" s="752"/>
      <c r="J11" s="752"/>
      <c r="K11" s="752"/>
      <c r="L11" s="753"/>
      <c r="M11" s="751" t="s">
        <v>580</v>
      </c>
      <c r="N11" s="752"/>
      <c r="O11" s="752"/>
      <c r="P11" s="752"/>
      <c r="Q11" s="752"/>
      <c r="R11" s="753"/>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2" customHeight="1" x14ac:dyDescent="0.3">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2" customHeight="1" x14ac:dyDescent="0.3">
      <c r="A13" s="83"/>
      <c r="B13" s="103"/>
      <c r="C13" s="177"/>
      <c r="D13" s="203"/>
      <c r="E13" s="203"/>
      <c r="F13" s="156"/>
      <c r="G13" s="156"/>
      <c r="H13" s="383" t="str">
        <f>IF(Tabla27889112113631[[#This Row],[Subtype]]="","",VLOOKUP(Tabla27889112113631[[#This Row],[Subtype]],'Unit-X00 Equipment'!$E$13:$H$107,4,FALSE))</f>
        <v/>
      </c>
      <c r="I13" s="96"/>
      <c r="J13" s="96"/>
      <c r="K13" s="96"/>
      <c r="L13" s="96"/>
      <c r="M13" s="297"/>
      <c r="N13" s="190"/>
      <c r="O13" s="190"/>
      <c r="P13" s="190"/>
      <c r="Q13" s="190"/>
      <c r="R13" s="148"/>
      <c r="S13" s="194" t="str">
        <f>+IF(Tabla25879012013530[[#This Row],[Equipment]]="","",Q13*R13/10^6)</f>
        <v/>
      </c>
      <c r="T13" s="593" t="e">
        <f ca="1">+S13*$S$52/$R$52</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2" customHeight="1" x14ac:dyDescent="0.3">
      <c r="A14" s="83"/>
      <c r="B14" s="103"/>
      <c r="C14" s="99"/>
      <c r="D14" s="203"/>
      <c r="E14" s="203"/>
      <c r="F14" s="156"/>
      <c r="G14" s="156"/>
      <c r="H14" s="383" t="str">
        <f>IF(Tabla27889112113631[[#This Row],[Subtype]]="","",VLOOKUP(Tabla27889112113631[[#This Row],[Subtype]],'Unit-X00 Equipment'!$E$13:$H$107,4,FALSE))</f>
        <v/>
      </c>
      <c r="I14" s="96"/>
      <c r="J14" s="96"/>
      <c r="K14" s="96"/>
      <c r="L14" s="96"/>
      <c r="M14" s="229"/>
      <c r="N14" s="156"/>
      <c r="O14" s="156"/>
      <c r="P14" s="156"/>
      <c r="Q14" s="156"/>
      <c r="R14" s="97"/>
      <c r="S14" s="188" t="str">
        <f>+IF(Tabla25879012013530[[#This Row],[Equipment]]="","",Q14*R14/10^6)</f>
        <v/>
      </c>
      <c r="T14" s="593" t="e">
        <f t="shared" ref="T14:T43" ca="1" si="0">+S14*$S$52/$R$52</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2" customHeight="1" x14ac:dyDescent="0.3">
      <c r="A15" s="83"/>
      <c r="B15" s="103"/>
      <c r="C15" s="99"/>
      <c r="D15" s="203"/>
      <c r="E15" s="203"/>
      <c r="F15" s="96"/>
      <c r="G15" s="96"/>
      <c r="H15" s="383" t="str">
        <f>IF(Tabla27889112113631[[#This Row],[Subtype]]="","",VLOOKUP(Tabla27889112113631[[#This Row],[Subtype]],'Unit-X00 Equipment'!$E$13:$H$107,4,FALSE))</f>
        <v/>
      </c>
      <c r="I15" s="96"/>
      <c r="J15" s="96"/>
      <c r="K15" s="96"/>
      <c r="L15" s="96"/>
      <c r="M15" s="153"/>
      <c r="N15" s="96"/>
      <c r="O15" s="156"/>
      <c r="P15" s="149"/>
      <c r="Q15" s="150"/>
      <c r="R15" s="97"/>
      <c r="S15" s="188" t="str">
        <f>+IF(Tabla25879012013530[[#This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2" customHeight="1" x14ac:dyDescent="0.3">
      <c r="A16" s="83"/>
      <c r="B16" s="103"/>
      <c r="C16" s="99"/>
      <c r="D16" s="203"/>
      <c r="E16" s="203"/>
      <c r="F16" s="156"/>
      <c r="G16" s="156"/>
      <c r="H16" s="383" t="str">
        <f>IF(Tabla27889112113631[[#This Row],[Subtype]]="","",VLOOKUP(Tabla27889112113631[[#This Row],[Subtype]],'Unit-X00 Equipment'!$E$13:$H$107,4,FALSE))</f>
        <v/>
      </c>
      <c r="I16" s="96"/>
      <c r="J16" s="96"/>
      <c r="K16" s="96"/>
      <c r="L16" s="96"/>
      <c r="M16" s="229"/>
      <c r="N16" s="156"/>
      <c r="O16" s="156"/>
      <c r="P16" s="156"/>
      <c r="Q16" s="156"/>
      <c r="R16" s="97"/>
      <c r="S16" s="188" t="str">
        <f>+IF(Tabla25879012013530[[#This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2" customHeight="1" x14ac:dyDescent="0.3">
      <c r="A17" s="83"/>
      <c r="B17" s="103"/>
      <c r="C17" s="99"/>
      <c r="D17" s="203"/>
      <c r="E17" s="96"/>
      <c r="F17" s="156"/>
      <c r="G17" s="156"/>
      <c r="H17" s="383" t="str">
        <f>IF(Tabla27889112113631[[#This Row],[Subtype]]="","",VLOOKUP(Tabla27889112113631[[#This Row],[Subtype]],'Unit-X00 Equipment'!$E$13:$H$107,4,FALSE))</f>
        <v/>
      </c>
      <c r="I17" s="96"/>
      <c r="J17" s="96"/>
      <c r="K17" s="96"/>
      <c r="L17" s="96"/>
      <c r="M17" s="229"/>
      <c r="N17" s="156"/>
      <c r="O17" s="156"/>
      <c r="P17" s="156"/>
      <c r="Q17" s="156"/>
      <c r="R17" s="97"/>
      <c r="S17" s="188" t="str">
        <f>+IF(Tabla25879012013530[[#This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2" customHeight="1" x14ac:dyDescent="0.3">
      <c r="A18" s="83"/>
      <c r="B18" s="103"/>
      <c r="C18" s="99"/>
      <c r="D18" s="203"/>
      <c r="E18" s="203"/>
      <c r="F18" s="156"/>
      <c r="G18" s="156"/>
      <c r="H18" s="383" t="str">
        <f>IF(Tabla27889112113631[[#This Row],[Subtype]]="","",VLOOKUP(Tabla27889112113631[[#This Row],[Subtype]],'Unit-X00 Equipment'!$E$13:$H$107,4,FALSE))</f>
        <v/>
      </c>
      <c r="I18" s="96"/>
      <c r="J18" s="96"/>
      <c r="K18" s="96"/>
      <c r="L18" s="156"/>
      <c r="M18" s="229"/>
      <c r="N18" s="156"/>
      <c r="O18" s="156"/>
      <c r="P18" s="156"/>
      <c r="Q18" s="156"/>
      <c r="R18" s="97"/>
      <c r="S18" s="188" t="str">
        <f>+IF(Tabla25879012013530[[#This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2" customHeight="1" x14ac:dyDescent="0.3">
      <c r="A19" s="83"/>
      <c r="B19" s="103"/>
      <c r="C19" s="99"/>
      <c r="D19" s="203"/>
      <c r="E19" s="203"/>
      <c r="F19" s="156"/>
      <c r="G19" s="156"/>
      <c r="H19" s="383" t="str">
        <f>IF(Tabla27889112113631[[#This Row],[Subtype]]="","",VLOOKUP(Tabla27889112113631[[#This Row],[Subtype]],'Unit-X00 Equipment'!$E$13:$H$107,4,FALSE))</f>
        <v/>
      </c>
      <c r="I19" s="96"/>
      <c r="J19" s="96"/>
      <c r="K19" s="96"/>
      <c r="L19" s="156"/>
      <c r="M19" s="229"/>
      <c r="N19" s="156"/>
      <c r="O19" s="156"/>
      <c r="P19" s="156"/>
      <c r="Q19" s="156"/>
      <c r="R19" s="97"/>
      <c r="S19" s="188" t="str">
        <f>+IF(Tabla25879012013530[[#This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2" customHeight="1" x14ac:dyDescent="0.3">
      <c r="A20" s="83"/>
      <c r="B20" s="103"/>
      <c r="C20" s="99"/>
      <c r="D20" s="203"/>
      <c r="E20" s="203"/>
      <c r="F20" s="156"/>
      <c r="G20" s="156"/>
      <c r="H20" s="383" t="str">
        <f>IF(Tabla27889112113631[[#This Row],[Subtype]]="","",VLOOKUP(Tabla27889112113631[[#This Row],[Subtype]],'Unit-X00 Equipment'!$E$13:$H$107,4,FALSE))</f>
        <v/>
      </c>
      <c r="I20" s="96"/>
      <c r="J20" s="96"/>
      <c r="K20" s="96"/>
      <c r="L20" s="96"/>
      <c r="M20" s="229"/>
      <c r="N20" s="156"/>
      <c r="O20" s="156"/>
      <c r="P20" s="156"/>
      <c r="Q20" s="156"/>
      <c r="R20" s="97"/>
      <c r="S20" s="188" t="str">
        <f>+IF(Tabla25879012013530[[#This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2" customHeight="1" x14ac:dyDescent="0.3">
      <c r="A21" s="83"/>
      <c r="B21" s="103"/>
      <c r="C21" s="99"/>
      <c r="D21" s="203"/>
      <c r="E21" s="203"/>
      <c r="F21" s="156"/>
      <c r="G21" s="156"/>
      <c r="H21" s="383" t="str">
        <f>IF(Tabla27889112113631[[#This Row],[Subtype]]="","",VLOOKUP(Tabla27889112113631[[#This Row],[Subtype]],'Unit-X00 Equipment'!$E$13:$H$107,4,FALSE))</f>
        <v/>
      </c>
      <c r="I21" s="96"/>
      <c r="J21" s="96"/>
      <c r="K21" s="96"/>
      <c r="L21" s="96"/>
      <c r="M21" s="229"/>
      <c r="N21" s="156"/>
      <c r="O21" s="156"/>
      <c r="P21" s="156"/>
      <c r="Q21" s="156"/>
      <c r="R21" s="97"/>
      <c r="S21" s="188" t="str">
        <f>+IF(Tabla25879012013530[[#This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2" customHeight="1" x14ac:dyDescent="0.3">
      <c r="A22" s="83"/>
      <c r="B22" s="103"/>
      <c r="C22" s="99"/>
      <c r="D22" s="203"/>
      <c r="E22" s="203"/>
      <c r="F22" s="156"/>
      <c r="G22" s="156"/>
      <c r="H22" s="383" t="str">
        <f>IF(Tabla27889112113631[[#This Row],[Subtype]]="","",VLOOKUP(Tabla27889112113631[[#This Row],[Subtype]],'Unit-X00 Equipment'!$E$13:$H$107,4,FALSE))</f>
        <v/>
      </c>
      <c r="I22" s="96"/>
      <c r="J22" s="96"/>
      <c r="K22" s="96"/>
      <c r="L22" s="96"/>
      <c r="M22" s="229"/>
      <c r="N22" s="156"/>
      <c r="O22" s="156"/>
      <c r="P22" s="156"/>
      <c r="Q22" s="156"/>
      <c r="R22" s="97"/>
      <c r="S22" s="188" t="str">
        <f>+IF(Tabla25879012013530[[#This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2" customHeight="1" x14ac:dyDescent="0.3">
      <c r="A23" s="83"/>
      <c r="B23" s="103"/>
      <c r="C23" s="99"/>
      <c r="D23" s="203"/>
      <c r="E23" s="203"/>
      <c r="F23" s="156"/>
      <c r="G23" s="96"/>
      <c r="H23" s="383" t="str">
        <f>IF(Tabla27889112113631[[#This Row],[Subtype]]="","",VLOOKUP(Tabla27889112113631[[#This Row],[Subtype]],'Unit-X00 Equipment'!$E$13:$H$107,4,FALSE))</f>
        <v/>
      </c>
      <c r="I23" s="96"/>
      <c r="J23" s="96"/>
      <c r="K23" s="96"/>
      <c r="L23" s="96"/>
      <c r="M23" s="229"/>
      <c r="N23" s="156"/>
      <c r="O23" s="156"/>
      <c r="P23" s="156"/>
      <c r="Q23" s="156"/>
      <c r="R23" s="97"/>
      <c r="S23" s="188" t="str">
        <f>+IF(Tabla25879012013530[[#This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2" customHeight="1" x14ac:dyDescent="0.3">
      <c r="A24" s="83"/>
      <c r="B24" s="103"/>
      <c r="C24" s="99"/>
      <c r="D24" s="203"/>
      <c r="E24" s="203"/>
      <c r="F24" s="156"/>
      <c r="G24" s="156"/>
      <c r="H24" s="383" t="str">
        <f>IF(Tabla27889112113631[[#This Row],[Subtype]]="","",VLOOKUP(Tabla27889112113631[[#This Row],[Subtype]],'Unit-X00 Equipment'!$E$13:$H$107,4,FALSE))</f>
        <v/>
      </c>
      <c r="I24" s="96"/>
      <c r="J24" s="96"/>
      <c r="K24" s="96"/>
      <c r="L24" s="96"/>
      <c r="M24" s="229"/>
      <c r="N24" s="156"/>
      <c r="O24" s="156"/>
      <c r="P24" s="156"/>
      <c r="Q24" s="156"/>
      <c r="R24" s="97"/>
      <c r="S24" s="188" t="str">
        <f>+IF(Tabla25879012013530[[#This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2" customHeight="1" x14ac:dyDescent="0.3">
      <c r="A25" s="83"/>
      <c r="B25" s="103"/>
      <c r="C25" s="99"/>
      <c r="D25" s="203"/>
      <c r="E25" s="203"/>
      <c r="F25" s="156"/>
      <c r="G25" s="156"/>
      <c r="H25" s="383" t="str">
        <f>IF(Tabla27889112113631[[#This Row],[Subtype]]="","",VLOOKUP(Tabla27889112113631[[#This Row],[Subtype]],'Unit-X00 Equipment'!$E$13:$H$107,4,FALSE))</f>
        <v/>
      </c>
      <c r="I25" s="96"/>
      <c r="J25" s="96"/>
      <c r="K25" s="96"/>
      <c r="L25" s="96"/>
      <c r="M25" s="229"/>
      <c r="N25" s="156"/>
      <c r="O25" s="156"/>
      <c r="P25" s="156"/>
      <c r="Q25" s="156"/>
      <c r="R25" s="97"/>
      <c r="S25" s="188" t="str">
        <f>+IF(Tabla25879012013530[[#This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2" customHeight="1" x14ac:dyDescent="0.3">
      <c r="A26" s="83"/>
      <c r="B26" s="103"/>
      <c r="C26" s="99"/>
      <c r="D26" s="203"/>
      <c r="E26" s="203"/>
      <c r="F26" s="156"/>
      <c r="G26" s="156"/>
      <c r="H26" s="383" t="str">
        <f>IF(Tabla27889112113631[[#This Row],[Subtype]]="","",VLOOKUP(Tabla27889112113631[[#This Row],[Subtype]],'Unit-X00 Equipment'!$E$13:$H$107,4,FALSE))</f>
        <v/>
      </c>
      <c r="I26" s="96"/>
      <c r="J26" s="96"/>
      <c r="K26" s="96"/>
      <c r="L26" s="96"/>
      <c r="M26" s="229"/>
      <c r="N26" s="156"/>
      <c r="O26" s="156"/>
      <c r="P26" s="156"/>
      <c r="Q26" s="156"/>
      <c r="R26" s="97"/>
      <c r="S26" s="188" t="str">
        <f>+IF(Tabla25879012013530[[#This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2" customHeight="1" x14ac:dyDescent="0.3">
      <c r="A27" s="83"/>
      <c r="B27" s="103"/>
      <c r="C27" s="99"/>
      <c r="D27" s="203"/>
      <c r="E27" s="203"/>
      <c r="F27" s="156"/>
      <c r="G27" s="156"/>
      <c r="H27" s="383" t="str">
        <f>IF(Tabla27889112113631[[#This Row],[Subtype]]="","",VLOOKUP(Tabla27889112113631[[#This Row],[Subtype]],'Unit-X00 Equipment'!$E$13:$H$107,4,FALSE))</f>
        <v/>
      </c>
      <c r="I27" s="96"/>
      <c r="J27" s="96"/>
      <c r="K27" s="96"/>
      <c r="L27" s="96"/>
      <c r="M27" s="229"/>
      <c r="N27" s="156"/>
      <c r="O27" s="156"/>
      <c r="P27" s="156"/>
      <c r="Q27" s="156"/>
      <c r="R27" s="97"/>
      <c r="S27" s="188" t="str">
        <f>+IF(Tabla25879012013530[[#This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2" customHeight="1" x14ac:dyDescent="0.3">
      <c r="A28" s="83"/>
      <c r="B28" s="103"/>
      <c r="C28" s="99"/>
      <c r="D28" s="203"/>
      <c r="E28" s="203"/>
      <c r="F28" s="156"/>
      <c r="G28" s="156"/>
      <c r="H28" s="383" t="str">
        <f>IF(Tabla27889112113631[[#This Row],[Subtype]]="","",VLOOKUP(Tabla27889112113631[[#This Row],[Subtype]],'Unit-X00 Equipment'!$E$13:$H$107,4,FALSE))</f>
        <v/>
      </c>
      <c r="I28" s="96"/>
      <c r="J28" s="96"/>
      <c r="K28" s="96"/>
      <c r="L28" s="96"/>
      <c r="M28" s="229"/>
      <c r="N28" s="156"/>
      <c r="O28" s="156"/>
      <c r="P28" s="156"/>
      <c r="Q28" s="156"/>
      <c r="R28" s="97"/>
      <c r="S28" s="188" t="str">
        <f>+IF(Tabla25879012013530[[#This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2" customHeight="1" x14ac:dyDescent="0.3">
      <c r="A29" s="83"/>
      <c r="B29" s="103"/>
      <c r="C29" s="99"/>
      <c r="D29" s="203"/>
      <c r="E29" s="203"/>
      <c r="F29" s="156"/>
      <c r="G29" s="156"/>
      <c r="H29" s="383" t="str">
        <f>IF(Tabla27889112113631[[#This Row],[Subtype]]="","",VLOOKUP(Tabla27889112113631[[#This Row],[Subtype]],'Unit-X00 Equipment'!$E$13:$H$107,4,FALSE))</f>
        <v/>
      </c>
      <c r="I29" s="96"/>
      <c r="J29" s="96"/>
      <c r="K29" s="96"/>
      <c r="L29" s="96"/>
      <c r="M29" s="229"/>
      <c r="N29" s="156"/>
      <c r="O29" s="156"/>
      <c r="P29" s="156"/>
      <c r="Q29" s="156"/>
      <c r="R29" s="97"/>
      <c r="S29" s="188" t="str">
        <f>+IF(Tabla25879012013530[[#This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2" customHeight="1" x14ac:dyDescent="0.3">
      <c r="A30" s="83"/>
      <c r="B30" s="103"/>
      <c r="C30" s="99"/>
      <c r="D30" s="203"/>
      <c r="E30" s="203"/>
      <c r="F30" s="156"/>
      <c r="G30" s="156"/>
      <c r="H30" s="383" t="str">
        <f>IF(Tabla27889112113631[[#This Row],[Subtype]]="","",VLOOKUP(Tabla27889112113631[[#This Row],[Subtype]],'Unit-X00 Equipment'!$E$13:$H$107,4,FALSE))</f>
        <v/>
      </c>
      <c r="I30" s="96"/>
      <c r="J30" s="96"/>
      <c r="K30" s="96"/>
      <c r="L30" s="96"/>
      <c r="M30" s="229"/>
      <c r="N30" s="156"/>
      <c r="O30" s="156"/>
      <c r="P30" s="156"/>
      <c r="Q30" s="156"/>
      <c r="R30" s="97"/>
      <c r="S30" s="188" t="str">
        <f>+IF(Tabla25879012013530[[#This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2" customHeight="1" x14ac:dyDescent="0.3">
      <c r="A31" s="83"/>
      <c r="B31" s="103"/>
      <c r="C31" s="99"/>
      <c r="D31" s="203"/>
      <c r="E31" s="203"/>
      <c r="F31" s="156"/>
      <c r="G31" s="156"/>
      <c r="H31" s="383" t="str">
        <f>IF(Tabla27889112113631[[#This Row],[Subtype]]="","",VLOOKUP(Tabla27889112113631[[#This Row],[Subtype]],'Unit-X00 Equipment'!$E$13:$H$107,4,FALSE))</f>
        <v/>
      </c>
      <c r="I31" s="96"/>
      <c r="J31" s="96"/>
      <c r="K31" s="96"/>
      <c r="L31" s="96"/>
      <c r="M31" s="229"/>
      <c r="N31" s="156"/>
      <c r="O31" s="156"/>
      <c r="P31" s="156"/>
      <c r="Q31" s="156"/>
      <c r="R31" s="97"/>
      <c r="S31" s="188" t="str">
        <f>+IF(Tabla25879012013530[[#This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2" customHeight="1" x14ac:dyDescent="0.3">
      <c r="A32" s="83"/>
      <c r="B32" s="103"/>
      <c r="C32" s="99"/>
      <c r="D32" s="203"/>
      <c r="E32" s="203"/>
      <c r="F32" s="156"/>
      <c r="G32" s="156"/>
      <c r="H32" s="383" t="str">
        <f>IF(Tabla27889112113631[[#This Row],[Subtype]]="","",VLOOKUP(Tabla27889112113631[[#This Row],[Subtype]],'Unit-X00 Equipment'!$E$13:$H$107,4,FALSE))</f>
        <v/>
      </c>
      <c r="I32" s="96"/>
      <c r="J32" s="96"/>
      <c r="K32" s="96"/>
      <c r="L32" s="96"/>
      <c r="M32" s="153"/>
      <c r="N32" s="96"/>
      <c r="O32" s="96"/>
      <c r="P32" s="149"/>
      <c r="Q32" s="150"/>
      <c r="R32" s="97"/>
      <c r="S32" s="188" t="str">
        <f>+IF(Tabla25879012013530[[#This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2" customHeight="1" x14ac:dyDescent="0.3">
      <c r="A33" s="83"/>
      <c r="B33" s="103"/>
      <c r="C33" s="99"/>
      <c r="D33" s="203"/>
      <c r="E33" s="203"/>
      <c r="F33" s="156"/>
      <c r="G33" s="156"/>
      <c r="H33" s="383" t="str">
        <f>IF(Tabla27889112113631[[#This Row],[Subtype]]="","",VLOOKUP(Tabla27889112113631[[#This Row],[Subtype]],'Unit-X00 Equipment'!$E$13:$H$107,4,FALSE))</f>
        <v/>
      </c>
      <c r="I33" s="96"/>
      <c r="J33" s="96"/>
      <c r="K33" s="96"/>
      <c r="L33" s="96"/>
      <c r="M33" s="153"/>
      <c r="N33" s="96"/>
      <c r="O33" s="96"/>
      <c r="P33" s="156"/>
      <c r="Q33" s="150"/>
      <c r="R33" s="97"/>
      <c r="S33" s="188" t="str">
        <f>+IF(Tabla25879012013530[[#This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2" customHeight="1" x14ac:dyDescent="0.3">
      <c r="A34" s="83"/>
      <c r="B34" s="103"/>
      <c r="C34" s="359"/>
      <c r="D34" s="203"/>
      <c r="E34" s="203"/>
      <c r="F34" s="156"/>
      <c r="G34" s="156"/>
      <c r="H34" s="383" t="str">
        <f>IF(Tabla27889112113631[[#This Row],[Subtype]]="","",VLOOKUP(Tabla27889112113631[[#This Row],[Subtype]],'Unit-X00 Equipment'!$E$13:$H$107,4,FALSE))</f>
        <v/>
      </c>
      <c r="I34" s="96"/>
      <c r="J34" s="96"/>
      <c r="K34" s="96"/>
      <c r="L34" s="96"/>
      <c r="M34" s="153"/>
      <c r="N34" s="96"/>
      <c r="O34" s="96"/>
      <c r="P34" s="96"/>
      <c r="Q34" s="150"/>
      <c r="R34" s="97"/>
      <c r="S34" s="188" t="str">
        <f>+IF(Tabla25879012013530[[#This Row],[Equipment]]="","",Q34*R34/10^6)</f>
        <v/>
      </c>
      <c r="T34" s="593" t="e">
        <f t="shared" ca="1" si="0"/>
        <v>#VALUE!</v>
      </c>
      <c r="U34" s="83"/>
      <c r="V34" s="112"/>
      <c r="W34" s="745" t="str">
        <f>+E6&amp;" Calculations"</f>
        <v>Unit 2 Calculations</v>
      </c>
      <c r="X34" s="746"/>
      <c r="Y34" s="746"/>
      <c r="Z34" s="746"/>
      <c r="AA34" s="746"/>
      <c r="AB34" s="746"/>
      <c r="AC34" s="746"/>
      <c r="AD34" s="746"/>
      <c r="AE34" s="746"/>
      <c r="AF34" s="746"/>
      <c r="AG34" s="746"/>
      <c r="AH34" s="746"/>
      <c r="AI34" s="746"/>
      <c r="AJ34" s="746"/>
      <c r="AK34" s="746"/>
      <c r="AL34" s="746"/>
      <c r="AM34" s="746"/>
      <c r="AN34" s="747"/>
      <c r="AO34" s="104"/>
      <c r="AP34" s="83"/>
      <c r="AQ34" s="210"/>
      <c r="AR34" s="367"/>
    </row>
    <row r="35" spans="1:44" ht="16.2" customHeight="1" x14ac:dyDescent="0.3">
      <c r="A35" s="83"/>
      <c r="B35" s="103"/>
      <c r="C35" s="359"/>
      <c r="D35" s="203"/>
      <c r="E35" s="203"/>
      <c r="F35" s="156"/>
      <c r="G35" s="156"/>
      <c r="H35" s="383" t="str">
        <f>IF(Tabla27889112113631[[#This Row],[Subtype]]="","",VLOOKUP(Tabla27889112113631[[#This Row],[Subtype]],'Unit-X00 Equipment'!$E$13:$H$107,4,FALSE))</f>
        <v/>
      </c>
      <c r="I35" s="96"/>
      <c r="J35" s="96"/>
      <c r="K35" s="96"/>
      <c r="L35" s="96"/>
      <c r="M35" s="153"/>
      <c r="N35" s="96"/>
      <c r="O35" s="96"/>
      <c r="P35" s="96"/>
      <c r="Q35" s="150"/>
      <c r="R35" s="97"/>
      <c r="S35" s="188" t="str">
        <f>+IF(Tabla25879012013530[[#This Row],[Equipment]]="","",Q35*R35/10^6)</f>
        <v/>
      </c>
      <c r="T35" s="593" t="e">
        <f t="shared" ca="1" si="0"/>
        <v>#VALUE!</v>
      </c>
      <c r="U35" s="83"/>
      <c r="V35" s="306"/>
      <c r="AO35" s="104"/>
      <c r="AP35" s="83"/>
      <c r="AQ35" s="210"/>
      <c r="AR35" s="367"/>
    </row>
    <row r="36" spans="1:44" ht="16.2" customHeight="1" x14ac:dyDescent="0.3">
      <c r="A36" s="83"/>
      <c r="B36" s="103"/>
      <c r="C36" s="359"/>
      <c r="D36" s="203"/>
      <c r="E36" s="203"/>
      <c r="F36" s="156"/>
      <c r="G36" s="156"/>
      <c r="H36" s="383" t="str">
        <f>IF(Tabla27889112113631[[#This Row],[Subtype]]="","",VLOOKUP(Tabla27889112113631[[#This Row],[Subtype]],'Unit-X00 Equipment'!$E$13:$H$107,4,FALSE))</f>
        <v/>
      </c>
      <c r="I36" s="96"/>
      <c r="J36" s="96"/>
      <c r="K36" s="96"/>
      <c r="L36" s="96"/>
      <c r="M36" s="153"/>
      <c r="N36" s="96"/>
      <c r="O36" s="96"/>
      <c r="P36" s="96"/>
      <c r="Q36" s="150"/>
      <c r="R36" s="97"/>
      <c r="S36" s="188" t="str">
        <f>+IF(Tabla25879012013530[[#This Row],[Equipment]]="","",Q36*R36/10^6)</f>
        <v/>
      </c>
      <c r="T36" s="593" t="e">
        <f t="shared" ca="1" si="0"/>
        <v>#VALUE!</v>
      </c>
      <c r="U36" s="83"/>
      <c r="V36" s="306"/>
      <c r="AO36" s="104"/>
      <c r="AP36" s="83"/>
      <c r="AQ36" s="210"/>
      <c r="AR36" s="367"/>
    </row>
    <row r="37" spans="1:44" ht="16.2" customHeight="1" x14ac:dyDescent="0.3">
      <c r="A37" s="83"/>
      <c r="B37" s="103"/>
      <c r="C37" s="359"/>
      <c r="D37" s="203"/>
      <c r="E37" s="203"/>
      <c r="F37" s="156"/>
      <c r="G37" s="156"/>
      <c r="H37" s="383" t="str">
        <f>IF(Tabla27889112113631[[#This Row],[Subtype]]="","",VLOOKUP(Tabla27889112113631[[#This Row],[Subtype]],'Unit-X00 Equipment'!$E$13:$H$107,4,FALSE))</f>
        <v/>
      </c>
      <c r="I37" s="96"/>
      <c r="J37" s="96"/>
      <c r="K37" s="96"/>
      <c r="L37" s="96"/>
      <c r="M37" s="153"/>
      <c r="N37" s="96"/>
      <c r="O37" s="96"/>
      <c r="P37" s="96"/>
      <c r="Q37" s="150"/>
      <c r="R37" s="97"/>
      <c r="S37" s="188" t="str">
        <f>+IF(Tabla25879012013530[[#This Row],[Equipment]]="","",Q37*R37/10^6)</f>
        <v/>
      </c>
      <c r="T37" s="593" t="e">
        <f t="shared" ca="1" si="0"/>
        <v>#VALUE!</v>
      </c>
      <c r="U37" s="83"/>
      <c r="V37" s="306"/>
      <c r="AO37" s="104"/>
      <c r="AP37" s="83"/>
      <c r="AQ37" s="210"/>
      <c r="AR37" s="367"/>
    </row>
    <row r="38" spans="1:44" ht="16.2" customHeight="1" x14ac:dyDescent="0.3">
      <c r="A38" s="83"/>
      <c r="B38" s="103"/>
      <c r="C38" s="359"/>
      <c r="D38" s="203"/>
      <c r="E38" s="203"/>
      <c r="F38" s="156"/>
      <c r="G38" s="156"/>
      <c r="H38" s="383" t="str">
        <f>IF(Tabla27889112113631[[#This Row],[Subtype]]="","",VLOOKUP(Tabla27889112113631[[#This Row],[Subtype]],'Unit-X00 Equipment'!$E$13:$H$107,4,FALSE))</f>
        <v/>
      </c>
      <c r="I38" s="96"/>
      <c r="J38" s="96"/>
      <c r="K38" s="96"/>
      <c r="L38" s="96"/>
      <c r="M38" s="153"/>
      <c r="N38" s="96"/>
      <c r="O38" s="96"/>
      <c r="P38" s="96"/>
      <c r="Q38" s="150"/>
      <c r="R38" s="97"/>
      <c r="S38" s="188" t="str">
        <f>+IF(Tabla25879012013530[[#This Row],[Equipment]]="","",Q38*R38/10^6)</f>
        <v/>
      </c>
      <c r="T38" s="593" t="e">
        <f t="shared" ca="1" si="0"/>
        <v>#VALUE!</v>
      </c>
      <c r="U38" s="83"/>
      <c r="V38" s="306"/>
      <c r="AO38" s="84"/>
      <c r="AP38" s="83"/>
      <c r="AQ38" s="210"/>
      <c r="AR38" s="367"/>
    </row>
    <row r="39" spans="1:44" ht="16.2" customHeight="1" x14ac:dyDescent="0.3">
      <c r="A39" s="83"/>
      <c r="B39" s="103"/>
      <c r="C39" s="92"/>
      <c r="D39" s="204"/>
      <c r="E39" s="204"/>
      <c r="F39" s="594"/>
      <c r="G39" s="594"/>
      <c r="H39" s="383" t="str">
        <f>IF(Tabla27889112113631[[#This Row],[Subtype]]="","",VLOOKUP(Tabla27889112113631[[#This Row],[Subtype]],'Unit-X00 Equipment'!$E$13:$H$107,4,FALSE))</f>
        <v/>
      </c>
      <c r="M39" s="230"/>
      <c r="Q39" s="231"/>
      <c r="R39" s="84"/>
      <c r="S39" s="188" t="str">
        <f>+IF(Tabla25879012013530[[#This Row],[Equipment]]="","",Q39*R39/10^6)</f>
        <v/>
      </c>
      <c r="T39" s="593" t="e">
        <f t="shared" ca="1" si="0"/>
        <v>#VALUE!</v>
      </c>
      <c r="U39" s="83"/>
      <c r="V39" s="306"/>
      <c r="AO39" s="104"/>
      <c r="AP39" s="83"/>
      <c r="AQ39" s="210"/>
      <c r="AR39" s="367"/>
    </row>
    <row r="40" spans="1:44" ht="16.2" customHeight="1" x14ac:dyDescent="0.3">
      <c r="A40" s="83"/>
      <c r="B40" s="103"/>
      <c r="C40" s="92"/>
      <c r="D40" s="204"/>
      <c r="E40" s="204"/>
      <c r="F40" s="594"/>
      <c r="G40" s="594"/>
      <c r="H40" s="383" t="str">
        <f>IF(Tabla27889112113631[[#This Row],[Subtype]]="","",VLOOKUP(Tabla27889112113631[[#This Row],[Subtype]],'Unit-X00 Equipment'!$E$13:$H$107,4,FALSE))</f>
        <v/>
      </c>
      <c r="M40" s="230"/>
      <c r="Q40" s="231"/>
      <c r="R40" s="84"/>
      <c r="S40" s="188" t="str">
        <f>+IF(Tabla25879012013530[[#This Row],[Equipment]]="","",Q40*R40/10^6)</f>
        <v/>
      </c>
      <c r="T40" s="593" t="e">
        <f t="shared" ca="1" si="0"/>
        <v>#VALUE!</v>
      </c>
      <c r="U40" s="83"/>
      <c r="V40" s="306"/>
      <c r="AO40" s="104"/>
      <c r="AP40" s="83"/>
      <c r="AQ40" s="210"/>
      <c r="AR40" s="367"/>
    </row>
    <row r="41" spans="1:44" ht="16.2" customHeight="1" x14ac:dyDescent="0.3">
      <c r="A41" s="83"/>
      <c r="B41" s="103"/>
      <c r="C41" s="99"/>
      <c r="D41" s="203"/>
      <c r="E41" s="203"/>
      <c r="F41" s="156"/>
      <c r="G41" s="156"/>
      <c r="H41" s="383" t="str">
        <f>IF(Tabla27889112113631[[#This Row],[Subtype]]="","",VLOOKUP(Tabla27889112113631[[#This Row],[Subtype]],'Unit-X00 Equipment'!$E$13:$H$107,4,FALSE))</f>
        <v/>
      </c>
      <c r="I41" s="96"/>
      <c r="J41" s="96"/>
      <c r="K41" s="96"/>
      <c r="L41" s="96"/>
      <c r="M41" s="153"/>
      <c r="N41" s="96"/>
      <c r="O41" s="96"/>
      <c r="P41" s="149"/>
      <c r="Q41" s="150"/>
      <c r="R41" s="97"/>
      <c r="S41" s="188" t="str">
        <f>+IF(Tabla25879012013530[[#This Row],[Equipment]]="","",Q41*R41/10^6)</f>
        <v/>
      </c>
      <c r="T41" s="593" t="e">
        <f t="shared" ca="1" si="0"/>
        <v>#VALUE!</v>
      </c>
      <c r="U41" s="83"/>
      <c r="V41" s="306"/>
      <c r="AO41" s="104"/>
      <c r="AP41" s="83"/>
      <c r="AQ41" s="210"/>
      <c r="AR41" s="367"/>
    </row>
    <row r="42" spans="1:44" ht="16.2" customHeight="1" x14ac:dyDescent="0.3">
      <c r="A42" s="83"/>
      <c r="B42" s="103"/>
      <c r="C42" s="99"/>
      <c r="D42" s="203"/>
      <c r="E42" s="203"/>
      <c r="F42" s="156"/>
      <c r="G42" s="156"/>
      <c r="H42" s="383" t="str">
        <f>IF(Tabla27889112113631[[#This Row],[Subtype]]="","",VLOOKUP(Tabla27889112113631[[#This Row],[Subtype]],'Unit-X00 Equipment'!$E$13:$H$107,4,FALSE))</f>
        <v/>
      </c>
      <c r="I42" s="96"/>
      <c r="J42" s="96"/>
      <c r="K42" s="96"/>
      <c r="L42" s="96"/>
      <c r="M42" s="153"/>
      <c r="N42" s="96"/>
      <c r="O42" s="96"/>
      <c r="P42" s="156"/>
      <c r="Q42" s="150"/>
      <c r="R42" s="97"/>
      <c r="S42" s="188" t="str">
        <f>+IF(Tabla25879012013530[[#This Row],[Equipment]]="","",Q42*R42/10^6)</f>
        <v/>
      </c>
      <c r="T42" s="593" t="e">
        <f t="shared" ca="1" si="0"/>
        <v>#VALUE!</v>
      </c>
      <c r="U42" s="83"/>
      <c r="V42" s="306"/>
      <c r="AO42" s="104"/>
      <c r="AP42" s="83"/>
      <c r="AQ42" s="210"/>
      <c r="AR42" s="367"/>
    </row>
    <row r="43" spans="1:44" ht="16.2" customHeight="1" x14ac:dyDescent="0.3">
      <c r="A43" s="83"/>
      <c r="B43" s="103"/>
      <c r="C43" s="359"/>
      <c r="D43" s="203"/>
      <c r="E43" s="203"/>
      <c r="F43" s="156"/>
      <c r="G43" s="156"/>
      <c r="H43" s="383" t="str">
        <f>IF(Tabla27889112113631[[#This Row],[Subtype]]="","",VLOOKUP(Tabla27889112113631[[#This Row],[Subtype]],'Unit-X00 Equipment'!$E$13:$H$107,4,FALSE))</f>
        <v/>
      </c>
      <c r="I43" s="96"/>
      <c r="J43" s="96"/>
      <c r="K43" s="96"/>
      <c r="L43" s="96"/>
      <c r="M43" s="278"/>
      <c r="N43" s="270"/>
      <c r="O43" s="270"/>
      <c r="P43" s="270"/>
      <c r="Q43" s="279"/>
      <c r="R43" s="98"/>
      <c r="S43" s="188" t="str">
        <f>+IF(Tabla25879012013530[[#This Row],[Equipment]]="","",Q43*R43/10^6)</f>
        <v/>
      </c>
      <c r="T43" s="593" t="e">
        <f t="shared" ca="1" si="0"/>
        <v>#VALUE!</v>
      </c>
      <c r="U43" s="83"/>
      <c r="V43" s="306"/>
      <c r="AO43" s="104"/>
      <c r="AP43" s="83"/>
      <c r="AQ43" s="210"/>
      <c r="AR43" s="367"/>
    </row>
    <row r="44" spans="1:44" ht="16.2" customHeight="1" x14ac:dyDescent="0.3">
      <c r="A44" s="83"/>
      <c r="B44" s="103"/>
      <c r="C44" s="360"/>
      <c r="D44" s="752" t="s">
        <v>536</v>
      </c>
      <c r="E44" s="752"/>
      <c r="F44" s="752"/>
      <c r="G44" s="752"/>
      <c r="H44" s="752"/>
      <c r="I44" s="752"/>
      <c r="J44" s="752"/>
      <c r="K44" s="752"/>
      <c r="L44" s="752"/>
      <c r="M44" s="784"/>
      <c r="N44" s="784"/>
      <c r="O44" s="784"/>
      <c r="P44" s="784"/>
      <c r="Q44" s="784"/>
      <c r="R44" s="784"/>
      <c r="S44" s="175"/>
      <c r="T44" s="593"/>
      <c r="U44" s="83"/>
      <c r="V44" s="306"/>
      <c r="AO44" s="104"/>
      <c r="AP44" s="83"/>
      <c r="AQ44" s="210"/>
      <c r="AR44" s="367"/>
    </row>
    <row r="45" spans="1:44" ht="16.2" customHeight="1" x14ac:dyDescent="0.3">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2" customHeight="1" x14ac:dyDescent="0.3">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593"/>
      <c r="U46" s="83"/>
      <c r="V46" s="306"/>
      <c r="AO46" s="104"/>
      <c r="AP46" s="83"/>
      <c r="AQ46" s="210"/>
      <c r="AR46" s="367"/>
    </row>
    <row r="47" spans="1:44" ht="16.2" customHeight="1" x14ac:dyDescent="0.3">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593"/>
      <c r="U47" s="83"/>
      <c r="V47" s="306"/>
      <c r="AO47" s="104"/>
      <c r="AP47" s="83"/>
      <c r="AQ47" s="210"/>
      <c r="AR47" s="367"/>
    </row>
    <row r="48" spans="1:44" ht="16.2" customHeight="1" x14ac:dyDescent="0.3">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593"/>
      <c r="U48" s="83"/>
      <c r="V48" s="103"/>
      <c r="AG48" s="225" t="s">
        <v>696</v>
      </c>
      <c r="AH48" s="225" t="s">
        <v>359</v>
      </c>
      <c r="AI48" s="811" t="s">
        <v>579</v>
      </c>
      <c r="AJ48" s="812"/>
      <c r="AK48" s="812"/>
      <c r="AL48" s="812"/>
      <c r="AM48" s="812"/>
      <c r="AN48" s="813"/>
      <c r="AO48" s="104"/>
      <c r="AP48" s="83"/>
      <c r="AQ48" s="210"/>
      <c r="AR48" s="367"/>
    </row>
    <row r="49" spans="1:57" ht="16.2" customHeight="1" x14ac:dyDescent="0.3">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593"/>
      <c r="U49" s="83"/>
      <c r="V49" s="103"/>
      <c r="AG49" s="611"/>
      <c r="AH49" s="612"/>
      <c r="AI49" s="613"/>
      <c r="AJ49" s="613"/>
      <c r="AK49" s="613"/>
      <c r="AL49" s="613"/>
      <c r="AM49" s="613"/>
      <c r="AN49" s="614"/>
      <c r="AO49" s="104"/>
      <c r="AP49" s="83"/>
      <c r="AQ49" s="210"/>
      <c r="AR49" s="367"/>
    </row>
    <row r="50" spans="1:57" ht="16.2" customHeight="1" x14ac:dyDescent="0.3">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593"/>
      <c r="U50" s="83"/>
      <c r="V50" s="103"/>
      <c r="AG50" s="615"/>
      <c r="AH50" s="504"/>
      <c r="AI50" s="336"/>
      <c r="AJ50" s="336"/>
      <c r="AK50" s="336"/>
      <c r="AL50" s="336"/>
      <c r="AM50" s="336"/>
      <c r="AN50" s="502"/>
      <c r="AO50" s="104"/>
      <c r="AP50" s="83"/>
      <c r="AQ50" s="210"/>
      <c r="AR50" s="367"/>
    </row>
    <row r="51" spans="1:57" ht="16.2" customHeight="1" x14ac:dyDescent="0.3">
      <c r="A51" s="83"/>
      <c r="B51" s="103"/>
      <c r="C51" s="195"/>
      <c r="D51" s="269"/>
      <c r="E51" s="270"/>
      <c r="F51" s="270"/>
      <c r="G51" s="270"/>
      <c r="H51" s="270"/>
      <c r="I51" s="270"/>
      <c r="J51" s="270"/>
      <c r="K51" s="270"/>
      <c r="L51" s="98"/>
      <c r="M51" s="429" t="s">
        <v>584</v>
      </c>
      <c r="N51" s="422" t="s">
        <v>463</v>
      </c>
      <c r="O51" s="576" t="s">
        <v>315</v>
      </c>
      <c r="P51" s="794" t="s">
        <v>476</v>
      </c>
      <c r="Q51" s="795"/>
      <c r="R51" s="424" t="s">
        <v>639</v>
      </c>
      <c r="S51" s="430" t="s">
        <v>638</v>
      </c>
      <c r="T51" s="593"/>
      <c r="U51" s="83"/>
      <c r="V51" s="103"/>
      <c r="AG51" s="615"/>
      <c r="AH51" s="504"/>
      <c r="AI51" s="336"/>
      <c r="AJ51" s="336"/>
      <c r="AK51" s="336"/>
      <c r="AL51" s="336"/>
      <c r="AM51" s="336"/>
      <c r="AN51" s="502"/>
      <c r="AO51" s="104"/>
      <c r="AP51" s="83"/>
      <c r="AQ51" s="210"/>
      <c r="AR51" s="367"/>
    </row>
    <row r="52" spans="1:57" ht="16.2" customHeight="1" x14ac:dyDescent="0.3">
      <c r="A52" s="83"/>
      <c r="B52" s="103"/>
      <c r="C52" s="583"/>
      <c r="D52" s="361"/>
      <c r="E52" s="361"/>
      <c r="F52" s="361"/>
      <c r="G52" s="361"/>
      <c r="H52" s="361"/>
      <c r="I52" s="361"/>
      <c r="J52" s="361"/>
      <c r="K52" s="361"/>
      <c r="L52" s="579"/>
      <c r="M52" s="508" t="s">
        <v>488</v>
      </c>
      <c r="N52" s="413" t="s">
        <v>486</v>
      </c>
      <c r="O52" s="481">
        <v>2001</v>
      </c>
      <c r="P52" s="715" t="s">
        <v>477</v>
      </c>
      <c r="Q52" s="717"/>
      <c r="R52" s="431" t="str">
        <f>+IF(SUM(S13:S43)&gt;0,IF(G3="Equipment",SUM(S13:S43),"NaN"),"")</f>
        <v/>
      </c>
      <c r="S52" s="432" cm="1">
        <f t="array" aca="1" ref="S52" ca="1">+IF(R52="",0,R52*INDIRECT(ADDRESS(MATCH(O52,'Cost Conversion'!$B$3:$B$48,0)+2,4,1,1,"Cost conversion"))*INDIRECT(ADDRESS(MATCH(P52,'Cost Conversion'!$F$3:$F$22,0)+2,8,1,1,"Cost conversion"))/IF('Plant Overview'!$E$9="€",IF(N52="$",'Cost Conversion'!$L$2,1),IF('Plant Overview'!$E$9="$",1,1/'Cost Conversion'!$L$2)))</f>
        <v>0</v>
      </c>
      <c r="T52" s="593"/>
      <c r="U52" s="83"/>
      <c r="V52" s="103"/>
      <c r="AG52" s="615"/>
      <c r="AH52" s="504"/>
      <c r="AI52" s="336"/>
      <c r="AJ52" s="336"/>
      <c r="AK52" s="336"/>
      <c r="AL52" s="336"/>
      <c r="AM52" s="336"/>
      <c r="AN52" s="502"/>
      <c r="AO52" s="104"/>
      <c r="AP52" s="83"/>
      <c r="AQ52" s="210"/>
      <c r="AR52" s="367"/>
    </row>
    <row r="53" spans="1:57" ht="16.2" customHeight="1" x14ac:dyDescent="0.3">
      <c r="A53" s="83"/>
      <c r="B53" s="103"/>
      <c r="C53" s="580"/>
      <c r="D53" s="581"/>
      <c r="E53" s="581"/>
      <c r="F53" s="581"/>
      <c r="G53" s="581"/>
      <c r="H53" s="581"/>
      <c r="I53" s="581"/>
      <c r="J53" s="581"/>
      <c r="K53" s="581"/>
      <c r="L53" s="582"/>
      <c r="M53" s="413" t="s">
        <v>640</v>
      </c>
      <c r="N53" s="127"/>
      <c r="O53" s="133"/>
      <c r="P53" s="715"/>
      <c r="Q53" s="717"/>
      <c r="R53" s="431" t="s">
        <v>354</v>
      </c>
      <c r="S53" s="432">
        <f ca="1">+IF(SUM(S46:S50)&gt;=0,SUM(S46:S50),"")</f>
        <v>0</v>
      </c>
      <c r="T53" s="593"/>
      <c r="U53" s="83"/>
      <c r="V53" s="103"/>
      <c r="AG53" s="616"/>
      <c r="AH53" s="617"/>
      <c r="AI53" s="618"/>
      <c r="AJ53" s="618"/>
      <c r="AK53" s="618"/>
      <c r="AL53" s="618"/>
      <c r="AM53" s="618"/>
      <c r="AN53" s="619"/>
      <c r="AO53" s="104"/>
      <c r="AP53" s="83"/>
      <c r="AQ53" s="210"/>
      <c r="AR53" s="367"/>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2" customHeight="1" x14ac:dyDescent="0.3">
      <c r="A56" s="83"/>
      <c r="B56" s="751" t="str">
        <f>+"BEC Distribution: "&amp;E6</f>
        <v>BEC Distribution: Unit 2</v>
      </c>
      <c r="C56" s="752"/>
      <c r="D56" s="752"/>
      <c r="E56" s="752"/>
      <c r="F56" s="752"/>
      <c r="G56" s="753"/>
      <c r="H56" s="751" t="str">
        <f>+"Estimate Benchmark : "&amp;E6</f>
        <v>Estimate Benchmark : Unit 2</v>
      </c>
      <c r="I56" s="752"/>
      <c r="J56" s="752"/>
      <c r="K56" s="752"/>
      <c r="L56" s="752"/>
      <c r="M56" s="752"/>
      <c r="N56" s="75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2" customHeight="1" x14ac:dyDescent="0.3">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2" customHeight="1" x14ac:dyDescent="0.3">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2" customHeight="1" x14ac:dyDescent="0.3">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2" customHeight="1" x14ac:dyDescent="0.3">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2" customHeight="1" x14ac:dyDescent="0.3">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2" customHeight="1" x14ac:dyDescent="0.3">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2" customHeight="1" x14ac:dyDescent="0.3">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2" customHeight="1" x14ac:dyDescent="0.3">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2" customHeight="1" x14ac:dyDescent="0.3">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2" customHeight="1" x14ac:dyDescent="0.3">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2" customHeight="1" x14ac:dyDescent="0.3">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2" customHeight="1" x14ac:dyDescent="0.3">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2" customHeight="1" x14ac:dyDescent="0.3">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2" customHeight="1" x14ac:dyDescent="0.3">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2" customHeight="1" x14ac:dyDescent="0.3">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2" customHeight="1" x14ac:dyDescent="0.3">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2" customHeight="1" x14ac:dyDescent="0.3">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2" customHeight="1" x14ac:dyDescent="0.3">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2" customHeight="1" x14ac:dyDescent="0.3">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2" customHeight="1" x14ac:dyDescent="0.3">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2" customHeight="1" x14ac:dyDescent="0.3">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2" customHeight="1" x14ac:dyDescent="0.3">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2" customHeight="1" x14ac:dyDescent="0.3">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2" customHeight="1" x14ac:dyDescent="0.3">
      <c r="A80" s="83"/>
      <c r="B80" s="805" t="s">
        <v>757</v>
      </c>
      <c r="C80" s="806"/>
      <c r="D80" s="806"/>
      <c r="E80" s="806"/>
      <c r="F80" s="806"/>
      <c r="G80" s="807"/>
      <c r="H80" s="116" t="s">
        <v>696</v>
      </c>
      <c r="I80" s="117" t="s">
        <v>359</v>
      </c>
      <c r="J80" s="798" t="s">
        <v>579</v>
      </c>
      <c r="K80" s="799"/>
      <c r="L80" s="799"/>
      <c r="M80" s="799"/>
      <c r="N80" s="800"/>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2" customHeight="1" x14ac:dyDescent="0.3">
      <c r="A81" s="83"/>
      <c r="B81" s="808"/>
      <c r="C81" s="809"/>
      <c r="D81" s="809"/>
      <c r="E81" s="809"/>
      <c r="F81" s="809"/>
      <c r="G81" s="810"/>
      <c r="H81" s="499"/>
      <c r="I81" s="110"/>
      <c r="J81" s="791"/>
      <c r="K81" s="792"/>
      <c r="L81" s="792"/>
      <c r="M81" s="792"/>
      <c r="N81" s="793"/>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2" customHeight="1" x14ac:dyDescent="0.3">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3">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3">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3">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3">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3">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3">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3">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3">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3">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3">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3">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3">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3">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3">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3">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3">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3">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3">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7">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 ref="B80:G81"/>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topLeftCell="K1" zoomScale="70" zoomScaleNormal="70" workbookViewId="0">
      <selection activeCell="S26" sqref="S26"/>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51" t="s">
        <v>815</v>
      </c>
      <c r="D3" s="752"/>
      <c r="E3" s="752"/>
      <c r="F3" s="752"/>
      <c r="G3" s="751" t="s">
        <v>341</v>
      </c>
      <c r="H3" s="753"/>
      <c r="J3" s="751" t="s">
        <v>499</v>
      </c>
      <c r="K3" s="752"/>
      <c r="L3" s="752"/>
      <c r="M3" s="753"/>
      <c r="O3" s="751" t="str">
        <f>+E6</f>
        <v>Unit 3</v>
      </c>
      <c r="P3" s="752"/>
      <c r="Q3" s="752"/>
      <c r="R3" s="752"/>
      <c r="S3" s="753"/>
      <c r="T3" s="104"/>
      <c r="U3" s="103"/>
      <c r="V3" s="103"/>
      <c r="W3" s="778" t="str">
        <f>+E6&amp;" Diagram"</f>
        <v>Unit 3 Diagram</v>
      </c>
      <c r="X3" s="779"/>
      <c r="Y3" s="779"/>
      <c r="Z3" s="779"/>
      <c r="AA3" s="779"/>
      <c r="AB3" s="779"/>
      <c r="AC3" s="779"/>
      <c r="AD3" s="779"/>
      <c r="AE3" s="779"/>
      <c r="AF3" s="779"/>
      <c r="AG3" s="779"/>
      <c r="AH3" s="780"/>
      <c r="AI3" s="104"/>
      <c r="AJ3" s="356"/>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00000000000001" customHeight="1" x14ac:dyDescent="0.35">
      <c r="A5" s="83"/>
      <c r="B5" s="103"/>
      <c r="C5" s="83"/>
      <c r="D5" s="754" t="s">
        <v>265</v>
      </c>
      <c r="E5" s="755"/>
      <c r="F5" s="182"/>
      <c r="G5" s="754" t="s">
        <v>267</v>
      </c>
      <c r="H5" s="755"/>
      <c r="J5" s="393"/>
      <c r="K5" s="394"/>
      <c r="L5" s="185" t="s">
        <v>469</v>
      </c>
      <c r="M5" s="186" t="s">
        <v>504</v>
      </c>
      <c r="O5" s="677" t="s">
        <v>579</v>
      </c>
      <c r="P5" s="678"/>
      <c r="Q5" s="678"/>
      <c r="R5" s="678"/>
      <c r="S5" s="679"/>
      <c r="T5" s="104"/>
      <c r="U5" s="103"/>
      <c r="V5" s="103"/>
      <c r="W5" s="103"/>
      <c r="X5" s="83"/>
      <c r="Y5" s="83"/>
      <c r="Z5" s="83"/>
      <c r="AA5" s="83"/>
      <c r="AB5" s="83"/>
      <c r="AC5" s="83"/>
      <c r="AD5" s="83"/>
      <c r="AE5" s="83"/>
      <c r="AF5" s="83"/>
      <c r="AG5" s="83"/>
      <c r="AH5" s="104"/>
      <c r="AI5" s="104"/>
      <c r="AJ5" s="356"/>
    </row>
    <row r="6" spans="1:36" ht="18.600000000000001" customHeight="1" x14ac:dyDescent="0.3">
      <c r="A6" s="83"/>
      <c r="B6" s="103"/>
      <c r="C6" s="796" t="s">
        <v>495</v>
      </c>
      <c r="D6" s="424" t="s">
        <v>686</v>
      </c>
      <c r="E6" s="481" t="str">
        <f>+'Plant Overview'!V39</f>
        <v>Unit 3</v>
      </c>
      <c r="F6" s="183"/>
      <c r="G6" s="85"/>
      <c r="H6" s="319" t="s">
        <v>262</v>
      </c>
      <c r="J6" s="395"/>
      <c r="K6" s="396"/>
      <c r="L6" s="93" t="s">
        <v>470</v>
      </c>
      <c r="M6" s="86" t="s">
        <v>503</v>
      </c>
      <c r="O6" s="680"/>
      <c r="P6" s="732"/>
      <c r="Q6" s="732"/>
      <c r="R6" s="732"/>
      <c r="S6" s="733"/>
      <c r="T6" s="104"/>
      <c r="U6" s="103"/>
      <c r="V6" s="103"/>
      <c r="W6" s="103"/>
      <c r="X6" s="83"/>
      <c r="Y6" s="83"/>
      <c r="Z6" s="83"/>
      <c r="AA6" s="83"/>
      <c r="AB6" s="83"/>
      <c r="AC6" s="83"/>
      <c r="AD6" s="83"/>
      <c r="AE6" s="83"/>
      <c r="AF6" s="83"/>
      <c r="AG6" s="83"/>
      <c r="AH6" s="104"/>
      <c r="AI6" s="104"/>
      <c r="AJ6" s="356"/>
    </row>
    <row r="7" spans="1:36" ht="18.600000000000001" customHeight="1" x14ac:dyDescent="0.3">
      <c r="A7" s="83"/>
      <c r="B7" s="103"/>
      <c r="C7" s="797"/>
      <c r="D7" s="424" t="s">
        <v>685</v>
      </c>
      <c r="E7" s="413" t="str">
        <f>+'Plant Overview'!W39</f>
        <v>U-300</v>
      </c>
      <c r="F7" s="183"/>
      <c r="G7" s="179"/>
      <c r="H7" s="319" t="s">
        <v>263</v>
      </c>
      <c r="J7" s="395"/>
      <c r="K7" s="396"/>
      <c r="L7" s="185" t="s">
        <v>464</v>
      </c>
      <c r="M7" s="186" t="s">
        <v>502</v>
      </c>
      <c r="O7" s="734"/>
      <c r="P7" s="735"/>
      <c r="Q7" s="735"/>
      <c r="R7" s="735"/>
      <c r="S7" s="736"/>
      <c r="T7" s="104"/>
      <c r="U7" s="103"/>
      <c r="V7" s="103"/>
      <c r="W7" s="103"/>
      <c r="X7" s="83"/>
      <c r="Y7" s="83"/>
      <c r="Z7" s="83"/>
      <c r="AA7" s="83"/>
      <c r="AB7" s="83"/>
      <c r="AC7" s="83"/>
      <c r="AD7" s="83"/>
      <c r="AE7" s="83"/>
      <c r="AF7" s="83"/>
      <c r="AG7" s="83"/>
      <c r="AH7" s="104"/>
      <c r="AI7" s="104"/>
      <c r="AJ7" s="356"/>
    </row>
    <row r="8" spans="1:36" ht="18.600000000000001" customHeight="1" x14ac:dyDescent="0.3">
      <c r="A8" s="83"/>
      <c r="B8" s="103"/>
      <c r="C8" s="817"/>
      <c r="D8" s="814" t="s">
        <v>312</v>
      </c>
      <c r="E8" s="803"/>
      <c r="F8" s="184"/>
      <c r="G8" s="94"/>
      <c r="H8" s="98" t="s">
        <v>264</v>
      </c>
      <c r="J8" s="395"/>
      <c r="K8" s="396"/>
      <c r="L8" s="185" t="s">
        <v>465</v>
      </c>
      <c r="M8" s="186" t="s">
        <v>500</v>
      </c>
      <c r="O8" s="734"/>
      <c r="P8" s="735"/>
      <c r="Q8" s="735"/>
      <c r="R8" s="735"/>
      <c r="S8" s="736"/>
      <c r="T8" s="104"/>
      <c r="U8" s="103"/>
      <c r="V8" s="103"/>
      <c r="W8" s="103"/>
      <c r="X8" s="83"/>
      <c r="Y8" s="83"/>
      <c r="Z8" s="83"/>
      <c r="AA8" s="83"/>
      <c r="AB8" s="83"/>
      <c r="AC8" s="83"/>
      <c r="AD8" s="83"/>
      <c r="AE8" s="83"/>
      <c r="AF8" s="83"/>
      <c r="AG8" s="83"/>
      <c r="AH8" s="104"/>
      <c r="AI8" s="104"/>
      <c r="AJ8" s="356"/>
    </row>
    <row r="9" spans="1:36" ht="18.600000000000001" customHeight="1" x14ac:dyDescent="0.3">
      <c r="A9" s="83"/>
      <c r="B9" s="103"/>
      <c r="C9" s="766"/>
      <c r="D9" s="815"/>
      <c r="E9" s="804"/>
      <c r="F9" s="184"/>
      <c r="G9" s="108"/>
      <c r="H9" s="305" t="s">
        <v>268</v>
      </c>
      <c r="J9" s="397"/>
      <c r="K9" s="398"/>
      <c r="L9" s="185" t="s">
        <v>466</v>
      </c>
      <c r="M9" s="186" t="s">
        <v>501</v>
      </c>
      <c r="O9" s="737"/>
      <c r="P9" s="738"/>
      <c r="Q9" s="738"/>
      <c r="R9" s="738"/>
      <c r="S9" s="739"/>
      <c r="T9" s="104"/>
      <c r="U9" s="103"/>
      <c r="V9" s="103"/>
      <c r="W9" s="103"/>
      <c r="X9" s="83"/>
      <c r="Y9" s="83"/>
      <c r="Z9" s="83"/>
      <c r="AA9" s="83"/>
      <c r="AB9" s="83"/>
      <c r="AC9" s="83"/>
      <c r="AD9" s="83"/>
      <c r="AE9" s="83"/>
      <c r="AF9" s="83"/>
      <c r="AG9" s="83"/>
      <c r="AH9" s="104"/>
      <c r="AI9" s="104"/>
      <c r="AJ9" s="356"/>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00000000000001" customHeight="1" x14ac:dyDescent="0.3">
      <c r="A11" s="83"/>
      <c r="B11" s="103"/>
      <c r="C11" s="83"/>
      <c r="D11" s="751" t="s">
        <v>507</v>
      </c>
      <c r="E11" s="752"/>
      <c r="F11" s="752"/>
      <c r="G11" s="752"/>
      <c r="H11" s="752"/>
      <c r="I11" s="752"/>
      <c r="J11" s="752"/>
      <c r="K11" s="751" t="s">
        <v>506</v>
      </c>
      <c r="L11" s="752"/>
      <c r="M11" s="752"/>
      <c r="N11" s="752"/>
      <c r="O11" s="753"/>
      <c r="P11" s="751" t="s">
        <v>509</v>
      </c>
      <c r="Q11" s="752"/>
      <c r="R11" s="753"/>
      <c r="S11" s="83"/>
      <c r="T11" s="104"/>
      <c r="U11" s="103"/>
      <c r="V11" s="103"/>
      <c r="W11" s="103"/>
      <c r="X11" s="83"/>
      <c r="Y11" s="83"/>
      <c r="Z11" s="83"/>
      <c r="AA11" s="83"/>
      <c r="AB11" s="83"/>
      <c r="AC11" s="83"/>
      <c r="AD11" s="83"/>
      <c r="AE11" s="83"/>
      <c r="AF11" s="83"/>
      <c r="AG11" s="83"/>
      <c r="AH11" s="104"/>
      <c r="AI11" s="104"/>
      <c r="AJ11" s="356"/>
    </row>
    <row r="12" spans="1:36" ht="18.600000000000001" customHeight="1" x14ac:dyDescent="0.3">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00000000000001" customHeight="1" x14ac:dyDescent="0.3">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6"/>
    </row>
    <row r="14" spans="1:36" ht="18.600000000000001" customHeight="1" x14ac:dyDescent="0.3">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6"/>
    </row>
    <row r="15" spans="1:36" ht="18.600000000000001" customHeight="1" x14ac:dyDescent="0.3">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6"/>
    </row>
    <row r="16" spans="1:36" ht="18.600000000000001" customHeight="1" x14ac:dyDescent="0.3">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6"/>
    </row>
    <row r="17" spans="1:36" ht="18.600000000000001" customHeight="1" x14ac:dyDescent="0.3">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6"/>
    </row>
    <row r="18" spans="1:36" ht="18.600000000000001" customHeight="1" x14ac:dyDescent="0.3">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6"/>
    </row>
    <row r="19" spans="1:36" ht="18.600000000000001" customHeight="1" x14ac:dyDescent="0.3">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6"/>
    </row>
    <row r="20" spans="1:36" ht="18.600000000000001" customHeight="1" x14ac:dyDescent="0.3">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6"/>
    </row>
    <row r="21" spans="1:36" ht="18.600000000000001" customHeight="1" x14ac:dyDescent="0.3">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6"/>
    </row>
    <row r="22" spans="1:36" ht="18.600000000000001" customHeight="1" x14ac:dyDescent="0.3">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6"/>
    </row>
    <row r="23" spans="1:36" ht="18.600000000000001" customHeight="1" x14ac:dyDescent="0.3">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6"/>
    </row>
    <row r="24" spans="1:36" ht="18.600000000000001" customHeight="1" x14ac:dyDescent="0.3">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6"/>
    </row>
    <row r="25" spans="1:36" ht="18.600000000000001" customHeight="1" x14ac:dyDescent="0.3">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6"/>
    </row>
    <row r="26" spans="1:36" ht="18.600000000000001" customHeight="1" x14ac:dyDescent="0.3">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6"/>
    </row>
    <row r="27" spans="1:36" ht="18.600000000000001" customHeight="1" x14ac:dyDescent="0.3">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6"/>
    </row>
    <row r="28" spans="1:36" ht="18.600000000000001" customHeight="1" x14ac:dyDescent="0.3">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6"/>
    </row>
    <row r="29" spans="1:36" ht="18.600000000000001" customHeight="1" x14ac:dyDescent="0.3">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6"/>
    </row>
    <row r="30" spans="1:36" ht="18.600000000000001" customHeight="1" x14ac:dyDescent="0.3">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6"/>
    </row>
    <row r="31" spans="1:36" ht="18.600000000000001" customHeight="1" x14ac:dyDescent="0.3">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6"/>
    </row>
    <row r="32" spans="1:36" ht="18.600000000000001" customHeight="1" x14ac:dyDescent="0.3">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6"/>
    </row>
    <row r="33" spans="1:36" ht="18.600000000000001" customHeight="1" x14ac:dyDescent="0.3">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6"/>
    </row>
    <row r="34" spans="1:36" ht="18.600000000000001" customHeight="1" x14ac:dyDescent="0.3">
      <c r="A34" s="83"/>
      <c r="B34" s="103"/>
      <c r="C34" s="360"/>
      <c r="D34" s="324"/>
      <c r="E34" s="191"/>
      <c r="F34" s="191"/>
      <c r="G34" s="96"/>
      <c r="H34" s="96"/>
      <c r="I34" s="96"/>
      <c r="J34" s="97"/>
      <c r="K34" s="96"/>
      <c r="M34" s="361"/>
      <c r="N34" s="361"/>
      <c r="O34" s="361"/>
      <c r="P34" s="721"/>
      <c r="Q34" s="722"/>
      <c r="R34" s="156" t="str">
        <f t="shared" si="0"/>
        <v/>
      </c>
      <c r="S34" s="676"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6"/>
    </row>
    <row r="35" spans="1:36" ht="18.600000000000001" customHeight="1" x14ac:dyDescent="0.3">
      <c r="A35" s="83"/>
      <c r="B35" s="103"/>
      <c r="C35" s="327"/>
      <c r="D35" s="328"/>
      <c r="E35" s="328"/>
      <c r="F35" s="328"/>
      <c r="G35" s="328"/>
      <c r="H35" s="328"/>
      <c r="I35" s="328"/>
      <c r="J35" s="328"/>
      <c r="K35" s="328"/>
      <c r="L35" s="328"/>
      <c r="M35" s="328"/>
      <c r="N35" s="328"/>
      <c r="O35" s="328"/>
      <c r="P35" s="328"/>
      <c r="Q35" s="328"/>
      <c r="R35" s="329"/>
      <c r="S35" s="422" t="s">
        <v>638</v>
      </c>
      <c r="T35" s="104"/>
      <c r="U35" s="83"/>
      <c r="V35" s="103"/>
      <c r="W35" s="103"/>
      <c r="X35" s="83"/>
      <c r="Y35" s="83"/>
      <c r="Z35" s="83"/>
      <c r="AA35" s="83"/>
      <c r="AB35" s="83"/>
      <c r="AC35" s="83"/>
      <c r="AD35" s="83"/>
      <c r="AE35" s="83"/>
      <c r="AF35" s="83"/>
      <c r="AG35" s="83"/>
      <c r="AH35" s="104"/>
      <c r="AI35" s="104"/>
      <c r="AJ35" s="356"/>
    </row>
    <row r="36" spans="1:36" ht="18.600000000000001" customHeight="1" x14ac:dyDescent="0.3">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00000000000001" customHeight="1" x14ac:dyDescent="0.3">
      <c r="A39" s="83"/>
      <c r="B39" s="751" t="str">
        <f>+"BEC Distribution: "&amp;E6</f>
        <v>BEC Distribution: Unit 3</v>
      </c>
      <c r="C39" s="752"/>
      <c r="D39" s="752"/>
      <c r="E39" s="752"/>
      <c r="F39" s="752"/>
      <c r="G39" s="751" t="str">
        <f>+"Estimate Benchmark: "&amp;E6</f>
        <v>Estimate Benchmark: Unit 3</v>
      </c>
      <c r="H39" s="752"/>
      <c r="I39" s="752"/>
      <c r="J39" s="753"/>
      <c r="K39" s="751" t="s">
        <v>633</v>
      </c>
      <c r="L39" s="752"/>
      <c r="M39" s="753"/>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00000000000001" customHeight="1" x14ac:dyDescent="0.3">
      <c r="A40" s="83"/>
      <c r="B40" s="100"/>
      <c r="C40" s="291"/>
      <c r="D40" s="276"/>
      <c r="E40" s="276"/>
      <c r="F40" s="113"/>
      <c r="G40" s="294"/>
      <c r="H40" s="291"/>
      <c r="I40" s="291"/>
      <c r="J40" s="295"/>
      <c r="K40" s="428" t="s">
        <v>588</v>
      </c>
      <c r="L40" s="767" t="s">
        <v>632</v>
      </c>
      <c r="M40" s="767"/>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00000000000001" customHeight="1" x14ac:dyDescent="0.3">
      <c r="A41" s="83"/>
      <c r="B41" s="103"/>
      <c r="C41" s="157"/>
      <c r="F41" s="84"/>
      <c r="G41" s="296"/>
      <c r="H41" s="157"/>
      <c r="I41" s="157"/>
      <c r="J41" s="157"/>
      <c r="K41" s="476" t="str">
        <f>+IF(C13="","",TEXT(C13,0))</f>
        <v/>
      </c>
      <c r="L41" s="822"/>
      <c r="M41" s="823"/>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00000000000001" customHeight="1" x14ac:dyDescent="0.3">
      <c r="A42" s="83"/>
      <c r="B42" s="103"/>
      <c r="C42" s="157"/>
      <c r="F42" s="84"/>
      <c r="G42" s="296"/>
      <c r="H42" s="157"/>
      <c r="I42" s="157"/>
      <c r="J42" s="157"/>
      <c r="K42" s="477"/>
      <c r="L42" s="820"/>
      <c r="M42" s="821"/>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00000000000001" customHeight="1" x14ac:dyDescent="0.3">
      <c r="A43" s="83"/>
      <c r="B43" s="103"/>
      <c r="C43" s="157"/>
      <c r="F43" s="84"/>
      <c r="G43" s="296"/>
      <c r="H43" s="157"/>
      <c r="I43" s="157"/>
      <c r="J43" s="157"/>
      <c r="K43" s="477"/>
      <c r="L43" s="820"/>
      <c r="M43" s="821"/>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00000000000001" customHeight="1" x14ac:dyDescent="0.3">
      <c r="A44" s="83"/>
      <c r="B44" s="103"/>
      <c r="C44" s="157"/>
      <c r="F44" s="84"/>
      <c r="G44" s="296"/>
      <c r="H44" s="157"/>
      <c r="I44" s="157"/>
      <c r="J44" s="157"/>
      <c r="K44" s="477"/>
      <c r="L44" s="820"/>
      <c r="M44" s="821"/>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805" t="s">
        <v>758</v>
      </c>
      <c r="C64" s="806"/>
      <c r="D64" s="806"/>
      <c r="E64" s="806"/>
      <c r="F64" s="807"/>
      <c r="G64" s="88" t="s">
        <v>696</v>
      </c>
      <c r="H64" s="88" t="s">
        <v>359</v>
      </c>
      <c r="I64" s="816" t="s">
        <v>579</v>
      </c>
      <c r="J64" s="816"/>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808"/>
      <c r="C65" s="809"/>
      <c r="D65" s="809"/>
      <c r="E65" s="809"/>
      <c r="F65" s="810"/>
      <c r="G65" s="500"/>
      <c r="H65" s="500"/>
      <c r="I65" s="818"/>
      <c r="J65" s="819"/>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99"/>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99"/>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L44:M44"/>
    <mergeCell ref="K39:M39"/>
    <mergeCell ref="L40:M40"/>
    <mergeCell ref="L41:M41"/>
    <mergeCell ref="L42:M42"/>
    <mergeCell ref="L43:M43"/>
    <mergeCell ref="B39:F39"/>
    <mergeCell ref="G39:J39"/>
    <mergeCell ref="I64:J64"/>
    <mergeCell ref="C6:C7"/>
    <mergeCell ref="C8:C9"/>
    <mergeCell ref="B64:F65"/>
    <mergeCell ref="I65:J65"/>
    <mergeCell ref="O5:S5"/>
    <mergeCell ref="O6:S9"/>
    <mergeCell ref="W3:AH3"/>
    <mergeCell ref="D5:E5"/>
    <mergeCell ref="G3:H3"/>
    <mergeCell ref="J3:M3"/>
    <mergeCell ref="O3:S3"/>
    <mergeCell ref="G5:H5"/>
    <mergeCell ref="C3:F3"/>
    <mergeCell ref="P34:Q34"/>
    <mergeCell ref="D8:D9"/>
    <mergeCell ref="E8:E9"/>
    <mergeCell ref="D11:J11"/>
    <mergeCell ref="K11:O11"/>
    <mergeCell ref="P11:R11"/>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topLeftCell="K1" zoomScale="70" zoomScaleNormal="70" workbookViewId="0">
      <selection activeCell="S20" sqref="S20"/>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51" t="s">
        <v>815</v>
      </c>
      <c r="D3" s="752"/>
      <c r="E3" s="752"/>
      <c r="F3" s="752"/>
      <c r="G3" s="751" t="s">
        <v>341</v>
      </c>
      <c r="H3" s="753"/>
      <c r="J3" s="751" t="s">
        <v>499</v>
      </c>
      <c r="K3" s="752"/>
      <c r="L3" s="752"/>
      <c r="M3" s="753"/>
      <c r="O3" s="751" t="str">
        <f>+E6</f>
        <v>Unit 4</v>
      </c>
      <c r="P3" s="752"/>
      <c r="Q3" s="752"/>
      <c r="R3" s="752"/>
      <c r="S3" s="753"/>
      <c r="T3" s="104"/>
      <c r="U3" s="103"/>
      <c r="V3" s="103"/>
      <c r="W3" s="778" t="str">
        <f>+E6&amp;" Diagram"</f>
        <v>Unit 4 Diagram</v>
      </c>
      <c r="X3" s="779"/>
      <c r="Y3" s="779"/>
      <c r="Z3" s="779"/>
      <c r="AA3" s="779"/>
      <c r="AB3" s="779"/>
      <c r="AC3" s="779"/>
      <c r="AD3" s="779"/>
      <c r="AE3" s="779"/>
      <c r="AF3" s="779"/>
      <c r="AG3" s="779"/>
      <c r="AH3" s="780"/>
      <c r="AI3" s="104"/>
      <c r="AJ3" s="356"/>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00000000000001" customHeight="1" x14ac:dyDescent="0.35">
      <c r="A5" s="83"/>
      <c r="B5" s="103"/>
      <c r="C5" s="83"/>
      <c r="D5" s="754" t="s">
        <v>265</v>
      </c>
      <c r="E5" s="755"/>
      <c r="F5" s="182"/>
      <c r="G5" s="754" t="s">
        <v>267</v>
      </c>
      <c r="H5" s="755"/>
      <c r="J5" s="393"/>
      <c r="K5" s="394"/>
      <c r="L5" s="185" t="s">
        <v>469</v>
      </c>
      <c r="M5" s="186" t="s">
        <v>504</v>
      </c>
      <c r="O5" s="677" t="s">
        <v>579</v>
      </c>
      <c r="P5" s="678"/>
      <c r="Q5" s="678"/>
      <c r="R5" s="678"/>
      <c r="S5" s="679"/>
      <c r="T5" s="104"/>
      <c r="U5" s="103"/>
      <c r="V5" s="103"/>
      <c r="W5" s="103"/>
      <c r="X5" s="83"/>
      <c r="Y5" s="83"/>
      <c r="Z5" s="83"/>
      <c r="AA5" s="83"/>
      <c r="AB5" s="83"/>
      <c r="AC5" s="83"/>
      <c r="AD5" s="83"/>
      <c r="AE5" s="83"/>
      <c r="AF5" s="83"/>
      <c r="AG5" s="83"/>
      <c r="AH5" s="104"/>
      <c r="AI5" s="104"/>
      <c r="AJ5" s="356"/>
    </row>
    <row r="6" spans="1:36" ht="18.600000000000001" customHeight="1" x14ac:dyDescent="0.3">
      <c r="A6" s="83"/>
      <c r="B6" s="103"/>
      <c r="C6" s="796" t="s">
        <v>495</v>
      </c>
      <c r="D6" s="424" t="s">
        <v>686</v>
      </c>
      <c r="E6" s="481" t="str">
        <f>+'Plant Overview'!V40</f>
        <v>Unit 4</v>
      </c>
      <c r="F6" s="183"/>
      <c r="G6" s="85"/>
      <c r="H6" s="319" t="s">
        <v>262</v>
      </c>
      <c r="J6" s="395"/>
      <c r="K6" s="396"/>
      <c r="L6" s="93" t="s">
        <v>470</v>
      </c>
      <c r="M6" s="86" t="s">
        <v>503</v>
      </c>
      <c r="O6" s="680"/>
      <c r="P6" s="732"/>
      <c r="Q6" s="732"/>
      <c r="R6" s="732"/>
      <c r="S6" s="733"/>
      <c r="T6" s="104"/>
      <c r="U6" s="103"/>
      <c r="V6" s="103"/>
      <c r="W6" s="103"/>
      <c r="X6" s="83"/>
      <c r="Y6" s="83"/>
      <c r="Z6" s="83"/>
      <c r="AA6" s="83"/>
      <c r="AB6" s="83"/>
      <c r="AC6" s="83"/>
      <c r="AD6" s="83"/>
      <c r="AE6" s="83"/>
      <c r="AF6" s="83"/>
      <c r="AG6" s="83"/>
      <c r="AH6" s="104"/>
      <c r="AI6" s="104"/>
      <c r="AJ6" s="356"/>
    </row>
    <row r="7" spans="1:36" ht="18.600000000000001" customHeight="1" x14ac:dyDescent="0.3">
      <c r="A7" s="83"/>
      <c r="B7" s="103"/>
      <c r="C7" s="797"/>
      <c r="D7" s="424" t="s">
        <v>685</v>
      </c>
      <c r="E7" s="413" t="str">
        <f>+'Plant Overview'!W40</f>
        <v>U-400</v>
      </c>
      <c r="F7" s="183"/>
      <c r="G7" s="179"/>
      <c r="H7" s="319" t="s">
        <v>263</v>
      </c>
      <c r="J7" s="395"/>
      <c r="K7" s="396"/>
      <c r="L7" s="185" t="s">
        <v>464</v>
      </c>
      <c r="M7" s="186" t="s">
        <v>502</v>
      </c>
      <c r="O7" s="734"/>
      <c r="P7" s="735"/>
      <c r="Q7" s="735"/>
      <c r="R7" s="735"/>
      <c r="S7" s="736"/>
      <c r="T7" s="104"/>
      <c r="U7" s="103"/>
      <c r="V7" s="103"/>
      <c r="W7" s="103"/>
      <c r="X7" s="83"/>
      <c r="Y7" s="83"/>
      <c r="Z7" s="83"/>
      <c r="AA7" s="83"/>
      <c r="AB7" s="83"/>
      <c r="AC7" s="83"/>
      <c r="AD7" s="83"/>
      <c r="AE7" s="83"/>
      <c r="AF7" s="83"/>
      <c r="AG7" s="83"/>
      <c r="AH7" s="104"/>
      <c r="AI7" s="104"/>
      <c r="AJ7" s="356"/>
    </row>
    <row r="8" spans="1:36" ht="18.600000000000001" customHeight="1" x14ac:dyDescent="0.3">
      <c r="A8" s="83"/>
      <c r="B8" s="103"/>
      <c r="C8" s="817"/>
      <c r="D8" s="814" t="s">
        <v>312</v>
      </c>
      <c r="E8" s="803"/>
      <c r="F8" s="184"/>
      <c r="G8" s="94"/>
      <c r="H8" s="98" t="s">
        <v>264</v>
      </c>
      <c r="J8" s="395"/>
      <c r="K8" s="396"/>
      <c r="L8" s="185" t="s">
        <v>465</v>
      </c>
      <c r="M8" s="186" t="s">
        <v>500</v>
      </c>
      <c r="O8" s="734"/>
      <c r="P8" s="735"/>
      <c r="Q8" s="735"/>
      <c r="R8" s="735"/>
      <c r="S8" s="736"/>
      <c r="T8" s="104"/>
      <c r="U8" s="103"/>
      <c r="V8" s="103"/>
      <c r="W8" s="103"/>
      <c r="X8" s="83"/>
      <c r="Y8" s="83"/>
      <c r="Z8" s="83"/>
      <c r="AA8" s="83"/>
      <c r="AB8" s="83"/>
      <c r="AC8" s="83"/>
      <c r="AD8" s="83"/>
      <c r="AE8" s="83"/>
      <c r="AF8" s="83"/>
      <c r="AG8" s="83"/>
      <c r="AH8" s="104"/>
      <c r="AI8" s="104"/>
      <c r="AJ8" s="356"/>
    </row>
    <row r="9" spans="1:36" ht="18.600000000000001" customHeight="1" x14ac:dyDescent="0.3">
      <c r="A9" s="83"/>
      <c r="B9" s="103"/>
      <c r="C9" s="766"/>
      <c r="D9" s="815"/>
      <c r="E9" s="804"/>
      <c r="F9" s="184"/>
      <c r="G9" s="108"/>
      <c r="H9" s="305" t="s">
        <v>268</v>
      </c>
      <c r="J9" s="397"/>
      <c r="K9" s="398"/>
      <c r="L9" s="185" t="s">
        <v>466</v>
      </c>
      <c r="M9" s="186" t="s">
        <v>501</v>
      </c>
      <c r="O9" s="737"/>
      <c r="P9" s="738"/>
      <c r="Q9" s="738"/>
      <c r="R9" s="738"/>
      <c r="S9" s="739"/>
      <c r="T9" s="104"/>
      <c r="U9" s="103"/>
      <c r="V9" s="103"/>
      <c r="W9" s="103"/>
      <c r="X9" s="83"/>
      <c r="Y9" s="83"/>
      <c r="Z9" s="83"/>
      <c r="AA9" s="83"/>
      <c r="AB9" s="83"/>
      <c r="AC9" s="83"/>
      <c r="AD9" s="83"/>
      <c r="AE9" s="83"/>
      <c r="AF9" s="83"/>
      <c r="AG9" s="83"/>
      <c r="AH9" s="104"/>
      <c r="AI9" s="104"/>
      <c r="AJ9" s="356"/>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00000000000001" customHeight="1" x14ac:dyDescent="0.3">
      <c r="A11" s="83"/>
      <c r="B11" s="103"/>
      <c r="C11" s="83"/>
      <c r="D11" s="751" t="s">
        <v>507</v>
      </c>
      <c r="E11" s="752"/>
      <c r="F11" s="752"/>
      <c r="G11" s="752"/>
      <c r="H11" s="752"/>
      <c r="I11" s="752"/>
      <c r="J11" s="752"/>
      <c r="K11" s="751" t="s">
        <v>506</v>
      </c>
      <c r="L11" s="752"/>
      <c r="M11" s="752"/>
      <c r="N11" s="752"/>
      <c r="O11" s="753"/>
      <c r="P11" s="751" t="s">
        <v>509</v>
      </c>
      <c r="Q11" s="752"/>
      <c r="R11" s="753"/>
      <c r="S11" s="83"/>
      <c r="T11" s="104"/>
      <c r="U11" s="103"/>
      <c r="V11" s="103"/>
      <c r="W11" s="103"/>
      <c r="X11" s="83"/>
      <c r="Y11" s="83"/>
      <c r="Z11" s="83"/>
      <c r="AA11" s="83"/>
      <c r="AB11" s="83"/>
      <c r="AC11" s="83"/>
      <c r="AD11" s="83"/>
      <c r="AE11" s="83"/>
      <c r="AF11" s="83"/>
      <c r="AG11" s="83"/>
      <c r="AH11" s="104"/>
      <c r="AI11" s="104"/>
      <c r="AJ11" s="356"/>
    </row>
    <row r="12" spans="1:36" ht="18.600000000000001" customHeight="1" x14ac:dyDescent="0.3">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00000000000001" customHeight="1" x14ac:dyDescent="0.3">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6"/>
    </row>
    <row r="14" spans="1:36" ht="18.600000000000001" customHeight="1" x14ac:dyDescent="0.3">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6"/>
    </row>
    <row r="15" spans="1:36" ht="18.600000000000001" customHeight="1" x14ac:dyDescent="0.3">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6"/>
    </row>
    <row r="16" spans="1:36" ht="18.600000000000001" customHeight="1" x14ac:dyDescent="0.3">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6"/>
    </row>
    <row r="17" spans="1:36" ht="18.600000000000001" customHeight="1" x14ac:dyDescent="0.3">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6"/>
    </row>
    <row r="18" spans="1:36" ht="18.600000000000001" customHeight="1" x14ac:dyDescent="0.3">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6"/>
    </row>
    <row r="19" spans="1:36" ht="18.600000000000001" customHeight="1" x14ac:dyDescent="0.3">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6"/>
    </row>
    <row r="20" spans="1:36" ht="18.600000000000001" customHeight="1" x14ac:dyDescent="0.3">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6"/>
    </row>
    <row r="21" spans="1:36" ht="18.600000000000001" customHeight="1" x14ac:dyDescent="0.3">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6"/>
    </row>
    <row r="22" spans="1:36" ht="18.600000000000001" customHeight="1" x14ac:dyDescent="0.3">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6"/>
    </row>
    <row r="23" spans="1:36" ht="18.600000000000001" customHeight="1" x14ac:dyDescent="0.3">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6"/>
    </row>
    <row r="24" spans="1:36" ht="18.600000000000001" customHeight="1" x14ac:dyDescent="0.3">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6"/>
    </row>
    <row r="25" spans="1:36" ht="18.600000000000001" customHeight="1" x14ac:dyDescent="0.3">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6"/>
    </row>
    <row r="26" spans="1:36" ht="18.600000000000001" customHeight="1" x14ac:dyDescent="0.3">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6"/>
    </row>
    <row r="27" spans="1:36" ht="18.600000000000001" customHeight="1" x14ac:dyDescent="0.3">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6"/>
    </row>
    <row r="28" spans="1:36" ht="18.600000000000001" customHeight="1" x14ac:dyDescent="0.3">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6"/>
    </row>
    <row r="29" spans="1:36" ht="18.600000000000001" customHeight="1" x14ac:dyDescent="0.3">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6"/>
    </row>
    <row r="30" spans="1:36" ht="18.600000000000001" customHeight="1" x14ac:dyDescent="0.3">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6"/>
    </row>
    <row r="31" spans="1:36" ht="18.600000000000001" customHeight="1" x14ac:dyDescent="0.3">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6"/>
    </row>
    <row r="32" spans="1:36" ht="18.600000000000001" customHeight="1" x14ac:dyDescent="0.3">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6"/>
    </row>
    <row r="33" spans="1:36" ht="18.600000000000001" customHeight="1" x14ac:dyDescent="0.3">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6"/>
    </row>
    <row r="34" spans="1:36" ht="18.600000000000001" customHeight="1" x14ac:dyDescent="0.3">
      <c r="A34" s="83"/>
      <c r="B34" s="103"/>
      <c r="C34" s="360"/>
      <c r="D34" s="324"/>
      <c r="E34" s="191"/>
      <c r="F34" s="191"/>
      <c r="G34" s="96"/>
      <c r="H34" s="96"/>
      <c r="I34" s="96"/>
      <c r="J34" s="97"/>
      <c r="K34" s="96"/>
      <c r="M34" s="361"/>
      <c r="N34" s="361"/>
      <c r="O34" s="361"/>
      <c r="P34" s="721"/>
      <c r="Q34" s="722"/>
      <c r="R34" s="156" t="str">
        <f t="shared" si="0"/>
        <v/>
      </c>
      <c r="S34" s="676"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6"/>
    </row>
    <row r="35" spans="1:36" ht="18.600000000000001" customHeight="1" x14ac:dyDescent="0.3">
      <c r="A35" s="83"/>
      <c r="B35" s="103"/>
      <c r="C35" s="327"/>
      <c r="D35" s="328"/>
      <c r="E35" s="328"/>
      <c r="F35" s="328"/>
      <c r="G35" s="328"/>
      <c r="H35" s="328"/>
      <c r="I35" s="328"/>
      <c r="J35" s="328"/>
      <c r="K35" s="328"/>
      <c r="L35" s="328"/>
      <c r="M35" s="328"/>
      <c r="N35" s="328"/>
      <c r="O35" s="328"/>
      <c r="P35" s="328"/>
      <c r="Q35" s="328"/>
      <c r="R35" s="329"/>
      <c r="S35" s="422" t="s">
        <v>638</v>
      </c>
      <c r="T35" s="104"/>
      <c r="U35" s="83"/>
      <c r="V35" s="103"/>
      <c r="W35" s="103"/>
      <c r="X35" s="83"/>
      <c r="Y35" s="83"/>
      <c r="Z35" s="83"/>
      <c r="AA35" s="83"/>
      <c r="AB35" s="83"/>
      <c r="AC35" s="83"/>
      <c r="AD35" s="83"/>
      <c r="AE35" s="83"/>
      <c r="AF35" s="83"/>
      <c r="AG35" s="83"/>
      <c r="AH35" s="104"/>
      <c r="AI35" s="104"/>
      <c r="AJ35" s="356"/>
    </row>
    <row r="36" spans="1:36" ht="18.600000000000001" customHeight="1" x14ac:dyDescent="0.3">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00000000000001" customHeight="1" x14ac:dyDescent="0.3">
      <c r="A39" s="83"/>
      <c r="B39" s="751" t="str">
        <f>+"BEC Distribution: "&amp;E6</f>
        <v>BEC Distribution: Unit 4</v>
      </c>
      <c r="C39" s="752"/>
      <c r="D39" s="752"/>
      <c r="E39" s="752"/>
      <c r="F39" s="752"/>
      <c r="G39" s="751" t="str">
        <f>+"Estimate Benchmark: "&amp;E6</f>
        <v>Estimate Benchmark: Unit 4</v>
      </c>
      <c r="H39" s="752"/>
      <c r="I39" s="752"/>
      <c r="J39" s="753"/>
      <c r="K39" s="751" t="s">
        <v>633</v>
      </c>
      <c r="L39" s="752"/>
      <c r="M39" s="753"/>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00000000000001" customHeight="1" x14ac:dyDescent="0.3">
      <c r="A40" s="83"/>
      <c r="B40" s="100"/>
      <c r="C40" s="291"/>
      <c r="D40" s="276"/>
      <c r="E40" s="276"/>
      <c r="F40" s="113"/>
      <c r="G40" s="294"/>
      <c r="H40" s="291"/>
      <c r="I40" s="291"/>
      <c r="J40" s="295"/>
      <c r="K40" s="595" t="s">
        <v>588</v>
      </c>
      <c r="L40" s="824" t="s">
        <v>632</v>
      </c>
      <c r="M40" s="825"/>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00000000000001" customHeight="1" x14ac:dyDescent="0.3">
      <c r="A41" s="83"/>
      <c r="B41" s="103"/>
      <c r="C41" s="157"/>
      <c r="F41" s="84"/>
      <c r="G41" s="296"/>
      <c r="H41" s="157"/>
      <c r="I41" s="157"/>
      <c r="J41" s="157"/>
      <c r="K41" s="476" t="str">
        <f>+IF(C13="","",TEXT(C13,0))</f>
        <v/>
      </c>
      <c r="L41" s="822"/>
      <c r="M41" s="823"/>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00000000000001" customHeight="1" x14ac:dyDescent="0.3">
      <c r="A42" s="83"/>
      <c r="B42" s="103"/>
      <c r="C42" s="157"/>
      <c r="F42" s="84"/>
      <c r="G42" s="296"/>
      <c r="H42" s="157"/>
      <c r="I42" s="157"/>
      <c r="J42" s="157"/>
      <c r="K42" s="477"/>
      <c r="L42" s="820"/>
      <c r="M42" s="821"/>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00000000000001" customHeight="1" x14ac:dyDescent="0.3">
      <c r="A43" s="83"/>
      <c r="B43" s="103"/>
      <c r="C43" s="157"/>
      <c r="F43" s="84"/>
      <c r="G43" s="296"/>
      <c r="H43" s="157"/>
      <c r="I43" s="157"/>
      <c r="J43" s="157"/>
      <c r="K43" s="477"/>
      <c r="L43" s="820"/>
      <c r="M43" s="821"/>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00000000000001" customHeight="1" x14ac:dyDescent="0.3">
      <c r="A44" s="83"/>
      <c r="B44" s="103"/>
      <c r="C44" s="157"/>
      <c r="F44" s="84"/>
      <c r="G44" s="296"/>
      <c r="H44" s="157"/>
      <c r="I44" s="157"/>
      <c r="J44" s="157"/>
      <c r="K44" s="477"/>
      <c r="L44" s="820"/>
      <c r="M44" s="821"/>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805" t="s">
        <v>758</v>
      </c>
      <c r="C64" s="806"/>
      <c r="D64" s="806"/>
      <c r="E64" s="806"/>
      <c r="F64" s="807"/>
      <c r="G64" s="88" t="s">
        <v>696</v>
      </c>
      <c r="H64" s="88" t="s">
        <v>359</v>
      </c>
      <c r="I64" s="816" t="s">
        <v>579</v>
      </c>
      <c r="J64" s="816"/>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808"/>
      <c r="C65" s="809"/>
      <c r="D65" s="809"/>
      <c r="E65" s="809"/>
      <c r="F65" s="810"/>
      <c r="G65" s="500"/>
      <c r="H65" s="500"/>
      <c r="I65" s="818"/>
      <c r="J65" s="819"/>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B68" s="83"/>
      <c r="C68" s="157"/>
      <c r="D68" s="157"/>
      <c r="E68" s="157"/>
      <c r="F68" s="157"/>
      <c r="G68" s="157"/>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B69" s="83"/>
      <c r="C69" s="157"/>
      <c r="D69" s="157"/>
      <c r="E69" s="157"/>
      <c r="F69" s="157"/>
      <c r="G69" s="157"/>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G39:J39"/>
    <mergeCell ref="C3:F3"/>
    <mergeCell ref="G3:H3"/>
    <mergeCell ref="J3:M3"/>
    <mergeCell ref="O3:S3"/>
    <mergeCell ref="K39:M39"/>
    <mergeCell ref="D5:E5"/>
    <mergeCell ref="G5:H5"/>
    <mergeCell ref="C6:C7"/>
    <mergeCell ref="C8:C9"/>
    <mergeCell ref="D8:D9"/>
    <mergeCell ref="E8:E9"/>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I19" sqref="I19"/>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524" t="s">
        <v>573</v>
      </c>
      <c r="C1" s="220"/>
      <c r="D1" s="83"/>
      <c r="E1" s="83"/>
      <c r="F1" s="83"/>
      <c r="G1" s="83"/>
      <c r="H1" s="83"/>
      <c r="I1" s="83"/>
      <c r="J1" s="83"/>
      <c r="K1" s="83"/>
      <c r="L1" s="83"/>
      <c r="M1" s="83"/>
      <c r="N1" s="83"/>
      <c r="O1" s="83"/>
    </row>
    <row r="2" spans="1:15" ht="24" customHeight="1" x14ac:dyDescent="0.3">
      <c r="B2" s="247"/>
      <c r="C2" s="247"/>
      <c r="D2" s="247"/>
      <c r="E2" s="247"/>
      <c r="F2" s="247"/>
      <c r="G2" s="247"/>
      <c r="H2" s="247"/>
      <c r="I2" s="365"/>
      <c r="J2" s="365"/>
      <c r="K2" s="365"/>
      <c r="L2" s="83"/>
      <c r="M2" s="83"/>
      <c r="N2" s="155"/>
      <c r="O2" s="155"/>
    </row>
    <row r="3" spans="1:15" ht="38.4" customHeight="1" x14ac:dyDescent="0.3">
      <c r="A3" s="83"/>
      <c r="B3" s="435" t="s">
        <v>461</v>
      </c>
      <c r="C3" s="436" t="s">
        <v>462</v>
      </c>
      <c r="D3" s="434" t="s">
        <v>662</v>
      </c>
      <c r="E3" s="434" t="s">
        <v>663</v>
      </c>
      <c r="F3" s="434" t="s">
        <v>689</v>
      </c>
      <c r="G3" s="434" t="s">
        <v>690</v>
      </c>
      <c r="H3" s="434" t="s">
        <v>440</v>
      </c>
      <c r="I3" s="155"/>
    </row>
    <row r="4" spans="1:15" ht="38.4" customHeight="1" x14ac:dyDescent="0.3">
      <c r="A4" s="83"/>
      <c r="B4" s="87" t="s">
        <v>674</v>
      </c>
      <c r="C4" s="411" t="s">
        <v>356</v>
      </c>
      <c r="D4" s="412" t="str">
        <f>+'Unit-100'!E6</f>
        <v>Unit 1</v>
      </c>
      <c r="E4" s="412" t="str">
        <f>+'Unit-200'!E6</f>
        <v>Unit 2</v>
      </c>
      <c r="F4" s="412" t="str">
        <f>+'Unit-300'!E6</f>
        <v>Unit 3</v>
      </c>
      <c r="G4" s="412" t="str">
        <f>+'Unit-400'!E6</f>
        <v>Unit 4</v>
      </c>
      <c r="H4" s="381" t="str">
        <f>+'Plant Overview'!E6</f>
        <v>Plant A</v>
      </c>
      <c r="I4" s="155"/>
    </row>
    <row r="5" spans="1:15" ht="38.4" customHeight="1" x14ac:dyDescent="0.3">
      <c r="A5" s="83"/>
      <c r="B5" s="410" t="s">
        <v>239</v>
      </c>
      <c r="C5" s="411" t="s">
        <v>356</v>
      </c>
      <c r="D5" s="382" t="s">
        <v>240</v>
      </c>
      <c r="E5" s="382" t="str">
        <f>+'Unit-200'!E7</f>
        <v>U-200</v>
      </c>
      <c r="F5" s="382" t="str">
        <f>+'Unit-300'!E7</f>
        <v>U-300</v>
      </c>
      <c r="G5" s="382" t="str">
        <f>+'Unit-400'!E7</f>
        <v>U-400</v>
      </c>
      <c r="H5" s="381" t="s">
        <v>589</v>
      </c>
      <c r="I5" s="155"/>
    </row>
    <row r="6" spans="1:15" ht="38.4" customHeight="1" thickBot="1" x14ac:dyDescent="0.35">
      <c r="A6" s="83"/>
      <c r="B6" s="236" t="s">
        <v>586</v>
      </c>
      <c r="C6" s="165" t="s">
        <v>587</v>
      </c>
      <c r="D6" s="389">
        <f ca="1">+'Unit-100'!S52+'Unit-100'!S53</f>
        <v>0</v>
      </c>
      <c r="E6" s="389">
        <f ca="1">+'Unit-200'!S52+'Unit-200'!S53</f>
        <v>0</v>
      </c>
      <c r="F6" s="389">
        <f ca="1">+'Unit-300'!S36+0</f>
        <v>0</v>
      </c>
      <c r="G6" s="389">
        <f ca="1">+'Unit-400'!S36+0</f>
        <v>0</v>
      </c>
      <c r="H6" s="390"/>
      <c r="I6" s="155"/>
    </row>
    <row r="7" spans="1:15" ht="38.4" customHeight="1" thickTop="1" x14ac:dyDescent="0.3">
      <c r="A7" s="83"/>
      <c r="B7" s="249" t="s">
        <v>273</v>
      </c>
      <c r="C7" s="144" t="s">
        <v>656</v>
      </c>
      <c r="D7" s="390">
        <f ca="1">+D6*D18</f>
        <v>0</v>
      </c>
      <c r="E7" s="390">
        <f ca="1">+E6*E18</f>
        <v>0</v>
      </c>
      <c r="F7" s="390">
        <f ca="1">+F6*F18</f>
        <v>0</v>
      </c>
      <c r="G7" s="390">
        <f ca="1">+G6*G18</f>
        <v>0</v>
      </c>
      <c r="H7" s="390"/>
      <c r="I7" s="155"/>
    </row>
    <row r="8" spans="1:15" ht="38.4" customHeight="1" x14ac:dyDescent="0.3">
      <c r="A8" s="83"/>
      <c r="B8" s="142" t="s">
        <v>274</v>
      </c>
      <c r="C8" s="145" t="s">
        <v>656</v>
      </c>
      <c r="D8" s="390">
        <f ca="1">+D19*D6</f>
        <v>0</v>
      </c>
      <c r="E8" s="390">
        <f ca="1">+E19*E6</f>
        <v>0</v>
      </c>
      <c r="F8" s="390">
        <f ca="1">+F19*F6</f>
        <v>0</v>
      </c>
      <c r="G8" s="390">
        <f ca="1">+G19*G6</f>
        <v>0</v>
      </c>
      <c r="H8" s="390"/>
      <c r="I8" s="83"/>
    </row>
    <row r="9" spans="1:15" ht="38.4" customHeight="1" x14ac:dyDescent="0.3">
      <c r="A9" s="83"/>
      <c r="B9" s="142" t="s">
        <v>275</v>
      </c>
      <c r="C9" s="245" t="s">
        <v>657</v>
      </c>
      <c r="D9" s="390">
        <f ca="1">+D20*(D6+D7+D8)</f>
        <v>0</v>
      </c>
      <c r="E9" s="390">
        <f ca="1">+E20*(E6+E7+E8)</f>
        <v>0</v>
      </c>
      <c r="F9" s="390">
        <f ca="1">+F20*(F6+F7+F8)</f>
        <v>0</v>
      </c>
      <c r="G9" s="390">
        <f ca="1">+G20*(G6+G7+G8)</f>
        <v>0</v>
      </c>
      <c r="H9" s="390"/>
      <c r="I9" s="83"/>
    </row>
    <row r="10" spans="1:15" ht="38.4" customHeight="1" x14ac:dyDescent="0.3">
      <c r="A10" s="83"/>
      <c r="B10" s="142" t="s">
        <v>276</v>
      </c>
      <c r="C10" s="143" t="s">
        <v>277</v>
      </c>
      <c r="D10" s="390">
        <f ca="1">+SUM(D8+D9)</f>
        <v>0</v>
      </c>
      <c r="E10" s="390">
        <f ca="1">+SUM(E8+E9)</f>
        <v>0</v>
      </c>
      <c r="F10" s="390">
        <f ca="1">+SUM(F8+F9)</f>
        <v>0</v>
      </c>
      <c r="G10" s="390">
        <f ca="1">+SUM(G8+G9)</f>
        <v>0</v>
      </c>
      <c r="H10" s="390"/>
      <c r="I10" s="83"/>
    </row>
    <row r="11" spans="1:15" ht="38.4" customHeight="1" x14ac:dyDescent="0.3">
      <c r="A11" s="83"/>
      <c r="B11" s="142" t="s">
        <v>278</v>
      </c>
      <c r="C11" s="143" t="s">
        <v>279</v>
      </c>
      <c r="D11" s="390">
        <f ca="1">+D6+D7+D10</f>
        <v>0</v>
      </c>
      <c r="E11" s="390">
        <f ca="1">+E6+E7+E10</f>
        <v>0</v>
      </c>
      <c r="F11" s="390">
        <f ca="1">+F6+F7+F10</f>
        <v>0</v>
      </c>
      <c r="G11" s="390">
        <f ca="1">+G6+G7+G10</f>
        <v>0</v>
      </c>
      <c r="H11" s="390"/>
      <c r="I11" s="83"/>
    </row>
    <row r="12" spans="1:15" ht="38.4" customHeight="1" x14ac:dyDescent="0.3">
      <c r="A12" s="83"/>
      <c r="B12" s="142" t="s">
        <v>280</v>
      </c>
      <c r="C12" s="143" t="s">
        <v>654</v>
      </c>
      <c r="D12" s="390">
        <f ca="1">+D11*D23</f>
        <v>0</v>
      </c>
      <c r="E12" s="390">
        <f ca="1">+E11*E23</f>
        <v>0</v>
      </c>
      <c r="F12" s="390">
        <f ca="1">+F11*F23</f>
        <v>0</v>
      </c>
      <c r="G12" s="390">
        <f ca="1">+G11*G23</f>
        <v>0</v>
      </c>
      <c r="H12" s="390"/>
      <c r="I12" s="83"/>
    </row>
    <row r="13" spans="1:15" ht="38.4" customHeight="1" thickBot="1" x14ac:dyDescent="0.35">
      <c r="A13" s="83"/>
      <c r="B13" s="167" t="s">
        <v>281</v>
      </c>
      <c r="C13" s="168" t="s">
        <v>282</v>
      </c>
      <c r="D13" s="390">
        <f ca="1">+D11+D12</f>
        <v>0</v>
      </c>
      <c r="E13" s="390">
        <f ca="1">+E11+E12</f>
        <v>0</v>
      </c>
      <c r="F13" s="390">
        <f ca="1">+F11+F12</f>
        <v>0</v>
      </c>
      <c r="G13" s="390">
        <f ca="1">+G11+G12</f>
        <v>0</v>
      </c>
      <c r="H13" s="390"/>
      <c r="I13" s="83"/>
    </row>
    <row r="14" spans="1:15" ht="38.4" customHeight="1" thickTop="1" x14ac:dyDescent="0.3">
      <c r="A14" s="83"/>
      <c r="B14" s="169" t="s">
        <v>283</v>
      </c>
      <c r="C14" s="144" t="s">
        <v>655</v>
      </c>
      <c r="D14" s="390">
        <f ca="1">+D13*D25</f>
        <v>0</v>
      </c>
      <c r="E14" s="390">
        <f ca="1">+E13*E25</f>
        <v>0</v>
      </c>
      <c r="F14" s="390">
        <f ca="1">+F13*F25</f>
        <v>0</v>
      </c>
      <c r="G14" s="390">
        <f ca="1">+G13*G25</f>
        <v>0</v>
      </c>
      <c r="H14" s="390"/>
      <c r="I14" s="83"/>
    </row>
    <row r="15" spans="1:15" x14ac:dyDescent="0.3">
      <c r="A15" s="83"/>
      <c r="B15" s="83"/>
      <c r="C15" s="83"/>
      <c r="D15" s="214"/>
      <c r="E15" s="214"/>
      <c r="F15" s="214"/>
      <c r="G15" s="214"/>
      <c r="H15" s="214"/>
      <c r="M15" s="83"/>
      <c r="N15" s="83"/>
      <c r="O15" s="83"/>
    </row>
    <row r="16" spans="1:15" ht="38.4" customHeight="1" x14ac:dyDescent="0.3">
      <c r="A16" s="83"/>
      <c r="B16" s="435" t="s">
        <v>359</v>
      </c>
      <c r="C16" s="435" t="s">
        <v>462</v>
      </c>
      <c r="D16" s="456" t="s">
        <v>662</v>
      </c>
      <c r="E16" s="456" t="s">
        <v>663</v>
      </c>
      <c r="F16" s="456" t="s">
        <v>689</v>
      </c>
      <c r="G16" s="456" t="s">
        <v>690</v>
      </c>
      <c r="H16" s="157"/>
      <c r="I16" s="83"/>
      <c r="J16" s="83"/>
    </row>
    <row r="17" spans="1:15" ht="38.4" customHeight="1" x14ac:dyDescent="0.3">
      <c r="A17" s="83"/>
      <c r="B17" s="86" t="s">
        <v>271</v>
      </c>
      <c r="C17" s="86" t="s">
        <v>272</v>
      </c>
      <c r="D17" s="325" t="s">
        <v>354</v>
      </c>
      <c r="E17" s="325" t="s">
        <v>354</v>
      </c>
      <c r="F17" s="325" t="s">
        <v>354</v>
      </c>
      <c r="G17" s="325" t="s">
        <v>354</v>
      </c>
      <c r="H17" s="157"/>
      <c r="I17" s="83"/>
      <c r="J17" s="83"/>
    </row>
    <row r="18" spans="1:15" ht="38.4" customHeight="1" x14ac:dyDescent="0.3">
      <c r="A18" s="83"/>
      <c r="B18" s="475" t="s">
        <v>273</v>
      </c>
      <c r="C18" s="86" t="s">
        <v>656</v>
      </c>
      <c r="D18" s="408">
        <v>0.1</v>
      </c>
      <c r="E18" s="408">
        <v>0.1</v>
      </c>
      <c r="F18" s="408">
        <v>0.1</v>
      </c>
      <c r="G18" s="408">
        <v>0.1</v>
      </c>
      <c r="H18" s="157"/>
      <c r="I18" s="83"/>
      <c r="J18" s="83"/>
    </row>
    <row r="19" spans="1:15" ht="38.4" customHeight="1" x14ac:dyDescent="0.3">
      <c r="A19" s="83"/>
      <c r="B19" s="86" t="s">
        <v>274</v>
      </c>
      <c r="C19" s="86" t="s">
        <v>656</v>
      </c>
      <c r="D19" s="409">
        <v>0</v>
      </c>
      <c r="E19" s="409">
        <v>0</v>
      </c>
      <c r="F19" s="409">
        <v>0</v>
      </c>
      <c r="G19" s="409">
        <v>0</v>
      </c>
      <c r="H19" s="157"/>
      <c r="I19" s="83"/>
      <c r="J19" s="83"/>
    </row>
    <row r="20" spans="1:15" ht="38.4" customHeight="1" x14ac:dyDescent="0.3">
      <c r="A20" s="83"/>
      <c r="B20" s="86" t="s">
        <v>275</v>
      </c>
      <c r="C20" s="86" t="s">
        <v>657</v>
      </c>
      <c r="D20" s="409">
        <v>0.2</v>
      </c>
      <c r="E20" s="409">
        <v>0.2</v>
      </c>
      <c r="F20" s="409">
        <v>0.2</v>
      </c>
      <c r="G20" s="409">
        <v>0.2</v>
      </c>
      <c r="H20" s="157"/>
      <c r="I20" s="83"/>
      <c r="J20" s="83"/>
    </row>
    <row r="21" spans="1:15" ht="38.4" customHeight="1" x14ac:dyDescent="0.3">
      <c r="A21" s="83"/>
      <c r="B21" s="86" t="s">
        <v>276</v>
      </c>
      <c r="C21" s="86" t="s">
        <v>277</v>
      </c>
      <c r="D21" s="315" t="s">
        <v>354</v>
      </c>
      <c r="E21" s="315" t="s">
        <v>354</v>
      </c>
      <c r="F21" s="315" t="s">
        <v>354</v>
      </c>
      <c r="G21" s="315" t="s">
        <v>354</v>
      </c>
      <c r="H21" s="157"/>
      <c r="I21" s="83"/>
      <c r="J21" s="83"/>
    </row>
    <row r="22" spans="1:15" ht="38.4" customHeight="1" x14ac:dyDescent="0.3">
      <c r="A22" s="83"/>
      <c r="B22" s="86" t="s">
        <v>278</v>
      </c>
      <c r="C22" s="86" t="s">
        <v>279</v>
      </c>
      <c r="D22" s="315" t="s">
        <v>354</v>
      </c>
      <c r="E22" s="315" t="s">
        <v>354</v>
      </c>
      <c r="F22" s="315" t="s">
        <v>354</v>
      </c>
      <c r="G22" s="315" t="s">
        <v>354</v>
      </c>
      <c r="H22" s="157"/>
      <c r="I22" s="83"/>
      <c r="J22" s="83"/>
    </row>
    <row r="23" spans="1:15" ht="38.4" customHeight="1" x14ac:dyDescent="0.3">
      <c r="A23" s="83"/>
      <c r="B23" s="86" t="s">
        <v>280</v>
      </c>
      <c r="C23" s="86" t="s">
        <v>654</v>
      </c>
      <c r="D23" s="409">
        <v>0.15</v>
      </c>
      <c r="E23" s="409">
        <v>0.15</v>
      </c>
      <c r="F23" s="409">
        <v>0.15</v>
      </c>
      <c r="G23" s="409">
        <v>0.15</v>
      </c>
      <c r="H23" s="157"/>
      <c r="I23" s="83"/>
      <c r="J23" s="83"/>
    </row>
    <row r="24" spans="1:15" ht="38.4" customHeight="1" x14ac:dyDescent="0.3">
      <c r="A24" s="83"/>
      <c r="B24" s="86" t="s">
        <v>281</v>
      </c>
      <c r="C24" s="86" t="s">
        <v>282</v>
      </c>
      <c r="D24" s="315" t="s">
        <v>354</v>
      </c>
      <c r="E24" s="315" t="s">
        <v>354</v>
      </c>
      <c r="F24" s="315" t="s">
        <v>354</v>
      </c>
      <c r="G24" s="315" t="s">
        <v>354</v>
      </c>
      <c r="H24" s="157"/>
      <c r="I24" s="83"/>
      <c r="J24" s="83"/>
    </row>
    <row r="25" spans="1:15" ht="38.4" customHeight="1" x14ac:dyDescent="0.3">
      <c r="A25" s="83"/>
      <c r="B25" s="86" t="s">
        <v>283</v>
      </c>
      <c r="C25" s="86" t="s">
        <v>284</v>
      </c>
      <c r="D25" s="409">
        <v>1.1100000000000001</v>
      </c>
      <c r="E25" s="409">
        <v>1.1100000000000001</v>
      </c>
      <c r="F25" s="409">
        <v>1.1100000000000001</v>
      </c>
      <c r="G25" s="409">
        <v>1.1100000000000001</v>
      </c>
      <c r="H25" s="157"/>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826" t="s">
        <v>631</v>
      </c>
      <c r="C28" s="827"/>
      <c r="E28" s="246"/>
      <c r="G28" s="83"/>
      <c r="H28" s="83"/>
      <c r="I28" s="83"/>
      <c r="J28" s="83"/>
      <c r="K28" s="83"/>
      <c r="L28" s="83"/>
      <c r="M28" s="83"/>
      <c r="N28" s="83"/>
      <c r="O28" s="83"/>
    </row>
    <row r="29" spans="1:15" ht="36" customHeight="1" x14ac:dyDescent="0.3">
      <c r="A29" s="83"/>
      <c r="B29" s="400" t="s">
        <v>463</v>
      </c>
      <c r="C29" s="448" t="str">
        <f>+'Plant Overview'!E9</f>
        <v>€</v>
      </c>
      <c r="D29" s="453" t="s">
        <v>495</v>
      </c>
      <c r="E29" s="248"/>
      <c r="F29" s="83"/>
      <c r="G29" s="83"/>
      <c r="H29" s="83"/>
      <c r="I29" s="83"/>
      <c r="J29" s="83"/>
      <c r="K29" s="83"/>
      <c r="L29" s="83"/>
      <c r="M29" s="83"/>
      <c r="N29" s="83"/>
      <c r="O29" s="83"/>
    </row>
    <row r="30" spans="1:15" ht="36" customHeight="1" x14ac:dyDescent="0.3">
      <c r="A30" s="83"/>
      <c r="B30" s="449" t="s">
        <v>315</v>
      </c>
      <c r="C30" s="450">
        <f>+'Plant Overview'!E8</f>
        <v>2020</v>
      </c>
      <c r="D30" s="391"/>
      <c r="E30" s="83"/>
      <c r="F30" s="83"/>
      <c r="G30" s="83"/>
      <c r="H30" s="83"/>
      <c r="I30" s="83"/>
      <c r="J30" s="83"/>
      <c r="K30" s="83"/>
      <c r="L30" s="83"/>
      <c r="M30" s="83"/>
      <c r="N30" s="83"/>
      <c r="O30" s="83"/>
    </row>
    <row r="31" spans="1:15" ht="36" customHeight="1" x14ac:dyDescent="0.3">
      <c r="A31" s="83"/>
      <c r="B31" s="451" t="s">
        <v>476</v>
      </c>
      <c r="C31" s="452" t="str">
        <f>+'Plant Overview'!E7</f>
        <v>Western Europe</v>
      </c>
      <c r="D31" s="392"/>
      <c r="E31" s="83"/>
      <c r="F31" s="83"/>
      <c r="G31" s="83"/>
      <c r="H31" s="83"/>
      <c r="I31" s="83"/>
      <c r="J31" s="83"/>
      <c r="K31" s="83"/>
      <c r="L31" s="83"/>
      <c r="M31" s="83"/>
      <c r="N31" s="83"/>
      <c r="O31" s="83"/>
    </row>
    <row r="32" spans="1:15" ht="36" customHeight="1" x14ac:dyDescent="0.3">
      <c r="A32" s="83"/>
      <c r="B32" s="83"/>
      <c r="C32" s="157"/>
      <c r="D32" s="157"/>
      <c r="E32" s="83"/>
      <c r="F32" s="83"/>
      <c r="G32" s="83"/>
      <c r="H32" s="83"/>
      <c r="I32" s="83"/>
      <c r="J32" s="83"/>
      <c r="K32" s="83"/>
      <c r="L32" s="83"/>
      <c r="M32" s="83"/>
      <c r="N32" s="83"/>
      <c r="O32" s="83"/>
    </row>
    <row r="33" spans="1:15" ht="36" customHeight="1" x14ac:dyDescent="0.3">
      <c r="A33" s="83"/>
      <c r="B33" s="414" t="s">
        <v>592</v>
      </c>
      <c r="C33" s="415" t="str">
        <f>+"Total (M"&amp;C29&amp;")"</f>
        <v>Total (M€)</v>
      </c>
      <c r="D33" s="416" t="str">
        <f>+"Specific ("&amp;C29&amp;"/"&amp;'Plant Overview'!G32&amp;")"</f>
        <v>Specific (€/unit_P1)</v>
      </c>
      <c r="E33" s="83"/>
      <c r="F33" s="83"/>
      <c r="G33" s="83"/>
      <c r="H33" s="83"/>
      <c r="I33" s="83"/>
      <c r="J33" s="83"/>
      <c r="K33" s="83"/>
      <c r="L33" s="83"/>
      <c r="M33" s="83"/>
      <c r="N33" s="83"/>
      <c r="O33" s="83"/>
    </row>
    <row r="34" spans="1:15" ht="36" customHeight="1" x14ac:dyDescent="0.3">
      <c r="A34" s="83"/>
      <c r="B34" s="451" t="s">
        <v>590</v>
      </c>
      <c r="C34" s="454">
        <f>+H13</f>
        <v>0</v>
      </c>
      <c r="D34" s="454" t="e">
        <f>+C34/'Cash Flow Analysis'!D5*1000</f>
        <v>#DIV/0!</v>
      </c>
      <c r="E34" s="83"/>
      <c r="F34" s="83"/>
      <c r="G34" s="83"/>
      <c r="H34" s="83"/>
      <c r="I34" s="83"/>
      <c r="J34" s="83"/>
      <c r="K34" s="83"/>
      <c r="L34" s="83"/>
      <c r="M34" s="83"/>
      <c r="N34" s="83"/>
      <c r="O34" s="83"/>
    </row>
    <row r="35" spans="1:15" ht="36" customHeight="1" x14ac:dyDescent="0.3">
      <c r="A35" s="83"/>
      <c r="B35" s="451" t="s">
        <v>591</v>
      </c>
      <c r="C35" s="454">
        <f>+H14</f>
        <v>0</v>
      </c>
      <c r="D35" s="455"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608" t="s">
        <v>766</v>
      </c>
      <c r="C37" s="357" t="s">
        <v>594</v>
      </c>
      <c r="D37" s="220"/>
      <c r="E37" s="83"/>
      <c r="F37" s="83"/>
      <c r="G37" s="83"/>
      <c r="H37" s="83"/>
      <c r="I37" s="83"/>
      <c r="J37" s="83"/>
      <c r="K37" s="83"/>
      <c r="L37" s="83"/>
      <c r="M37" s="83"/>
      <c r="N37" s="83"/>
      <c r="O37" s="83"/>
    </row>
    <row r="38" spans="1:15" ht="36" customHeight="1" x14ac:dyDescent="0.3">
      <c r="A38" s="83"/>
      <c r="B38" s="609"/>
      <c r="C38" s="250" t="s">
        <v>595</v>
      </c>
      <c r="D38" s="220"/>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45720</xdr:colOff>
                    <xdr:row>0</xdr:row>
                    <xdr:rowOff>45720</xdr:rowOff>
                  </from>
                  <to>
                    <xdr:col>2</xdr:col>
                    <xdr:colOff>3093720</xdr:colOff>
                    <xdr:row>0</xdr:row>
                    <xdr:rowOff>365760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I60" sqref="I60"/>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s>
  <sheetData>
    <row r="1" spans="1:25" ht="21" customHeight="1" x14ac:dyDescent="0.3">
      <c r="H1"/>
    </row>
    <row r="2" spans="1:25" ht="21" customHeight="1" x14ac:dyDescent="0.3">
      <c r="A2" s="83"/>
      <c r="B2" s="828" t="s">
        <v>574</v>
      </c>
      <c r="C2" s="828"/>
      <c r="D2" s="83"/>
      <c r="E2" s="83"/>
      <c r="F2" s="83"/>
      <c r="G2" s="83"/>
      <c r="I2" s="83"/>
      <c r="J2" s="83"/>
      <c r="K2" s="83"/>
      <c r="L2" s="83"/>
      <c r="M2" s="83"/>
      <c r="N2" s="83"/>
      <c r="O2" s="83"/>
      <c r="P2" s="83"/>
      <c r="Q2" s="83"/>
      <c r="R2" s="83"/>
      <c r="S2" s="751" t="s">
        <v>643</v>
      </c>
      <c r="T2" s="752"/>
      <c r="U2" s="752"/>
      <c r="V2" s="752"/>
      <c r="W2" s="752"/>
      <c r="X2" s="752"/>
      <c r="Y2" s="753"/>
    </row>
    <row r="3" spans="1:25" ht="21" customHeight="1" x14ac:dyDescent="0.3">
      <c r="A3" s="83"/>
      <c r="B3" s="828"/>
      <c r="C3" s="828"/>
      <c r="D3" s="83"/>
      <c r="E3" s="83"/>
      <c r="F3" s="83"/>
      <c r="G3" s="83"/>
      <c r="I3" s="83"/>
      <c r="J3" s="377"/>
      <c r="K3" s="377"/>
      <c r="L3" s="377"/>
      <c r="M3" s="83"/>
      <c r="N3" s="83"/>
      <c r="O3" s="83"/>
      <c r="P3" s="754" t="s">
        <v>267</v>
      </c>
      <c r="Q3" s="755"/>
      <c r="T3" s="83"/>
      <c r="U3" s="83"/>
      <c r="V3" s="83"/>
    </row>
    <row r="4" spans="1:25" ht="21" customHeight="1" x14ac:dyDescent="0.3">
      <c r="A4" s="83"/>
      <c r="B4" s="835" t="s">
        <v>495</v>
      </c>
      <c r="C4" s="836"/>
      <c r="D4" s="83"/>
      <c r="E4" s="83"/>
      <c r="F4" s="222" t="s">
        <v>577</v>
      </c>
      <c r="G4" s="223" t="s">
        <v>578</v>
      </c>
      <c r="I4" s="83"/>
      <c r="J4" s="83"/>
      <c r="K4" s="215"/>
      <c r="L4" s="213"/>
      <c r="M4" s="210"/>
      <c r="N4" s="83"/>
      <c r="O4" s="83"/>
      <c r="P4" s="363"/>
      <c r="Q4" s="319" t="s">
        <v>262</v>
      </c>
      <c r="S4" s="116" t="s">
        <v>696</v>
      </c>
      <c r="T4" s="117" t="s">
        <v>359</v>
      </c>
      <c r="U4" s="798" t="s">
        <v>579</v>
      </c>
      <c r="V4" s="799"/>
      <c r="W4" s="799"/>
      <c r="X4" s="799"/>
      <c r="Y4" s="800"/>
    </row>
    <row r="5" spans="1:25" ht="21" customHeight="1" x14ac:dyDescent="0.3">
      <c r="A5" s="83"/>
      <c r="B5" s="837"/>
      <c r="C5" s="838"/>
      <c r="D5" s="83"/>
      <c r="E5" s="221" t="s">
        <v>457</v>
      </c>
      <c r="F5" s="220"/>
      <c r="G5" s="220"/>
      <c r="I5" s="83"/>
      <c r="J5" s="83"/>
      <c r="K5" s="210"/>
      <c r="L5" s="213"/>
      <c r="M5" s="210"/>
      <c r="N5" s="83"/>
      <c r="O5" s="83"/>
      <c r="P5" s="404"/>
      <c r="Q5" s="319" t="s">
        <v>263</v>
      </c>
      <c r="S5" s="499"/>
      <c r="T5" s="110"/>
      <c r="U5" s="791"/>
      <c r="V5" s="792"/>
      <c r="W5" s="792"/>
      <c r="X5" s="792"/>
      <c r="Y5" s="793"/>
    </row>
    <row r="6" spans="1:25" ht="21" customHeight="1" x14ac:dyDescent="0.3">
      <c r="A6" s="83"/>
      <c r="B6" s="835"/>
      <c r="C6" s="836"/>
      <c r="D6" s="83"/>
      <c r="E6" s="221" t="s">
        <v>576</v>
      </c>
      <c r="F6" s="220"/>
      <c r="G6" s="220"/>
      <c r="I6" s="83"/>
      <c r="J6" s="83"/>
      <c r="K6" s="371"/>
      <c r="L6" s="213"/>
      <c r="M6" s="210"/>
      <c r="N6" s="83"/>
      <c r="O6" s="83"/>
      <c r="P6" s="405"/>
      <c r="Q6" s="98" t="s">
        <v>264</v>
      </c>
      <c r="S6" s="499"/>
      <c r="T6" s="110"/>
      <c r="U6" s="791"/>
      <c r="V6" s="792"/>
      <c r="W6" s="792"/>
      <c r="X6" s="792"/>
      <c r="Y6" s="793"/>
    </row>
    <row r="7" spans="1:25" s="83" customFormat="1" ht="21" customHeight="1" x14ac:dyDescent="0.3">
      <c r="B7" s="839"/>
      <c r="C7" s="840"/>
      <c r="E7" s="221" t="s">
        <v>458</v>
      </c>
      <c r="F7" s="220"/>
      <c r="G7" s="220"/>
      <c r="K7" s="210"/>
      <c r="L7" s="213"/>
      <c r="M7" s="210"/>
      <c r="P7" s="406"/>
      <c r="Q7" s="305" t="s">
        <v>268</v>
      </c>
      <c r="S7" s="499"/>
      <c r="T7" s="110"/>
      <c r="U7" s="791"/>
      <c r="V7" s="792"/>
      <c r="W7" s="792"/>
      <c r="X7" s="792"/>
      <c r="Y7" s="793"/>
    </row>
    <row r="8" spans="1:25" s="83" customFormat="1" ht="21" customHeight="1" x14ac:dyDescent="0.3">
      <c r="B8" s="839"/>
      <c r="C8" s="840"/>
      <c r="E8" s="835" t="s">
        <v>739</v>
      </c>
      <c r="F8" s="841"/>
      <c r="G8" s="836"/>
      <c r="K8" s="210"/>
      <c r="L8" s="213"/>
      <c r="M8" s="210"/>
      <c r="S8" s="499"/>
      <c r="T8" s="110"/>
      <c r="U8" s="791"/>
      <c r="V8" s="792"/>
      <c r="W8" s="792"/>
      <c r="X8" s="792"/>
      <c r="Y8" s="793"/>
    </row>
    <row r="9" spans="1:25" ht="21" customHeight="1" x14ac:dyDescent="0.3">
      <c r="A9" s="83"/>
      <c r="B9" s="837"/>
      <c r="C9" s="838"/>
      <c r="D9" s="374"/>
      <c r="E9" s="837"/>
      <c r="F9" s="842"/>
      <c r="G9" s="838"/>
      <c r="I9" s="83"/>
      <c r="J9" s="210"/>
      <c r="K9" s="210"/>
      <c r="L9" s="210"/>
      <c r="M9" s="210"/>
      <c r="N9" s="83"/>
      <c r="O9" s="83"/>
      <c r="P9" s="237" t="s">
        <v>688</v>
      </c>
      <c r="Q9" s="305">
        <f>+'Cost Conversion'!L2</f>
        <v>1.2</v>
      </c>
      <c r="S9" s="499"/>
      <c r="T9" s="110"/>
      <c r="U9" s="791"/>
      <c r="V9" s="792"/>
      <c r="W9" s="792"/>
      <c r="X9" s="792"/>
      <c r="Y9" s="793"/>
    </row>
    <row r="10" spans="1:25" ht="21" customHeight="1" x14ac:dyDescent="0.3">
      <c r="A10" s="83"/>
      <c r="B10" s="83"/>
      <c r="C10" s="83"/>
      <c r="D10" s="374"/>
      <c r="E10" s="83"/>
      <c r="F10" s="212"/>
      <c r="G10" s="83"/>
      <c r="I10" s="83"/>
      <c r="J10" s="210"/>
      <c r="K10" s="210"/>
      <c r="L10" s="210"/>
      <c r="M10" s="210"/>
      <c r="N10" s="83"/>
      <c r="O10" s="83"/>
      <c r="P10" s="237" t="s">
        <v>765</v>
      </c>
      <c r="Q10" s="86">
        <f>365.25*24</f>
        <v>8766</v>
      </c>
      <c r="T10" s="210"/>
      <c r="U10" s="210"/>
      <c r="V10" s="210"/>
    </row>
    <row r="11" spans="1:25" ht="21" customHeight="1" x14ac:dyDescent="0.3">
      <c r="A11" s="83"/>
      <c r="B11" s="83"/>
      <c r="C11" s="83"/>
      <c r="D11" s="374"/>
      <c r="E11" s="83"/>
      <c r="F11" s="212"/>
      <c r="G11" s="83"/>
      <c r="I11" s="83"/>
      <c r="J11" s="210"/>
      <c r="K11" s="210"/>
      <c r="L11" s="210"/>
      <c r="M11" s="210"/>
      <c r="N11" s="83"/>
      <c r="O11" s="83"/>
      <c r="T11" s="210"/>
      <c r="U11" s="210"/>
      <c r="V11" s="210"/>
    </row>
    <row r="12" spans="1:25" ht="21" customHeight="1" x14ac:dyDescent="0.3">
      <c r="A12" s="83"/>
      <c r="B12" s="83"/>
      <c r="C12" s="83"/>
      <c r="D12" s="374"/>
      <c r="E12" s="83"/>
      <c r="F12" s="212"/>
      <c r="G12" s="83"/>
      <c r="J12" s="210"/>
      <c r="K12" s="210"/>
      <c r="L12" s="210"/>
      <c r="M12" s="210"/>
      <c r="N12" s="83"/>
      <c r="O12" s="83"/>
      <c r="T12" s="210"/>
      <c r="U12" s="210"/>
      <c r="V12" s="210"/>
    </row>
    <row r="13" spans="1:25" ht="21" customHeight="1" x14ac:dyDescent="0.3">
      <c r="A13" s="83"/>
      <c r="B13" s="83"/>
      <c r="C13" s="83"/>
      <c r="D13" s="210"/>
      <c r="E13" s="210"/>
      <c r="F13" s="210"/>
      <c r="G13" s="210"/>
      <c r="I13" s="83"/>
      <c r="J13" s="217"/>
      <c r="K13" s="212"/>
      <c r="L13" s="83"/>
      <c r="M13" s="83"/>
      <c r="N13" s="83"/>
      <c r="O13" s="83"/>
      <c r="P13" s="210"/>
      <c r="Q13" s="210"/>
      <c r="R13" s="210"/>
      <c r="S13" s="210"/>
      <c r="T13" s="210"/>
      <c r="U13" s="210"/>
      <c r="V13" s="210"/>
    </row>
    <row r="14" spans="1:25" ht="21" customHeight="1" x14ac:dyDescent="0.3">
      <c r="A14" s="83"/>
      <c r="B14" s="832" t="s">
        <v>448</v>
      </c>
      <c r="C14" s="833"/>
      <c r="D14" s="833"/>
      <c r="E14" s="833"/>
      <c r="F14" s="833"/>
      <c r="G14" s="834"/>
      <c r="H14" s="176"/>
      <c r="I14" s="832" t="s">
        <v>705</v>
      </c>
      <c r="J14" s="833"/>
      <c r="K14" s="833"/>
      <c r="L14" s="833"/>
      <c r="M14" s="833"/>
      <c r="N14" s="834"/>
      <c r="O14" s="83"/>
      <c r="P14" s="751" t="s">
        <v>450</v>
      </c>
      <c r="Q14" s="752"/>
      <c r="R14" s="752"/>
      <c r="S14" s="752"/>
      <c r="T14" s="752"/>
      <c r="U14" s="753"/>
      <c r="V14" s="210"/>
      <c r="W14" s="171" t="str">
        <f>+B18</f>
        <v>Total FOM</v>
      </c>
    </row>
    <row r="15" spans="1:25" ht="21" customHeight="1" x14ac:dyDescent="0.3">
      <c r="A15" s="83"/>
      <c r="B15" s="457" t="s">
        <v>677</v>
      </c>
      <c r="C15" s="458" t="s">
        <v>666</v>
      </c>
      <c r="D15" s="457" t="s">
        <v>675</v>
      </c>
      <c r="E15" s="458" t="s">
        <v>575</v>
      </c>
      <c r="F15" s="457" t="s">
        <v>676</v>
      </c>
      <c r="G15" s="527" t="s">
        <v>714</v>
      </c>
      <c r="H15" s="375"/>
      <c r="I15" s="457" t="s">
        <v>677</v>
      </c>
      <c r="J15" s="458" t="s">
        <v>666</v>
      </c>
      <c r="K15" s="457" t="s">
        <v>675</v>
      </c>
      <c r="L15" s="458" t="s">
        <v>575</v>
      </c>
      <c r="M15" s="457" t="s">
        <v>676</v>
      </c>
      <c r="N15" s="459" t="s">
        <v>715</v>
      </c>
      <c r="O15" s="376"/>
      <c r="P15" s="460" t="s">
        <v>677</v>
      </c>
      <c r="Q15" s="461" t="s">
        <v>666</v>
      </c>
      <c r="R15" s="462" t="s">
        <v>675</v>
      </c>
      <c r="S15" s="461" t="s">
        <v>575</v>
      </c>
      <c r="T15" s="462" t="s">
        <v>676</v>
      </c>
      <c r="U15" s="463" t="s">
        <v>715</v>
      </c>
      <c r="V15" s="210"/>
      <c r="W15" s="171" t="str">
        <f>+I16</f>
        <v>Fuel 1</v>
      </c>
    </row>
    <row r="16" spans="1:25" ht="21" customHeight="1" x14ac:dyDescent="0.3">
      <c r="A16" s="83"/>
      <c r="B16" s="96" t="s">
        <v>662</v>
      </c>
      <c r="C16" s="96"/>
      <c r="D16" s="96"/>
      <c r="E16" s="96"/>
      <c r="F16" s="96"/>
      <c r="G16" s="149">
        <f>+C16*E16</f>
        <v>0</v>
      </c>
      <c r="H16" s="176"/>
      <c r="I16" s="96" t="str">
        <f>+'Plant Overview'!E71</f>
        <v>Fuel 1</v>
      </c>
      <c r="J16" s="96"/>
      <c r="K16" s="96"/>
      <c r="L16" s="96"/>
      <c r="M16" s="96"/>
      <c r="N16" s="402">
        <f>+J16*L16/10^6</f>
        <v>0</v>
      </c>
      <c r="O16" s="83"/>
      <c r="P16" s="96" t="str">
        <f>'Plant Overview'!E52</f>
        <v>Emissions 1</v>
      </c>
      <c r="Q16" s="96"/>
      <c r="R16" s="96"/>
      <c r="S16" s="96"/>
      <c r="T16" s="96"/>
      <c r="U16" s="149">
        <f>+Q16*S16/10^6</f>
        <v>0</v>
      </c>
      <c r="V16" s="210"/>
      <c r="W16" s="171" t="str">
        <f>+I17</f>
        <v>Fuel 2</v>
      </c>
    </row>
    <row r="17" spans="1:23" ht="21" customHeight="1" x14ac:dyDescent="0.35">
      <c r="A17" s="83"/>
      <c r="B17" s="96" t="s">
        <v>663</v>
      </c>
      <c r="C17" s="96"/>
      <c r="D17" s="96"/>
      <c r="E17" s="96"/>
      <c r="F17" s="96"/>
      <c r="G17" s="149">
        <f>+C17*E17</f>
        <v>0</v>
      </c>
      <c r="H17" s="216"/>
      <c r="I17" s="96" t="str">
        <f>+'Plant Overview'!E72</f>
        <v>Fuel 2</v>
      </c>
      <c r="J17" s="96"/>
      <c r="K17" s="96"/>
      <c r="L17" s="96"/>
      <c r="M17" s="96"/>
      <c r="N17" s="401">
        <f>+J17*L17/10^6</f>
        <v>0</v>
      </c>
      <c r="O17" s="83"/>
      <c r="P17" s="96" t="s">
        <v>662</v>
      </c>
      <c r="Q17" s="96"/>
      <c r="R17" s="96"/>
      <c r="S17" s="96"/>
      <c r="T17" s="96"/>
      <c r="U17" s="149">
        <f>+Q17*S17/10^6</f>
        <v>0</v>
      </c>
      <c r="V17" s="210"/>
      <c r="W17" s="171" t="str">
        <f>+P18</f>
        <v>Total VOM (exl. Fuel &amp; CO2 tax)</v>
      </c>
    </row>
    <row r="18" spans="1:23" ht="21" customHeight="1" x14ac:dyDescent="0.35">
      <c r="A18" s="83"/>
      <c r="B18" s="829" t="s">
        <v>449</v>
      </c>
      <c r="C18" s="830"/>
      <c r="D18" s="830"/>
      <c r="E18" s="830"/>
      <c r="F18" s="831"/>
      <c r="G18" s="401">
        <f>SUM(Tabla60[cost/year])</f>
        <v>0</v>
      </c>
      <c r="H18" s="216"/>
      <c r="I18" s="83"/>
      <c r="J18" s="83"/>
      <c r="K18" s="83"/>
      <c r="L18" s="210"/>
      <c r="M18" s="210"/>
      <c r="N18" s="210"/>
      <c r="O18" s="210"/>
      <c r="P18" s="829" t="s">
        <v>570</v>
      </c>
      <c r="Q18" s="830"/>
      <c r="R18" s="830"/>
      <c r="S18" s="830"/>
      <c r="T18" s="831"/>
      <c r="U18" s="403">
        <f>SUM(Tabla58[cost/year])-U16</f>
        <v>0</v>
      </c>
      <c r="V18" s="210"/>
    </row>
    <row r="19" spans="1:23" ht="21" customHeight="1" x14ac:dyDescent="0.3">
      <c r="A19" s="83"/>
      <c r="B19" s="205"/>
      <c r="C19" s="205"/>
      <c r="D19" s="205"/>
      <c r="E19" s="205"/>
      <c r="F19" s="205"/>
      <c r="G19" s="146"/>
      <c r="H19" s="176"/>
      <c r="I19" s="83"/>
      <c r="J19" s="83"/>
      <c r="K19" s="83"/>
      <c r="L19" s="210"/>
      <c r="M19" s="210"/>
      <c r="N19" s="210"/>
      <c r="O19" s="210"/>
      <c r="P19" s="829" t="s">
        <v>493</v>
      </c>
      <c r="Q19" s="830"/>
      <c r="R19" s="830"/>
      <c r="S19" s="830"/>
      <c r="T19" s="830"/>
      <c r="U19" s="401">
        <f>+U16</f>
        <v>0</v>
      </c>
      <c r="V19" s="210"/>
    </row>
    <row r="20" spans="1:23" ht="21" customHeight="1" x14ac:dyDescent="0.3">
      <c r="A20" s="83"/>
      <c r="H20" s="176"/>
      <c r="I20" s="83"/>
      <c r="J20" s="83"/>
      <c r="K20" s="83"/>
      <c r="L20" s="210"/>
      <c r="M20" s="210"/>
      <c r="N20" s="210"/>
      <c r="O20" s="210"/>
      <c r="P20" s="210"/>
      <c r="Q20" s="210"/>
      <c r="R20" s="210"/>
      <c r="S20" s="210"/>
      <c r="T20" s="210"/>
      <c r="U20" s="210"/>
      <c r="V20" s="210"/>
    </row>
    <row r="21" spans="1:23" ht="21" customHeight="1" x14ac:dyDescent="0.3">
      <c r="A21" s="83"/>
      <c r="H21" s="215"/>
      <c r="I21" s="83"/>
      <c r="J21" s="83"/>
      <c r="K21" s="83"/>
      <c r="L21" s="210"/>
      <c r="M21" s="210"/>
      <c r="N21" s="210"/>
      <c r="O21" s="210"/>
      <c r="P21" s="210"/>
      <c r="Q21" s="210"/>
      <c r="R21" s="210"/>
      <c r="S21" s="210"/>
      <c r="T21" s="210"/>
      <c r="U21" s="210"/>
      <c r="V21" s="210"/>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topLeftCell="A6" zoomScale="70" zoomScaleNormal="70" workbookViewId="0">
      <selection activeCell="G36" sqref="G36"/>
    </sheetView>
  </sheetViews>
  <sheetFormatPr defaultColWidth="11.109375" defaultRowHeight="14.4" x14ac:dyDescent="0.3"/>
  <cols>
    <col min="1" max="1" width="5" customWidth="1"/>
    <col min="2" max="3" width="13.6640625" customWidth="1"/>
    <col min="4" max="4" width="14.33203125" customWidth="1"/>
    <col min="5" max="46" width="12.6640625" customWidth="1"/>
    <col min="70" max="70" width="0" hidden="1" customWidth="1"/>
  </cols>
  <sheetData>
    <row r="1" spans="1:70" ht="25.95" customHeight="1" x14ac:dyDescent="0.3">
      <c r="B1" s="850" t="s">
        <v>583</v>
      </c>
      <c r="C1" s="851"/>
      <c r="D1" s="851"/>
      <c r="E1" s="852"/>
      <c r="G1" s="848" t="s">
        <v>494</v>
      </c>
      <c r="H1" s="849"/>
      <c r="I1" s="848" t="s">
        <v>583</v>
      </c>
      <c r="J1" s="849"/>
    </row>
    <row r="2" spans="1:70" ht="20.399999999999999" customHeight="1" x14ac:dyDescent="0.3">
      <c r="G2" s="534"/>
      <c r="H2" s="535"/>
      <c r="I2" s="273"/>
      <c r="J2" s="538"/>
      <c r="S2" s="214"/>
      <c r="T2" s="214"/>
      <c r="V2" s="214"/>
      <c r="BR2" t="s">
        <v>721</v>
      </c>
    </row>
    <row r="3" spans="1:70" ht="20.399999999999999" customHeight="1" x14ac:dyDescent="0.3">
      <c r="A3" s="83"/>
      <c r="B3" s="745" t="s">
        <v>725</v>
      </c>
      <c r="C3" s="746"/>
      <c r="D3" s="746"/>
      <c r="E3" s="750"/>
      <c r="F3" s="83"/>
      <c r="G3" s="536"/>
      <c r="H3" s="537"/>
      <c r="I3" s="312"/>
      <c r="J3" s="539"/>
      <c r="K3" s="83"/>
      <c r="S3" s="157"/>
      <c r="T3" s="157"/>
      <c r="U3" s="214"/>
      <c r="V3" s="157"/>
      <c r="W3" s="83"/>
      <c r="X3" s="83"/>
      <c r="Y3" s="83"/>
      <c r="Z3" s="83"/>
      <c r="AA3" s="83"/>
      <c r="AB3" s="83"/>
      <c r="AC3" s="83"/>
      <c r="AD3" s="83"/>
      <c r="AE3" s="83"/>
      <c r="AF3" s="83"/>
      <c r="AG3" s="83"/>
      <c r="AH3" s="83"/>
      <c r="AI3" s="83"/>
      <c r="AJ3" s="83"/>
      <c r="AK3" s="83"/>
      <c r="BR3" t="s">
        <v>664</v>
      </c>
    </row>
    <row r="4" spans="1:70" ht="20.399999999999999" customHeight="1" x14ac:dyDescent="0.3">
      <c r="A4" s="83"/>
      <c r="B4" s="853" t="s">
        <v>571</v>
      </c>
      <c r="C4" s="853"/>
      <c r="D4" s="548">
        <f>+'Plant Overview'!F71+'Plant Overview'!F72</f>
        <v>0</v>
      </c>
      <c r="E4" s="86" t="str">
        <f>+'Plant Overview'!G71&amp;"/s"</f>
        <v>unit_R1/s</v>
      </c>
      <c r="F4" s="83"/>
      <c r="K4" s="83"/>
      <c r="U4" s="157"/>
      <c r="V4" s="157"/>
      <c r="W4" s="83"/>
      <c r="X4" s="83"/>
      <c r="Y4" s="83"/>
      <c r="Z4" s="83"/>
      <c r="AA4" s="83"/>
      <c r="AB4" s="83"/>
      <c r="AC4" s="83"/>
      <c r="AD4" s="83"/>
      <c r="AE4" s="83"/>
      <c r="AF4" s="83"/>
      <c r="AG4" s="83"/>
      <c r="AH4" s="83"/>
      <c r="AI4" s="83"/>
      <c r="AJ4" s="83"/>
      <c r="AK4" s="83"/>
      <c r="BR4" t="s">
        <v>720</v>
      </c>
    </row>
    <row r="5" spans="1:70" ht="20.399999999999999" customHeight="1" x14ac:dyDescent="0.3">
      <c r="A5" s="83"/>
      <c r="B5" s="853" t="s">
        <v>667</v>
      </c>
      <c r="C5" s="853"/>
      <c r="D5" s="548">
        <f>+'Plant Overview'!F32</f>
        <v>0</v>
      </c>
      <c r="E5" s="86" t="str">
        <f>+'Plant Overview'!G32&amp;"/s"</f>
        <v>unit_P1/s</v>
      </c>
      <c r="F5" s="83"/>
      <c r="G5" s="856" t="s">
        <v>729</v>
      </c>
      <c r="H5" s="856"/>
      <c r="I5" s="755" t="s">
        <v>664</v>
      </c>
      <c r="J5" s="756"/>
      <c r="K5" s="83"/>
      <c r="S5" s="157"/>
      <c r="T5" s="157"/>
      <c r="U5" s="157"/>
      <c r="V5" s="157"/>
      <c r="W5" s="83"/>
      <c r="X5" s="83"/>
      <c r="Y5" s="83"/>
      <c r="Z5" s="83"/>
      <c r="AA5" s="83"/>
      <c r="AB5" s="83"/>
      <c r="AC5" s="83"/>
      <c r="AD5" s="83"/>
      <c r="AE5" s="83"/>
      <c r="AF5" s="83"/>
      <c r="AG5" s="83"/>
      <c r="AH5" s="83"/>
      <c r="AI5" s="83"/>
      <c r="AJ5" s="83"/>
      <c r="AK5" s="83"/>
      <c r="BR5" t="s">
        <v>719</v>
      </c>
    </row>
    <row r="6" spans="1:70" ht="20.399999999999999" customHeight="1" x14ac:dyDescent="0.3">
      <c r="A6" s="83"/>
      <c r="B6" s="853" t="s">
        <v>668</v>
      </c>
      <c r="C6" s="853"/>
      <c r="D6" s="548" t="e">
        <f>D5/D4</f>
        <v>#DIV/0!</v>
      </c>
      <c r="E6" s="86" t="str">
        <f>+'Plant Overview'!G32&amp;"/"&amp;'Plant Overview'!G71</f>
        <v>unit_P1/unit_R1</v>
      </c>
      <c r="F6" s="83"/>
      <c r="G6" s="854" t="s">
        <v>664</v>
      </c>
      <c r="H6" s="855"/>
      <c r="I6" s="546">
        <f>+IF(I5="LCOP",D20,"-")</f>
        <v>1.5</v>
      </c>
      <c r="J6" s="541" t="str">
        <f>+'Plant Overview'!E9&amp;"/"&amp;'Plant Overview'!H32</f>
        <v>€/unit_P2</v>
      </c>
      <c r="K6" s="83"/>
      <c r="S6" s="157"/>
      <c r="T6" s="157"/>
      <c r="U6" s="157"/>
      <c r="V6" s="157"/>
      <c r="W6" s="83"/>
      <c r="X6" s="83"/>
      <c r="Y6" s="83"/>
      <c r="Z6" s="83"/>
      <c r="AA6" s="83"/>
      <c r="AB6" s="83"/>
      <c r="AC6" s="83"/>
      <c r="AD6" s="83"/>
      <c r="AE6" s="83"/>
      <c r="AF6" s="83"/>
      <c r="AG6" s="83"/>
      <c r="AH6" s="83"/>
      <c r="AI6" s="83"/>
      <c r="AJ6" s="83"/>
      <c r="AK6" s="83"/>
    </row>
    <row r="7" spans="1:70" ht="20.399999999999999" customHeight="1" x14ac:dyDescent="0.3">
      <c r="A7" s="83"/>
      <c r="B7" s="853" t="s">
        <v>590</v>
      </c>
      <c r="C7" s="853"/>
      <c r="D7" s="549">
        <f>+'Plant CAPEX'!H13</f>
        <v>0</v>
      </c>
      <c r="E7" s="418" t="str">
        <f>+J7</f>
        <v>M€</v>
      </c>
      <c r="F7" s="83"/>
      <c r="G7" s="854" t="s">
        <v>719</v>
      </c>
      <c r="H7" s="855"/>
      <c r="I7" s="542" t="str">
        <f>IF(I5="NPV",HLOOKUP(D16,C24:AT39,16),"-")</f>
        <v>-</v>
      </c>
      <c r="J7" s="86" t="str">
        <f>+"M"&amp;'Plant Overview'!E9</f>
        <v>M€</v>
      </c>
      <c r="K7" s="83"/>
      <c r="S7" s="157"/>
      <c r="T7" s="157"/>
      <c r="U7" s="157"/>
      <c r="V7" s="157"/>
      <c r="W7" s="83"/>
      <c r="X7" s="83"/>
      <c r="Y7" s="83"/>
      <c r="Z7" s="83"/>
      <c r="AA7" s="83"/>
      <c r="AB7" s="83"/>
      <c r="AC7" s="83"/>
      <c r="AD7" s="83"/>
      <c r="AE7" s="83"/>
      <c r="AF7" s="83"/>
      <c r="AG7" s="83"/>
      <c r="AH7" s="83"/>
      <c r="AI7" s="83"/>
      <c r="AJ7" s="83"/>
      <c r="AK7" s="83"/>
    </row>
    <row r="8" spans="1:70" ht="20.399999999999999" customHeight="1" x14ac:dyDescent="0.3">
      <c r="A8" s="83"/>
      <c r="B8" s="858" t="s">
        <v>457</v>
      </c>
      <c r="C8" s="858"/>
      <c r="D8" s="548">
        <f>+'Plant OPEX'!G18</f>
        <v>0</v>
      </c>
      <c r="E8" s="418" t="str">
        <f>+"M"&amp;'Plant Overview'!$E$9&amp;"/y"</f>
        <v>M€/y</v>
      </c>
      <c r="F8" s="83"/>
      <c r="G8" s="854" t="s">
        <v>720</v>
      </c>
      <c r="H8" s="855"/>
      <c r="I8" s="545" t="str">
        <f>+IF(I5="IRR",D21,"-")</f>
        <v>-</v>
      </c>
      <c r="J8" s="471" t="str">
        <f>+E21</f>
        <v>%</v>
      </c>
      <c r="K8" s="83"/>
      <c r="S8" s="157"/>
      <c r="T8" s="157"/>
      <c r="U8" s="157"/>
      <c r="V8" s="157"/>
      <c r="W8" s="83"/>
      <c r="X8" s="83"/>
      <c r="Y8" s="83"/>
      <c r="Z8" s="83"/>
      <c r="AA8" s="83"/>
      <c r="AB8" s="83"/>
      <c r="AC8" s="83"/>
      <c r="AD8" s="83"/>
      <c r="AE8" s="83"/>
      <c r="AF8" s="83"/>
      <c r="AG8" s="83"/>
      <c r="AH8" s="83"/>
      <c r="AI8" s="83"/>
      <c r="AJ8" s="83"/>
      <c r="AK8" s="83"/>
    </row>
    <row r="9" spans="1:70" ht="20.399999999999999" customHeight="1" x14ac:dyDescent="0.3">
      <c r="A9" s="83"/>
      <c r="B9" s="853" t="str">
        <f>+'Plant OPEX'!I16</f>
        <v>Fuel 1</v>
      </c>
      <c r="C9" s="853"/>
      <c r="D9" s="548">
        <f>+'Plant OPEX'!N16</f>
        <v>0</v>
      </c>
      <c r="E9" s="418" t="str">
        <f>+"M"&amp;'Plant Overview'!$E$9&amp;"/y"</f>
        <v>M€/y</v>
      </c>
      <c r="F9" s="83"/>
      <c r="G9" s="861" t="s">
        <v>726</v>
      </c>
      <c r="H9" s="862"/>
      <c r="I9" s="86" t="e" cm="1">
        <f t="array" ref="I9">+MATCH(TRUE,G38:AT38&gt;0,0)</f>
        <v>#N/A</v>
      </c>
      <c r="J9" s="86" t="s">
        <v>451</v>
      </c>
      <c r="K9" s="83"/>
      <c r="S9" s="157"/>
      <c r="T9" s="157"/>
      <c r="U9" s="157"/>
      <c r="V9" s="157"/>
      <c r="W9" s="83"/>
      <c r="X9" s="83"/>
      <c r="Y9" s="83"/>
      <c r="Z9" s="83"/>
      <c r="AA9" s="83"/>
      <c r="AB9" s="83"/>
      <c r="AC9" s="83"/>
      <c r="AD9" s="83"/>
      <c r="AE9" s="83"/>
      <c r="AF9" s="83"/>
      <c r="AG9" s="83"/>
      <c r="AH9" s="83"/>
      <c r="AI9" s="83"/>
      <c r="AJ9" s="83"/>
      <c r="AK9" s="83"/>
    </row>
    <row r="10" spans="1:70" ht="20.399999999999999" customHeight="1" x14ac:dyDescent="0.3">
      <c r="A10" s="83"/>
      <c r="B10" s="853" t="str">
        <f>+'Plant OPEX'!I17</f>
        <v>Fuel 2</v>
      </c>
      <c r="C10" s="853"/>
      <c r="D10" s="548">
        <f>+'Plant OPEX'!N17</f>
        <v>0</v>
      </c>
      <c r="E10" s="418" t="str">
        <f>+"M"&amp;'Plant Overview'!$E$9&amp;"/y"</f>
        <v>M€/y</v>
      </c>
      <c r="F10" s="83"/>
      <c r="G10" s="861" t="s">
        <v>727</v>
      </c>
      <c r="H10" s="862"/>
      <c r="I10" s="86" t="str" cm="1">
        <f t="array" ref="I10">+IF(I5="LCOP","-",IF(I5="IRR","-",MATCH(TRUE,G39:AT39&gt;0,0)))</f>
        <v>-</v>
      </c>
      <c r="J10" s="86" t="str">
        <f>+J9</f>
        <v>years</v>
      </c>
      <c r="K10" s="83"/>
      <c r="S10" s="157"/>
      <c r="T10" s="157"/>
      <c r="U10" s="157"/>
      <c r="V10" s="157"/>
      <c r="W10" s="83"/>
      <c r="X10" s="83"/>
      <c r="Y10" s="83"/>
      <c r="Z10" s="83"/>
      <c r="AA10" s="83"/>
      <c r="AB10" s="83"/>
      <c r="AC10" s="83"/>
      <c r="AD10" s="83"/>
      <c r="AE10" s="83"/>
      <c r="AF10" s="83"/>
      <c r="AG10" s="83"/>
      <c r="AH10" s="83"/>
      <c r="AI10" s="83"/>
      <c r="AJ10" s="83"/>
      <c r="AK10" s="83"/>
    </row>
    <row r="11" spans="1:70" ht="20.399999999999999" customHeight="1" x14ac:dyDescent="0.3">
      <c r="A11" s="83"/>
      <c r="B11" s="853" t="s">
        <v>458</v>
      </c>
      <c r="C11" s="853"/>
      <c r="D11" s="548">
        <f>+'Plant OPEX'!U18</f>
        <v>0</v>
      </c>
      <c r="E11" s="418" t="str">
        <f>+"M"&amp;'Plant Overview'!$E$9&amp;"/y"</f>
        <v>M€/y</v>
      </c>
      <c r="F11" s="83"/>
      <c r="G11" s="859" t="s">
        <v>684</v>
      </c>
      <c r="H11" s="860"/>
      <c r="I11" s="413" t="str">
        <f>+IF(I5="LCOP",IF(I15="","Ref.",((H16-H20)-(I16-I20))/(I15-H15)),"-")</f>
        <v>Ref.</v>
      </c>
      <c r="J11" s="86" t="str">
        <f>+'Plant Overview'!E9&amp;"/"&amp;'Plant Overview'!H52</f>
        <v>€/unit_E2</v>
      </c>
      <c r="K11" s="83"/>
      <c r="S11" s="157"/>
      <c r="T11" s="157"/>
      <c r="U11" s="157"/>
      <c r="V11" s="15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57"/>
      <c r="T12" s="157"/>
      <c r="U12" s="157"/>
      <c r="V12" s="157"/>
      <c r="W12" s="83"/>
      <c r="X12" s="83"/>
      <c r="Y12" s="83"/>
      <c r="Z12" s="83"/>
      <c r="AA12" s="83"/>
      <c r="AB12" s="83"/>
      <c r="AC12" s="83"/>
      <c r="AD12" s="83"/>
      <c r="AE12" s="83"/>
      <c r="AF12" s="83"/>
      <c r="AG12" s="83"/>
      <c r="AH12" s="83"/>
      <c r="AI12" s="83"/>
      <c r="AJ12" s="83"/>
      <c r="AK12" s="83"/>
    </row>
    <row r="13" spans="1:70" ht="20.399999999999999" customHeight="1" x14ac:dyDescent="0.3">
      <c r="A13" s="83"/>
      <c r="B13" s="843" t="s">
        <v>635</v>
      </c>
      <c r="C13" s="844"/>
      <c r="D13" s="844"/>
      <c r="E13" s="845"/>
      <c r="F13" s="83"/>
      <c r="G13" s="843" t="s">
        <v>728</v>
      </c>
      <c r="H13" s="844"/>
      <c r="I13" s="844"/>
      <c r="J13" s="845"/>
      <c r="K13" s="83"/>
      <c r="L13" s="83"/>
      <c r="M13" s="83"/>
      <c r="N13" s="83"/>
      <c r="O13" s="83"/>
      <c r="P13" s="83"/>
      <c r="Q13" s="83"/>
      <c r="R13" s="83"/>
      <c r="S13" s="157"/>
      <c r="T13" s="157"/>
      <c r="U13" s="157"/>
      <c r="V13" s="157"/>
      <c r="W13" s="83"/>
      <c r="X13" s="83"/>
      <c r="Y13" s="83"/>
      <c r="Z13" s="83"/>
      <c r="AA13" s="83"/>
      <c r="AB13" s="83"/>
      <c r="AC13" s="83"/>
      <c r="AD13" s="83"/>
      <c r="AE13" s="83"/>
      <c r="AF13" s="83"/>
      <c r="AG13" s="83"/>
      <c r="AH13" s="83"/>
      <c r="AI13" s="83"/>
      <c r="AJ13" s="83"/>
      <c r="AK13" s="83"/>
    </row>
    <row r="14" spans="1:70" ht="20.399999999999999" customHeight="1" x14ac:dyDescent="0.3">
      <c r="A14" s="83"/>
      <c r="B14" s="857" t="s">
        <v>459</v>
      </c>
      <c r="C14" s="857"/>
      <c r="D14" s="471">
        <v>0.65</v>
      </c>
      <c r="E14" s="86" t="s">
        <v>354</v>
      </c>
      <c r="F14" s="83"/>
      <c r="G14" s="544"/>
      <c r="H14" s="547" t="str">
        <f>+'Plant Overview'!E6</f>
        <v>Plant A</v>
      </c>
      <c r="I14" s="428" t="s">
        <v>358</v>
      </c>
      <c r="J14" s="319"/>
      <c r="K14" s="83"/>
      <c r="L14" s="83"/>
      <c r="M14" s="83"/>
      <c r="N14" s="83"/>
      <c r="O14" s="83"/>
      <c r="P14" s="83"/>
      <c r="Q14" s="83"/>
      <c r="R14" s="83"/>
      <c r="S14" s="157"/>
      <c r="T14" s="157"/>
      <c r="U14" s="157"/>
      <c r="V14" s="157"/>
      <c r="W14" s="83"/>
      <c r="X14" s="83"/>
      <c r="Y14" s="83"/>
      <c r="Z14" s="83"/>
      <c r="AA14" s="83"/>
      <c r="AB14" s="83"/>
      <c r="AC14" s="83"/>
      <c r="AD14" s="83"/>
      <c r="AE14" s="83"/>
      <c r="AF14" s="83"/>
      <c r="AG14" s="83"/>
      <c r="AH14" s="83"/>
      <c r="AI14" s="83"/>
      <c r="AJ14" s="83"/>
      <c r="AK14" s="83"/>
    </row>
    <row r="15" spans="1:70" ht="20.399999999999999" customHeight="1" x14ac:dyDescent="0.3">
      <c r="A15" s="83"/>
      <c r="B15" s="857" t="s">
        <v>460</v>
      </c>
      <c r="C15" s="857"/>
      <c r="D15" s="471">
        <v>0.85</v>
      </c>
      <c r="E15" s="86" t="s">
        <v>354</v>
      </c>
      <c r="F15" s="83"/>
      <c r="G15" s="87" t="s">
        <v>687</v>
      </c>
      <c r="H15" s="543" t="e">
        <f>+('Plant Overview'!F52/'Plant Overview'!I52)/('Plant Overview'!F32/'Plant Overview'!I32)</f>
        <v>#DIV/0!</v>
      </c>
      <c r="I15" s="543"/>
      <c r="J15" s="418" t="str">
        <f>+'Plant Overview'!H52&amp;"/"&amp;'Plant Overview'!H32</f>
        <v>unit_E2/unit_P2</v>
      </c>
      <c r="K15" s="83"/>
      <c r="L15" s="83"/>
      <c r="M15" s="83"/>
      <c r="N15" s="83"/>
      <c r="O15" s="83"/>
      <c r="P15" s="83"/>
      <c r="Q15" s="83"/>
      <c r="R15" s="83"/>
      <c r="S15" s="157"/>
      <c r="T15" s="157"/>
      <c r="U15" s="157"/>
      <c r="V15" s="157"/>
      <c r="W15" s="83"/>
      <c r="X15" s="83"/>
      <c r="Y15" s="83"/>
      <c r="Z15" s="83"/>
      <c r="AA15" s="83"/>
      <c r="AB15" s="83"/>
      <c r="AC15" s="83"/>
      <c r="AD15" s="83"/>
      <c r="AE15" s="83"/>
      <c r="AF15" s="83"/>
      <c r="AG15" s="83"/>
      <c r="AH15" s="83"/>
      <c r="AI15" s="83"/>
      <c r="AJ15" s="83"/>
      <c r="AK15" s="83"/>
    </row>
    <row r="16" spans="1:70" ht="20.399999999999999" customHeight="1" x14ac:dyDescent="0.3">
      <c r="A16" s="83"/>
      <c r="B16" s="864" t="s">
        <v>634</v>
      </c>
      <c r="C16" s="864"/>
      <c r="D16" s="472">
        <v>25</v>
      </c>
      <c r="E16" s="86" t="s">
        <v>451</v>
      </c>
      <c r="F16" s="83"/>
      <c r="G16" s="87" t="str">
        <f>+G6</f>
        <v>LCOP</v>
      </c>
      <c r="H16" s="417" t="e">
        <f>+IF(I5="LCOP",SUM(H17:H22),"-")</f>
        <v>#DIV/0!</v>
      </c>
      <c r="I16" s="417"/>
      <c r="J16" s="418" t="str">
        <f>+J6</f>
        <v>€/unit_P2</v>
      </c>
      <c r="K16" s="83"/>
      <c r="L16" s="83"/>
      <c r="M16" s="83"/>
      <c r="N16" s="83"/>
      <c r="O16" s="83"/>
      <c r="P16" s="83"/>
      <c r="Q16" s="83"/>
      <c r="R16" s="83"/>
      <c r="S16" s="157"/>
      <c r="T16" s="157"/>
      <c r="U16" s="157"/>
      <c r="V16" s="157"/>
      <c r="W16" s="83"/>
      <c r="X16" s="83"/>
      <c r="Y16" s="83"/>
      <c r="Z16" s="83"/>
      <c r="AA16" s="83"/>
      <c r="AB16" s="83"/>
      <c r="AC16" s="83"/>
      <c r="AD16" s="83"/>
      <c r="AE16" s="83"/>
      <c r="AF16" s="83"/>
      <c r="AG16" s="83"/>
      <c r="AH16" s="83"/>
      <c r="AI16" s="83"/>
      <c r="AJ16" s="83"/>
      <c r="AK16" s="83"/>
    </row>
    <row r="17" spans="1:48" ht="20.399999999999999" customHeight="1" x14ac:dyDescent="0.3">
      <c r="A17" s="83"/>
      <c r="B17" s="864" t="s">
        <v>438</v>
      </c>
      <c r="C17" s="864"/>
      <c r="D17" s="86">
        <v>4</v>
      </c>
      <c r="E17" s="86" t="s">
        <v>451</v>
      </c>
      <c r="F17" s="83"/>
      <c r="G17" s="177" t="str">
        <f>+B29</f>
        <v>Capital</v>
      </c>
      <c r="H17" s="387" t="e">
        <f>+IF(I5="LCOP",SUMPRODUCT(C29:AT29,C36:AT36)/SUMPRODUCT(C27:AT27,C36:AT36)*I6,"-")</f>
        <v>#DIV/0!</v>
      </c>
      <c r="I17" s="387"/>
      <c r="J17" s="550"/>
      <c r="K17" s="83"/>
      <c r="L17" s="83"/>
      <c r="M17" s="83"/>
      <c r="N17" s="83"/>
      <c r="O17" s="83"/>
      <c r="P17" s="83"/>
      <c r="Q17" s="83"/>
      <c r="R17" s="83"/>
      <c r="S17" s="157"/>
      <c r="T17" s="157"/>
      <c r="U17" s="157"/>
      <c r="V17" s="15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99" t="str">
        <f>+B30</f>
        <v>FOM</v>
      </c>
      <c r="H18" s="388" t="e">
        <f>+IF(I5="LCOP",SUMPRODUCT(C30:AT30,C36:AT36)/SUMPRODUCT(C27:AT27,C36:AT36)*I6,"-")</f>
        <v>#DIV/0!</v>
      </c>
      <c r="I18" s="388"/>
      <c r="J18" s="55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843" t="s">
        <v>724</v>
      </c>
      <c r="C19" s="844"/>
      <c r="D19" s="844"/>
      <c r="E19" s="845"/>
      <c r="F19" s="83"/>
      <c r="G19" s="99" t="str">
        <f>+B34</f>
        <v>VOM</v>
      </c>
      <c r="H19" s="388" t="e">
        <f>+IF(I5="LCOP",SUMPRODUCT(C34:AJ34,C36:AJ36)/SUMPRODUCT(C27:AJ27,C36:AJ36)*I6,"-")</f>
        <v>#DIV/0!</v>
      </c>
      <c r="I19" s="388"/>
      <c r="J19" s="551"/>
      <c r="K19" s="83"/>
      <c r="L19" s="83"/>
      <c r="M19" s="83"/>
      <c r="N19" s="83"/>
      <c r="O19" s="83"/>
      <c r="P19" s="83"/>
      <c r="Q19" s="83"/>
      <c r="R19" s="83"/>
      <c r="S19" s="155"/>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863" t="s">
        <v>722</v>
      </c>
      <c r="C20" s="863"/>
      <c r="D20" s="86">
        <v>1.5</v>
      </c>
      <c r="E20" s="86" t="str">
        <f>+J6</f>
        <v>€/unit_P2</v>
      </c>
      <c r="F20" s="83"/>
      <c r="G20" s="99" t="str">
        <f>+B33</f>
        <v>CO2 tax</v>
      </c>
      <c r="H20" s="388" t="e">
        <f>+IF(I5="LCOP",SUMPRODUCT(C33:AT33,C37:AT37)/SUMPRODUCT(C27:AT27,C37:AT37)*I6,"-")</f>
        <v>#DIV/0!</v>
      </c>
      <c r="I20" s="388"/>
      <c r="J20" s="551"/>
      <c r="K20" s="83"/>
      <c r="L20" s="83"/>
      <c r="M20" s="83"/>
      <c r="N20" s="83"/>
      <c r="O20" s="83"/>
      <c r="P20" s="83"/>
      <c r="Q20" s="83"/>
      <c r="R20" s="83"/>
      <c r="S20" s="155"/>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857" t="s">
        <v>439</v>
      </c>
      <c r="C21" s="857"/>
      <c r="D21" s="473">
        <v>0.08</v>
      </c>
      <c r="E21" s="98" t="s">
        <v>456</v>
      </c>
      <c r="F21" s="83"/>
      <c r="G21" s="99" t="str">
        <f>+B31</f>
        <v>Fuel 1</v>
      </c>
      <c r="H21" s="388" t="e">
        <f>+IF(I5="LCOP",SUMPRODUCT(C31:AJ31,C37:AJ37)/SUMPRODUCT(C27:AJ27,C37:AJ37)*I6,"-")</f>
        <v>#DIV/0!</v>
      </c>
      <c r="I21" s="388"/>
      <c r="J21" s="551"/>
      <c r="K21" s="83"/>
      <c r="L21" s="83"/>
      <c r="M21" s="83"/>
      <c r="N21" s="83"/>
      <c r="O21" s="83"/>
      <c r="P21" s="83"/>
      <c r="Q21" s="83"/>
      <c r="R21" s="83"/>
      <c r="S21" s="155"/>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861" t="s">
        <v>723</v>
      </c>
      <c r="C22" s="862"/>
      <c r="D22" s="86" t="e">
        <f>HLOOKUP(D16,C24:AT39,16)</f>
        <v>#DIV/0!</v>
      </c>
      <c r="E22" s="86" t="str">
        <f>+E7</f>
        <v>M€</v>
      </c>
      <c r="F22" s="83"/>
      <c r="G22" s="170" t="str">
        <f>+B32</f>
        <v>Fuel 2</v>
      </c>
      <c r="H22" s="553" t="e">
        <f>+IF(I5="LCOP",SUMPRODUCT(C32:AT32,C37:AT37)/SUMPRODUCT(C27:AT27,C37:AT37)*I6,"-")</f>
        <v>#DIV/0!</v>
      </c>
      <c r="I22" s="553"/>
      <c r="J22" s="552"/>
      <c r="K22" s="83"/>
      <c r="P22" s="83"/>
      <c r="Q22" s="83"/>
      <c r="R22" s="83"/>
      <c r="S22" s="155"/>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row>
    <row r="24" spans="1:48" ht="20.399999999999999" customHeight="1" x14ac:dyDescent="0.3">
      <c r="A24" s="83"/>
      <c r="B24" s="447" t="s">
        <v>315</v>
      </c>
      <c r="C24" s="488">
        <v>-4</v>
      </c>
      <c r="D24" s="489">
        <v>-3</v>
      </c>
      <c r="E24" s="489">
        <v>-2</v>
      </c>
      <c r="F24" s="490">
        <v>-1</v>
      </c>
      <c r="G24" s="489">
        <v>1</v>
      </c>
      <c r="H24" s="489">
        <v>2</v>
      </c>
      <c r="I24" s="489">
        <v>3</v>
      </c>
      <c r="J24" s="489">
        <v>4</v>
      </c>
      <c r="K24" s="489">
        <v>5</v>
      </c>
      <c r="L24" s="489">
        <v>6</v>
      </c>
      <c r="M24" s="489">
        <v>7</v>
      </c>
      <c r="N24" s="489">
        <v>8</v>
      </c>
      <c r="O24" s="489">
        <v>9</v>
      </c>
      <c r="P24" s="489">
        <v>10</v>
      </c>
      <c r="Q24" s="489">
        <v>11</v>
      </c>
      <c r="R24" s="489">
        <v>12</v>
      </c>
      <c r="S24" s="489">
        <v>13</v>
      </c>
      <c r="T24" s="489">
        <v>14</v>
      </c>
      <c r="U24" s="489">
        <v>15</v>
      </c>
      <c r="V24" s="489">
        <v>16</v>
      </c>
      <c r="W24" s="489">
        <v>17</v>
      </c>
      <c r="X24" s="489">
        <v>18</v>
      </c>
      <c r="Y24" s="489">
        <v>19</v>
      </c>
      <c r="Z24" s="489">
        <v>20</v>
      </c>
      <c r="AA24" s="489">
        <v>21</v>
      </c>
      <c r="AB24" s="489">
        <v>22</v>
      </c>
      <c r="AC24" s="489">
        <v>23</v>
      </c>
      <c r="AD24" s="489">
        <v>24</v>
      </c>
      <c r="AE24" s="489">
        <v>25</v>
      </c>
      <c r="AF24" s="489">
        <v>26</v>
      </c>
      <c r="AG24" s="489">
        <v>27</v>
      </c>
      <c r="AH24" s="489">
        <v>28</v>
      </c>
      <c r="AI24" s="489">
        <v>29</v>
      </c>
      <c r="AJ24" s="489">
        <v>30</v>
      </c>
      <c r="AK24" s="489">
        <v>31</v>
      </c>
      <c r="AL24" s="489">
        <v>32</v>
      </c>
      <c r="AM24" s="489">
        <v>33</v>
      </c>
      <c r="AN24" s="489">
        <v>34</v>
      </c>
      <c r="AO24" s="489">
        <v>35</v>
      </c>
      <c r="AP24" s="489">
        <v>36</v>
      </c>
      <c r="AQ24" s="489">
        <v>37</v>
      </c>
      <c r="AR24" s="489">
        <v>38</v>
      </c>
      <c r="AS24" s="489">
        <v>39</v>
      </c>
      <c r="AT24" s="490">
        <v>40</v>
      </c>
      <c r="AU24" s="385"/>
      <c r="AV24" s="385"/>
    </row>
    <row r="25" spans="1:48" ht="20.399999999999999" customHeight="1" x14ac:dyDescent="0.3">
      <c r="A25" s="83"/>
      <c r="B25" s="485" t="s">
        <v>442</v>
      </c>
      <c r="C25" s="486"/>
      <c r="D25" s="486"/>
      <c r="E25" s="486"/>
      <c r="F25" s="486"/>
      <c r="G25" s="531">
        <f>+D14</f>
        <v>0.65</v>
      </c>
      <c r="H25" s="532">
        <f t="shared" ref="H25:AT25" si="0">+IF(H24&lt;=$D$16,$D$15,0)</f>
        <v>0.85</v>
      </c>
      <c r="I25" s="532">
        <f t="shared" si="0"/>
        <v>0.85</v>
      </c>
      <c r="J25" s="532">
        <f t="shared" si="0"/>
        <v>0.85</v>
      </c>
      <c r="K25" s="532">
        <f t="shared" si="0"/>
        <v>0.85</v>
      </c>
      <c r="L25" s="532">
        <f t="shared" si="0"/>
        <v>0.85</v>
      </c>
      <c r="M25" s="532">
        <f t="shared" si="0"/>
        <v>0.85</v>
      </c>
      <c r="N25" s="532">
        <f t="shared" si="0"/>
        <v>0.85</v>
      </c>
      <c r="O25" s="532">
        <f t="shared" si="0"/>
        <v>0.85</v>
      </c>
      <c r="P25" s="532">
        <f t="shared" si="0"/>
        <v>0.85</v>
      </c>
      <c r="Q25" s="532">
        <f t="shared" si="0"/>
        <v>0.85</v>
      </c>
      <c r="R25" s="532">
        <f t="shared" si="0"/>
        <v>0.85</v>
      </c>
      <c r="S25" s="532">
        <f t="shared" si="0"/>
        <v>0.85</v>
      </c>
      <c r="T25" s="532">
        <f t="shared" si="0"/>
        <v>0.85</v>
      </c>
      <c r="U25" s="532">
        <f t="shared" si="0"/>
        <v>0.85</v>
      </c>
      <c r="V25" s="532">
        <f t="shared" si="0"/>
        <v>0.85</v>
      </c>
      <c r="W25" s="532">
        <f t="shared" si="0"/>
        <v>0.85</v>
      </c>
      <c r="X25" s="532">
        <f t="shared" si="0"/>
        <v>0.85</v>
      </c>
      <c r="Y25" s="532">
        <f t="shared" si="0"/>
        <v>0.85</v>
      </c>
      <c r="Z25" s="532">
        <f t="shared" si="0"/>
        <v>0.85</v>
      </c>
      <c r="AA25" s="532">
        <f t="shared" si="0"/>
        <v>0.85</v>
      </c>
      <c r="AB25" s="532">
        <f t="shared" si="0"/>
        <v>0.85</v>
      </c>
      <c r="AC25" s="532">
        <f t="shared" si="0"/>
        <v>0.85</v>
      </c>
      <c r="AD25" s="532">
        <f t="shared" si="0"/>
        <v>0.85</v>
      </c>
      <c r="AE25" s="532">
        <f t="shared" si="0"/>
        <v>0.85</v>
      </c>
      <c r="AF25" s="532">
        <f t="shared" si="0"/>
        <v>0</v>
      </c>
      <c r="AG25" s="532">
        <f t="shared" si="0"/>
        <v>0</v>
      </c>
      <c r="AH25" s="532">
        <f t="shared" si="0"/>
        <v>0</v>
      </c>
      <c r="AI25" s="532">
        <f t="shared" si="0"/>
        <v>0</v>
      </c>
      <c r="AJ25" s="532">
        <f t="shared" si="0"/>
        <v>0</v>
      </c>
      <c r="AK25" s="532">
        <f t="shared" si="0"/>
        <v>0</v>
      </c>
      <c r="AL25" s="532">
        <f t="shared" si="0"/>
        <v>0</v>
      </c>
      <c r="AM25" s="532">
        <f t="shared" si="0"/>
        <v>0</v>
      </c>
      <c r="AN25" s="532">
        <f t="shared" si="0"/>
        <v>0</v>
      </c>
      <c r="AO25" s="532">
        <f t="shared" si="0"/>
        <v>0</v>
      </c>
      <c r="AP25" s="532">
        <f t="shared" si="0"/>
        <v>0</v>
      </c>
      <c r="AQ25" s="532">
        <f t="shared" si="0"/>
        <v>0</v>
      </c>
      <c r="AR25" s="532">
        <f t="shared" si="0"/>
        <v>0</v>
      </c>
      <c r="AS25" s="532">
        <f t="shared" si="0"/>
        <v>0</v>
      </c>
      <c r="AT25" s="533">
        <f t="shared" si="0"/>
        <v>0</v>
      </c>
    </row>
    <row r="26" spans="1:48" ht="20.399999999999999" customHeight="1" x14ac:dyDescent="0.3">
      <c r="A26" s="83"/>
      <c r="B26" s="540" t="s">
        <v>441</v>
      </c>
      <c r="C26" s="276"/>
      <c r="D26" s="276"/>
      <c r="E26" s="276"/>
      <c r="F26" s="276"/>
      <c r="G26" s="474"/>
      <c r="H26" s="276"/>
      <c r="I26" s="276"/>
      <c r="J26" s="276"/>
      <c r="K26" s="276"/>
      <c r="L26" s="276"/>
      <c r="M26" s="276"/>
      <c r="N26" s="276"/>
      <c r="O26" s="276"/>
      <c r="P26" s="276"/>
      <c r="Q26" s="276"/>
      <c r="R26" s="276"/>
      <c r="S26" s="276"/>
      <c r="T26" s="276"/>
      <c r="U26" s="276"/>
      <c r="V26" s="276"/>
      <c r="W26" s="276"/>
      <c r="X26" s="276"/>
      <c r="Y26" s="276"/>
      <c r="Z26" s="276"/>
      <c r="AA26" s="276"/>
      <c r="AB26" s="276"/>
      <c r="AC26" s="276"/>
      <c r="AD26" s="276"/>
      <c r="AE26" s="276"/>
      <c r="AF26" s="276"/>
      <c r="AG26" s="276"/>
      <c r="AH26" s="276"/>
      <c r="AI26" s="276"/>
      <c r="AJ26" s="276"/>
      <c r="AK26" s="276"/>
      <c r="AL26" s="276"/>
      <c r="AM26" s="276"/>
      <c r="AN26" s="276"/>
      <c r="AO26" s="276"/>
      <c r="AP26" s="276"/>
      <c r="AQ26" s="276"/>
      <c r="AR26" s="276"/>
      <c r="AS26" s="276"/>
      <c r="AT26" s="113"/>
    </row>
    <row r="27" spans="1:48" ht="20.399999999999999" customHeight="1" x14ac:dyDescent="0.3">
      <c r="A27" s="83"/>
      <c r="B27" s="484" t="s">
        <v>665</v>
      </c>
      <c r="C27" s="445"/>
      <c r="D27" s="445"/>
      <c r="E27" s="445"/>
      <c r="F27" s="445"/>
      <c r="G27" s="528" t="e">
        <f>'Plant OPEX'!$Q$10*3600*G25*'Plant Overview'!$F$32/'Plant Overview'!$I$32*$D$20/10^6</f>
        <v>#DIV/0!</v>
      </c>
      <c r="H27" s="529" t="e">
        <f>'Plant OPEX'!$Q$10*3600*H25*'Plant Overview'!$F$32/'Plant Overview'!$I$32*$D$20/10^6</f>
        <v>#DIV/0!</v>
      </c>
      <c r="I27" s="529" t="e">
        <f>'Plant OPEX'!$Q$10*3600*I25*'Plant Overview'!$F$32/'Plant Overview'!$I$32*$D$20/10^6</f>
        <v>#DIV/0!</v>
      </c>
      <c r="J27" s="529" t="e">
        <f>'Plant OPEX'!$Q$10*3600*J25*'Plant Overview'!$F$32/'Plant Overview'!$I$32*$D$20/10^6</f>
        <v>#DIV/0!</v>
      </c>
      <c r="K27" s="529" t="e">
        <f>'Plant OPEX'!$Q$10*3600*K25*'Plant Overview'!$F$32/'Plant Overview'!$I$32*$D$20/10^6</f>
        <v>#DIV/0!</v>
      </c>
      <c r="L27" s="529" t="e">
        <f>'Plant OPEX'!$Q$10*3600*L25*'Plant Overview'!$F$32/'Plant Overview'!$I$32*$D$20/10^6</f>
        <v>#DIV/0!</v>
      </c>
      <c r="M27" s="529" t="e">
        <f>'Plant OPEX'!$Q$10*3600*M25*'Plant Overview'!$F$32/'Plant Overview'!$I$32*$D$20/10^6</f>
        <v>#DIV/0!</v>
      </c>
      <c r="N27" s="529" t="e">
        <f>'Plant OPEX'!$Q$10*3600*N25*'Plant Overview'!$F$32/'Plant Overview'!$I$32*$D$20/10^6</f>
        <v>#DIV/0!</v>
      </c>
      <c r="O27" s="529" t="e">
        <f>'Plant OPEX'!$Q$10*3600*O25*'Plant Overview'!$F$32/'Plant Overview'!$I$32*$D$20/10^6</f>
        <v>#DIV/0!</v>
      </c>
      <c r="P27" s="529" t="e">
        <f>'Plant OPEX'!$Q$10*3600*P25*'Plant Overview'!$F$32/'Plant Overview'!$I$32*$D$20/10^6</f>
        <v>#DIV/0!</v>
      </c>
      <c r="Q27" s="529" t="e">
        <f>'Plant OPEX'!$Q$10*3600*Q25*'Plant Overview'!$F$32/'Plant Overview'!$I$32*$D$20/10^6</f>
        <v>#DIV/0!</v>
      </c>
      <c r="R27" s="529" t="e">
        <f>'Plant OPEX'!$Q$10*3600*R25*'Plant Overview'!$F$32/'Plant Overview'!$I$32*$D$20/10^6</f>
        <v>#DIV/0!</v>
      </c>
      <c r="S27" s="529" t="e">
        <f>'Plant OPEX'!$Q$10*3600*S25*'Plant Overview'!$F$32/'Plant Overview'!$I$32*$D$20/10^6</f>
        <v>#DIV/0!</v>
      </c>
      <c r="T27" s="529" t="e">
        <f>'Plant OPEX'!$Q$10*3600*T25*'Plant Overview'!$F$32/'Plant Overview'!$I$32*$D$20/10^6</f>
        <v>#DIV/0!</v>
      </c>
      <c r="U27" s="529" t="e">
        <f>'Plant OPEX'!$Q$10*3600*U25*'Plant Overview'!$F$32/'Plant Overview'!$I$32*$D$20/10^6</f>
        <v>#DIV/0!</v>
      </c>
      <c r="V27" s="529" t="e">
        <f>'Plant OPEX'!$Q$10*3600*V25*'Plant Overview'!$F$32/'Plant Overview'!$I$32*$D$20/10^6</f>
        <v>#DIV/0!</v>
      </c>
      <c r="W27" s="529" t="e">
        <f>'Plant OPEX'!$Q$10*3600*W25*'Plant Overview'!$F$32/'Plant Overview'!$I$32*$D$20/10^6</f>
        <v>#DIV/0!</v>
      </c>
      <c r="X27" s="529" t="e">
        <f>'Plant OPEX'!$Q$10*3600*X25*'Plant Overview'!$F$32/'Plant Overview'!$I$32*$D$20/10^6</f>
        <v>#DIV/0!</v>
      </c>
      <c r="Y27" s="529" t="e">
        <f>'Plant OPEX'!$Q$10*3600*Y25*'Plant Overview'!$F$32/'Plant Overview'!$I$32*$D$20/10^6</f>
        <v>#DIV/0!</v>
      </c>
      <c r="Z27" s="529" t="e">
        <f>'Plant OPEX'!$Q$10*3600*Z25*'Plant Overview'!$F$32/'Plant Overview'!$I$32*$D$20/10^6</f>
        <v>#DIV/0!</v>
      </c>
      <c r="AA27" s="529" t="e">
        <f>'Plant OPEX'!$Q$10*3600*AA25*'Plant Overview'!$F$32/'Plant Overview'!$I$32*$D$20/10^6</f>
        <v>#DIV/0!</v>
      </c>
      <c r="AB27" s="529" t="e">
        <f>'Plant OPEX'!$Q$10*3600*AB25*'Plant Overview'!$F$32/'Plant Overview'!$I$32*$D$20/10^6</f>
        <v>#DIV/0!</v>
      </c>
      <c r="AC27" s="529" t="e">
        <f>'Plant OPEX'!$Q$10*3600*AC25*'Plant Overview'!$F$32/'Plant Overview'!$I$32*$D$20/10^6</f>
        <v>#DIV/0!</v>
      </c>
      <c r="AD27" s="529" t="e">
        <f>'Plant OPEX'!$Q$10*3600*AD25*'Plant Overview'!$F$32/'Plant Overview'!$I$32*$D$20/10^6</f>
        <v>#DIV/0!</v>
      </c>
      <c r="AE27" s="529" t="e">
        <f>'Plant OPEX'!$Q$10*3600*AE25*'Plant Overview'!$F$32/'Plant Overview'!$I$32*$D$20/10^6</f>
        <v>#DIV/0!</v>
      </c>
      <c r="AF27" s="529" t="e">
        <f>'Plant OPEX'!$Q$10*3600*AF25*'Plant Overview'!$F$32/'Plant Overview'!$I$32*$D$20/10^6</f>
        <v>#DIV/0!</v>
      </c>
      <c r="AG27" s="529" t="e">
        <f>'Plant OPEX'!$Q$10*3600*AG25*'Plant Overview'!$F$32/'Plant Overview'!$I$32*$D$20/10^6</f>
        <v>#DIV/0!</v>
      </c>
      <c r="AH27" s="529" t="e">
        <f>'Plant OPEX'!$Q$10*3600*AH25*'Plant Overview'!$F$32/'Plant Overview'!$I$32*$D$20/10^6</f>
        <v>#DIV/0!</v>
      </c>
      <c r="AI27" s="529" t="e">
        <f>'Plant OPEX'!$Q$10*3600*AI25*'Plant Overview'!$F$32/'Plant Overview'!$I$32*$D$20/10^6</f>
        <v>#DIV/0!</v>
      </c>
      <c r="AJ27" s="529" t="e">
        <f>'Plant OPEX'!$Q$10*3600*AJ25*'Plant Overview'!$F$32/'Plant Overview'!$I$32*$D$20/10^6</f>
        <v>#DIV/0!</v>
      </c>
      <c r="AK27" s="529" t="e">
        <f>'Plant OPEX'!$Q$10*3600*AK25*'Plant Overview'!$F$32/'Plant Overview'!$I$32*$D$20/10^6</f>
        <v>#DIV/0!</v>
      </c>
      <c r="AL27" s="529" t="e">
        <f>'Plant OPEX'!$Q$10*3600*AL25*'Plant Overview'!$F$32/'Plant Overview'!$I$32*$D$20/10^6</f>
        <v>#DIV/0!</v>
      </c>
      <c r="AM27" s="529" t="e">
        <f>'Plant OPEX'!$Q$10*3600*AM25*'Plant Overview'!$F$32/'Plant Overview'!$I$32*$D$20/10^6</f>
        <v>#DIV/0!</v>
      </c>
      <c r="AN27" s="529" t="e">
        <f>'Plant OPEX'!$Q$10*3600*AN25*'Plant Overview'!$F$32/'Plant Overview'!$I$32*$D$20/10^6</f>
        <v>#DIV/0!</v>
      </c>
      <c r="AO27" s="529" t="e">
        <f>'Plant OPEX'!$Q$10*3600*AO25*'Plant Overview'!$F$32/'Plant Overview'!$I$32*$D$20/10^6</f>
        <v>#DIV/0!</v>
      </c>
      <c r="AP27" s="529" t="e">
        <f>'Plant OPEX'!$Q$10*3600*AP25*'Plant Overview'!$F$32/'Plant Overview'!$I$32*$D$20/10^6</f>
        <v>#DIV/0!</v>
      </c>
      <c r="AQ27" s="529" t="e">
        <f>'Plant OPEX'!$Q$10*3600*AQ25*'Plant Overview'!$F$32/'Plant Overview'!$I$32*$D$20/10^6</f>
        <v>#DIV/0!</v>
      </c>
      <c r="AR27" s="529" t="e">
        <f>'Plant OPEX'!$Q$10*3600*AR25*'Plant Overview'!$F$32/'Plant Overview'!$I$32*$D$20/10^6</f>
        <v>#DIV/0!</v>
      </c>
      <c r="AS27" s="529" t="e">
        <f>'Plant OPEX'!$Q$10*3600*AS25*'Plant Overview'!$F$32/'Plant Overview'!$I$32*$D$20/10^6</f>
        <v>#DIV/0!</v>
      </c>
      <c r="AT27" s="530" t="e">
        <f>'Plant OPEX'!$Q$10*3600*AT25*'Plant Overview'!$F$32/'Plant Overview'!$I$32*$D$20/10^6</f>
        <v>#DIV/0!</v>
      </c>
    </row>
    <row r="28" spans="1:48" ht="20.399999999999999" customHeight="1" x14ac:dyDescent="0.3">
      <c r="A28" s="83"/>
      <c r="B28" s="525" t="s">
        <v>443</v>
      </c>
      <c r="C28" s="487"/>
      <c r="D28" s="437"/>
      <c r="E28" s="437"/>
      <c r="F28" s="437"/>
      <c r="G28" s="438"/>
      <c r="H28" s="439"/>
      <c r="I28" s="439"/>
      <c r="J28" s="439"/>
      <c r="K28" s="439"/>
      <c r="L28" s="439"/>
      <c r="M28" s="439"/>
      <c r="N28" s="439"/>
      <c r="O28" s="439"/>
      <c r="P28" s="439"/>
      <c r="Q28" s="439"/>
      <c r="R28" s="439"/>
      <c r="S28" s="439"/>
      <c r="T28" s="439"/>
      <c r="U28" s="439"/>
      <c r="V28" s="439"/>
      <c r="W28" s="439"/>
      <c r="X28" s="439"/>
      <c r="Y28" s="439"/>
      <c r="Z28" s="439"/>
      <c r="AA28" s="439"/>
      <c r="AB28" s="439"/>
      <c r="AC28" s="439"/>
      <c r="AD28" s="439"/>
      <c r="AE28" s="439"/>
      <c r="AF28" s="325"/>
      <c r="AG28" s="325"/>
      <c r="AH28" s="325"/>
      <c r="AI28" s="325"/>
      <c r="AJ28" s="325"/>
      <c r="AK28" s="441"/>
      <c r="AL28" s="442"/>
      <c r="AM28" s="442"/>
      <c r="AN28" s="442"/>
      <c r="AO28" s="442"/>
      <c r="AP28" s="442"/>
      <c r="AQ28" s="442"/>
      <c r="AR28" s="442"/>
      <c r="AS28" s="442"/>
      <c r="AT28" s="443"/>
    </row>
    <row r="29" spans="1:48" ht="20.399999999999999" customHeight="1" x14ac:dyDescent="0.3">
      <c r="A29" s="83"/>
      <c r="B29" s="482" t="s">
        <v>437</v>
      </c>
      <c r="C29" s="439">
        <f>IF($D$17&gt;3,$D$7/$D$17,0)</f>
        <v>0</v>
      </c>
      <c r="D29" s="439">
        <f>IF($D$17&gt;2,$D$7/$D$17,0)</f>
        <v>0</v>
      </c>
      <c r="E29" s="439">
        <f>IF($D$17&gt;1,$D$7/$D$17,0)</f>
        <v>0</v>
      </c>
      <c r="F29" s="439">
        <f>$D$7/$D$17</f>
        <v>0</v>
      </c>
      <c r="G29" s="438"/>
      <c r="H29" s="439"/>
      <c r="I29" s="439"/>
      <c r="J29" s="439"/>
      <c r="K29" s="439"/>
      <c r="L29" s="439"/>
      <c r="M29" s="439"/>
      <c r="N29" s="439"/>
      <c r="O29" s="439"/>
      <c r="P29" s="439"/>
      <c r="Q29" s="439"/>
      <c r="R29" s="439"/>
      <c r="S29" s="439"/>
      <c r="T29" s="439"/>
      <c r="U29" s="439"/>
      <c r="V29" s="439"/>
      <c r="W29" s="439"/>
      <c r="X29" s="439"/>
      <c r="Y29" s="439"/>
      <c r="Z29" s="439"/>
      <c r="AA29" s="439"/>
      <c r="AB29" s="439"/>
      <c r="AC29" s="439"/>
      <c r="AD29" s="439"/>
      <c r="AE29" s="439"/>
      <c r="AF29" s="325"/>
      <c r="AG29" s="325"/>
      <c r="AH29" s="325"/>
      <c r="AI29" s="325"/>
      <c r="AJ29" s="325"/>
      <c r="AK29" s="441"/>
      <c r="AL29" s="442"/>
      <c r="AM29" s="442"/>
      <c r="AN29" s="442"/>
      <c r="AO29" s="442"/>
      <c r="AP29" s="442"/>
      <c r="AQ29" s="442"/>
      <c r="AR29" s="442"/>
      <c r="AS29" s="442"/>
      <c r="AT29" s="443"/>
    </row>
    <row r="30" spans="1:48" ht="20.399999999999999" customHeight="1" x14ac:dyDescent="0.3">
      <c r="A30" s="83"/>
      <c r="B30" s="483" t="s">
        <v>457</v>
      </c>
      <c r="C30" s="439"/>
      <c r="D30" s="439"/>
      <c r="E30" s="439"/>
      <c r="F30" s="439"/>
      <c r="G30" s="492">
        <f>+$D$8</f>
        <v>0</v>
      </c>
      <c r="H30" s="491">
        <f t="shared" ref="H30:AT30" si="1">+IF(H24&lt;=$D$16,$D$8,0)</f>
        <v>0</v>
      </c>
      <c r="I30" s="491">
        <f t="shared" si="1"/>
        <v>0</v>
      </c>
      <c r="J30" s="491">
        <f t="shared" si="1"/>
        <v>0</v>
      </c>
      <c r="K30" s="491">
        <f t="shared" si="1"/>
        <v>0</v>
      </c>
      <c r="L30" s="491">
        <f t="shared" si="1"/>
        <v>0</v>
      </c>
      <c r="M30" s="491">
        <f t="shared" si="1"/>
        <v>0</v>
      </c>
      <c r="N30" s="491">
        <f t="shared" si="1"/>
        <v>0</v>
      </c>
      <c r="O30" s="491">
        <f t="shared" si="1"/>
        <v>0</v>
      </c>
      <c r="P30" s="491">
        <f t="shared" si="1"/>
        <v>0</v>
      </c>
      <c r="Q30" s="491">
        <f t="shared" si="1"/>
        <v>0</v>
      </c>
      <c r="R30" s="491">
        <f t="shared" si="1"/>
        <v>0</v>
      </c>
      <c r="S30" s="491">
        <f t="shared" si="1"/>
        <v>0</v>
      </c>
      <c r="T30" s="491">
        <f t="shared" si="1"/>
        <v>0</v>
      </c>
      <c r="U30" s="491">
        <f t="shared" si="1"/>
        <v>0</v>
      </c>
      <c r="V30" s="491">
        <f t="shared" si="1"/>
        <v>0</v>
      </c>
      <c r="W30" s="491">
        <f t="shared" si="1"/>
        <v>0</v>
      </c>
      <c r="X30" s="491">
        <f t="shared" si="1"/>
        <v>0</v>
      </c>
      <c r="Y30" s="491">
        <f t="shared" si="1"/>
        <v>0</v>
      </c>
      <c r="Z30" s="491">
        <f t="shared" si="1"/>
        <v>0</v>
      </c>
      <c r="AA30" s="491">
        <f t="shared" si="1"/>
        <v>0</v>
      </c>
      <c r="AB30" s="491">
        <f t="shared" si="1"/>
        <v>0</v>
      </c>
      <c r="AC30" s="491">
        <f t="shared" si="1"/>
        <v>0</v>
      </c>
      <c r="AD30" s="491">
        <f t="shared" si="1"/>
        <v>0</v>
      </c>
      <c r="AE30" s="491">
        <f t="shared" si="1"/>
        <v>0</v>
      </c>
      <c r="AF30" s="491">
        <f t="shared" si="1"/>
        <v>0</v>
      </c>
      <c r="AG30" s="491">
        <f t="shared" si="1"/>
        <v>0</v>
      </c>
      <c r="AH30" s="491">
        <f t="shared" si="1"/>
        <v>0</v>
      </c>
      <c r="AI30" s="491">
        <f t="shared" si="1"/>
        <v>0</v>
      </c>
      <c r="AJ30" s="491">
        <f t="shared" si="1"/>
        <v>0</v>
      </c>
      <c r="AK30" s="491">
        <f t="shared" si="1"/>
        <v>0</v>
      </c>
      <c r="AL30" s="491">
        <f t="shared" si="1"/>
        <v>0</v>
      </c>
      <c r="AM30" s="491">
        <f t="shared" si="1"/>
        <v>0</v>
      </c>
      <c r="AN30" s="491">
        <f t="shared" si="1"/>
        <v>0</v>
      </c>
      <c r="AO30" s="491">
        <f t="shared" si="1"/>
        <v>0</v>
      </c>
      <c r="AP30" s="491">
        <f t="shared" si="1"/>
        <v>0</v>
      </c>
      <c r="AQ30" s="491">
        <f t="shared" si="1"/>
        <v>0</v>
      </c>
      <c r="AR30" s="491">
        <f t="shared" si="1"/>
        <v>0</v>
      </c>
      <c r="AS30" s="491">
        <f t="shared" si="1"/>
        <v>0</v>
      </c>
      <c r="AT30" s="493">
        <f t="shared" si="1"/>
        <v>0</v>
      </c>
    </row>
    <row r="31" spans="1:48" ht="20.399999999999999" customHeight="1" x14ac:dyDescent="0.3">
      <c r="A31" s="83"/>
      <c r="B31" s="482" t="str">
        <f>+B9</f>
        <v>Fuel 1</v>
      </c>
      <c r="C31" s="439"/>
      <c r="D31" s="439"/>
      <c r="E31" s="439"/>
      <c r="F31" s="439"/>
      <c r="G31" s="492">
        <f t="shared" ref="G31:AT31" si="2">+$D$9*G25</f>
        <v>0</v>
      </c>
      <c r="H31" s="491">
        <f t="shared" si="2"/>
        <v>0</v>
      </c>
      <c r="I31" s="491">
        <f t="shared" si="2"/>
        <v>0</v>
      </c>
      <c r="J31" s="491">
        <f t="shared" si="2"/>
        <v>0</v>
      </c>
      <c r="K31" s="491">
        <f t="shared" si="2"/>
        <v>0</v>
      </c>
      <c r="L31" s="491">
        <f t="shared" si="2"/>
        <v>0</v>
      </c>
      <c r="M31" s="491">
        <f t="shared" si="2"/>
        <v>0</v>
      </c>
      <c r="N31" s="491">
        <f t="shared" si="2"/>
        <v>0</v>
      </c>
      <c r="O31" s="491">
        <f t="shared" si="2"/>
        <v>0</v>
      </c>
      <c r="P31" s="491">
        <f t="shared" si="2"/>
        <v>0</v>
      </c>
      <c r="Q31" s="491">
        <f t="shared" si="2"/>
        <v>0</v>
      </c>
      <c r="R31" s="491">
        <f t="shared" si="2"/>
        <v>0</v>
      </c>
      <c r="S31" s="491">
        <f t="shared" si="2"/>
        <v>0</v>
      </c>
      <c r="T31" s="491">
        <f t="shared" si="2"/>
        <v>0</v>
      </c>
      <c r="U31" s="491">
        <f t="shared" si="2"/>
        <v>0</v>
      </c>
      <c r="V31" s="491">
        <f t="shared" si="2"/>
        <v>0</v>
      </c>
      <c r="W31" s="491">
        <f t="shared" si="2"/>
        <v>0</v>
      </c>
      <c r="X31" s="491">
        <f t="shared" si="2"/>
        <v>0</v>
      </c>
      <c r="Y31" s="491">
        <f t="shared" si="2"/>
        <v>0</v>
      </c>
      <c r="Z31" s="491">
        <f t="shared" si="2"/>
        <v>0</v>
      </c>
      <c r="AA31" s="491">
        <f t="shared" si="2"/>
        <v>0</v>
      </c>
      <c r="AB31" s="491">
        <f t="shared" si="2"/>
        <v>0</v>
      </c>
      <c r="AC31" s="491">
        <f t="shared" si="2"/>
        <v>0</v>
      </c>
      <c r="AD31" s="491">
        <f t="shared" si="2"/>
        <v>0</v>
      </c>
      <c r="AE31" s="491">
        <f t="shared" si="2"/>
        <v>0</v>
      </c>
      <c r="AF31" s="491">
        <f t="shared" si="2"/>
        <v>0</v>
      </c>
      <c r="AG31" s="491">
        <f t="shared" si="2"/>
        <v>0</v>
      </c>
      <c r="AH31" s="491">
        <f t="shared" si="2"/>
        <v>0</v>
      </c>
      <c r="AI31" s="491">
        <f t="shared" si="2"/>
        <v>0</v>
      </c>
      <c r="AJ31" s="491">
        <f t="shared" si="2"/>
        <v>0</v>
      </c>
      <c r="AK31" s="491">
        <f t="shared" si="2"/>
        <v>0</v>
      </c>
      <c r="AL31" s="491">
        <f t="shared" si="2"/>
        <v>0</v>
      </c>
      <c r="AM31" s="491">
        <f t="shared" si="2"/>
        <v>0</v>
      </c>
      <c r="AN31" s="491">
        <f t="shared" si="2"/>
        <v>0</v>
      </c>
      <c r="AO31" s="491">
        <f t="shared" si="2"/>
        <v>0</v>
      </c>
      <c r="AP31" s="491">
        <f t="shared" si="2"/>
        <v>0</v>
      </c>
      <c r="AQ31" s="491">
        <f t="shared" si="2"/>
        <v>0</v>
      </c>
      <c r="AR31" s="491">
        <f t="shared" si="2"/>
        <v>0</v>
      </c>
      <c r="AS31" s="491">
        <f t="shared" si="2"/>
        <v>0</v>
      </c>
      <c r="AT31" s="493">
        <f t="shared" si="2"/>
        <v>0</v>
      </c>
    </row>
    <row r="32" spans="1:48" ht="20.399999999999999" customHeight="1" x14ac:dyDescent="0.3">
      <c r="A32" s="83"/>
      <c r="B32" s="482" t="str">
        <f>+B10</f>
        <v>Fuel 2</v>
      </c>
      <c r="C32" s="439"/>
      <c r="D32" s="439"/>
      <c r="E32" s="439"/>
      <c r="F32" s="439"/>
      <c r="G32" s="492">
        <f t="shared" ref="G32:AT32" si="3">+$D$10*G25</f>
        <v>0</v>
      </c>
      <c r="H32" s="491">
        <f t="shared" si="3"/>
        <v>0</v>
      </c>
      <c r="I32" s="491">
        <f t="shared" si="3"/>
        <v>0</v>
      </c>
      <c r="J32" s="491">
        <f t="shared" si="3"/>
        <v>0</v>
      </c>
      <c r="K32" s="491">
        <f t="shared" si="3"/>
        <v>0</v>
      </c>
      <c r="L32" s="491">
        <f t="shared" si="3"/>
        <v>0</v>
      </c>
      <c r="M32" s="491">
        <f t="shared" si="3"/>
        <v>0</v>
      </c>
      <c r="N32" s="491">
        <f t="shared" si="3"/>
        <v>0</v>
      </c>
      <c r="O32" s="491">
        <f t="shared" si="3"/>
        <v>0</v>
      </c>
      <c r="P32" s="491">
        <f t="shared" si="3"/>
        <v>0</v>
      </c>
      <c r="Q32" s="491">
        <f t="shared" si="3"/>
        <v>0</v>
      </c>
      <c r="R32" s="491">
        <f t="shared" si="3"/>
        <v>0</v>
      </c>
      <c r="S32" s="491">
        <f t="shared" si="3"/>
        <v>0</v>
      </c>
      <c r="T32" s="491">
        <f t="shared" si="3"/>
        <v>0</v>
      </c>
      <c r="U32" s="491">
        <f t="shared" si="3"/>
        <v>0</v>
      </c>
      <c r="V32" s="491">
        <f t="shared" si="3"/>
        <v>0</v>
      </c>
      <c r="W32" s="491">
        <f t="shared" si="3"/>
        <v>0</v>
      </c>
      <c r="X32" s="491">
        <f t="shared" si="3"/>
        <v>0</v>
      </c>
      <c r="Y32" s="491">
        <f t="shared" si="3"/>
        <v>0</v>
      </c>
      <c r="Z32" s="491">
        <f t="shared" si="3"/>
        <v>0</v>
      </c>
      <c r="AA32" s="491">
        <f t="shared" si="3"/>
        <v>0</v>
      </c>
      <c r="AB32" s="491">
        <f t="shared" si="3"/>
        <v>0</v>
      </c>
      <c r="AC32" s="491">
        <f t="shared" si="3"/>
        <v>0</v>
      </c>
      <c r="AD32" s="491">
        <f t="shared" si="3"/>
        <v>0</v>
      </c>
      <c r="AE32" s="491">
        <f t="shared" si="3"/>
        <v>0</v>
      </c>
      <c r="AF32" s="491">
        <f t="shared" si="3"/>
        <v>0</v>
      </c>
      <c r="AG32" s="491">
        <f t="shared" si="3"/>
        <v>0</v>
      </c>
      <c r="AH32" s="491">
        <f t="shared" si="3"/>
        <v>0</v>
      </c>
      <c r="AI32" s="491">
        <f t="shared" si="3"/>
        <v>0</v>
      </c>
      <c r="AJ32" s="491">
        <f t="shared" si="3"/>
        <v>0</v>
      </c>
      <c r="AK32" s="491">
        <f t="shared" si="3"/>
        <v>0</v>
      </c>
      <c r="AL32" s="491">
        <f t="shared" si="3"/>
        <v>0</v>
      </c>
      <c r="AM32" s="491">
        <f t="shared" si="3"/>
        <v>0</v>
      </c>
      <c r="AN32" s="491">
        <f t="shared" si="3"/>
        <v>0</v>
      </c>
      <c r="AO32" s="491">
        <f t="shared" si="3"/>
        <v>0</v>
      </c>
      <c r="AP32" s="491">
        <f t="shared" si="3"/>
        <v>0</v>
      </c>
      <c r="AQ32" s="491">
        <f t="shared" si="3"/>
        <v>0</v>
      </c>
      <c r="AR32" s="491">
        <f t="shared" si="3"/>
        <v>0</v>
      </c>
      <c r="AS32" s="491">
        <f t="shared" si="3"/>
        <v>0</v>
      </c>
      <c r="AT32" s="493">
        <f t="shared" si="3"/>
        <v>0</v>
      </c>
    </row>
    <row r="33" spans="1:46" ht="20.399999999999999" customHeight="1" x14ac:dyDescent="0.3">
      <c r="A33" s="83"/>
      <c r="B33" s="482" t="s">
        <v>493</v>
      </c>
      <c r="C33" s="439"/>
      <c r="D33" s="439"/>
      <c r="E33" s="439"/>
      <c r="F33" s="439"/>
      <c r="G33" s="492">
        <f>'Plant OPEX'!$U$19*'Cash Flow Analysis'!G25</f>
        <v>0</v>
      </c>
      <c r="H33" s="491">
        <f>'Plant OPEX'!$U$19*'Cash Flow Analysis'!H25</f>
        <v>0</v>
      </c>
      <c r="I33" s="491">
        <f>'Plant OPEX'!$U$19*'Cash Flow Analysis'!I25</f>
        <v>0</v>
      </c>
      <c r="J33" s="491">
        <f>'Plant OPEX'!$U$19*'Cash Flow Analysis'!J25</f>
        <v>0</v>
      </c>
      <c r="K33" s="491">
        <f>'Plant OPEX'!$U$19*'Cash Flow Analysis'!K25</f>
        <v>0</v>
      </c>
      <c r="L33" s="491">
        <f>'Plant OPEX'!$U$19*'Cash Flow Analysis'!L25</f>
        <v>0</v>
      </c>
      <c r="M33" s="491">
        <f>'Plant OPEX'!$U$19*'Cash Flow Analysis'!M25</f>
        <v>0</v>
      </c>
      <c r="N33" s="491">
        <f>'Plant OPEX'!$U$19*'Cash Flow Analysis'!N25</f>
        <v>0</v>
      </c>
      <c r="O33" s="491">
        <f>'Plant OPEX'!$U$19*'Cash Flow Analysis'!O25</f>
        <v>0</v>
      </c>
      <c r="P33" s="491">
        <f>'Plant OPEX'!$U$19*'Cash Flow Analysis'!P25</f>
        <v>0</v>
      </c>
      <c r="Q33" s="491">
        <f>'Plant OPEX'!$U$19*'Cash Flow Analysis'!Q25</f>
        <v>0</v>
      </c>
      <c r="R33" s="491">
        <f>'Plant OPEX'!$U$19*'Cash Flow Analysis'!R25</f>
        <v>0</v>
      </c>
      <c r="S33" s="491">
        <f>'Plant OPEX'!$U$19*'Cash Flow Analysis'!S25</f>
        <v>0</v>
      </c>
      <c r="T33" s="491">
        <f>'Plant OPEX'!$U$19*'Cash Flow Analysis'!T25</f>
        <v>0</v>
      </c>
      <c r="U33" s="491">
        <f>'Plant OPEX'!$U$19*'Cash Flow Analysis'!U25</f>
        <v>0</v>
      </c>
      <c r="V33" s="491">
        <f>'Plant OPEX'!$U$19*'Cash Flow Analysis'!V25</f>
        <v>0</v>
      </c>
      <c r="W33" s="491">
        <f>'Plant OPEX'!$U$19*'Cash Flow Analysis'!W25</f>
        <v>0</v>
      </c>
      <c r="X33" s="491">
        <f>'Plant OPEX'!$U$19*'Cash Flow Analysis'!X25</f>
        <v>0</v>
      </c>
      <c r="Y33" s="491">
        <f>'Plant OPEX'!$U$19*'Cash Flow Analysis'!Y25</f>
        <v>0</v>
      </c>
      <c r="Z33" s="491">
        <f>'Plant OPEX'!$U$19*'Cash Flow Analysis'!Z25</f>
        <v>0</v>
      </c>
      <c r="AA33" s="491">
        <f>'Plant OPEX'!$U$19*'Cash Flow Analysis'!AA25</f>
        <v>0</v>
      </c>
      <c r="AB33" s="491">
        <f>'Plant OPEX'!$U$19*'Cash Flow Analysis'!AB25</f>
        <v>0</v>
      </c>
      <c r="AC33" s="491">
        <f>'Plant OPEX'!$U$19*'Cash Flow Analysis'!AC25</f>
        <v>0</v>
      </c>
      <c r="AD33" s="491">
        <f>'Plant OPEX'!$U$19*'Cash Flow Analysis'!AD25</f>
        <v>0</v>
      </c>
      <c r="AE33" s="491">
        <f>'Plant OPEX'!$U$19*'Cash Flow Analysis'!AE25</f>
        <v>0</v>
      </c>
      <c r="AF33" s="491">
        <f>'Plant OPEX'!$U$19*'Cash Flow Analysis'!AF25</f>
        <v>0</v>
      </c>
      <c r="AG33" s="491">
        <f>'Plant OPEX'!$U$19*'Cash Flow Analysis'!AG25</f>
        <v>0</v>
      </c>
      <c r="AH33" s="491">
        <f>'Plant OPEX'!$U$19*'Cash Flow Analysis'!AH25</f>
        <v>0</v>
      </c>
      <c r="AI33" s="491">
        <f>'Plant OPEX'!$U$19*'Cash Flow Analysis'!AI25</f>
        <v>0</v>
      </c>
      <c r="AJ33" s="491">
        <f>'Plant OPEX'!$U$19*'Cash Flow Analysis'!AJ25</f>
        <v>0</v>
      </c>
      <c r="AK33" s="491">
        <f>'Plant OPEX'!$U$19*'Cash Flow Analysis'!AK25</f>
        <v>0</v>
      </c>
      <c r="AL33" s="491">
        <f>'Plant OPEX'!$U$19*'Cash Flow Analysis'!AL25</f>
        <v>0</v>
      </c>
      <c r="AM33" s="491">
        <f>'Plant OPEX'!$U$19*'Cash Flow Analysis'!AM25</f>
        <v>0</v>
      </c>
      <c r="AN33" s="491">
        <f>'Plant OPEX'!$U$19*'Cash Flow Analysis'!AN25</f>
        <v>0</v>
      </c>
      <c r="AO33" s="491">
        <f>'Plant OPEX'!$U$19*'Cash Flow Analysis'!AO25</f>
        <v>0</v>
      </c>
      <c r="AP33" s="491">
        <f>'Plant OPEX'!$U$19*'Cash Flow Analysis'!AP25</f>
        <v>0</v>
      </c>
      <c r="AQ33" s="491">
        <f>'Plant OPEX'!$U$19*'Cash Flow Analysis'!AQ25</f>
        <v>0</v>
      </c>
      <c r="AR33" s="491">
        <f>'Plant OPEX'!$U$19*'Cash Flow Analysis'!AR25</f>
        <v>0</v>
      </c>
      <c r="AS33" s="491">
        <f>'Plant OPEX'!$U$19*'Cash Flow Analysis'!AS25</f>
        <v>0</v>
      </c>
      <c r="AT33" s="493">
        <f>'Plant OPEX'!$U$19*'Cash Flow Analysis'!AT25</f>
        <v>0</v>
      </c>
    </row>
    <row r="34" spans="1:46" ht="20.399999999999999" customHeight="1" x14ac:dyDescent="0.3">
      <c r="A34" s="83"/>
      <c r="B34" s="483" t="str">
        <f>+B11</f>
        <v>VOM</v>
      </c>
      <c r="C34" s="439"/>
      <c r="D34" s="439"/>
      <c r="E34" s="439"/>
      <c r="F34" s="439"/>
      <c r="G34" s="492">
        <f t="shared" ref="G34:AT34" si="4">+$D$11*G25</f>
        <v>0</v>
      </c>
      <c r="H34" s="491">
        <f t="shared" si="4"/>
        <v>0</v>
      </c>
      <c r="I34" s="491">
        <f t="shared" si="4"/>
        <v>0</v>
      </c>
      <c r="J34" s="491">
        <f t="shared" si="4"/>
        <v>0</v>
      </c>
      <c r="K34" s="491">
        <f t="shared" si="4"/>
        <v>0</v>
      </c>
      <c r="L34" s="491">
        <f t="shared" si="4"/>
        <v>0</v>
      </c>
      <c r="M34" s="491">
        <f t="shared" si="4"/>
        <v>0</v>
      </c>
      <c r="N34" s="491">
        <f t="shared" si="4"/>
        <v>0</v>
      </c>
      <c r="O34" s="491">
        <f t="shared" si="4"/>
        <v>0</v>
      </c>
      <c r="P34" s="491">
        <f t="shared" si="4"/>
        <v>0</v>
      </c>
      <c r="Q34" s="491">
        <f t="shared" si="4"/>
        <v>0</v>
      </c>
      <c r="R34" s="491">
        <f t="shared" si="4"/>
        <v>0</v>
      </c>
      <c r="S34" s="491">
        <f t="shared" si="4"/>
        <v>0</v>
      </c>
      <c r="T34" s="491">
        <f t="shared" si="4"/>
        <v>0</v>
      </c>
      <c r="U34" s="491">
        <f t="shared" si="4"/>
        <v>0</v>
      </c>
      <c r="V34" s="491">
        <f t="shared" si="4"/>
        <v>0</v>
      </c>
      <c r="W34" s="491">
        <f t="shared" si="4"/>
        <v>0</v>
      </c>
      <c r="X34" s="491">
        <f t="shared" si="4"/>
        <v>0</v>
      </c>
      <c r="Y34" s="491">
        <f t="shared" si="4"/>
        <v>0</v>
      </c>
      <c r="Z34" s="491">
        <f t="shared" si="4"/>
        <v>0</v>
      </c>
      <c r="AA34" s="491">
        <f t="shared" si="4"/>
        <v>0</v>
      </c>
      <c r="AB34" s="491">
        <f t="shared" si="4"/>
        <v>0</v>
      </c>
      <c r="AC34" s="491">
        <f t="shared" si="4"/>
        <v>0</v>
      </c>
      <c r="AD34" s="491">
        <f t="shared" si="4"/>
        <v>0</v>
      </c>
      <c r="AE34" s="491">
        <f t="shared" si="4"/>
        <v>0</v>
      </c>
      <c r="AF34" s="491">
        <f t="shared" si="4"/>
        <v>0</v>
      </c>
      <c r="AG34" s="491">
        <f t="shared" si="4"/>
        <v>0</v>
      </c>
      <c r="AH34" s="491">
        <f t="shared" si="4"/>
        <v>0</v>
      </c>
      <c r="AI34" s="491">
        <f t="shared" si="4"/>
        <v>0</v>
      </c>
      <c r="AJ34" s="491">
        <f t="shared" si="4"/>
        <v>0</v>
      </c>
      <c r="AK34" s="491">
        <f t="shared" si="4"/>
        <v>0</v>
      </c>
      <c r="AL34" s="491">
        <f t="shared" si="4"/>
        <v>0</v>
      </c>
      <c r="AM34" s="491">
        <f t="shared" si="4"/>
        <v>0</v>
      </c>
      <c r="AN34" s="491">
        <f t="shared" si="4"/>
        <v>0</v>
      </c>
      <c r="AO34" s="491">
        <f t="shared" si="4"/>
        <v>0</v>
      </c>
      <c r="AP34" s="491">
        <f t="shared" si="4"/>
        <v>0</v>
      </c>
      <c r="AQ34" s="491">
        <f t="shared" si="4"/>
        <v>0</v>
      </c>
      <c r="AR34" s="491">
        <f t="shared" si="4"/>
        <v>0</v>
      </c>
      <c r="AS34" s="491">
        <f t="shared" si="4"/>
        <v>0</v>
      </c>
      <c r="AT34" s="493">
        <f t="shared" si="4"/>
        <v>0</v>
      </c>
    </row>
    <row r="35" spans="1:46" ht="20.399999999999999" customHeight="1" x14ac:dyDescent="0.3">
      <c r="A35" s="83"/>
      <c r="B35" s="526" t="s">
        <v>440</v>
      </c>
      <c r="C35" s="445">
        <f t="shared" ref="C35:AT35" si="5">C27-SUM(C29:C34)</f>
        <v>0</v>
      </c>
      <c r="D35" s="445">
        <f t="shared" si="5"/>
        <v>0</v>
      </c>
      <c r="E35" s="445">
        <f t="shared" si="5"/>
        <v>0</v>
      </c>
      <c r="F35" s="445">
        <f t="shared" si="5"/>
        <v>0</v>
      </c>
      <c r="G35" s="528" t="e">
        <f>G27-SUM(G29:G34)</f>
        <v>#DIV/0!</v>
      </c>
      <c r="H35" s="529" t="e">
        <f t="shared" si="5"/>
        <v>#DIV/0!</v>
      </c>
      <c r="I35" s="529" t="e">
        <f t="shared" si="5"/>
        <v>#DIV/0!</v>
      </c>
      <c r="J35" s="529" t="e">
        <f t="shared" si="5"/>
        <v>#DIV/0!</v>
      </c>
      <c r="K35" s="529" t="e">
        <f t="shared" si="5"/>
        <v>#DIV/0!</v>
      </c>
      <c r="L35" s="529" t="e">
        <f t="shared" si="5"/>
        <v>#DIV/0!</v>
      </c>
      <c r="M35" s="529" t="e">
        <f t="shared" si="5"/>
        <v>#DIV/0!</v>
      </c>
      <c r="N35" s="529" t="e">
        <f t="shared" si="5"/>
        <v>#DIV/0!</v>
      </c>
      <c r="O35" s="529" t="e">
        <f t="shared" si="5"/>
        <v>#DIV/0!</v>
      </c>
      <c r="P35" s="529" t="e">
        <f t="shared" si="5"/>
        <v>#DIV/0!</v>
      </c>
      <c r="Q35" s="529" t="e">
        <f t="shared" si="5"/>
        <v>#DIV/0!</v>
      </c>
      <c r="R35" s="529" t="e">
        <f t="shared" si="5"/>
        <v>#DIV/0!</v>
      </c>
      <c r="S35" s="529" t="e">
        <f t="shared" si="5"/>
        <v>#DIV/0!</v>
      </c>
      <c r="T35" s="529" t="e">
        <f t="shared" si="5"/>
        <v>#DIV/0!</v>
      </c>
      <c r="U35" s="529" t="e">
        <f t="shared" si="5"/>
        <v>#DIV/0!</v>
      </c>
      <c r="V35" s="529" t="e">
        <f t="shared" si="5"/>
        <v>#DIV/0!</v>
      </c>
      <c r="W35" s="529" t="e">
        <f t="shared" si="5"/>
        <v>#DIV/0!</v>
      </c>
      <c r="X35" s="529" t="e">
        <f t="shared" si="5"/>
        <v>#DIV/0!</v>
      </c>
      <c r="Y35" s="529" t="e">
        <f t="shared" si="5"/>
        <v>#DIV/0!</v>
      </c>
      <c r="Z35" s="529" t="e">
        <f t="shared" si="5"/>
        <v>#DIV/0!</v>
      </c>
      <c r="AA35" s="529" t="e">
        <f t="shared" si="5"/>
        <v>#DIV/0!</v>
      </c>
      <c r="AB35" s="529" t="e">
        <f t="shared" si="5"/>
        <v>#DIV/0!</v>
      </c>
      <c r="AC35" s="529" t="e">
        <f t="shared" si="5"/>
        <v>#DIV/0!</v>
      </c>
      <c r="AD35" s="529" t="e">
        <f t="shared" si="5"/>
        <v>#DIV/0!</v>
      </c>
      <c r="AE35" s="529" t="e">
        <f t="shared" si="5"/>
        <v>#DIV/0!</v>
      </c>
      <c r="AF35" s="529" t="e">
        <f t="shared" si="5"/>
        <v>#DIV/0!</v>
      </c>
      <c r="AG35" s="529" t="e">
        <f t="shared" si="5"/>
        <v>#DIV/0!</v>
      </c>
      <c r="AH35" s="529" t="e">
        <f t="shared" si="5"/>
        <v>#DIV/0!</v>
      </c>
      <c r="AI35" s="529" t="e">
        <f t="shared" si="5"/>
        <v>#DIV/0!</v>
      </c>
      <c r="AJ35" s="529" t="e">
        <f t="shared" si="5"/>
        <v>#DIV/0!</v>
      </c>
      <c r="AK35" s="529" t="e">
        <f t="shared" si="5"/>
        <v>#DIV/0!</v>
      </c>
      <c r="AL35" s="529" t="e">
        <f t="shared" si="5"/>
        <v>#DIV/0!</v>
      </c>
      <c r="AM35" s="529" t="e">
        <f t="shared" si="5"/>
        <v>#DIV/0!</v>
      </c>
      <c r="AN35" s="529" t="e">
        <f t="shared" si="5"/>
        <v>#DIV/0!</v>
      </c>
      <c r="AO35" s="529" t="e">
        <f t="shared" si="5"/>
        <v>#DIV/0!</v>
      </c>
      <c r="AP35" s="529" t="e">
        <f t="shared" si="5"/>
        <v>#DIV/0!</v>
      </c>
      <c r="AQ35" s="529" t="e">
        <f t="shared" si="5"/>
        <v>#DIV/0!</v>
      </c>
      <c r="AR35" s="529" t="e">
        <f t="shared" si="5"/>
        <v>#DIV/0!</v>
      </c>
      <c r="AS35" s="529" t="e">
        <f t="shared" si="5"/>
        <v>#DIV/0!</v>
      </c>
      <c r="AT35" s="530" t="e">
        <f t="shared" si="5"/>
        <v>#DIV/0!</v>
      </c>
    </row>
    <row r="36" spans="1:46" ht="20.399999999999999" customHeight="1" x14ac:dyDescent="0.3">
      <c r="A36" s="83"/>
      <c r="B36" s="482" t="s">
        <v>444</v>
      </c>
      <c r="C36" s="491">
        <f>+IF(C24=-D17,1,0)</f>
        <v>1</v>
      </c>
      <c r="D36" s="491">
        <f>IF(D24=-$D$17,1,IF(C36=0,0,C36/(1+$D$21)))</f>
        <v>0.92592592592592582</v>
      </c>
      <c r="E36" s="491">
        <f t="shared" ref="E36:F36" si="6">IF(E24=-$D$17,1,IF(D36=0,0,D36/(1+$D$21)))</f>
        <v>0.8573388203017831</v>
      </c>
      <c r="F36" s="491">
        <f t="shared" si="6"/>
        <v>0.79383224102016947</v>
      </c>
      <c r="G36" s="492">
        <f>F36/(1+$D$21)</f>
        <v>0.73502985279645316</v>
      </c>
      <c r="H36" s="491">
        <f t="shared" ref="H36:AT36" si="7">IF(H24&lt;=$D$16,G36/(1+$D$21),0)</f>
        <v>0.68058319703375292</v>
      </c>
      <c r="I36" s="491">
        <f t="shared" si="7"/>
        <v>0.63016962688310452</v>
      </c>
      <c r="J36" s="491">
        <f t="shared" si="7"/>
        <v>0.58349039526213375</v>
      </c>
      <c r="K36" s="491">
        <f t="shared" si="7"/>
        <v>0.54026888450197563</v>
      </c>
      <c r="L36" s="491">
        <f t="shared" si="7"/>
        <v>0.50024896713145883</v>
      </c>
      <c r="M36" s="491">
        <f t="shared" si="7"/>
        <v>0.46319348808468408</v>
      </c>
      <c r="N36" s="491">
        <f t="shared" si="7"/>
        <v>0.4288828593376704</v>
      </c>
      <c r="O36" s="491">
        <f t="shared" si="7"/>
        <v>0.39711375864599108</v>
      </c>
      <c r="P36" s="491">
        <f t="shared" si="7"/>
        <v>0.36769792467221396</v>
      </c>
      <c r="Q36" s="491">
        <f t="shared" si="7"/>
        <v>0.34046104136316108</v>
      </c>
      <c r="R36" s="491">
        <f t="shared" si="7"/>
        <v>0.31524170496588988</v>
      </c>
      <c r="S36" s="491">
        <f t="shared" si="7"/>
        <v>0.29189046756100911</v>
      </c>
      <c r="T36" s="491">
        <f t="shared" si="7"/>
        <v>0.27026895144537877</v>
      </c>
      <c r="U36" s="491">
        <f t="shared" si="7"/>
        <v>0.25024902911609143</v>
      </c>
      <c r="V36" s="491">
        <f t="shared" si="7"/>
        <v>0.23171206399638095</v>
      </c>
      <c r="W36" s="491">
        <f t="shared" si="7"/>
        <v>0.21454820740405642</v>
      </c>
      <c r="X36" s="491">
        <f t="shared" si="7"/>
        <v>0.19865574759634852</v>
      </c>
      <c r="Y36" s="491">
        <f t="shared" si="7"/>
        <v>0.18394050703365603</v>
      </c>
      <c r="Z36" s="491">
        <f t="shared" si="7"/>
        <v>0.17031528429042223</v>
      </c>
      <c r="AA36" s="491">
        <f t="shared" si="7"/>
        <v>0.15769933730594649</v>
      </c>
      <c r="AB36" s="491">
        <f t="shared" si="7"/>
        <v>0.14601790491291342</v>
      </c>
      <c r="AC36" s="491">
        <f t="shared" si="7"/>
        <v>0.13520176380825316</v>
      </c>
      <c r="AD36" s="491">
        <f t="shared" si="7"/>
        <v>0.12518681834097514</v>
      </c>
      <c r="AE36" s="491">
        <f t="shared" si="7"/>
        <v>0.11591372068608809</v>
      </c>
      <c r="AF36" s="491">
        <f t="shared" si="7"/>
        <v>0</v>
      </c>
      <c r="AG36" s="491">
        <f t="shared" si="7"/>
        <v>0</v>
      </c>
      <c r="AH36" s="491">
        <f t="shared" si="7"/>
        <v>0</v>
      </c>
      <c r="AI36" s="491">
        <f t="shared" si="7"/>
        <v>0</v>
      </c>
      <c r="AJ36" s="491">
        <f t="shared" si="7"/>
        <v>0</v>
      </c>
      <c r="AK36" s="491">
        <f t="shared" si="7"/>
        <v>0</v>
      </c>
      <c r="AL36" s="491">
        <f t="shared" si="7"/>
        <v>0</v>
      </c>
      <c r="AM36" s="491">
        <f t="shared" si="7"/>
        <v>0</v>
      </c>
      <c r="AN36" s="491">
        <f t="shared" si="7"/>
        <v>0</v>
      </c>
      <c r="AO36" s="491">
        <f t="shared" si="7"/>
        <v>0</v>
      </c>
      <c r="AP36" s="491">
        <f t="shared" si="7"/>
        <v>0</v>
      </c>
      <c r="AQ36" s="491">
        <f t="shared" si="7"/>
        <v>0</v>
      </c>
      <c r="AR36" s="491">
        <f t="shared" si="7"/>
        <v>0</v>
      </c>
      <c r="AS36" s="491">
        <f t="shared" si="7"/>
        <v>0</v>
      </c>
      <c r="AT36" s="493">
        <f t="shared" si="7"/>
        <v>0</v>
      </c>
    </row>
    <row r="37" spans="1:46" ht="20.399999999999999" customHeight="1" x14ac:dyDescent="0.3">
      <c r="A37" s="83"/>
      <c r="B37" s="482" t="s">
        <v>445</v>
      </c>
      <c r="C37" s="439">
        <f>C35*C36</f>
        <v>0</v>
      </c>
      <c r="D37" s="439">
        <f>D35*D36</f>
        <v>0</v>
      </c>
      <c r="E37" s="439">
        <f>E35*E36</f>
        <v>0</v>
      </c>
      <c r="F37" s="439">
        <f>F35*F36</f>
        <v>0</v>
      </c>
      <c r="G37" s="438" t="e">
        <f t="shared" ref="G37:AT37" si="8">G35*G36</f>
        <v>#DIV/0!</v>
      </c>
      <c r="H37" s="439" t="e">
        <f t="shared" si="8"/>
        <v>#DIV/0!</v>
      </c>
      <c r="I37" s="439" t="e">
        <f t="shared" si="8"/>
        <v>#DIV/0!</v>
      </c>
      <c r="J37" s="439" t="e">
        <f t="shared" si="8"/>
        <v>#DIV/0!</v>
      </c>
      <c r="K37" s="439" t="e">
        <f t="shared" si="8"/>
        <v>#DIV/0!</v>
      </c>
      <c r="L37" s="439" t="e">
        <f t="shared" si="8"/>
        <v>#DIV/0!</v>
      </c>
      <c r="M37" s="439" t="e">
        <f t="shared" si="8"/>
        <v>#DIV/0!</v>
      </c>
      <c r="N37" s="439" t="e">
        <f t="shared" si="8"/>
        <v>#DIV/0!</v>
      </c>
      <c r="O37" s="439" t="e">
        <f t="shared" si="8"/>
        <v>#DIV/0!</v>
      </c>
      <c r="P37" s="439" t="e">
        <f t="shared" si="8"/>
        <v>#DIV/0!</v>
      </c>
      <c r="Q37" s="439" t="e">
        <f t="shared" si="8"/>
        <v>#DIV/0!</v>
      </c>
      <c r="R37" s="439" t="e">
        <f t="shared" si="8"/>
        <v>#DIV/0!</v>
      </c>
      <c r="S37" s="439" t="e">
        <f t="shared" si="8"/>
        <v>#DIV/0!</v>
      </c>
      <c r="T37" s="439" t="e">
        <f t="shared" si="8"/>
        <v>#DIV/0!</v>
      </c>
      <c r="U37" s="439" t="e">
        <f t="shared" si="8"/>
        <v>#DIV/0!</v>
      </c>
      <c r="V37" s="439" t="e">
        <f t="shared" si="8"/>
        <v>#DIV/0!</v>
      </c>
      <c r="W37" s="439" t="e">
        <f t="shared" si="8"/>
        <v>#DIV/0!</v>
      </c>
      <c r="X37" s="439" t="e">
        <f t="shared" si="8"/>
        <v>#DIV/0!</v>
      </c>
      <c r="Y37" s="439" t="e">
        <f t="shared" si="8"/>
        <v>#DIV/0!</v>
      </c>
      <c r="Z37" s="439" t="e">
        <f t="shared" si="8"/>
        <v>#DIV/0!</v>
      </c>
      <c r="AA37" s="439" t="e">
        <f t="shared" si="8"/>
        <v>#DIV/0!</v>
      </c>
      <c r="AB37" s="439" t="e">
        <f t="shared" si="8"/>
        <v>#DIV/0!</v>
      </c>
      <c r="AC37" s="439" t="e">
        <f t="shared" si="8"/>
        <v>#DIV/0!</v>
      </c>
      <c r="AD37" s="439" t="e">
        <f t="shared" si="8"/>
        <v>#DIV/0!</v>
      </c>
      <c r="AE37" s="439" t="e">
        <f t="shared" si="8"/>
        <v>#DIV/0!</v>
      </c>
      <c r="AF37" s="439" t="e">
        <f t="shared" si="8"/>
        <v>#DIV/0!</v>
      </c>
      <c r="AG37" s="439" t="e">
        <f t="shared" si="8"/>
        <v>#DIV/0!</v>
      </c>
      <c r="AH37" s="439" t="e">
        <f t="shared" si="8"/>
        <v>#DIV/0!</v>
      </c>
      <c r="AI37" s="439" t="e">
        <f t="shared" si="8"/>
        <v>#DIV/0!</v>
      </c>
      <c r="AJ37" s="439" t="e">
        <f t="shared" si="8"/>
        <v>#DIV/0!</v>
      </c>
      <c r="AK37" s="439" t="e">
        <f t="shared" si="8"/>
        <v>#DIV/0!</v>
      </c>
      <c r="AL37" s="439" t="e">
        <f t="shared" si="8"/>
        <v>#DIV/0!</v>
      </c>
      <c r="AM37" s="439" t="e">
        <f t="shared" si="8"/>
        <v>#DIV/0!</v>
      </c>
      <c r="AN37" s="439" t="e">
        <f t="shared" si="8"/>
        <v>#DIV/0!</v>
      </c>
      <c r="AO37" s="439" t="e">
        <f t="shared" si="8"/>
        <v>#DIV/0!</v>
      </c>
      <c r="AP37" s="439" t="e">
        <f t="shared" si="8"/>
        <v>#DIV/0!</v>
      </c>
      <c r="AQ37" s="439" t="e">
        <f t="shared" si="8"/>
        <v>#DIV/0!</v>
      </c>
      <c r="AR37" s="439" t="e">
        <f t="shared" si="8"/>
        <v>#DIV/0!</v>
      </c>
      <c r="AS37" s="439" t="e">
        <f t="shared" si="8"/>
        <v>#DIV/0!</v>
      </c>
      <c r="AT37" s="440" t="e">
        <f t="shared" si="8"/>
        <v>#DIV/0!</v>
      </c>
    </row>
    <row r="38" spans="1:46" ht="20.399999999999999" customHeight="1" x14ac:dyDescent="0.3">
      <c r="A38" s="83"/>
      <c r="B38" s="482" t="s">
        <v>446</v>
      </c>
      <c r="C38" s="439">
        <f>+C37</f>
        <v>0</v>
      </c>
      <c r="D38" s="439">
        <f>D35+C38</f>
        <v>0</v>
      </c>
      <c r="E38" s="439">
        <f>E35+D38</f>
        <v>0</v>
      </c>
      <c r="F38" s="439">
        <f>F35+E38</f>
        <v>0</v>
      </c>
      <c r="G38" s="492" t="e">
        <f>G35+F38</f>
        <v>#DIV/0!</v>
      </c>
      <c r="H38" s="439" t="e">
        <f t="shared" ref="H38:AT38" si="9">IF(H24&lt;=$D$16,H35+G38,0)</f>
        <v>#DIV/0!</v>
      </c>
      <c r="I38" s="439" t="e">
        <f t="shared" si="9"/>
        <v>#DIV/0!</v>
      </c>
      <c r="J38" s="439" t="e">
        <f t="shared" si="9"/>
        <v>#DIV/0!</v>
      </c>
      <c r="K38" s="439" t="e">
        <f t="shared" si="9"/>
        <v>#DIV/0!</v>
      </c>
      <c r="L38" s="439" t="e">
        <f t="shared" si="9"/>
        <v>#DIV/0!</v>
      </c>
      <c r="M38" s="439" t="e">
        <f t="shared" si="9"/>
        <v>#DIV/0!</v>
      </c>
      <c r="N38" s="439" t="e">
        <f t="shared" si="9"/>
        <v>#DIV/0!</v>
      </c>
      <c r="O38" s="439" t="e">
        <f t="shared" si="9"/>
        <v>#DIV/0!</v>
      </c>
      <c r="P38" s="439" t="e">
        <f t="shared" si="9"/>
        <v>#DIV/0!</v>
      </c>
      <c r="Q38" s="439" t="e">
        <f t="shared" si="9"/>
        <v>#DIV/0!</v>
      </c>
      <c r="R38" s="439" t="e">
        <f t="shared" si="9"/>
        <v>#DIV/0!</v>
      </c>
      <c r="S38" s="439" t="e">
        <f t="shared" si="9"/>
        <v>#DIV/0!</v>
      </c>
      <c r="T38" s="439" t="e">
        <f t="shared" si="9"/>
        <v>#DIV/0!</v>
      </c>
      <c r="U38" s="439" t="e">
        <f t="shared" si="9"/>
        <v>#DIV/0!</v>
      </c>
      <c r="V38" s="439" t="e">
        <f t="shared" si="9"/>
        <v>#DIV/0!</v>
      </c>
      <c r="W38" s="439" t="e">
        <f t="shared" si="9"/>
        <v>#DIV/0!</v>
      </c>
      <c r="X38" s="439" t="e">
        <f t="shared" si="9"/>
        <v>#DIV/0!</v>
      </c>
      <c r="Y38" s="439" t="e">
        <f t="shared" si="9"/>
        <v>#DIV/0!</v>
      </c>
      <c r="Z38" s="439" t="e">
        <f t="shared" si="9"/>
        <v>#DIV/0!</v>
      </c>
      <c r="AA38" s="439" t="e">
        <f t="shared" si="9"/>
        <v>#DIV/0!</v>
      </c>
      <c r="AB38" s="439" t="e">
        <f t="shared" si="9"/>
        <v>#DIV/0!</v>
      </c>
      <c r="AC38" s="439" t="e">
        <f t="shared" si="9"/>
        <v>#DIV/0!</v>
      </c>
      <c r="AD38" s="439" t="e">
        <f t="shared" si="9"/>
        <v>#DIV/0!</v>
      </c>
      <c r="AE38" s="439" t="e">
        <f t="shared" si="9"/>
        <v>#DIV/0!</v>
      </c>
      <c r="AF38" s="439">
        <f t="shared" si="9"/>
        <v>0</v>
      </c>
      <c r="AG38" s="439">
        <f t="shared" si="9"/>
        <v>0</v>
      </c>
      <c r="AH38" s="439">
        <f t="shared" si="9"/>
        <v>0</v>
      </c>
      <c r="AI38" s="439">
        <f t="shared" si="9"/>
        <v>0</v>
      </c>
      <c r="AJ38" s="439">
        <f t="shared" si="9"/>
        <v>0</v>
      </c>
      <c r="AK38" s="439">
        <f t="shared" si="9"/>
        <v>0</v>
      </c>
      <c r="AL38" s="439">
        <f t="shared" si="9"/>
        <v>0</v>
      </c>
      <c r="AM38" s="439">
        <f t="shared" si="9"/>
        <v>0</v>
      </c>
      <c r="AN38" s="439">
        <f t="shared" si="9"/>
        <v>0</v>
      </c>
      <c r="AO38" s="439">
        <f t="shared" si="9"/>
        <v>0</v>
      </c>
      <c r="AP38" s="439">
        <f t="shared" si="9"/>
        <v>0</v>
      </c>
      <c r="AQ38" s="439">
        <f t="shared" si="9"/>
        <v>0</v>
      </c>
      <c r="AR38" s="439">
        <f t="shared" si="9"/>
        <v>0</v>
      </c>
      <c r="AS38" s="439">
        <f t="shared" si="9"/>
        <v>0</v>
      </c>
      <c r="AT38" s="440">
        <f t="shared" si="9"/>
        <v>0</v>
      </c>
    </row>
    <row r="39" spans="1:46" ht="20.399999999999999" customHeight="1" x14ac:dyDescent="0.3">
      <c r="A39" s="83"/>
      <c r="B39" s="484" t="s">
        <v>447</v>
      </c>
      <c r="C39" s="445">
        <f>+C38</f>
        <v>0</v>
      </c>
      <c r="D39" s="445">
        <f>D37+C39</f>
        <v>0</v>
      </c>
      <c r="E39" s="445">
        <f>E37+D39</f>
        <v>0</v>
      </c>
      <c r="F39" s="445">
        <f>F37+E39</f>
        <v>0</v>
      </c>
      <c r="G39" s="444" t="e">
        <f>G37+F39</f>
        <v>#DIV/0!</v>
      </c>
      <c r="H39" s="445" t="e">
        <f t="shared" ref="H39:AT39" si="10">IF(H24&lt;=$D$16,H37+G39,0)</f>
        <v>#DIV/0!</v>
      </c>
      <c r="I39" s="445" t="e">
        <f t="shared" si="10"/>
        <v>#DIV/0!</v>
      </c>
      <c r="J39" s="445" t="e">
        <f t="shared" si="10"/>
        <v>#DIV/0!</v>
      </c>
      <c r="K39" s="445" t="e">
        <f t="shared" si="10"/>
        <v>#DIV/0!</v>
      </c>
      <c r="L39" s="445" t="e">
        <f t="shared" si="10"/>
        <v>#DIV/0!</v>
      </c>
      <c r="M39" s="445" t="e">
        <f t="shared" si="10"/>
        <v>#DIV/0!</v>
      </c>
      <c r="N39" s="445" t="e">
        <f t="shared" si="10"/>
        <v>#DIV/0!</v>
      </c>
      <c r="O39" s="445" t="e">
        <f t="shared" si="10"/>
        <v>#DIV/0!</v>
      </c>
      <c r="P39" s="445" t="e">
        <f t="shared" si="10"/>
        <v>#DIV/0!</v>
      </c>
      <c r="Q39" s="445" t="e">
        <f t="shared" si="10"/>
        <v>#DIV/0!</v>
      </c>
      <c r="R39" s="445" t="e">
        <f t="shared" si="10"/>
        <v>#DIV/0!</v>
      </c>
      <c r="S39" s="445" t="e">
        <f t="shared" si="10"/>
        <v>#DIV/0!</v>
      </c>
      <c r="T39" s="445" t="e">
        <f t="shared" si="10"/>
        <v>#DIV/0!</v>
      </c>
      <c r="U39" s="445" t="e">
        <f t="shared" si="10"/>
        <v>#DIV/0!</v>
      </c>
      <c r="V39" s="445" t="e">
        <f t="shared" si="10"/>
        <v>#DIV/0!</v>
      </c>
      <c r="W39" s="445" t="e">
        <f t="shared" si="10"/>
        <v>#DIV/0!</v>
      </c>
      <c r="X39" s="445" t="e">
        <f t="shared" si="10"/>
        <v>#DIV/0!</v>
      </c>
      <c r="Y39" s="445" t="e">
        <f t="shared" si="10"/>
        <v>#DIV/0!</v>
      </c>
      <c r="Z39" s="445" t="e">
        <f t="shared" si="10"/>
        <v>#DIV/0!</v>
      </c>
      <c r="AA39" s="445" t="e">
        <f t="shared" si="10"/>
        <v>#DIV/0!</v>
      </c>
      <c r="AB39" s="445" t="e">
        <f t="shared" si="10"/>
        <v>#DIV/0!</v>
      </c>
      <c r="AC39" s="445" t="e">
        <f t="shared" si="10"/>
        <v>#DIV/0!</v>
      </c>
      <c r="AD39" s="445" t="e">
        <f t="shared" si="10"/>
        <v>#DIV/0!</v>
      </c>
      <c r="AE39" s="445" t="e">
        <f t="shared" si="10"/>
        <v>#DIV/0!</v>
      </c>
      <c r="AF39" s="445">
        <f t="shared" si="10"/>
        <v>0</v>
      </c>
      <c r="AG39" s="445">
        <f t="shared" si="10"/>
        <v>0</v>
      </c>
      <c r="AH39" s="445">
        <f t="shared" si="10"/>
        <v>0</v>
      </c>
      <c r="AI39" s="445">
        <f t="shared" si="10"/>
        <v>0</v>
      </c>
      <c r="AJ39" s="445">
        <f t="shared" si="10"/>
        <v>0</v>
      </c>
      <c r="AK39" s="445">
        <f t="shared" si="10"/>
        <v>0</v>
      </c>
      <c r="AL39" s="445">
        <f t="shared" si="10"/>
        <v>0</v>
      </c>
      <c r="AM39" s="445">
        <f t="shared" si="10"/>
        <v>0</v>
      </c>
      <c r="AN39" s="445">
        <f t="shared" si="10"/>
        <v>0</v>
      </c>
      <c r="AO39" s="445">
        <f t="shared" si="10"/>
        <v>0</v>
      </c>
      <c r="AP39" s="445">
        <f t="shared" si="10"/>
        <v>0</v>
      </c>
      <c r="AQ39" s="445">
        <f t="shared" si="10"/>
        <v>0</v>
      </c>
      <c r="AR39" s="445">
        <f t="shared" si="10"/>
        <v>0</v>
      </c>
      <c r="AS39" s="445">
        <f t="shared" si="10"/>
        <v>0</v>
      </c>
      <c r="AT39" s="446">
        <f t="shared" si="10"/>
        <v>0</v>
      </c>
    </row>
    <row r="40" spans="1:46" ht="20.399999999999999" customHeight="1" x14ac:dyDescent="0.3">
      <c r="A40" s="83"/>
      <c r="B40" s="83"/>
      <c r="C40" s="155">
        <f>+C24</f>
        <v>-4</v>
      </c>
      <c r="D40" s="155">
        <f t="shared" ref="D40:AT40" si="11">+D24</f>
        <v>-3</v>
      </c>
      <c r="E40" s="155">
        <f t="shared" si="11"/>
        <v>-2</v>
      </c>
      <c r="F40" s="155">
        <f t="shared" si="11"/>
        <v>-1</v>
      </c>
      <c r="G40" s="155">
        <f t="shared" si="11"/>
        <v>1</v>
      </c>
      <c r="H40" s="155">
        <f t="shared" si="11"/>
        <v>2</v>
      </c>
      <c r="I40" s="155">
        <f t="shared" si="11"/>
        <v>3</v>
      </c>
      <c r="J40" s="155">
        <f t="shared" si="11"/>
        <v>4</v>
      </c>
      <c r="K40" s="155">
        <f t="shared" si="11"/>
        <v>5</v>
      </c>
      <c r="L40" s="155">
        <f t="shared" si="11"/>
        <v>6</v>
      </c>
      <c r="M40" s="155">
        <f t="shared" si="11"/>
        <v>7</v>
      </c>
      <c r="N40" s="155">
        <f t="shared" si="11"/>
        <v>8</v>
      </c>
      <c r="O40" s="155">
        <f t="shared" si="11"/>
        <v>9</v>
      </c>
      <c r="P40" s="155">
        <f t="shared" si="11"/>
        <v>10</v>
      </c>
      <c r="Q40" s="155">
        <f t="shared" si="11"/>
        <v>11</v>
      </c>
      <c r="R40" s="155">
        <f t="shared" si="11"/>
        <v>12</v>
      </c>
      <c r="S40" s="155">
        <f t="shared" si="11"/>
        <v>13</v>
      </c>
      <c r="T40" s="155">
        <f t="shared" si="11"/>
        <v>14</v>
      </c>
      <c r="U40" s="155">
        <f t="shared" si="11"/>
        <v>15</v>
      </c>
      <c r="V40" s="155">
        <f t="shared" si="11"/>
        <v>16</v>
      </c>
      <c r="W40" s="155">
        <f t="shared" si="11"/>
        <v>17</v>
      </c>
      <c r="X40" s="155">
        <f t="shared" si="11"/>
        <v>18</v>
      </c>
      <c r="Y40" s="155">
        <f t="shared" si="11"/>
        <v>19</v>
      </c>
      <c r="Z40" s="155">
        <f t="shared" si="11"/>
        <v>20</v>
      </c>
      <c r="AA40" s="155">
        <f t="shared" si="11"/>
        <v>21</v>
      </c>
      <c r="AB40" s="155">
        <f t="shared" si="11"/>
        <v>22</v>
      </c>
      <c r="AC40" s="155">
        <f t="shared" si="11"/>
        <v>23</v>
      </c>
      <c r="AD40" s="155">
        <f t="shared" si="11"/>
        <v>24</v>
      </c>
      <c r="AE40" s="155">
        <f t="shared" si="11"/>
        <v>25</v>
      </c>
      <c r="AF40" s="155">
        <f t="shared" si="11"/>
        <v>26</v>
      </c>
      <c r="AG40" s="155">
        <f t="shared" si="11"/>
        <v>27</v>
      </c>
      <c r="AH40" s="155">
        <f t="shared" si="11"/>
        <v>28</v>
      </c>
      <c r="AI40" s="155">
        <f t="shared" si="11"/>
        <v>29</v>
      </c>
      <c r="AJ40" s="155">
        <f t="shared" si="11"/>
        <v>30</v>
      </c>
      <c r="AK40" s="155">
        <f t="shared" si="11"/>
        <v>31</v>
      </c>
      <c r="AL40" s="155">
        <f t="shared" si="11"/>
        <v>32</v>
      </c>
      <c r="AM40" s="155">
        <f t="shared" si="11"/>
        <v>33</v>
      </c>
      <c r="AN40" s="155">
        <f t="shared" si="11"/>
        <v>34</v>
      </c>
      <c r="AO40" s="155">
        <f t="shared" si="11"/>
        <v>35</v>
      </c>
      <c r="AP40" s="155">
        <f t="shared" si="11"/>
        <v>36</v>
      </c>
      <c r="AQ40" s="155">
        <f t="shared" si="11"/>
        <v>37</v>
      </c>
      <c r="AR40" s="155">
        <f t="shared" si="11"/>
        <v>38</v>
      </c>
      <c r="AS40" s="155">
        <f t="shared" si="11"/>
        <v>39</v>
      </c>
      <c r="AT40" s="155">
        <f t="shared" si="11"/>
        <v>40</v>
      </c>
    </row>
    <row r="41" spans="1:46" ht="20.399999999999999" customHeight="1" x14ac:dyDescent="0.3">
      <c r="A41" s="83"/>
      <c r="B41" s="869" t="s">
        <v>768</v>
      </c>
      <c r="C41" s="869"/>
      <c r="D41" s="869"/>
      <c r="E41" s="869"/>
      <c r="F41" s="869"/>
      <c r="G41" s="869"/>
      <c r="H41" s="869"/>
      <c r="I41" s="869"/>
      <c r="J41" s="869"/>
      <c r="K41" s="869"/>
      <c r="M41" s="634" t="s">
        <v>577</v>
      </c>
      <c r="N41" s="635" t="s">
        <v>578</v>
      </c>
      <c r="O41" s="83"/>
      <c r="P41" s="843" t="str">
        <f>"Sensitivity Results: "&amp;H14</f>
        <v>Sensitivity Results: Plant A</v>
      </c>
      <c r="Q41" s="844"/>
      <c r="R41" s="844"/>
      <c r="S41" s="845"/>
      <c r="T41" s="83"/>
      <c r="U41" s="83"/>
      <c r="V41" s="83"/>
      <c r="W41" s="83"/>
      <c r="X41" s="83"/>
      <c r="Y41" s="83"/>
      <c r="Z41" s="83"/>
      <c r="AA41" s="83"/>
      <c r="AB41" s="83"/>
      <c r="AC41" s="83"/>
      <c r="AD41" s="83"/>
      <c r="AE41" s="83"/>
      <c r="AF41" s="83"/>
      <c r="AG41" s="83"/>
      <c r="AH41" s="83"/>
      <c r="AI41" s="83"/>
      <c r="AJ41" s="83"/>
      <c r="AK41" s="83"/>
    </row>
    <row r="42" spans="1:46" ht="20.399999999999999" customHeight="1" x14ac:dyDescent="0.3">
      <c r="A42" s="83"/>
      <c r="B42" s="639" t="s">
        <v>772</v>
      </c>
      <c r="C42" s="639" t="s">
        <v>776</v>
      </c>
      <c r="D42" s="640" t="s">
        <v>773</v>
      </c>
      <c r="E42" s="640" t="s">
        <v>777</v>
      </c>
      <c r="F42" s="641" t="s">
        <v>774</v>
      </c>
      <c r="G42" s="641" t="s">
        <v>775</v>
      </c>
      <c r="H42" s="642" t="s">
        <v>769</v>
      </c>
      <c r="I42" s="642" t="s">
        <v>770</v>
      </c>
      <c r="J42" s="633" t="s">
        <v>778</v>
      </c>
      <c r="K42" s="643" t="s">
        <v>779</v>
      </c>
      <c r="M42" s="867"/>
      <c r="N42" s="768"/>
      <c r="O42" s="83"/>
      <c r="P42" s="846">
        <f>+D43</f>
        <v>0</v>
      </c>
      <c r="Q42" s="847"/>
      <c r="R42" s="846">
        <f>+D44</f>
        <v>0</v>
      </c>
      <c r="S42" s="847"/>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644"/>
      <c r="C43" s="645"/>
      <c r="D43" s="315"/>
      <c r="E43" s="646"/>
      <c r="F43" s="647"/>
      <c r="G43" s="315"/>
      <c r="H43" s="315"/>
      <c r="I43" s="315"/>
      <c r="J43" s="315"/>
      <c r="K43" s="315"/>
      <c r="M43" s="868"/>
      <c r="N43" s="769"/>
      <c r="O43" s="83"/>
      <c r="P43" s="237" t="s">
        <v>773</v>
      </c>
      <c r="Q43" s="237" t="s">
        <v>772</v>
      </c>
      <c r="R43" s="237" t="str">
        <f>+P43</f>
        <v>Man. Var.</v>
      </c>
      <c r="S43" s="237"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644"/>
      <c r="C44" s="645"/>
      <c r="D44" s="315"/>
      <c r="E44" s="646"/>
      <c r="F44" s="647"/>
      <c r="G44" s="315"/>
      <c r="H44" s="315"/>
      <c r="I44" s="315"/>
      <c r="J44" s="315"/>
      <c r="K44" s="315"/>
      <c r="M44" s="865" t="s">
        <v>771</v>
      </c>
      <c r="N44" s="866"/>
      <c r="O44" s="83"/>
      <c r="P44" s="303"/>
      <c r="Q44" s="648"/>
      <c r="R44" s="649"/>
      <c r="S44" s="648"/>
      <c r="T44" s="211"/>
      <c r="U44" s="211"/>
      <c r="V44" s="211"/>
      <c r="W44" s="211"/>
      <c r="X44" s="211"/>
      <c r="Y44" s="211"/>
      <c r="Z44" s="211"/>
      <c r="AA44" s="211"/>
      <c r="AB44" s="211"/>
      <c r="AC44" s="211"/>
      <c r="AD44" s="211"/>
      <c r="AE44" s="211"/>
      <c r="AF44" s="211"/>
      <c r="AG44" s="211"/>
      <c r="AH44" s="211"/>
      <c r="AI44" s="211"/>
      <c r="AJ44" s="211"/>
      <c r="AK44" s="383"/>
    </row>
    <row r="45" spans="1:46" ht="20.399999999999999" customHeight="1" x14ac:dyDescent="0.3">
      <c r="A45" s="83"/>
      <c r="B45" s="83"/>
      <c r="C45" s="242"/>
      <c r="D45" s="242"/>
      <c r="E45" s="242"/>
      <c r="F45" s="241"/>
      <c r="M45" s="636"/>
      <c r="N45" s="637"/>
      <c r="O45" s="83"/>
      <c r="P45" s="298"/>
      <c r="Q45" s="299"/>
      <c r="R45" s="211"/>
      <c r="S45" s="299"/>
      <c r="T45" s="211"/>
      <c r="U45" s="211"/>
      <c r="V45" s="211"/>
      <c r="W45" s="211"/>
      <c r="X45" s="211"/>
      <c r="Y45" s="211"/>
      <c r="Z45" s="211"/>
      <c r="AA45" s="211"/>
      <c r="AB45" s="211"/>
      <c r="AC45" s="211"/>
      <c r="AD45" s="211"/>
      <c r="AE45" s="211"/>
      <c r="AF45" s="211"/>
      <c r="AG45" s="211"/>
      <c r="AH45" s="211"/>
      <c r="AI45" s="211"/>
      <c r="AJ45" s="211"/>
      <c r="AK45" s="383"/>
    </row>
    <row r="46" spans="1:46" ht="20.399999999999999" customHeight="1" x14ac:dyDescent="0.3">
      <c r="A46" s="83"/>
      <c r="B46" s="83"/>
      <c r="C46" s="242"/>
      <c r="D46" s="242"/>
      <c r="E46" s="242"/>
      <c r="F46" s="241"/>
      <c r="M46" s="638"/>
      <c r="N46" s="111"/>
      <c r="O46" s="83"/>
      <c r="P46" s="298"/>
      <c r="Q46" s="299"/>
      <c r="R46" s="211"/>
      <c r="S46" s="299"/>
      <c r="T46" s="211"/>
      <c r="U46" s="211"/>
      <c r="V46" s="211"/>
      <c r="W46" s="211"/>
      <c r="X46" s="211"/>
      <c r="Y46" s="211"/>
      <c r="Z46" s="211"/>
      <c r="AA46" s="211"/>
      <c r="AB46" s="211"/>
      <c r="AC46" s="211"/>
      <c r="AD46" s="211"/>
      <c r="AE46" s="211"/>
      <c r="AF46" s="211"/>
      <c r="AG46" s="211"/>
      <c r="AH46" s="211"/>
      <c r="AI46" s="211"/>
      <c r="AJ46" s="211"/>
      <c r="AK46" s="383"/>
    </row>
    <row r="47" spans="1:46" ht="20.399999999999999" customHeight="1" x14ac:dyDescent="0.3">
      <c r="A47" s="83"/>
      <c r="B47" s="83"/>
      <c r="C47" s="242"/>
      <c r="D47" s="242"/>
      <c r="E47" s="242"/>
      <c r="F47" s="241"/>
      <c r="G47" s="83"/>
      <c r="H47" s="83"/>
      <c r="I47" s="83"/>
      <c r="J47" s="83"/>
      <c r="K47" s="83"/>
      <c r="L47" s="83"/>
      <c r="M47" s="83"/>
      <c r="N47" s="83"/>
      <c r="O47" s="83"/>
      <c r="P47" s="298"/>
      <c r="Q47" s="299"/>
      <c r="R47" s="211"/>
      <c r="S47" s="299"/>
      <c r="T47" s="211"/>
      <c r="U47" s="211"/>
      <c r="V47" s="211"/>
      <c r="W47" s="211"/>
      <c r="X47" s="211"/>
      <c r="Y47" s="211"/>
      <c r="Z47" s="211"/>
      <c r="AA47" s="211"/>
      <c r="AB47" s="211"/>
      <c r="AC47" s="211"/>
      <c r="AD47" s="211"/>
      <c r="AE47" s="211"/>
      <c r="AF47" s="211"/>
      <c r="AG47" s="211"/>
      <c r="AH47" s="211"/>
      <c r="AI47" s="211"/>
      <c r="AJ47" s="211"/>
      <c r="AK47" s="383"/>
    </row>
    <row r="48" spans="1:46" ht="20.399999999999999" customHeight="1" x14ac:dyDescent="0.3">
      <c r="A48" s="83"/>
      <c r="B48" s="83"/>
      <c r="C48" s="242"/>
      <c r="D48" s="242"/>
      <c r="E48" s="242"/>
      <c r="F48" s="241"/>
      <c r="G48" s="83"/>
      <c r="H48" s="83"/>
      <c r="I48" s="83"/>
      <c r="J48" s="83"/>
      <c r="K48" s="83"/>
      <c r="L48" s="83"/>
      <c r="M48" s="83"/>
      <c r="N48" s="83"/>
      <c r="O48" s="83"/>
      <c r="P48" s="300"/>
      <c r="Q48" s="301"/>
      <c r="R48" s="280"/>
      <c r="S48" s="301"/>
      <c r="T48" s="211"/>
      <c r="U48" s="211"/>
      <c r="V48" s="211"/>
      <c r="W48" s="211"/>
      <c r="X48" s="211"/>
      <c r="Y48" s="211"/>
      <c r="Z48" s="211"/>
      <c r="AA48" s="211"/>
      <c r="AB48" s="211"/>
      <c r="AC48" s="211"/>
      <c r="AD48" s="211"/>
      <c r="AE48" s="211"/>
      <c r="AF48" s="211"/>
      <c r="AG48" s="211"/>
      <c r="AH48" s="211"/>
      <c r="AI48" s="211"/>
      <c r="AJ48" s="211"/>
      <c r="AK48" s="383"/>
    </row>
    <row r="49" spans="1:37" ht="20.399999999999999" customHeight="1" x14ac:dyDescent="0.3">
      <c r="A49" s="83"/>
      <c r="B49" s="83"/>
      <c r="C49" s="242"/>
      <c r="D49" s="243"/>
      <c r="E49" s="242"/>
      <c r="F49" s="241"/>
      <c r="G49" s="83"/>
      <c r="H49" s="83"/>
      <c r="I49" s="83"/>
      <c r="J49" s="83"/>
      <c r="K49" s="83"/>
      <c r="L49" s="83"/>
      <c r="M49" s="83"/>
      <c r="N49" s="83"/>
      <c r="O49" s="83"/>
      <c r="P49" s="211"/>
      <c r="Q49" s="211"/>
      <c r="R49" s="211"/>
      <c r="S49" s="211"/>
      <c r="T49" s="211"/>
      <c r="U49" s="211"/>
      <c r="V49" s="211"/>
      <c r="W49" s="211"/>
      <c r="X49" s="211"/>
      <c r="Y49" s="211"/>
      <c r="Z49" s="211"/>
      <c r="AA49" s="211"/>
      <c r="AB49" s="211"/>
      <c r="AC49" s="211"/>
      <c r="AD49" s="211"/>
      <c r="AE49" s="211"/>
      <c r="AF49" s="211"/>
      <c r="AG49" s="211"/>
      <c r="AH49" s="211"/>
      <c r="AI49" s="211"/>
      <c r="AJ49" s="211"/>
      <c r="AK49" s="383"/>
    </row>
    <row r="50" spans="1:37" ht="20.399999999999999" customHeight="1" x14ac:dyDescent="0.3">
      <c r="A50" s="83"/>
      <c r="B50" s="83"/>
      <c r="C50" s="242"/>
      <c r="D50" s="243"/>
      <c r="E50" s="242"/>
      <c r="F50" s="241"/>
      <c r="G50" s="83"/>
      <c r="H50" s="83"/>
      <c r="I50" s="83"/>
      <c r="J50" s="83"/>
      <c r="K50" s="83"/>
      <c r="L50" s="83"/>
      <c r="M50" s="83"/>
      <c r="N50" s="83"/>
      <c r="O50" s="83"/>
      <c r="P50" s="211"/>
      <c r="Q50" s="211"/>
      <c r="R50" s="211"/>
      <c r="S50" s="211"/>
      <c r="T50" s="211"/>
      <c r="U50" s="211"/>
      <c r="V50" s="211"/>
      <c r="W50" s="211"/>
      <c r="X50" s="211"/>
      <c r="Y50" s="211"/>
      <c r="Z50" s="211"/>
      <c r="AA50" s="211"/>
      <c r="AB50" s="211"/>
      <c r="AC50" s="211"/>
      <c r="AD50" s="211"/>
      <c r="AE50" s="211"/>
      <c r="AF50" s="211"/>
      <c r="AG50" s="211"/>
      <c r="AH50" s="211"/>
      <c r="AI50" s="211"/>
      <c r="AJ50" s="211"/>
      <c r="AK50" s="383"/>
    </row>
    <row r="51" spans="1:37" ht="20.399999999999999" customHeight="1" x14ac:dyDescent="0.3">
      <c r="A51" s="83"/>
      <c r="B51" s="83"/>
      <c r="C51" s="242"/>
      <c r="D51" s="243"/>
      <c r="E51" s="242"/>
      <c r="F51" s="241"/>
      <c r="G51" s="83"/>
      <c r="H51" s="83"/>
      <c r="I51" s="83"/>
      <c r="J51" s="83"/>
      <c r="K51" s="83"/>
      <c r="L51" s="83"/>
      <c r="M51" s="83"/>
      <c r="N51" s="83"/>
      <c r="O51" s="83"/>
      <c r="P51" s="211"/>
      <c r="Q51" s="211"/>
      <c r="R51" s="211"/>
      <c r="S51" s="211"/>
      <c r="T51" s="211"/>
      <c r="U51" s="211"/>
      <c r="V51" s="211"/>
      <c r="W51" s="211"/>
      <c r="X51" s="211"/>
      <c r="Y51" s="211"/>
      <c r="Z51" s="211"/>
      <c r="AA51" s="211"/>
      <c r="AB51" s="211"/>
      <c r="AC51" s="211"/>
      <c r="AD51" s="211"/>
      <c r="AE51" s="211"/>
      <c r="AF51" s="211"/>
      <c r="AG51" s="211"/>
      <c r="AH51" s="211"/>
      <c r="AI51" s="211"/>
      <c r="AJ51" s="211"/>
      <c r="AK51" s="383"/>
    </row>
    <row r="52" spans="1:37" ht="20.399999999999999" customHeight="1" x14ac:dyDescent="0.3">
      <c r="A52" s="83"/>
      <c r="B52" s="83"/>
      <c r="C52" s="242"/>
      <c r="D52" s="242"/>
      <c r="E52" s="242"/>
      <c r="F52" s="83"/>
      <c r="G52" s="241"/>
      <c r="H52" s="83"/>
      <c r="I52" s="83"/>
      <c r="J52" s="83"/>
      <c r="K52" s="83"/>
      <c r="L52" s="83"/>
      <c r="M52" s="83"/>
      <c r="N52" s="83"/>
      <c r="O52" s="83"/>
      <c r="P52" s="211"/>
      <c r="Q52" s="211"/>
      <c r="R52" s="211"/>
      <c r="S52" s="211"/>
      <c r="T52" s="211"/>
      <c r="U52" s="211"/>
      <c r="V52" s="211"/>
      <c r="W52" s="211"/>
      <c r="X52" s="211"/>
      <c r="Y52" s="211"/>
      <c r="Z52" s="211"/>
      <c r="AA52" s="211"/>
      <c r="AB52" s="211"/>
      <c r="AC52" s="211"/>
      <c r="AD52" s="211"/>
      <c r="AE52" s="211"/>
      <c r="AF52" s="211"/>
      <c r="AG52" s="211"/>
      <c r="AH52" s="211"/>
      <c r="AI52" s="211"/>
      <c r="AJ52" s="211"/>
      <c r="AK52" s="383"/>
    </row>
    <row r="53" spans="1:37" ht="20.399999999999999" customHeight="1" x14ac:dyDescent="0.3">
      <c r="A53" s="83"/>
      <c r="B53" s="83"/>
      <c r="C53" s="242"/>
      <c r="D53" s="242"/>
      <c r="E53" s="242"/>
      <c r="F53" s="242"/>
      <c r="G53" s="83"/>
      <c r="H53" s="83"/>
      <c r="I53" s="83"/>
      <c r="J53" s="83"/>
      <c r="K53" s="83"/>
      <c r="L53" s="83"/>
      <c r="M53" s="83"/>
      <c r="N53" s="83"/>
      <c r="O53" s="83"/>
      <c r="P53" s="211"/>
      <c r="Q53" s="211"/>
      <c r="R53" s="211"/>
      <c r="S53" s="211"/>
      <c r="T53" s="211"/>
      <c r="U53" s="211"/>
      <c r="V53" s="211"/>
      <c r="W53" s="211"/>
      <c r="X53" s="211"/>
      <c r="Y53" s="211"/>
      <c r="Z53" s="211"/>
      <c r="AA53" s="211"/>
      <c r="AB53" s="211"/>
      <c r="AC53" s="211"/>
      <c r="AD53" s="211"/>
      <c r="AE53" s="211"/>
      <c r="AF53" s="211"/>
      <c r="AG53" s="211"/>
      <c r="AH53" s="211"/>
      <c r="AI53" s="211"/>
      <c r="AJ53" s="211"/>
      <c r="AK53" s="383"/>
    </row>
    <row r="54" spans="1:37" ht="20.399999999999999" customHeight="1" x14ac:dyDescent="0.3">
      <c r="A54" s="83"/>
      <c r="B54" s="83"/>
      <c r="C54" s="242"/>
      <c r="D54" s="242"/>
      <c r="E54" s="242"/>
      <c r="F54" s="242"/>
      <c r="G54" s="83"/>
      <c r="H54" s="83"/>
      <c r="I54" s="83"/>
      <c r="J54" s="83"/>
      <c r="K54" s="83"/>
      <c r="L54" s="83"/>
      <c r="M54" s="83"/>
      <c r="N54" s="83"/>
      <c r="O54" s="83"/>
      <c r="P54" s="211"/>
      <c r="Q54" s="211"/>
      <c r="R54" s="211"/>
      <c r="S54" s="211"/>
      <c r="T54" s="211"/>
      <c r="U54" s="211"/>
      <c r="V54" s="211"/>
      <c r="W54" s="211"/>
      <c r="X54" s="211"/>
      <c r="Y54" s="211"/>
      <c r="Z54" s="211"/>
      <c r="AA54" s="211"/>
      <c r="AB54" s="211"/>
      <c r="AC54" s="211"/>
      <c r="AD54" s="211"/>
      <c r="AE54" s="211"/>
      <c r="AF54" s="211"/>
      <c r="AG54" s="211"/>
      <c r="AH54" s="211"/>
      <c r="AI54" s="211"/>
      <c r="AJ54" s="211"/>
      <c r="AK54" s="383"/>
    </row>
    <row r="55" spans="1:37" ht="20.399999999999999" customHeight="1" x14ac:dyDescent="0.3">
      <c r="A55" s="83"/>
      <c r="B55" s="83"/>
      <c r="C55" s="242"/>
      <c r="D55" s="242"/>
      <c r="E55" s="242"/>
      <c r="F55" s="242"/>
      <c r="G55" s="83"/>
      <c r="H55" s="83"/>
      <c r="I55" s="83"/>
      <c r="J55" s="83"/>
      <c r="K55" s="83"/>
      <c r="L55" s="83"/>
      <c r="M55" s="83"/>
      <c r="N55" s="83"/>
      <c r="O55" s="83"/>
      <c r="P55" s="211"/>
      <c r="Q55" s="211"/>
      <c r="R55" s="211"/>
      <c r="S55" s="211"/>
      <c r="T55" s="211"/>
      <c r="U55" s="211"/>
      <c r="V55" s="211"/>
      <c r="W55" s="211"/>
      <c r="X55" s="211"/>
      <c r="Y55" s="211"/>
      <c r="Z55" s="211"/>
      <c r="AA55" s="211"/>
      <c r="AB55" s="211"/>
      <c r="AC55" s="211"/>
      <c r="AD55" s="211"/>
      <c r="AE55" s="211"/>
      <c r="AF55" s="211"/>
      <c r="AG55" s="211"/>
      <c r="AH55" s="211"/>
      <c r="AI55" s="211"/>
      <c r="AJ55" s="211"/>
      <c r="AK55" s="383"/>
    </row>
    <row r="56" spans="1:37" ht="20.399999999999999" customHeight="1" x14ac:dyDescent="0.3">
      <c r="A56" s="83"/>
      <c r="B56" s="83"/>
      <c r="C56" s="240"/>
      <c r="D56" s="240"/>
      <c r="E56" s="240"/>
      <c r="F56" s="83"/>
      <c r="G56" s="83"/>
      <c r="H56" s="83"/>
      <c r="I56" s="83"/>
      <c r="J56" s="83"/>
      <c r="K56" s="83"/>
      <c r="L56" s="83"/>
      <c r="M56" s="83"/>
      <c r="N56" s="83"/>
      <c r="O56" s="83"/>
      <c r="P56" s="211"/>
      <c r="Q56" s="211"/>
      <c r="R56" s="211"/>
      <c r="S56" s="211"/>
      <c r="T56" s="211"/>
      <c r="U56" s="211"/>
      <c r="V56" s="211"/>
      <c r="W56" s="211"/>
      <c r="X56" s="211"/>
      <c r="Y56" s="211"/>
      <c r="Z56" s="211"/>
      <c r="AA56" s="211"/>
      <c r="AB56" s="211"/>
      <c r="AC56" s="211"/>
      <c r="AD56" s="211"/>
      <c r="AE56" s="211"/>
      <c r="AF56" s="211"/>
      <c r="AG56" s="211"/>
      <c r="AH56" s="211"/>
      <c r="AI56" s="211"/>
      <c r="AJ56" s="211"/>
      <c r="AK56" s="383"/>
    </row>
    <row r="57" spans="1:37" ht="20.399999999999999" customHeight="1" x14ac:dyDescent="0.3">
      <c r="A57" s="83"/>
      <c r="B57" s="83"/>
      <c r="C57" s="242"/>
      <c r="D57" s="242"/>
      <c r="E57" s="242"/>
      <c r="F57" s="83"/>
      <c r="G57" s="83"/>
      <c r="H57" s="83"/>
      <c r="I57" s="83"/>
      <c r="J57" s="83"/>
      <c r="K57" s="83"/>
      <c r="L57" s="83"/>
      <c r="M57" s="83"/>
      <c r="N57" s="83"/>
      <c r="O57" s="83"/>
      <c r="P57" s="211"/>
      <c r="Q57" s="211"/>
      <c r="R57" s="211"/>
      <c r="S57" s="211"/>
      <c r="T57" s="211"/>
      <c r="U57" s="211"/>
      <c r="V57" s="211"/>
      <c r="W57" s="211"/>
      <c r="X57" s="211"/>
      <c r="Y57" s="211"/>
      <c r="Z57" s="211"/>
      <c r="AA57" s="211"/>
      <c r="AB57" s="211"/>
      <c r="AC57" s="211"/>
      <c r="AD57" s="211"/>
      <c r="AE57" s="211"/>
      <c r="AF57" s="211"/>
      <c r="AG57" s="211"/>
      <c r="AH57" s="211"/>
      <c r="AI57" s="211"/>
      <c r="AJ57" s="211"/>
      <c r="AK57" s="383"/>
    </row>
    <row r="58" spans="1:37" ht="20.399999999999999" customHeight="1" x14ac:dyDescent="0.3">
      <c r="A58" s="83"/>
      <c r="B58" s="83"/>
      <c r="C58" s="242"/>
      <c r="D58" s="242"/>
      <c r="E58" s="242"/>
      <c r="F58" s="83"/>
      <c r="G58" s="83"/>
      <c r="H58" s="83"/>
      <c r="I58" s="83"/>
      <c r="J58" s="83"/>
      <c r="K58" s="83"/>
      <c r="L58" s="83"/>
      <c r="M58" s="83"/>
      <c r="N58" s="83"/>
      <c r="O58" s="83"/>
      <c r="P58" s="211"/>
      <c r="Q58" s="211"/>
      <c r="R58" s="211"/>
      <c r="S58" s="211"/>
      <c r="T58" s="211"/>
      <c r="U58" s="211"/>
      <c r="V58" s="211"/>
      <c r="W58" s="211"/>
      <c r="X58" s="211"/>
      <c r="Y58" s="211"/>
      <c r="Z58" s="211"/>
      <c r="AA58" s="211"/>
      <c r="AB58" s="211"/>
      <c r="AC58" s="211"/>
      <c r="AD58" s="211"/>
      <c r="AE58" s="211"/>
      <c r="AF58" s="211"/>
      <c r="AG58" s="211"/>
      <c r="AH58" s="211"/>
      <c r="AI58" s="211"/>
      <c r="AJ58" s="211"/>
      <c r="AK58" s="383"/>
    </row>
    <row r="59" spans="1:37" ht="20.399999999999999" customHeight="1" x14ac:dyDescent="0.3">
      <c r="A59" s="83"/>
      <c r="B59" s="83"/>
      <c r="C59" s="242"/>
      <c r="D59" s="242"/>
      <c r="E59" s="242"/>
      <c r="F59" s="83"/>
      <c r="G59" s="83"/>
      <c r="H59" s="83"/>
      <c r="I59" s="83"/>
      <c r="J59" s="83"/>
      <c r="K59" s="83"/>
      <c r="L59" s="83"/>
      <c r="M59" s="83"/>
      <c r="N59" s="83"/>
      <c r="O59" s="83"/>
      <c r="P59" s="211"/>
      <c r="Q59" s="211"/>
      <c r="R59" s="211"/>
      <c r="S59" s="211"/>
      <c r="T59" s="211"/>
      <c r="U59" s="211"/>
      <c r="V59" s="211"/>
      <c r="W59" s="211"/>
      <c r="X59" s="211"/>
      <c r="Y59" s="211"/>
      <c r="Z59" s="211"/>
      <c r="AA59" s="211"/>
      <c r="AB59" s="211"/>
      <c r="AC59" s="211"/>
      <c r="AD59" s="211"/>
      <c r="AE59" s="211"/>
      <c r="AF59" s="211"/>
      <c r="AG59" s="211"/>
      <c r="AH59" s="211"/>
      <c r="AI59" s="211"/>
      <c r="AJ59" s="211"/>
      <c r="AK59" s="383"/>
    </row>
    <row r="60" spans="1:37" ht="20.399999999999999" customHeight="1" x14ac:dyDescent="0.3">
      <c r="A60" s="83"/>
      <c r="B60" s="83"/>
      <c r="C60" s="240"/>
      <c r="D60" s="240"/>
      <c r="E60" s="240"/>
      <c r="F60" s="83"/>
      <c r="G60" s="83"/>
      <c r="H60" s="83"/>
      <c r="I60" s="83"/>
      <c r="J60" s="83"/>
      <c r="K60" s="83"/>
      <c r="L60" s="83"/>
      <c r="M60" s="83"/>
      <c r="N60" s="83"/>
      <c r="O60" s="83"/>
      <c r="P60" s="211"/>
      <c r="Q60" s="211"/>
      <c r="R60" s="211"/>
      <c r="S60" s="211"/>
      <c r="T60" s="211"/>
      <c r="U60" s="211"/>
      <c r="V60" s="211"/>
      <c r="W60" s="211"/>
      <c r="X60" s="211"/>
      <c r="Y60" s="211"/>
      <c r="Z60" s="211"/>
      <c r="AA60" s="211"/>
      <c r="AB60" s="211"/>
      <c r="AC60" s="211"/>
      <c r="AD60" s="211"/>
      <c r="AE60" s="211"/>
      <c r="AF60" s="211"/>
      <c r="AG60" s="211"/>
      <c r="AH60" s="211"/>
      <c r="AI60" s="211"/>
      <c r="AJ60" s="211"/>
      <c r="AK60" s="383"/>
    </row>
    <row r="61" spans="1:37" ht="20.399999999999999" customHeight="1" x14ac:dyDescent="0.3">
      <c r="A61" s="83"/>
      <c r="B61" s="83"/>
      <c r="C61" s="242"/>
      <c r="D61" s="242"/>
      <c r="E61" s="242"/>
      <c r="F61" s="83"/>
      <c r="G61" s="83"/>
      <c r="H61" s="83"/>
      <c r="I61" s="83"/>
      <c r="J61" s="83"/>
      <c r="K61" s="83"/>
      <c r="L61" s="83"/>
      <c r="M61" s="83"/>
      <c r="N61" s="83"/>
      <c r="O61" s="83"/>
      <c r="P61" s="211"/>
      <c r="Q61" s="211"/>
      <c r="R61" s="211"/>
      <c r="S61" s="211"/>
      <c r="T61" s="211"/>
      <c r="U61" s="211"/>
      <c r="V61" s="211"/>
      <c r="W61" s="211"/>
      <c r="X61" s="211"/>
      <c r="Y61" s="211"/>
      <c r="Z61" s="211"/>
      <c r="AA61" s="211"/>
      <c r="AB61" s="211"/>
      <c r="AC61" s="211"/>
      <c r="AD61" s="211"/>
      <c r="AE61" s="211"/>
      <c r="AF61" s="211"/>
      <c r="AG61" s="211"/>
      <c r="AH61" s="211"/>
      <c r="AI61" s="211"/>
      <c r="AJ61" s="211"/>
      <c r="AK61" s="383"/>
    </row>
    <row r="62" spans="1:37" ht="20.399999999999999" customHeight="1" x14ac:dyDescent="0.3">
      <c r="A62" s="83"/>
      <c r="B62" s="83"/>
      <c r="C62" s="83"/>
      <c r="D62" s="83"/>
      <c r="E62" s="83"/>
      <c r="F62" s="83"/>
      <c r="G62" s="83"/>
      <c r="H62" s="83"/>
      <c r="I62" s="83"/>
      <c r="J62" s="83"/>
      <c r="K62" s="83"/>
      <c r="L62" s="83"/>
      <c r="M62" s="83"/>
      <c r="N62" s="83"/>
      <c r="O62" s="83"/>
      <c r="P62" s="211"/>
      <c r="Q62" s="211"/>
      <c r="R62" s="211"/>
      <c r="S62" s="211"/>
      <c r="T62" s="211"/>
      <c r="U62" s="211"/>
      <c r="V62" s="211"/>
      <c r="W62" s="211"/>
      <c r="X62" s="211"/>
      <c r="Y62" s="211"/>
      <c r="Z62" s="211"/>
      <c r="AA62" s="211"/>
      <c r="AB62" s="211"/>
      <c r="AC62" s="211"/>
      <c r="AD62" s="211"/>
      <c r="AE62" s="211"/>
      <c r="AF62" s="211"/>
      <c r="AG62" s="211"/>
      <c r="AH62" s="211"/>
      <c r="AI62" s="211"/>
      <c r="AJ62" s="211"/>
      <c r="AK62" s="383"/>
    </row>
    <row r="63" spans="1:37" ht="20.399999999999999" customHeight="1" x14ac:dyDescent="0.3">
      <c r="A63" s="83"/>
      <c r="B63" s="83"/>
      <c r="C63" s="83"/>
      <c r="D63" s="83"/>
      <c r="E63" s="83"/>
      <c r="F63" s="83"/>
      <c r="G63" s="83"/>
      <c r="H63" s="83"/>
      <c r="I63" s="83"/>
      <c r="J63" s="83"/>
      <c r="K63" s="83"/>
      <c r="L63" s="83"/>
      <c r="M63" s="83"/>
      <c r="N63" s="83"/>
      <c r="O63" s="83"/>
      <c r="P63" s="211"/>
      <c r="Q63" s="211"/>
      <c r="R63" s="211"/>
      <c r="S63" s="211"/>
      <c r="T63" s="211"/>
      <c r="U63" s="211"/>
      <c r="V63" s="211"/>
      <c r="W63" s="211"/>
      <c r="X63" s="211"/>
      <c r="Y63" s="211"/>
      <c r="Z63" s="211"/>
      <c r="AA63" s="211"/>
      <c r="AB63" s="211"/>
      <c r="AC63" s="211"/>
      <c r="AD63" s="211"/>
      <c r="AE63" s="211"/>
      <c r="AF63" s="211"/>
      <c r="AG63" s="211"/>
      <c r="AH63" s="211"/>
      <c r="AI63" s="211"/>
      <c r="AJ63" s="211"/>
      <c r="AK63" s="383"/>
    </row>
    <row r="64" spans="1:37" ht="20.399999999999999" customHeight="1" x14ac:dyDescent="0.3">
      <c r="A64" s="83"/>
      <c r="B64" s="83"/>
      <c r="C64" s="83"/>
      <c r="D64" s="83"/>
      <c r="E64" s="83"/>
      <c r="F64" s="83"/>
      <c r="G64" s="83"/>
      <c r="H64" s="83"/>
      <c r="I64" s="83"/>
      <c r="J64" s="83"/>
      <c r="K64" s="83"/>
      <c r="L64" s="83"/>
      <c r="M64" s="83"/>
      <c r="N64" s="83"/>
      <c r="O64" s="83"/>
      <c r="P64" s="211"/>
      <c r="Q64" s="211"/>
      <c r="R64" s="211"/>
      <c r="S64" s="211"/>
      <c r="T64" s="211"/>
      <c r="U64" s="211"/>
      <c r="V64" s="211"/>
      <c r="W64" s="211"/>
      <c r="X64" s="211"/>
      <c r="Y64" s="211"/>
      <c r="Z64" s="211"/>
      <c r="AA64" s="211"/>
      <c r="AB64" s="211"/>
      <c r="AC64" s="211"/>
      <c r="AD64" s="211"/>
      <c r="AE64" s="211"/>
      <c r="AF64" s="211"/>
      <c r="AG64" s="211"/>
      <c r="AH64" s="211"/>
      <c r="AI64" s="211"/>
      <c r="AJ64" s="211"/>
      <c r="AK64" s="383"/>
    </row>
    <row r="65" spans="1:37" ht="20.399999999999999" customHeight="1" x14ac:dyDescent="0.3">
      <c r="A65" s="83"/>
      <c r="B65" s="83"/>
      <c r="C65" s="83"/>
      <c r="D65" s="83"/>
      <c r="E65" s="83"/>
      <c r="F65" s="83"/>
      <c r="G65" s="83"/>
      <c r="H65" s="83"/>
      <c r="I65" s="83"/>
      <c r="J65" s="83"/>
      <c r="K65" s="83"/>
      <c r="L65" s="83"/>
      <c r="M65" s="83"/>
      <c r="N65" s="83"/>
      <c r="O65" s="83"/>
      <c r="P65" s="211"/>
      <c r="Q65" s="211"/>
      <c r="R65" s="211"/>
      <c r="S65" s="211"/>
      <c r="T65" s="211"/>
      <c r="U65" s="211"/>
      <c r="V65" s="211"/>
      <c r="W65" s="211"/>
      <c r="X65" s="211"/>
      <c r="Y65" s="211"/>
      <c r="Z65" s="211"/>
      <c r="AA65" s="211"/>
      <c r="AB65" s="211"/>
      <c r="AC65" s="211"/>
      <c r="AD65" s="211"/>
      <c r="AE65" s="211"/>
      <c r="AF65" s="211"/>
      <c r="AG65" s="211"/>
      <c r="AH65" s="211"/>
      <c r="AI65" s="211"/>
      <c r="AJ65" s="211"/>
      <c r="AK65" s="383"/>
    </row>
    <row r="66" spans="1:37" ht="20.399999999999999" customHeight="1" x14ac:dyDescent="0.3">
      <c r="A66" s="83"/>
      <c r="B66" s="83"/>
      <c r="C66" s="83"/>
      <c r="D66" s="83"/>
      <c r="E66" s="83"/>
      <c r="F66" s="83"/>
      <c r="G66" s="83"/>
      <c r="H66" s="83"/>
      <c r="I66" s="83"/>
      <c r="J66" s="83"/>
      <c r="K66" s="83"/>
      <c r="L66" s="83"/>
      <c r="M66" s="83"/>
      <c r="N66" s="83"/>
      <c r="O66" s="83"/>
      <c r="P66" s="211"/>
      <c r="Q66" s="211"/>
      <c r="R66" s="211"/>
      <c r="S66" s="211"/>
      <c r="T66" s="211"/>
      <c r="U66" s="211"/>
      <c r="V66" s="211"/>
      <c r="W66" s="211"/>
      <c r="X66" s="211"/>
      <c r="Y66" s="211"/>
      <c r="Z66" s="211"/>
      <c r="AA66" s="211"/>
      <c r="AB66" s="211"/>
      <c r="AC66" s="211"/>
      <c r="AD66" s="211"/>
      <c r="AE66" s="211"/>
      <c r="AF66" s="211"/>
      <c r="AG66" s="211"/>
      <c r="AH66" s="211"/>
      <c r="AI66" s="211"/>
      <c r="AJ66" s="211"/>
      <c r="AK66" s="383"/>
    </row>
    <row r="67" spans="1:37" ht="20.399999999999999" customHeight="1" x14ac:dyDescent="0.3">
      <c r="A67" s="83"/>
      <c r="B67" s="83"/>
      <c r="C67" s="83"/>
      <c r="D67" s="83"/>
      <c r="E67" s="83"/>
      <c r="F67" s="83"/>
      <c r="G67" s="83"/>
      <c r="H67" s="83"/>
      <c r="I67" s="83"/>
      <c r="J67" s="83"/>
      <c r="K67" s="83"/>
      <c r="L67" s="83"/>
      <c r="M67" s="83"/>
      <c r="N67" s="83"/>
      <c r="O67" s="83"/>
      <c r="P67" s="211"/>
      <c r="Q67" s="211"/>
      <c r="R67" s="211"/>
      <c r="S67" s="211"/>
      <c r="T67" s="211"/>
      <c r="U67" s="211"/>
      <c r="V67" s="211"/>
      <c r="W67" s="211"/>
      <c r="X67" s="211"/>
      <c r="Y67" s="211"/>
      <c r="Z67" s="211"/>
      <c r="AA67" s="211"/>
      <c r="AB67" s="211"/>
      <c r="AC67" s="211"/>
      <c r="AD67" s="211"/>
      <c r="AE67" s="211"/>
      <c r="AF67" s="211"/>
      <c r="AG67" s="211"/>
      <c r="AH67" s="211"/>
      <c r="AI67" s="211"/>
      <c r="AJ67" s="211"/>
      <c r="AK67" s="383"/>
    </row>
    <row r="68" spans="1:37" ht="20.399999999999999" customHeight="1" x14ac:dyDescent="0.3">
      <c r="A68" s="83"/>
      <c r="B68" s="83"/>
      <c r="C68" s="83"/>
      <c r="D68" s="83"/>
      <c r="E68" s="83"/>
      <c r="F68" s="83"/>
      <c r="G68" s="83"/>
      <c r="H68" s="83"/>
      <c r="I68" s="83"/>
      <c r="J68" s="83"/>
      <c r="K68" s="83"/>
      <c r="L68" s="83"/>
      <c r="M68" s="83"/>
      <c r="N68" s="83"/>
      <c r="O68" s="83"/>
      <c r="P68" s="211"/>
      <c r="Q68" s="211"/>
      <c r="R68" s="211"/>
      <c r="S68" s="211"/>
      <c r="T68" s="211"/>
      <c r="U68" s="211"/>
      <c r="V68" s="211"/>
      <c r="W68" s="211"/>
      <c r="X68" s="211"/>
      <c r="Y68" s="211"/>
      <c r="Z68" s="211"/>
      <c r="AA68" s="211"/>
      <c r="AB68" s="211"/>
      <c r="AC68" s="211"/>
      <c r="AD68" s="211"/>
      <c r="AE68" s="211"/>
      <c r="AF68" s="211"/>
      <c r="AG68" s="211"/>
      <c r="AH68" s="211"/>
      <c r="AI68" s="211"/>
      <c r="AJ68" s="211"/>
      <c r="AK68" s="383"/>
    </row>
    <row r="69" spans="1:37" ht="20.399999999999999" customHeight="1" x14ac:dyDescent="0.3">
      <c r="A69" s="83"/>
      <c r="B69" s="83"/>
      <c r="C69" s="83"/>
      <c r="D69" s="83"/>
      <c r="E69" s="83"/>
      <c r="F69" s="83"/>
      <c r="G69" s="83"/>
      <c r="H69" s="83"/>
      <c r="I69" s="83"/>
      <c r="J69" s="83"/>
      <c r="K69" s="83"/>
      <c r="L69" s="83"/>
      <c r="M69" s="83"/>
      <c r="N69" s="83"/>
      <c r="O69" s="83"/>
      <c r="P69" s="211"/>
      <c r="Q69" s="211"/>
      <c r="R69" s="211"/>
      <c r="S69" s="211"/>
      <c r="T69" s="211"/>
      <c r="U69" s="211"/>
      <c r="V69" s="211"/>
      <c r="W69" s="211"/>
      <c r="X69" s="211"/>
      <c r="Y69" s="211"/>
      <c r="Z69" s="211"/>
      <c r="AA69" s="211"/>
      <c r="AB69" s="211"/>
      <c r="AC69" s="211"/>
      <c r="AD69" s="211"/>
      <c r="AE69" s="211"/>
      <c r="AF69" s="211"/>
      <c r="AG69" s="211"/>
      <c r="AH69" s="211"/>
      <c r="AI69" s="211"/>
      <c r="AJ69" s="211"/>
      <c r="AK69" s="383"/>
    </row>
    <row r="70" spans="1:37" ht="20.399999999999999" customHeight="1" x14ac:dyDescent="0.3">
      <c r="A70" s="83"/>
      <c r="B70" s="83"/>
      <c r="C70" s="83"/>
      <c r="D70" s="83"/>
      <c r="E70" s="83"/>
      <c r="F70" s="83"/>
      <c r="G70" s="83"/>
      <c r="H70" s="83"/>
      <c r="I70" s="83"/>
      <c r="J70" s="83"/>
      <c r="K70" s="83"/>
      <c r="L70" s="83"/>
      <c r="M70" s="83"/>
      <c r="N70" s="83"/>
      <c r="O70" s="83"/>
      <c r="P70" s="211"/>
      <c r="Q70" s="211"/>
      <c r="R70" s="211"/>
      <c r="S70" s="211"/>
      <c r="T70" s="211"/>
      <c r="U70" s="211"/>
      <c r="V70" s="211"/>
      <c r="W70" s="211"/>
      <c r="X70" s="211"/>
      <c r="Y70" s="211"/>
      <c r="Z70" s="211"/>
      <c r="AA70" s="211"/>
      <c r="AB70" s="211"/>
      <c r="AC70" s="211"/>
      <c r="AD70" s="211"/>
      <c r="AE70" s="211"/>
      <c r="AF70" s="211"/>
      <c r="AG70" s="211"/>
      <c r="AH70" s="211"/>
      <c r="AI70" s="211"/>
      <c r="AJ70" s="211"/>
      <c r="AK70" s="383"/>
    </row>
    <row r="71" spans="1:37" ht="20.399999999999999" customHeight="1" x14ac:dyDescent="0.3">
      <c r="A71" s="83"/>
      <c r="B71" s="83"/>
      <c r="C71" s="83"/>
      <c r="D71" s="83"/>
      <c r="E71" s="83"/>
      <c r="F71" s="83"/>
      <c r="G71" s="83"/>
      <c r="H71" s="83"/>
      <c r="I71" s="83"/>
      <c r="J71" s="83"/>
      <c r="K71" s="83"/>
      <c r="L71" s="83"/>
      <c r="M71" s="83"/>
      <c r="N71" s="83"/>
      <c r="O71" s="83"/>
      <c r="P71" s="211"/>
      <c r="Q71" s="211"/>
      <c r="R71" s="211"/>
      <c r="S71" s="211"/>
      <c r="T71" s="211"/>
      <c r="U71" s="211"/>
      <c r="V71" s="211"/>
      <c r="W71" s="211"/>
      <c r="X71" s="211"/>
      <c r="Y71" s="211"/>
      <c r="Z71" s="211"/>
      <c r="AA71" s="211"/>
      <c r="AB71" s="211"/>
      <c r="AC71" s="211"/>
      <c r="AD71" s="211"/>
      <c r="AE71" s="211"/>
      <c r="AF71" s="211"/>
      <c r="AG71" s="211"/>
      <c r="AH71" s="211"/>
      <c r="AI71" s="211"/>
      <c r="AJ71" s="211"/>
      <c r="AK71" s="383"/>
    </row>
    <row r="72" spans="1:37" ht="20.399999999999999" customHeight="1" x14ac:dyDescent="0.3">
      <c r="A72" s="83"/>
      <c r="B72" s="83"/>
      <c r="C72" s="83"/>
      <c r="D72" s="83"/>
      <c r="E72" s="83"/>
      <c r="F72" s="83"/>
      <c r="G72" s="83"/>
      <c r="H72" s="83"/>
      <c r="I72" s="83"/>
      <c r="J72" s="83"/>
      <c r="K72" s="83"/>
      <c r="L72" s="83"/>
      <c r="M72" s="83"/>
      <c r="N72" s="83"/>
      <c r="O72" s="83"/>
      <c r="P72" s="211"/>
      <c r="Q72" s="211"/>
      <c r="R72" s="211"/>
      <c r="S72" s="211"/>
      <c r="T72" s="211"/>
      <c r="U72" s="211"/>
      <c r="V72" s="211"/>
      <c r="W72" s="211"/>
      <c r="X72" s="211"/>
      <c r="Y72" s="211"/>
      <c r="Z72" s="211"/>
      <c r="AA72" s="211"/>
      <c r="AB72" s="211"/>
      <c r="AC72" s="211"/>
      <c r="AD72" s="211"/>
      <c r="AE72" s="211"/>
      <c r="AF72" s="211"/>
      <c r="AG72" s="211"/>
      <c r="AH72" s="211"/>
      <c r="AI72" s="211"/>
      <c r="AJ72" s="211"/>
      <c r="AK72" s="383"/>
    </row>
    <row r="73" spans="1:37" ht="20.399999999999999" customHeight="1" x14ac:dyDescent="0.3">
      <c r="A73" s="83"/>
      <c r="B73" s="83"/>
      <c r="C73" s="83"/>
      <c r="D73" s="83"/>
      <c r="E73" s="83"/>
      <c r="F73" s="83"/>
      <c r="G73" s="83"/>
      <c r="H73" s="83"/>
      <c r="I73" s="83"/>
      <c r="J73" s="83"/>
      <c r="K73" s="83"/>
      <c r="L73" s="83"/>
      <c r="M73" s="83"/>
      <c r="N73" s="83"/>
      <c r="O73" s="83"/>
      <c r="P73" s="211"/>
      <c r="Q73" s="211"/>
      <c r="R73" s="211"/>
      <c r="S73" s="211"/>
      <c r="T73" s="211"/>
      <c r="U73" s="211"/>
      <c r="V73" s="211"/>
      <c r="W73" s="211"/>
      <c r="X73" s="211"/>
      <c r="Y73" s="211"/>
      <c r="Z73" s="211"/>
      <c r="AA73" s="211"/>
      <c r="AB73" s="211"/>
      <c r="AC73" s="211"/>
      <c r="AD73" s="211"/>
      <c r="AE73" s="211"/>
      <c r="AF73" s="211"/>
      <c r="AG73" s="211"/>
      <c r="AH73" s="211"/>
      <c r="AI73" s="211"/>
      <c r="AJ73" s="211"/>
      <c r="AK73" s="383"/>
    </row>
    <row r="74" spans="1:37" ht="20.399999999999999" customHeight="1" x14ac:dyDescent="0.3">
      <c r="A74" s="83"/>
      <c r="B74" s="83"/>
      <c r="C74" s="83"/>
      <c r="D74" s="83"/>
      <c r="E74" s="83"/>
      <c r="F74" s="83"/>
      <c r="G74" s="83"/>
      <c r="H74" s="83"/>
      <c r="I74" s="83"/>
      <c r="J74" s="83"/>
      <c r="K74" s="83"/>
      <c r="L74" s="83"/>
      <c r="M74" s="83"/>
      <c r="N74" s="83"/>
      <c r="O74" s="83"/>
      <c r="P74" s="211"/>
      <c r="Q74" s="211"/>
      <c r="R74" s="211"/>
      <c r="S74" s="211"/>
      <c r="T74" s="211"/>
      <c r="U74" s="211"/>
      <c r="V74" s="211"/>
      <c r="W74" s="211"/>
      <c r="X74" s="211"/>
      <c r="Y74" s="211"/>
      <c r="Z74" s="211"/>
      <c r="AA74" s="211"/>
      <c r="AB74" s="211"/>
      <c r="AC74" s="211"/>
      <c r="AD74" s="211"/>
      <c r="AE74" s="211"/>
      <c r="AF74" s="211"/>
      <c r="AG74" s="211"/>
      <c r="AH74" s="211"/>
      <c r="AI74" s="211"/>
      <c r="AJ74" s="211"/>
      <c r="AK74" s="383"/>
    </row>
    <row r="75" spans="1:37" ht="20.399999999999999" customHeight="1" x14ac:dyDescent="0.3">
      <c r="A75" s="83"/>
      <c r="B75" s="83"/>
      <c r="C75" s="83"/>
      <c r="D75" s="83"/>
      <c r="E75" s="83"/>
      <c r="F75" s="83"/>
      <c r="G75" s="83"/>
      <c r="H75" s="83"/>
      <c r="I75" s="83"/>
      <c r="J75" s="83"/>
      <c r="K75" s="83"/>
      <c r="L75" s="83"/>
      <c r="M75" s="83"/>
      <c r="N75" s="83"/>
      <c r="O75" s="83"/>
      <c r="P75" s="211"/>
      <c r="Q75" s="211"/>
      <c r="R75" s="211"/>
      <c r="S75" s="211"/>
      <c r="T75" s="211"/>
      <c r="U75" s="211"/>
      <c r="V75" s="211"/>
      <c r="W75" s="211"/>
      <c r="X75" s="211"/>
      <c r="Y75" s="211"/>
      <c r="Z75" s="211"/>
      <c r="AA75" s="211"/>
      <c r="AB75" s="211"/>
      <c r="AC75" s="211"/>
      <c r="AD75" s="211"/>
      <c r="AE75" s="211"/>
      <c r="AF75" s="211"/>
      <c r="AG75" s="211"/>
      <c r="AH75" s="211"/>
      <c r="AI75" s="211"/>
      <c r="AJ75" s="211"/>
      <c r="AK75" s="383"/>
    </row>
    <row r="76" spans="1:37" ht="20.399999999999999" customHeight="1" x14ac:dyDescent="0.3">
      <c r="A76" s="83"/>
      <c r="B76" s="83"/>
      <c r="C76" s="83"/>
      <c r="D76" s="83"/>
      <c r="E76" s="83"/>
      <c r="F76" s="83"/>
      <c r="G76" s="83"/>
      <c r="H76" s="83"/>
      <c r="I76" s="83"/>
      <c r="J76" s="83"/>
      <c r="K76" s="83"/>
      <c r="L76" s="83"/>
      <c r="M76" s="83"/>
      <c r="N76" s="83"/>
      <c r="O76" s="83"/>
      <c r="P76" s="211"/>
      <c r="Q76" s="211"/>
      <c r="R76" s="211"/>
      <c r="S76" s="211"/>
      <c r="T76" s="211"/>
      <c r="U76" s="211"/>
      <c r="V76" s="211"/>
      <c r="W76" s="211"/>
      <c r="X76" s="211"/>
      <c r="Y76" s="211"/>
      <c r="Z76" s="211"/>
      <c r="AA76" s="211"/>
      <c r="AB76" s="211"/>
      <c r="AC76" s="211"/>
      <c r="AD76" s="211"/>
      <c r="AE76" s="211"/>
      <c r="AF76" s="211"/>
      <c r="AG76" s="211"/>
      <c r="AH76" s="211"/>
      <c r="AI76" s="211"/>
      <c r="AJ76" s="211"/>
      <c r="AK76" s="383"/>
    </row>
    <row r="77" spans="1:37" ht="20.399999999999999" customHeight="1" x14ac:dyDescent="0.3">
      <c r="A77" s="83"/>
      <c r="B77" s="83"/>
      <c r="C77" s="83"/>
      <c r="D77" s="83"/>
      <c r="E77" s="83"/>
      <c r="F77" s="83"/>
      <c r="G77" s="83"/>
      <c r="H77" s="83"/>
      <c r="I77" s="83"/>
      <c r="J77" s="83"/>
      <c r="K77" s="83"/>
      <c r="L77" s="83"/>
      <c r="M77" s="83"/>
      <c r="N77" s="83"/>
      <c r="O77" s="83"/>
      <c r="P77" s="211"/>
      <c r="Q77" s="211"/>
      <c r="R77" s="211"/>
      <c r="S77" s="211"/>
      <c r="T77" s="211"/>
      <c r="U77" s="211"/>
      <c r="V77" s="211"/>
      <c r="W77" s="211"/>
      <c r="X77" s="211"/>
      <c r="Y77" s="211"/>
      <c r="Z77" s="211"/>
      <c r="AA77" s="211"/>
      <c r="AB77" s="211"/>
      <c r="AC77" s="211"/>
      <c r="AD77" s="211"/>
      <c r="AE77" s="211"/>
      <c r="AF77" s="211"/>
      <c r="AG77" s="211"/>
      <c r="AH77" s="211"/>
      <c r="AI77" s="211"/>
      <c r="AJ77" s="211"/>
      <c r="AK77" s="383"/>
    </row>
    <row r="78" spans="1:37" ht="20.399999999999999" customHeight="1" x14ac:dyDescent="0.3">
      <c r="A78" s="83"/>
      <c r="B78" s="83"/>
      <c r="C78" s="83"/>
      <c r="D78" s="83"/>
      <c r="E78" s="83"/>
      <c r="F78" s="83"/>
      <c r="G78" s="83"/>
      <c r="H78" s="83"/>
      <c r="I78" s="83"/>
      <c r="J78" s="83"/>
      <c r="K78" s="83"/>
      <c r="L78" s="83"/>
      <c r="M78" s="83"/>
      <c r="N78" s="83"/>
      <c r="O78" s="83"/>
      <c r="P78" s="211"/>
      <c r="Q78" s="211"/>
      <c r="R78" s="211"/>
      <c r="S78" s="211"/>
      <c r="T78" s="211"/>
      <c r="U78" s="211"/>
      <c r="V78" s="211"/>
      <c r="W78" s="211"/>
      <c r="X78" s="211"/>
      <c r="Y78" s="211"/>
      <c r="Z78" s="211"/>
      <c r="AA78" s="211"/>
      <c r="AB78" s="211"/>
      <c r="AC78" s="211"/>
      <c r="AD78" s="211"/>
      <c r="AE78" s="211"/>
      <c r="AF78" s="211"/>
      <c r="AG78" s="211"/>
      <c r="AH78" s="211"/>
      <c r="AI78" s="211"/>
      <c r="AJ78" s="211"/>
      <c r="AK78" s="383"/>
    </row>
    <row r="79" spans="1:37" ht="20.399999999999999" customHeight="1" x14ac:dyDescent="0.3">
      <c r="A79" s="83"/>
      <c r="B79" s="83"/>
      <c r="C79" s="83"/>
      <c r="D79" s="83"/>
      <c r="E79" s="83"/>
      <c r="F79" s="83"/>
      <c r="G79" s="83"/>
      <c r="H79" s="83"/>
      <c r="I79" s="83"/>
      <c r="J79" s="83"/>
      <c r="K79" s="83"/>
      <c r="L79" s="83"/>
      <c r="M79" s="83"/>
      <c r="N79" s="83"/>
      <c r="O79" s="83"/>
      <c r="P79" s="211"/>
      <c r="Q79" s="211"/>
      <c r="R79" s="211"/>
      <c r="S79" s="211"/>
      <c r="T79" s="211"/>
      <c r="U79" s="211"/>
      <c r="V79" s="211"/>
      <c r="W79" s="211"/>
      <c r="X79" s="211"/>
      <c r="Y79" s="211"/>
      <c r="Z79" s="211"/>
      <c r="AA79" s="211"/>
      <c r="AB79" s="211"/>
      <c r="AC79" s="211"/>
      <c r="AD79" s="211"/>
      <c r="AE79" s="211"/>
      <c r="AF79" s="211"/>
      <c r="AG79" s="211"/>
      <c r="AH79" s="211"/>
      <c r="AI79" s="211"/>
      <c r="AJ79" s="211"/>
      <c r="AK79" s="383"/>
    </row>
    <row r="80" spans="1:37" ht="20.399999999999999" customHeight="1" x14ac:dyDescent="0.3">
      <c r="A80" s="83"/>
      <c r="B80" s="83"/>
      <c r="C80" s="83"/>
      <c r="D80" s="83"/>
      <c r="E80" s="83"/>
      <c r="F80" s="83"/>
      <c r="G80" s="83"/>
      <c r="H80" s="83"/>
      <c r="I80" s="83"/>
      <c r="J80" s="83"/>
      <c r="K80" s="83"/>
      <c r="L80" s="83"/>
      <c r="M80" s="83"/>
      <c r="N80" s="83"/>
      <c r="O80" s="83"/>
      <c r="P80" s="211"/>
      <c r="Q80" s="211"/>
      <c r="R80" s="211"/>
      <c r="S80" s="211"/>
      <c r="T80" s="211"/>
      <c r="U80" s="211"/>
      <c r="V80" s="211"/>
      <c r="W80" s="211"/>
      <c r="X80" s="211"/>
      <c r="Y80" s="211"/>
      <c r="Z80" s="211"/>
      <c r="AA80" s="211"/>
      <c r="AB80" s="211"/>
      <c r="AC80" s="211"/>
      <c r="AD80" s="211"/>
      <c r="AE80" s="211"/>
      <c r="AF80" s="211"/>
      <c r="AG80" s="211"/>
      <c r="AH80" s="211"/>
      <c r="AI80" s="211"/>
      <c r="AJ80" s="211"/>
      <c r="AK80" s="383"/>
    </row>
    <row r="81" spans="1:37" ht="20.399999999999999" customHeight="1" x14ac:dyDescent="0.3">
      <c r="A81" s="83"/>
      <c r="B81" s="83"/>
      <c r="C81" s="83"/>
      <c r="D81" s="83"/>
      <c r="E81" s="83"/>
      <c r="F81" s="83"/>
      <c r="G81" s="83"/>
      <c r="H81" s="83"/>
      <c r="I81" s="83"/>
      <c r="J81" s="83"/>
      <c r="K81" s="83"/>
      <c r="L81" s="83"/>
      <c r="M81" s="83"/>
      <c r="N81" s="83"/>
      <c r="O81" s="83"/>
      <c r="P81" s="211"/>
      <c r="Q81" s="211"/>
      <c r="R81" s="211"/>
      <c r="S81" s="211"/>
      <c r="T81" s="211"/>
      <c r="U81" s="211"/>
      <c r="V81" s="211"/>
      <c r="W81" s="211"/>
      <c r="X81" s="211"/>
      <c r="Y81" s="211"/>
      <c r="Z81" s="211"/>
      <c r="AA81" s="211"/>
      <c r="AB81" s="211"/>
      <c r="AC81" s="211"/>
      <c r="AD81" s="211"/>
      <c r="AE81" s="211"/>
      <c r="AF81" s="211"/>
      <c r="AG81" s="211"/>
      <c r="AH81" s="211"/>
      <c r="AI81" s="211"/>
      <c r="AJ81" s="211"/>
      <c r="AK81" s="383"/>
    </row>
    <row r="82" spans="1:37" ht="20.399999999999999" customHeight="1" x14ac:dyDescent="0.3">
      <c r="A82" s="83"/>
      <c r="B82" s="83"/>
      <c r="C82" s="83"/>
      <c r="D82" s="83"/>
      <c r="E82" s="83"/>
      <c r="F82" s="83"/>
      <c r="G82" s="83"/>
      <c r="H82" s="83"/>
      <c r="I82" s="83"/>
      <c r="J82" s="83"/>
      <c r="K82" s="83"/>
      <c r="L82" s="83"/>
      <c r="M82" s="83"/>
      <c r="N82" s="83"/>
      <c r="O82" s="83"/>
      <c r="P82" s="211"/>
      <c r="Q82" s="211"/>
      <c r="R82" s="211"/>
      <c r="S82" s="211"/>
      <c r="T82" s="211"/>
      <c r="U82" s="211"/>
      <c r="V82" s="211"/>
      <c r="W82" s="211"/>
      <c r="X82" s="211"/>
      <c r="Y82" s="211"/>
      <c r="Z82" s="211"/>
      <c r="AA82" s="211"/>
      <c r="AB82" s="211"/>
      <c r="AC82" s="211"/>
      <c r="AD82" s="211"/>
      <c r="AE82" s="211"/>
      <c r="AF82" s="211"/>
      <c r="AG82" s="211"/>
      <c r="AH82" s="211"/>
      <c r="AI82" s="211"/>
      <c r="AJ82" s="211"/>
      <c r="AK82" s="383"/>
    </row>
    <row r="83" spans="1:37" ht="20.399999999999999" customHeight="1" x14ac:dyDescent="0.3">
      <c r="A83" s="83"/>
      <c r="B83" s="83"/>
      <c r="C83" s="83"/>
      <c r="D83" s="83"/>
      <c r="E83" s="83"/>
      <c r="F83" s="83"/>
      <c r="G83" s="83"/>
      <c r="H83" s="83"/>
      <c r="I83" s="83"/>
      <c r="J83" s="83"/>
      <c r="K83" s="83"/>
      <c r="L83" s="83"/>
      <c r="M83" s="83"/>
      <c r="N83" s="83"/>
      <c r="O83" s="83"/>
      <c r="P83" s="211"/>
      <c r="Q83" s="211"/>
      <c r="R83" s="211"/>
      <c r="S83" s="211"/>
      <c r="T83" s="211"/>
      <c r="U83" s="211"/>
      <c r="V83" s="211"/>
      <c r="W83" s="211"/>
      <c r="X83" s="211"/>
      <c r="Y83" s="211"/>
      <c r="Z83" s="211"/>
      <c r="AA83" s="211"/>
      <c r="AB83" s="211"/>
      <c r="AC83" s="211"/>
      <c r="AD83" s="211"/>
      <c r="AE83" s="211"/>
      <c r="AF83" s="211"/>
      <c r="AG83" s="211"/>
      <c r="AH83" s="211"/>
      <c r="AI83" s="211"/>
      <c r="AJ83" s="211"/>
      <c r="AK83" s="383"/>
    </row>
    <row r="84" spans="1:37" ht="20.399999999999999" customHeight="1" x14ac:dyDescent="0.3">
      <c r="A84" s="83"/>
      <c r="B84" s="83"/>
      <c r="C84" s="83"/>
      <c r="D84" s="83"/>
      <c r="E84" s="83"/>
      <c r="F84" s="83"/>
      <c r="G84" s="83"/>
      <c r="H84" s="83"/>
      <c r="I84" s="83"/>
      <c r="J84" s="83"/>
      <c r="K84" s="83"/>
      <c r="L84" s="83"/>
      <c r="M84" s="83"/>
      <c r="N84" s="83"/>
      <c r="O84" s="83"/>
      <c r="P84" s="211"/>
      <c r="Q84" s="211"/>
      <c r="R84" s="211"/>
      <c r="S84" s="211"/>
      <c r="T84" s="211"/>
      <c r="U84" s="211"/>
      <c r="V84" s="211"/>
      <c r="W84" s="211"/>
      <c r="X84" s="211"/>
      <c r="Y84" s="211"/>
      <c r="Z84" s="211"/>
      <c r="AA84" s="211"/>
      <c r="AB84" s="211"/>
      <c r="AC84" s="211"/>
      <c r="AD84" s="211"/>
      <c r="AE84" s="211"/>
      <c r="AF84" s="211"/>
      <c r="AG84" s="211"/>
      <c r="AH84" s="211"/>
      <c r="AI84" s="211"/>
      <c r="AJ84" s="211"/>
      <c r="AK84" s="383"/>
    </row>
    <row r="85" spans="1:37" ht="20.399999999999999" customHeight="1" x14ac:dyDescent="0.3">
      <c r="A85" s="83"/>
      <c r="B85" s="83"/>
      <c r="C85" s="83"/>
      <c r="D85" s="83"/>
      <c r="E85" s="83"/>
      <c r="F85" s="83"/>
      <c r="G85" s="83"/>
      <c r="H85" s="83"/>
      <c r="I85" s="83"/>
      <c r="J85" s="83"/>
      <c r="K85" s="83"/>
      <c r="L85" s="83"/>
      <c r="M85" s="83"/>
      <c r="N85" s="83"/>
      <c r="O85" s="83"/>
      <c r="P85" s="211"/>
      <c r="Q85" s="211"/>
      <c r="R85" s="211"/>
      <c r="S85" s="211"/>
      <c r="T85" s="211"/>
      <c r="U85" s="211"/>
      <c r="V85" s="211"/>
      <c r="W85" s="211"/>
      <c r="X85" s="211"/>
      <c r="Y85" s="211"/>
      <c r="Z85" s="211"/>
      <c r="AA85" s="211"/>
      <c r="AB85" s="211"/>
      <c r="AC85" s="211"/>
      <c r="AD85" s="211"/>
      <c r="AE85" s="211"/>
      <c r="AF85" s="211"/>
      <c r="AG85" s="211"/>
      <c r="AH85" s="211"/>
      <c r="AI85" s="211"/>
      <c r="AJ85" s="211"/>
      <c r="AK85" s="383"/>
    </row>
    <row r="86" spans="1:37" ht="20.399999999999999" customHeight="1" x14ac:dyDescent="0.3">
      <c r="A86" s="83"/>
      <c r="B86" s="83"/>
      <c r="C86" s="83"/>
      <c r="D86" s="83"/>
      <c r="E86" s="83"/>
      <c r="F86" s="83"/>
      <c r="G86" s="83"/>
      <c r="H86" s="83"/>
      <c r="I86" s="83"/>
      <c r="J86" s="83"/>
      <c r="K86" s="83"/>
      <c r="L86" s="83"/>
      <c r="M86" s="83"/>
      <c r="N86" s="83"/>
      <c r="O86" s="83"/>
      <c r="P86" s="211"/>
      <c r="Q86" s="211"/>
      <c r="R86" s="211"/>
      <c r="S86" s="211"/>
      <c r="T86" s="211"/>
      <c r="U86" s="211"/>
      <c r="V86" s="211"/>
      <c r="W86" s="211"/>
      <c r="X86" s="211"/>
      <c r="Y86" s="211"/>
      <c r="Z86" s="211"/>
      <c r="AA86" s="211"/>
      <c r="AB86" s="211"/>
      <c r="AC86" s="211"/>
      <c r="AD86" s="211"/>
      <c r="AE86" s="211"/>
      <c r="AF86" s="211"/>
      <c r="AG86" s="211"/>
      <c r="AH86" s="211"/>
      <c r="AI86" s="211"/>
      <c r="AJ86" s="211"/>
      <c r="AK86" s="383"/>
    </row>
    <row r="87" spans="1:37" ht="20.399999999999999" customHeight="1" x14ac:dyDescent="0.3">
      <c r="A87" s="83"/>
      <c r="B87" s="83"/>
      <c r="C87" s="83"/>
      <c r="D87" s="83"/>
      <c r="E87" s="83"/>
      <c r="F87" s="83"/>
      <c r="G87" s="83"/>
      <c r="H87" s="83"/>
      <c r="I87" s="83"/>
      <c r="J87" s="83"/>
      <c r="K87" s="83"/>
      <c r="L87" s="83"/>
      <c r="M87" s="83"/>
      <c r="N87" s="83"/>
      <c r="O87" s="83"/>
      <c r="P87" s="211"/>
      <c r="Q87" s="211"/>
      <c r="R87" s="211"/>
      <c r="S87" s="211"/>
      <c r="T87" s="211"/>
      <c r="U87" s="211"/>
      <c r="V87" s="211"/>
      <c r="W87" s="211"/>
      <c r="X87" s="211"/>
      <c r="Y87" s="211"/>
      <c r="Z87" s="211"/>
      <c r="AA87" s="211"/>
      <c r="AB87" s="211"/>
      <c r="AC87" s="211"/>
      <c r="AD87" s="211"/>
      <c r="AE87" s="211"/>
      <c r="AF87" s="211"/>
      <c r="AG87" s="211"/>
      <c r="AH87" s="211"/>
      <c r="AI87" s="211"/>
      <c r="AJ87" s="211"/>
      <c r="AK87" s="383"/>
    </row>
    <row r="88" spans="1:37" ht="20.399999999999999" customHeight="1" x14ac:dyDescent="0.3">
      <c r="A88" s="83"/>
      <c r="B88" s="83"/>
      <c r="C88" s="83"/>
      <c r="D88" s="83"/>
      <c r="E88" s="83"/>
      <c r="F88" s="83"/>
      <c r="G88" s="83"/>
      <c r="H88" s="83"/>
      <c r="I88" s="83"/>
      <c r="J88" s="83"/>
      <c r="K88" s="83"/>
      <c r="L88" s="83"/>
      <c r="M88" s="83"/>
      <c r="N88" s="83"/>
      <c r="O88" s="83"/>
      <c r="P88" s="211"/>
      <c r="Q88" s="211"/>
      <c r="R88" s="211"/>
      <c r="S88" s="211"/>
      <c r="T88" s="211"/>
      <c r="U88" s="211"/>
      <c r="V88" s="211"/>
      <c r="W88" s="211"/>
      <c r="X88" s="211"/>
      <c r="Y88" s="211"/>
      <c r="Z88" s="211"/>
      <c r="AA88" s="211"/>
      <c r="AB88" s="211"/>
      <c r="AC88" s="211"/>
      <c r="AD88" s="211"/>
      <c r="AE88" s="211"/>
      <c r="AF88" s="211"/>
      <c r="AG88" s="211"/>
      <c r="AH88" s="211"/>
      <c r="AI88" s="211"/>
      <c r="AJ88" s="211"/>
      <c r="AK88" s="383"/>
    </row>
    <row r="89" spans="1:37" ht="20.399999999999999" customHeight="1" x14ac:dyDescent="0.3">
      <c r="A89" s="83"/>
      <c r="B89" s="83"/>
      <c r="C89" s="83"/>
      <c r="D89" s="83"/>
      <c r="E89" s="83"/>
      <c r="F89" s="83"/>
      <c r="G89" s="83"/>
      <c r="H89" s="83"/>
      <c r="I89" s="83"/>
      <c r="J89" s="83"/>
      <c r="K89" s="83"/>
      <c r="L89" s="83"/>
      <c r="M89" s="83"/>
      <c r="N89" s="83"/>
      <c r="O89" s="83"/>
      <c r="P89" s="211"/>
      <c r="Q89" s="211"/>
      <c r="R89" s="211"/>
      <c r="S89" s="211"/>
      <c r="T89" s="211"/>
      <c r="U89" s="211"/>
      <c r="V89" s="211"/>
      <c r="W89" s="211"/>
      <c r="X89" s="211"/>
      <c r="Y89" s="211"/>
      <c r="Z89" s="211"/>
      <c r="AA89" s="211"/>
      <c r="AB89" s="211"/>
      <c r="AC89" s="211"/>
      <c r="AD89" s="211"/>
      <c r="AE89" s="211"/>
      <c r="AF89" s="211"/>
      <c r="AG89" s="211"/>
      <c r="AH89" s="211"/>
      <c r="AI89" s="211"/>
      <c r="AJ89" s="211"/>
      <c r="AK89" s="383"/>
    </row>
    <row r="90" spans="1:37" ht="20.399999999999999" customHeight="1" x14ac:dyDescent="0.3">
      <c r="A90" s="83"/>
      <c r="B90" s="83"/>
      <c r="C90" s="83"/>
      <c r="D90" s="83"/>
      <c r="E90" s="83"/>
      <c r="F90" s="83"/>
      <c r="G90" s="83"/>
      <c r="H90" s="83"/>
      <c r="I90" s="83"/>
      <c r="J90" s="83"/>
      <c r="K90" s="83"/>
      <c r="L90" s="83"/>
      <c r="M90" s="83"/>
      <c r="N90" s="83"/>
      <c r="O90" s="83"/>
      <c r="P90" s="211"/>
      <c r="Q90" s="211"/>
      <c r="R90" s="211"/>
      <c r="S90" s="211"/>
      <c r="T90" s="211"/>
      <c r="U90" s="211"/>
      <c r="V90" s="211"/>
      <c r="W90" s="211"/>
      <c r="X90" s="211"/>
      <c r="Y90" s="211"/>
      <c r="Z90" s="211"/>
      <c r="AA90" s="211"/>
      <c r="AB90" s="211"/>
      <c r="AC90" s="211"/>
      <c r="AD90" s="211"/>
      <c r="AE90" s="211"/>
      <c r="AF90" s="211"/>
      <c r="AG90" s="211"/>
      <c r="AH90" s="211"/>
      <c r="AI90" s="211"/>
      <c r="AJ90" s="211"/>
      <c r="AK90" s="383"/>
    </row>
    <row r="91" spans="1:37" ht="20.399999999999999" customHeight="1" x14ac:dyDescent="0.3">
      <c r="A91" s="83"/>
      <c r="B91" s="83"/>
      <c r="C91" s="83"/>
      <c r="D91" s="83"/>
      <c r="E91" s="83"/>
      <c r="F91" s="83"/>
      <c r="G91" s="83"/>
      <c r="H91" s="83"/>
      <c r="I91" s="83"/>
      <c r="J91" s="83"/>
      <c r="K91" s="83"/>
      <c r="L91" s="83"/>
      <c r="M91" s="83"/>
      <c r="N91" s="83"/>
      <c r="O91" s="83"/>
      <c r="P91" s="211"/>
      <c r="Q91" s="211"/>
      <c r="R91" s="211"/>
      <c r="S91" s="211"/>
      <c r="T91" s="211"/>
      <c r="U91" s="211"/>
      <c r="V91" s="211"/>
      <c r="W91" s="211"/>
      <c r="X91" s="211"/>
      <c r="Y91" s="211"/>
      <c r="Z91" s="211"/>
      <c r="AA91" s="211"/>
      <c r="AB91" s="211"/>
      <c r="AC91" s="211"/>
      <c r="AD91" s="211"/>
      <c r="AE91" s="211"/>
      <c r="AF91" s="211"/>
      <c r="AG91" s="211"/>
      <c r="AH91" s="211"/>
      <c r="AI91" s="211"/>
      <c r="AJ91" s="211"/>
      <c r="AK91" s="383"/>
    </row>
    <row r="92" spans="1:37" ht="20.399999999999999" customHeight="1" x14ac:dyDescent="0.3">
      <c r="A92" s="83"/>
      <c r="B92" s="83"/>
      <c r="C92" s="83"/>
      <c r="D92" s="83"/>
      <c r="E92" s="83"/>
      <c r="F92" s="83"/>
      <c r="G92" s="83"/>
      <c r="H92" s="83"/>
      <c r="I92" s="83"/>
      <c r="J92" s="83"/>
      <c r="K92" s="83"/>
      <c r="L92" s="83"/>
      <c r="M92" s="83"/>
      <c r="N92" s="83"/>
      <c r="O92" s="83"/>
      <c r="P92" s="211"/>
      <c r="Q92" s="211"/>
      <c r="R92" s="211"/>
      <c r="S92" s="211"/>
      <c r="T92" s="211"/>
      <c r="U92" s="211"/>
      <c r="V92" s="211"/>
      <c r="W92" s="211"/>
      <c r="X92" s="211"/>
      <c r="Y92" s="211"/>
      <c r="Z92" s="211"/>
      <c r="AA92" s="211"/>
      <c r="AB92" s="211"/>
      <c r="AC92" s="211"/>
      <c r="AD92" s="211"/>
      <c r="AE92" s="211"/>
      <c r="AF92" s="211"/>
      <c r="AG92" s="211"/>
      <c r="AH92" s="211"/>
      <c r="AI92" s="211"/>
      <c r="AJ92" s="211"/>
      <c r="AK92" s="383"/>
    </row>
    <row r="93" spans="1:37" ht="20.399999999999999" customHeight="1" x14ac:dyDescent="0.3">
      <c r="A93" s="83"/>
      <c r="B93" s="83"/>
      <c r="C93" s="83"/>
      <c r="D93" s="83"/>
      <c r="E93" s="83"/>
      <c r="F93" s="83"/>
      <c r="G93" s="83"/>
      <c r="H93" s="83"/>
      <c r="I93" s="83"/>
      <c r="J93" s="83"/>
      <c r="K93" s="83"/>
      <c r="L93" s="83"/>
      <c r="M93" s="83"/>
      <c r="N93" s="83"/>
      <c r="O93" s="83"/>
      <c r="P93" s="211"/>
      <c r="Q93" s="211"/>
      <c r="R93" s="211"/>
      <c r="S93" s="211"/>
      <c r="T93" s="211"/>
      <c r="U93" s="211"/>
      <c r="V93" s="211"/>
      <c r="W93" s="211"/>
      <c r="X93" s="211"/>
      <c r="Y93" s="211"/>
      <c r="Z93" s="211"/>
      <c r="AA93" s="211"/>
      <c r="AB93" s="211"/>
      <c r="AC93" s="211"/>
      <c r="AD93" s="211"/>
      <c r="AE93" s="211"/>
      <c r="AF93" s="211"/>
      <c r="AG93" s="211"/>
      <c r="AH93" s="211"/>
      <c r="AI93" s="211"/>
      <c r="AJ93" s="211"/>
      <c r="AK93" s="383"/>
    </row>
    <row r="94" spans="1:37" ht="20.399999999999999" customHeight="1" x14ac:dyDescent="0.3">
      <c r="A94" s="83"/>
      <c r="B94" s="83"/>
      <c r="C94" s="83"/>
      <c r="D94" s="83"/>
      <c r="E94" s="83"/>
      <c r="F94" s="83"/>
      <c r="G94" s="83"/>
      <c r="H94" s="83"/>
      <c r="I94" s="83"/>
      <c r="J94" s="83"/>
      <c r="K94" s="83"/>
      <c r="L94" s="83"/>
      <c r="M94" s="83"/>
      <c r="N94" s="83"/>
      <c r="O94" s="83"/>
      <c r="P94" s="211"/>
      <c r="Q94" s="211"/>
      <c r="R94" s="211"/>
      <c r="S94" s="211"/>
      <c r="T94" s="211"/>
      <c r="U94" s="211"/>
      <c r="V94" s="211"/>
      <c r="W94" s="211"/>
      <c r="X94" s="211"/>
      <c r="Y94" s="211"/>
      <c r="Z94" s="211"/>
      <c r="AA94" s="211"/>
      <c r="AB94" s="211"/>
      <c r="AC94" s="211"/>
      <c r="AD94" s="211"/>
      <c r="AE94" s="211"/>
      <c r="AF94" s="211"/>
      <c r="AG94" s="211"/>
      <c r="AH94" s="211"/>
      <c r="AI94" s="211"/>
      <c r="AJ94" s="211"/>
      <c r="AK94" s="383"/>
    </row>
    <row r="95" spans="1:37" ht="20.399999999999999" customHeight="1" x14ac:dyDescent="0.3">
      <c r="A95" s="83"/>
      <c r="B95" s="83"/>
      <c r="C95" s="83"/>
      <c r="D95" s="83"/>
      <c r="E95" s="83"/>
      <c r="F95" s="83"/>
      <c r="G95" s="83"/>
      <c r="H95" s="83"/>
      <c r="I95" s="83"/>
      <c r="J95" s="83"/>
      <c r="K95" s="83"/>
      <c r="L95" s="83"/>
      <c r="M95" s="83"/>
      <c r="N95" s="83"/>
      <c r="O95" s="83"/>
      <c r="P95" s="211"/>
      <c r="Q95" s="211"/>
      <c r="R95" s="211"/>
      <c r="S95" s="211"/>
      <c r="T95" s="211"/>
      <c r="U95" s="211"/>
      <c r="V95" s="211"/>
      <c r="W95" s="211"/>
      <c r="X95" s="211"/>
      <c r="Y95" s="211"/>
      <c r="Z95" s="211"/>
      <c r="AA95" s="211"/>
      <c r="AB95" s="211"/>
      <c r="AC95" s="211"/>
      <c r="AD95" s="211"/>
      <c r="AE95" s="211"/>
      <c r="AF95" s="211"/>
      <c r="AG95" s="211"/>
      <c r="AH95" s="211"/>
      <c r="AI95" s="211"/>
      <c r="AJ95" s="211"/>
      <c r="AK95" s="383"/>
    </row>
    <row r="96" spans="1:37" ht="20.399999999999999" customHeight="1" x14ac:dyDescent="0.3">
      <c r="A96" s="83"/>
      <c r="B96" s="83"/>
      <c r="C96" s="83"/>
      <c r="D96" s="83"/>
      <c r="E96" s="83"/>
      <c r="F96" s="83"/>
      <c r="G96" s="83"/>
      <c r="H96" s="83"/>
      <c r="I96" s="83"/>
      <c r="J96" s="83"/>
      <c r="K96" s="83"/>
      <c r="L96" s="83"/>
      <c r="M96" s="83"/>
      <c r="N96" s="83"/>
      <c r="O96" s="83"/>
      <c r="P96" s="211"/>
      <c r="Q96" s="211"/>
      <c r="R96" s="211"/>
      <c r="S96" s="211"/>
      <c r="T96" s="211"/>
      <c r="U96" s="211"/>
      <c r="V96" s="211"/>
      <c r="W96" s="211"/>
      <c r="X96" s="211"/>
      <c r="Y96" s="211"/>
      <c r="Z96" s="211"/>
      <c r="AA96" s="211"/>
      <c r="AB96" s="211"/>
      <c r="AC96" s="211"/>
      <c r="AD96" s="211"/>
      <c r="AE96" s="211"/>
      <c r="AF96" s="211"/>
      <c r="AG96" s="211"/>
      <c r="AH96" s="211"/>
      <c r="AI96" s="211"/>
      <c r="AJ96" s="211"/>
      <c r="AK96" s="383"/>
    </row>
    <row r="97" spans="1:37" ht="20.399999999999999" customHeight="1" x14ac:dyDescent="0.3">
      <c r="A97" s="83"/>
      <c r="B97" s="83"/>
      <c r="C97" s="83"/>
      <c r="D97" s="83"/>
      <c r="E97" s="83"/>
      <c r="F97" s="83"/>
      <c r="G97" s="83"/>
      <c r="H97" s="83"/>
      <c r="I97" s="83"/>
      <c r="J97" s="83"/>
      <c r="K97" s="83"/>
      <c r="L97" s="83"/>
      <c r="M97" s="83"/>
      <c r="N97" s="83"/>
      <c r="O97" s="83"/>
      <c r="P97" s="211"/>
      <c r="Q97" s="211"/>
      <c r="R97" s="211"/>
      <c r="S97" s="211"/>
      <c r="T97" s="211"/>
      <c r="U97" s="211"/>
      <c r="V97" s="211"/>
      <c r="W97" s="211"/>
      <c r="X97" s="211"/>
      <c r="Y97" s="211"/>
      <c r="Z97" s="211"/>
      <c r="AA97" s="211"/>
      <c r="AB97" s="211"/>
      <c r="AC97" s="211"/>
      <c r="AD97" s="211"/>
      <c r="AE97" s="211"/>
      <c r="AF97" s="211"/>
      <c r="AG97" s="211"/>
      <c r="AH97" s="211"/>
      <c r="AI97" s="211"/>
      <c r="AJ97" s="211"/>
      <c r="AK97" s="383"/>
    </row>
    <row r="98" spans="1:37" ht="20.399999999999999" customHeight="1" x14ac:dyDescent="0.3">
      <c r="A98" s="83"/>
      <c r="B98" s="83"/>
      <c r="C98" s="83"/>
      <c r="D98" s="83"/>
      <c r="E98" s="83"/>
      <c r="F98" s="83"/>
      <c r="G98" s="83"/>
      <c r="H98" s="83"/>
      <c r="I98" s="83"/>
      <c r="J98" s="83"/>
      <c r="K98" s="83"/>
      <c r="L98" s="83"/>
      <c r="M98" s="83"/>
      <c r="N98" s="83"/>
      <c r="O98" s="83"/>
      <c r="P98" s="211"/>
      <c r="Q98" s="211"/>
      <c r="R98" s="211"/>
      <c r="S98" s="211"/>
      <c r="T98" s="211"/>
      <c r="U98" s="211"/>
      <c r="V98" s="211"/>
      <c r="W98" s="211"/>
      <c r="X98" s="211"/>
      <c r="Y98" s="211"/>
      <c r="Z98" s="211"/>
      <c r="AA98" s="211"/>
      <c r="AB98" s="211"/>
      <c r="AC98" s="211"/>
      <c r="AD98" s="211"/>
      <c r="AE98" s="211"/>
      <c r="AF98" s="211"/>
      <c r="AG98" s="211"/>
      <c r="AH98" s="211"/>
      <c r="AI98" s="211"/>
      <c r="AJ98" s="211"/>
      <c r="AK98" s="383"/>
    </row>
    <row r="99" spans="1:37" ht="20.399999999999999" customHeight="1" x14ac:dyDescent="0.3">
      <c r="P99" s="149"/>
      <c r="Q99" s="149"/>
      <c r="R99" s="149"/>
      <c r="S99" s="149"/>
      <c r="T99" s="149"/>
      <c r="U99" s="149"/>
      <c r="V99" s="149"/>
      <c r="W99" s="149"/>
      <c r="X99" s="149"/>
      <c r="Y99" s="149"/>
      <c r="Z99" s="149"/>
      <c r="AA99" s="149"/>
      <c r="AB99" s="149"/>
      <c r="AC99" s="149"/>
      <c r="AD99" s="149"/>
      <c r="AE99" s="149"/>
      <c r="AF99" s="149"/>
      <c r="AG99" s="149"/>
      <c r="AH99" s="149"/>
      <c r="AI99" s="149"/>
      <c r="AJ99" s="149"/>
      <c r="AK99" s="96"/>
    </row>
    <row r="100" spans="1:37" ht="20.399999999999999" customHeight="1" x14ac:dyDescent="0.3">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96"/>
    </row>
    <row r="101" spans="1:37" ht="20.399999999999999" customHeight="1" x14ac:dyDescent="0.3">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96"/>
    </row>
    <row r="102" spans="1:37" ht="20.399999999999999" customHeight="1" x14ac:dyDescent="0.3">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96"/>
    </row>
    <row r="103" spans="1:37" ht="20.399999999999999" customHeight="1" x14ac:dyDescent="0.3">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96"/>
    </row>
    <row r="104" spans="1:37" ht="20.399999999999999" customHeight="1" x14ac:dyDescent="0.3">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96"/>
    </row>
    <row r="105" spans="1:37" ht="20.399999999999999" customHeight="1" x14ac:dyDescent="0.3">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96"/>
    </row>
    <row r="106" spans="1:37" ht="20.399999999999999" customHeight="1" x14ac:dyDescent="0.3">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96"/>
    </row>
    <row r="107" spans="1:37" ht="20.399999999999999" customHeight="1" x14ac:dyDescent="0.3">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96"/>
    </row>
    <row r="108" spans="1:37" ht="20.399999999999999" customHeight="1" x14ac:dyDescent="0.3">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96"/>
    </row>
    <row r="109" spans="1:37" ht="20.399999999999999" customHeight="1" x14ac:dyDescent="0.3">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96"/>
    </row>
    <row r="110" spans="1:37" ht="20.399999999999999" customHeight="1" x14ac:dyDescent="0.3">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96"/>
    </row>
    <row r="111" spans="1:37" ht="20.399999999999999" customHeight="1" x14ac:dyDescent="0.3">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96"/>
    </row>
    <row r="112" spans="1:37" ht="20.399999999999999" customHeight="1" x14ac:dyDescent="0.3">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96"/>
    </row>
    <row r="113" spans="16:37" ht="20.399999999999999" customHeight="1" x14ac:dyDescent="0.3">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96"/>
    </row>
    <row r="114" spans="16:37" ht="20.399999999999999" customHeight="1" x14ac:dyDescent="0.3">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96"/>
    </row>
    <row r="115" spans="16:37" ht="20.399999999999999" customHeight="1" x14ac:dyDescent="0.3">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96"/>
    </row>
    <row r="116" spans="16:37" ht="20.399999999999999" customHeight="1" x14ac:dyDescent="0.3">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96"/>
    </row>
    <row r="117" spans="16:37" ht="20.399999999999999" customHeight="1" x14ac:dyDescent="0.3">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96"/>
    </row>
    <row r="118" spans="16:37" ht="20.399999999999999" customHeight="1" x14ac:dyDescent="0.3">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96"/>
    </row>
    <row r="119" spans="16:37" ht="20.399999999999999" customHeight="1" x14ac:dyDescent="0.3">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96"/>
    </row>
    <row r="120" spans="16:37" ht="20.399999999999999" customHeight="1" x14ac:dyDescent="0.3">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96"/>
    </row>
    <row r="121" spans="16:37" ht="20.399999999999999" customHeight="1" x14ac:dyDescent="0.3">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96"/>
    </row>
    <row r="122" spans="16:37" ht="20.399999999999999" customHeight="1" x14ac:dyDescent="0.3">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49"/>
      <c r="AK122" s="96"/>
    </row>
    <row r="123" spans="16:37" ht="20.399999999999999" customHeight="1" x14ac:dyDescent="0.3">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96"/>
    </row>
    <row r="124" spans="16:37" ht="20.399999999999999" customHeight="1" x14ac:dyDescent="0.3">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96"/>
    </row>
    <row r="125" spans="16:37" ht="20.399999999999999" customHeight="1" x14ac:dyDescent="0.3">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96"/>
    </row>
    <row r="126" spans="16:37" ht="20.399999999999999" customHeight="1" x14ac:dyDescent="0.3">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96"/>
    </row>
    <row r="127" spans="16:37" ht="20.399999999999999" customHeight="1" x14ac:dyDescent="0.3">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96"/>
    </row>
    <row r="128" spans="16:37" ht="20.399999999999999" customHeight="1" x14ac:dyDescent="0.3">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96"/>
    </row>
    <row r="129" spans="16:37" ht="20.399999999999999" customHeight="1" x14ac:dyDescent="0.3">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96"/>
    </row>
    <row r="130" spans="16:37" ht="20.399999999999999" customHeight="1" x14ac:dyDescent="0.3">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96"/>
    </row>
    <row r="131" spans="16:37" ht="20.399999999999999" customHeight="1" x14ac:dyDescent="0.3">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96"/>
    </row>
    <row r="132" spans="16:37" ht="20.399999999999999" customHeight="1" x14ac:dyDescent="0.3">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96"/>
    </row>
    <row r="133" spans="16:37" ht="20.399999999999999" customHeight="1" x14ac:dyDescent="0.3">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96"/>
    </row>
    <row r="134" spans="16:37" ht="20.399999999999999" customHeight="1" x14ac:dyDescent="0.3">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96"/>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M44:N44"/>
    <mergeCell ref="M42:M43"/>
    <mergeCell ref="N42:N43"/>
    <mergeCell ref="B22:C22"/>
    <mergeCell ref="B41:K41"/>
    <mergeCell ref="B20:C20"/>
    <mergeCell ref="B16:C16"/>
    <mergeCell ref="B17:C17"/>
    <mergeCell ref="B21:C21"/>
    <mergeCell ref="B15:C15"/>
    <mergeCell ref="B19:E19"/>
    <mergeCell ref="B14:C14"/>
    <mergeCell ref="G7:H7"/>
    <mergeCell ref="B7:C7"/>
    <mergeCell ref="B8:C8"/>
    <mergeCell ref="B9:C9"/>
    <mergeCell ref="B10:C10"/>
    <mergeCell ref="B11:C11"/>
    <mergeCell ref="G11:H11"/>
    <mergeCell ref="G10:H10"/>
    <mergeCell ref="G9:H9"/>
    <mergeCell ref="G8:H8"/>
    <mergeCell ref="G13:J13"/>
    <mergeCell ref="B1:E1"/>
    <mergeCell ref="B3:E3"/>
    <mergeCell ref="B4:C4"/>
    <mergeCell ref="I5:J5"/>
    <mergeCell ref="B13:E13"/>
    <mergeCell ref="B5:C5"/>
    <mergeCell ref="B6:C6"/>
    <mergeCell ref="G6:H6"/>
    <mergeCell ref="G5:H5"/>
    <mergeCell ref="P41:S41"/>
    <mergeCell ref="P42:Q42"/>
    <mergeCell ref="R42:S42"/>
    <mergeCell ref="G1:H1"/>
    <mergeCell ref="I1:J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7C32A-7256-4385-9A76-92693556649F}">
  <sheetPr codeName="Sheet4"/>
  <dimension ref="B2:AF1001"/>
  <sheetViews>
    <sheetView showGridLines="0" zoomScale="85" zoomScaleNormal="85" workbookViewId="0">
      <selection activeCell="F8" sqref="F8"/>
    </sheetView>
  </sheetViews>
  <sheetFormatPr defaultRowHeight="14.4" x14ac:dyDescent="0.3"/>
  <cols>
    <col min="1" max="1" width="3.88671875" customWidth="1"/>
    <col min="2" max="7" width="13.33203125" style="96" customWidth="1"/>
    <col min="8" max="9" width="13.33203125" customWidth="1"/>
    <col min="10" max="10" width="3.88671875" customWidth="1"/>
    <col min="11" max="12" width="13.33203125" customWidth="1"/>
    <col min="13" max="13" width="3.88671875" customWidth="1"/>
    <col min="14" max="16" width="13.33203125" customWidth="1"/>
    <col min="17" max="17" width="3.88671875" customWidth="1"/>
    <col min="18" max="19" width="11.109375" style="96" customWidth="1"/>
    <col min="20" max="28" width="11.109375" style="149" customWidth="1"/>
    <col min="29" max="30" width="8.88671875" style="667"/>
  </cols>
  <sheetData>
    <row r="2" spans="2:32" ht="18" x14ac:dyDescent="0.3">
      <c r="B2" s="745" t="str">
        <f>+'Plant Overview'!E6&amp;": Uncertainty Quantification"</f>
        <v>Plant A: Uncertainty Quantification</v>
      </c>
      <c r="C2" s="746"/>
      <c r="D2" s="746"/>
      <c r="E2" s="746"/>
      <c r="F2" s="746"/>
      <c r="G2" s="746"/>
      <c r="H2" s="746"/>
      <c r="I2" s="746"/>
      <c r="J2" s="746"/>
      <c r="K2" s="746"/>
      <c r="L2" s="746"/>
      <c r="M2" s="746"/>
      <c r="N2" s="746"/>
      <c r="O2" s="746"/>
      <c r="P2" s="747"/>
    </row>
    <row r="4" spans="2:32" ht="17.399999999999999" customHeight="1" x14ac:dyDescent="0.3">
      <c r="B4" s="650" t="s">
        <v>792</v>
      </c>
      <c r="C4" s="650" t="s">
        <v>235</v>
      </c>
      <c r="D4" s="668" t="s">
        <v>806</v>
      </c>
      <c r="E4" s="652" t="s">
        <v>793</v>
      </c>
      <c r="F4" s="652" t="s">
        <v>801</v>
      </c>
      <c r="G4" s="669" t="s">
        <v>802</v>
      </c>
      <c r="H4" s="651" t="s">
        <v>794</v>
      </c>
      <c r="I4" s="653" t="s">
        <v>795</v>
      </c>
      <c r="K4" s="116" t="s">
        <v>797</v>
      </c>
      <c r="L4" s="166"/>
      <c r="M4" s="670" t="s">
        <v>664</v>
      </c>
      <c r="N4" s="870" t="s">
        <v>495</v>
      </c>
      <c r="O4" s="871"/>
      <c r="P4" s="603"/>
      <c r="R4" s="150"/>
      <c r="S4" s="156"/>
    </row>
    <row r="5" spans="2:32" ht="17.399999999999999" customHeight="1" x14ac:dyDescent="0.3">
      <c r="C5" s="654"/>
      <c r="D5" s="654"/>
      <c r="E5" s="99"/>
      <c r="F5" s="99"/>
      <c r="H5" s="655"/>
      <c r="I5" s="149"/>
      <c r="K5" s="237" t="s">
        <v>78</v>
      </c>
      <c r="L5" s="656"/>
      <c r="M5" s="671" t="s">
        <v>720</v>
      </c>
      <c r="N5" s="872" t="s">
        <v>813</v>
      </c>
      <c r="O5" s="657" t="s">
        <v>577</v>
      </c>
      <c r="P5" s="223" t="s">
        <v>578</v>
      </c>
      <c r="S5" s="156"/>
      <c r="AF5" s="594"/>
    </row>
    <row r="6" spans="2:32" ht="17.399999999999999" customHeight="1" x14ac:dyDescent="0.3">
      <c r="C6" s="658"/>
      <c r="D6" s="658"/>
      <c r="E6" s="172"/>
      <c r="F6" s="172"/>
      <c r="G6" s="156"/>
      <c r="H6" s="655"/>
      <c r="I6" s="675"/>
      <c r="J6" s="96"/>
      <c r="K6" s="659" t="s">
        <v>721</v>
      </c>
      <c r="L6" s="166" t="s">
        <v>664</v>
      </c>
      <c r="M6" s="171" t="s">
        <v>719</v>
      </c>
      <c r="N6" s="873"/>
      <c r="O6" s="768"/>
      <c r="P6" s="875"/>
      <c r="S6" s="156"/>
      <c r="AF6" s="594"/>
    </row>
    <row r="7" spans="2:32" ht="17.399999999999999" customHeight="1" x14ac:dyDescent="0.3">
      <c r="I7" s="557"/>
      <c r="J7" s="96"/>
      <c r="K7" s="237" t="s">
        <v>798</v>
      </c>
      <c r="L7" s="656"/>
      <c r="M7" s="171" t="s">
        <v>590</v>
      </c>
      <c r="N7" s="874"/>
      <c r="O7" s="769"/>
      <c r="P7" s="875"/>
      <c r="S7" s="156"/>
    </row>
    <row r="8" spans="2:32" ht="17.399999999999999" customHeight="1" x14ac:dyDescent="0.3">
      <c r="I8" s="399"/>
      <c r="S8" s="156"/>
    </row>
    <row r="9" spans="2:32" ht="17.399999999999999" customHeight="1" x14ac:dyDescent="0.3">
      <c r="H9" s="96"/>
      <c r="I9" s="399"/>
      <c r="J9" s="557"/>
      <c r="L9" s="745" t="s">
        <v>814</v>
      </c>
      <c r="M9" s="746"/>
      <c r="N9" s="746"/>
      <c r="O9" s="746"/>
      <c r="P9" s="747"/>
      <c r="S9" s="156"/>
    </row>
    <row r="10" spans="2:32" ht="17.399999999999999" customHeight="1" x14ac:dyDescent="0.3">
      <c r="C10" s="661"/>
      <c r="D10" s="661"/>
      <c r="E10" s="156"/>
      <c r="F10" s="156"/>
      <c r="G10" s="156"/>
      <c r="I10" s="399"/>
      <c r="J10" s="399"/>
      <c r="K10" s="237" t="s">
        <v>807</v>
      </c>
      <c r="L10" s="876" t="s">
        <v>799</v>
      </c>
      <c r="M10" s="877"/>
      <c r="N10" s="877"/>
      <c r="O10" s="878"/>
      <c r="P10" s="660">
        <v>0.9</v>
      </c>
      <c r="S10" s="156"/>
    </row>
    <row r="11" spans="2:32" ht="17.399999999999999" customHeight="1" x14ac:dyDescent="0.3">
      <c r="G11" s="156"/>
      <c r="J11" s="399"/>
      <c r="K11" s="177"/>
      <c r="L11" s="861" t="s">
        <v>800</v>
      </c>
      <c r="M11" s="862"/>
      <c r="N11" s="662"/>
      <c r="O11" s="672" t="s">
        <v>801</v>
      </c>
      <c r="P11" s="673"/>
      <c r="S11" s="156"/>
    </row>
    <row r="12" spans="2:32" ht="17.399999999999999" customHeight="1" x14ac:dyDescent="0.3">
      <c r="J12" s="399"/>
      <c r="K12" s="674" t="s">
        <v>808</v>
      </c>
      <c r="L12" s="715"/>
      <c r="M12" s="716"/>
      <c r="N12" s="717"/>
      <c r="O12" s="664" t="s">
        <v>802</v>
      </c>
      <c r="P12" s="673"/>
      <c r="S12" s="156"/>
    </row>
    <row r="13" spans="2:32" ht="17.399999999999999" customHeight="1" x14ac:dyDescent="0.3">
      <c r="K13" s="99"/>
      <c r="L13" s="879" t="s">
        <v>809</v>
      </c>
      <c r="M13" s="880"/>
      <c r="N13" s="665"/>
      <c r="O13" s="672" t="s">
        <v>803</v>
      </c>
      <c r="P13" s="673"/>
      <c r="S13" s="156"/>
    </row>
    <row r="14" spans="2:32" ht="17.399999999999999" customHeight="1" x14ac:dyDescent="0.3">
      <c r="K14" s="674" t="s">
        <v>810</v>
      </c>
      <c r="L14" s="881"/>
      <c r="M14" s="882"/>
      <c r="N14" s="883"/>
      <c r="O14" s="663" t="s">
        <v>804</v>
      </c>
      <c r="P14" s="673"/>
      <c r="S14" s="156"/>
    </row>
    <row r="15" spans="2:32" ht="17.399999999999999" customHeight="1" x14ac:dyDescent="0.3">
      <c r="K15" s="87"/>
      <c r="L15" s="861" t="s">
        <v>796</v>
      </c>
      <c r="M15" s="862"/>
      <c r="N15" s="662"/>
      <c r="O15" s="666" t="s">
        <v>235</v>
      </c>
      <c r="P15" s="170" t="s">
        <v>811</v>
      </c>
      <c r="S15" s="156"/>
    </row>
    <row r="16" spans="2:32" ht="17.399999999999999" customHeight="1" x14ac:dyDescent="0.3">
      <c r="S16" s="156"/>
    </row>
    <row r="17" spans="2:30" s="96" customFormat="1" ht="17.399999999999999" customHeight="1" x14ac:dyDescent="0.3">
      <c r="H17"/>
      <c r="I17"/>
      <c r="J17"/>
      <c r="K17"/>
      <c r="L17"/>
      <c r="M17"/>
      <c r="S17" s="156"/>
      <c r="T17" s="149"/>
      <c r="U17" s="149"/>
      <c r="V17" s="149"/>
      <c r="W17" s="149"/>
      <c r="X17" s="149"/>
      <c r="AC17" s="149"/>
      <c r="AD17" s="149"/>
    </row>
    <row r="18" spans="2:30" x14ac:dyDescent="0.3">
      <c r="S18" s="156"/>
    </row>
    <row r="19" spans="2:30" x14ac:dyDescent="0.3">
      <c r="S19" s="156"/>
    </row>
    <row r="20" spans="2:30" x14ac:dyDescent="0.3">
      <c r="S20" s="156"/>
    </row>
    <row r="21" spans="2:30" x14ac:dyDescent="0.3">
      <c r="B21" s="149"/>
      <c r="C21" s="149"/>
      <c r="S21" s="156"/>
    </row>
    <row r="22" spans="2:30" x14ac:dyDescent="0.3">
      <c r="B22" s="149"/>
      <c r="C22" s="149"/>
      <c r="S22" s="156"/>
    </row>
    <row r="23" spans="2:30" x14ac:dyDescent="0.3">
      <c r="B23" s="149"/>
      <c r="C23" s="149"/>
      <c r="S23" s="156"/>
    </row>
    <row r="24" spans="2:30" x14ac:dyDescent="0.3">
      <c r="B24" s="149"/>
      <c r="C24" s="149"/>
      <c r="S24" s="156"/>
    </row>
    <row r="25" spans="2:30" x14ac:dyDescent="0.3">
      <c r="B25" s="149"/>
      <c r="C25" s="149"/>
      <c r="S25" s="156"/>
    </row>
    <row r="26" spans="2:30" x14ac:dyDescent="0.3">
      <c r="B26" s="149"/>
      <c r="C26" s="149"/>
      <c r="S26" s="156"/>
    </row>
    <row r="27" spans="2:30" x14ac:dyDescent="0.3">
      <c r="B27" s="149"/>
      <c r="C27" s="149"/>
      <c r="S27" s="156"/>
    </row>
    <row r="28" spans="2:30" x14ac:dyDescent="0.3">
      <c r="B28" s="149"/>
      <c r="C28" s="149"/>
      <c r="S28" s="156"/>
    </row>
    <row r="29" spans="2:30" x14ac:dyDescent="0.3">
      <c r="B29" s="149"/>
      <c r="C29" s="149"/>
      <c r="S29" s="156"/>
    </row>
    <row r="30" spans="2:30" x14ac:dyDescent="0.3">
      <c r="B30" s="149"/>
      <c r="C30" s="149"/>
      <c r="S30" s="156"/>
    </row>
    <row r="31" spans="2:30" x14ac:dyDescent="0.3">
      <c r="B31" s="149"/>
      <c r="C31" s="149"/>
      <c r="S31" s="156"/>
    </row>
    <row r="32" spans="2:30" x14ac:dyDescent="0.3">
      <c r="B32" s="149"/>
      <c r="C32" s="149"/>
      <c r="S32" s="156"/>
    </row>
    <row r="33" spans="2:19" x14ac:dyDescent="0.3">
      <c r="B33" s="149"/>
      <c r="C33" s="149"/>
      <c r="S33" s="156"/>
    </row>
    <row r="34" spans="2:19" x14ac:dyDescent="0.3">
      <c r="B34" s="149"/>
      <c r="C34" s="149"/>
      <c r="S34" s="156"/>
    </row>
    <row r="35" spans="2:19" x14ac:dyDescent="0.3">
      <c r="B35" s="149"/>
      <c r="C35" s="149"/>
      <c r="S35" s="156"/>
    </row>
    <row r="36" spans="2:19" x14ac:dyDescent="0.3">
      <c r="B36" s="149"/>
      <c r="C36" s="149"/>
      <c r="S36" s="156"/>
    </row>
    <row r="37" spans="2:19" x14ac:dyDescent="0.3">
      <c r="B37" s="149"/>
      <c r="C37" s="149"/>
      <c r="S37" s="156"/>
    </row>
    <row r="38" spans="2:19" x14ac:dyDescent="0.3">
      <c r="B38" s="149"/>
      <c r="C38" s="149"/>
      <c r="S38" s="156"/>
    </row>
    <row r="39" spans="2:19" x14ac:dyDescent="0.3">
      <c r="B39" s="149"/>
      <c r="C39" s="149"/>
      <c r="S39" s="156"/>
    </row>
    <row r="40" spans="2:19" x14ac:dyDescent="0.3">
      <c r="B40" s="149"/>
      <c r="C40" s="149"/>
      <c r="S40" s="156"/>
    </row>
    <row r="41" spans="2:19" x14ac:dyDescent="0.3">
      <c r="B41" s="149"/>
      <c r="C41" s="149"/>
      <c r="S41" s="156"/>
    </row>
    <row r="42" spans="2:19" x14ac:dyDescent="0.3">
      <c r="B42" s="149"/>
      <c r="C42" s="149"/>
      <c r="S42" s="156"/>
    </row>
    <row r="43" spans="2:19" x14ac:dyDescent="0.3">
      <c r="B43" s="149"/>
      <c r="C43" s="149"/>
      <c r="S43" s="156"/>
    </row>
    <row r="44" spans="2:19" x14ac:dyDescent="0.3">
      <c r="B44" s="149"/>
      <c r="C44" s="149"/>
      <c r="S44" s="156"/>
    </row>
    <row r="45" spans="2:19" x14ac:dyDescent="0.3">
      <c r="B45" s="149"/>
      <c r="C45" s="149"/>
      <c r="S45" s="156"/>
    </row>
    <row r="46" spans="2:19" x14ac:dyDescent="0.3">
      <c r="B46" s="149"/>
      <c r="C46" s="149"/>
      <c r="S46" s="156"/>
    </row>
    <row r="47" spans="2:19" x14ac:dyDescent="0.3">
      <c r="B47" s="149"/>
      <c r="C47" s="149"/>
      <c r="S47" s="156"/>
    </row>
    <row r="48" spans="2:19" x14ac:dyDescent="0.3">
      <c r="B48" s="149"/>
      <c r="C48" s="149"/>
      <c r="S48" s="156"/>
    </row>
    <row r="49" spans="2:19" x14ac:dyDescent="0.3">
      <c r="B49" s="149"/>
      <c r="C49" s="149"/>
      <c r="S49" s="156"/>
    </row>
    <row r="50" spans="2:19" x14ac:dyDescent="0.3">
      <c r="B50" s="149"/>
      <c r="C50" s="149"/>
      <c r="S50" s="156"/>
    </row>
    <row r="51" spans="2:19" x14ac:dyDescent="0.3">
      <c r="B51" s="149"/>
      <c r="C51" s="149"/>
      <c r="S51" s="156"/>
    </row>
    <row r="52" spans="2:19" x14ac:dyDescent="0.3">
      <c r="B52" s="149"/>
      <c r="C52" s="149"/>
      <c r="S52" s="156"/>
    </row>
    <row r="53" spans="2:19" x14ac:dyDescent="0.3">
      <c r="S53" s="156"/>
    </row>
    <row r="54" spans="2:19" x14ac:dyDescent="0.3">
      <c r="S54" s="156"/>
    </row>
    <row r="55" spans="2:19" x14ac:dyDescent="0.3">
      <c r="S55" s="156"/>
    </row>
    <row r="56" spans="2:19" x14ac:dyDescent="0.3">
      <c r="S56" s="156"/>
    </row>
    <row r="57" spans="2:19" x14ac:dyDescent="0.3">
      <c r="S57" s="156"/>
    </row>
    <row r="58" spans="2:19" x14ac:dyDescent="0.3">
      <c r="S58" s="156"/>
    </row>
    <row r="59" spans="2:19" x14ac:dyDescent="0.3">
      <c r="S59" s="156"/>
    </row>
    <row r="60" spans="2:19" x14ac:dyDescent="0.3">
      <c r="S60" s="156"/>
    </row>
    <row r="61" spans="2:19" x14ac:dyDescent="0.3">
      <c r="S61" s="156"/>
    </row>
    <row r="62" spans="2:19" x14ac:dyDescent="0.3">
      <c r="S62" s="156"/>
    </row>
    <row r="63" spans="2:19" x14ac:dyDescent="0.3">
      <c r="S63" s="156"/>
    </row>
    <row r="64" spans="2:19" x14ac:dyDescent="0.3">
      <c r="S64" s="156"/>
    </row>
    <row r="65" spans="19:19" x14ac:dyDescent="0.3">
      <c r="S65" s="156"/>
    </row>
    <row r="66" spans="19:19" x14ac:dyDescent="0.3">
      <c r="S66" s="156"/>
    </row>
    <row r="67" spans="19:19" x14ac:dyDescent="0.3">
      <c r="S67" s="156"/>
    </row>
    <row r="68" spans="19:19" x14ac:dyDescent="0.3">
      <c r="S68" s="156"/>
    </row>
    <row r="69" spans="19:19" x14ac:dyDescent="0.3">
      <c r="S69" s="156"/>
    </row>
    <row r="70" spans="19:19" x14ac:dyDescent="0.3">
      <c r="S70" s="156"/>
    </row>
    <row r="71" spans="19:19" x14ac:dyDescent="0.3">
      <c r="S71" s="156"/>
    </row>
    <row r="72" spans="19:19" x14ac:dyDescent="0.3">
      <c r="S72" s="156"/>
    </row>
    <row r="73" spans="19:19" x14ac:dyDescent="0.3">
      <c r="S73" s="156"/>
    </row>
    <row r="74" spans="19:19" x14ac:dyDescent="0.3">
      <c r="S74" s="156"/>
    </row>
    <row r="75" spans="19:19" x14ac:dyDescent="0.3">
      <c r="S75" s="156"/>
    </row>
    <row r="76" spans="19:19" x14ac:dyDescent="0.3">
      <c r="S76" s="156"/>
    </row>
    <row r="77" spans="19:19" x14ac:dyDescent="0.3">
      <c r="S77" s="156"/>
    </row>
    <row r="78" spans="19:19" x14ac:dyDescent="0.3">
      <c r="S78" s="156"/>
    </row>
    <row r="79" spans="19:19" x14ac:dyDescent="0.3">
      <c r="S79" s="156"/>
    </row>
    <row r="80" spans="19:19" x14ac:dyDescent="0.3">
      <c r="S80" s="156"/>
    </row>
    <row r="81" spans="19:19" x14ac:dyDescent="0.3">
      <c r="S81" s="156"/>
    </row>
    <row r="82" spans="19:19" x14ac:dyDescent="0.3">
      <c r="S82" s="156"/>
    </row>
    <row r="83" spans="19:19" x14ac:dyDescent="0.3">
      <c r="S83" s="156"/>
    </row>
    <row r="84" spans="19:19" x14ac:dyDescent="0.3">
      <c r="S84" s="156"/>
    </row>
    <row r="85" spans="19:19" x14ac:dyDescent="0.3">
      <c r="S85" s="156"/>
    </row>
    <row r="86" spans="19:19" x14ac:dyDescent="0.3">
      <c r="S86" s="156"/>
    </row>
    <row r="87" spans="19:19" x14ac:dyDescent="0.3">
      <c r="S87" s="156"/>
    </row>
    <row r="88" spans="19:19" x14ac:dyDescent="0.3">
      <c r="S88" s="156"/>
    </row>
    <row r="89" spans="19:19" x14ac:dyDescent="0.3">
      <c r="S89" s="156"/>
    </row>
    <row r="90" spans="19:19" x14ac:dyDescent="0.3">
      <c r="S90" s="156"/>
    </row>
    <row r="91" spans="19:19" x14ac:dyDescent="0.3">
      <c r="S91" s="156"/>
    </row>
    <row r="92" spans="19:19" x14ac:dyDescent="0.3">
      <c r="S92" s="156"/>
    </row>
    <row r="93" spans="19:19" x14ac:dyDescent="0.3">
      <c r="S93" s="156"/>
    </row>
    <row r="94" spans="19:19" x14ac:dyDescent="0.3">
      <c r="S94" s="156"/>
    </row>
    <row r="95" spans="19:19" x14ac:dyDescent="0.3">
      <c r="S95" s="156"/>
    </row>
    <row r="96" spans="19:19" x14ac:dyDescent="0.3">
      <c r="S96" s="156"/>
    </row>
    <row r="97" spans="19:19" x14ac:dyDescent="0.3">
      <c r="S97" s="156"/>
    </row>
    <row r="98" spans="19:19" x14ac:dyDescent="0.3">
      <c r="S98" s="156"/>
    </row>
    <row r="99" spans="19:19" x14ac:dyDescent="0.3">
      <c r="S99" s="156"/>
    </row>
    <row r="100" spans="19:19" x14ac:dyDescent="0.3">
      <c r="S100" s="156"/>
    </row>
    <row r="101" spans="19:19" x14ac:dyDescent="0.3">
      <c r="S101" s="156"/>
    </row>
    <row r="102" spans="19:19" x14ac:dyDescent="0.3">
      <c r="S102" s="156"/>
    </row>
    <row r="103" spans="19:19" x14ac:dyDescent="0.3">
      <c r="S103" s="156"/>
    </row>
    <row r="104" spans="19:19" x14ac:dyDescent="0.3">
      <c r="S104" s="156"/>
    </row>
    <row r="107" spans="19:19" x14ac:dyDescent="0.3">
      <c r="S107" s="156"/>
    </row>
    <row r="117" spans="19:19" x14ac:dyDescent="0.3">
      <c r="S117" s="156"/>
    </row>
    <row r="118" spans="19:19" x14ac:dyDescent="0.3">
      <c r="S118" s="156"/>
    </row>
    <row r="120" spans="19:19" x14ac:dyDescent="0.3">
      <c r="S120" s="156"/>
    </row>
    <row r="121" spans="19:19" x14ac:dyDescent="0.3">
      <c r="S121" s="156"/>
    </row>
    <row r="125" spans="19:19" x14ac:dyDescent="0.3">
      <c r="S125" s="156"/>
    </row>
    <row r="128" spans="19:19" x14ac:dyDescent="0.3">
      <c r="S128" s="156"/>
    </row>
    <row r="129" spans="19:19" x14ac:dyDescent="0.3">
      <c r="S129" s="156"/>
    </row>
    <row r="130" spans="19:19" x14ac:dyDescent="0.3">
      <c r="S130" s="156"/>
    </row>
    <row r="133" spans="19:19" x14ac:dyDescent="0.3">
      <c r="S133" s="156"/>
    </row>
    <row r="135" spans="19:19" x14ac:dyDescent="0.3">
      <c r="S135" s="156"/>
    </row>
    <row r="136" spans="19:19" x14ac:dyDescent="0.3">
      <c r="S136" s="156"/>
    </row>
    <row r="138" spans="19:19" x14ac:dyDescent="0.3">
      <c r="S138" s="156"/>
    </row>
    <row r="140" spans="19:19" x14ac:dyDescent="0.3">
      <c r="S140" s="156"/>
    </row>
    <row r="141" spans="19:19" x14ac:dyDescent="0.3">
      <c r="S141" s="156"/>
    </row>
    <row r="143" spans="19:19" x14ac:dyDescent="0.3">
      <c r="S143" s="156"/>
    </row>
    <row r="144" spans="19:19" x14ac:dyDescent="0.3">
      <c r="S144" s="156"/>
    </row>
    <row r="145" spans="19:19" x14ac:dyDescent="0.3">
      <c r="S145" s="156"/>
    </row>
    <row r="146" spans="19:19" x14ac:dyDescent="0.3">
      <c r="S146" s="156"/>
    </row>
    <row r="154" spans="19:19" x14ac:dyDescent="0.3">
      <c r="S154" s="156"/>
    </row>
    <row r="155" spans="19:19" x14ac:dyDescent="0.3">
      <c r="S155" s="156"/>
    </row>
    <row r="158" spans="19:19" x14ac:dyDescent="0.3">
      <c r="S158" s="156"/>
    </row>
    <row r="159" spans="19:19" x14ac:dyDescent="0.3">
      <c r="S159" s="156"/>
    </row>
    <row r="161" spans="19:19" x14ac:dyDescent="0.3">
      <c r="S161" s="156"/>
    </row>
    <row r="163" spans="19:19" x14ac:dyDescent="0.3">
      <c r="S163" s="156"/>
    </row>
    <row r="166" spans="19:19" x14ac:dyDescent="0.3">
      <c r="S166" s="156"/>
    </row>
    <row r="169" spans="19:19" x14ac:dyDescent="0.3">
      <c r="S169" s="156"/>
    </row>
    <row r="176" spans="19:19" x14ac:dyDescent="0.3">
      <c r="S176" s="156"/>
    </row>
    <row r="190" spans="19:19" x14ac:dyDescent="0.3">
      <c r="S190" s="156"/>
    </row>
    <row r="197" spans="19:19" x14ac:dyDescent="0.3">
      <c r="S197" s="156"/>
    </row>
    <row r="198" spans="19:19" x14ac:dyDescent="0.3">
      <c r="S198" s="156"/>
    </row>
    <row r="203" spans="19:19" x14ac:dyDescent="0.3">
      <c r="S203" s="156"/>
    </row>
    <row r="205" spans="19:19" x14ac:dyDescent="0.3">
      <c r="S205" s="156"/>
    </row>
    <row r="208" spans="19:19" x14ac:dyDescent="0.3">
      <c r="S208" s="156"/>
    </row>
    <row r="209" spans="19:19" x14ac:dyDescent="0.3">
      <c r="S209" s="156"/>
    </row>
    <row r="211" spans="19:19" x14ac:dyDescent="0.3">
      <c r="S211" s="156"/>
    </row>
    <row r="214" spans="19:19" x14ac:dyDescent="0.3">
      <c r="S214" s="156"/>
    </row>
    <row r="216" spans="19:19" x14ac:dyDescent="0.3">
      <c r="S216" s="156"/>
    </row>
    <row r="217" spans="19:19" x14ac:dyDescent="0.3">
      <c r="S217" s="156"/>
    </row>
    <row r="219" spans="19:19" x14ac:dyDescent="0.3">
      <c r="S219" s="156"/>
    </row>
    <row r="220" spans="19:19" x14ac:dyDescent="0.3">
      <c r="S220" s="156"/>
    </row>
    <row r="221" spans="19:19" x14ac:dyDescent="0.3">
      <c r="S221" s="156"/>
    </row>
    <row r="223" spans="19:19" x14ac:dyDescent="0.3">
      <c r="S223" s="156"/>
    </row>
    <row r="225" spans="19:19" x14ac:dyDescent="0.3">
      <c r="S225" s="156"/>
    </row>
    <row r="228" spans="19:19" x14ac:dyDescent="0.3">
      <c r="S228" s="156"/>
    </row>
    <row r="231" spans="19:19" x14ac:dyDescent="0.3">
      <c r="S231" s="156"/>
    </row>
    <row r="232" spans="19:19" x14ac:dyDescent="0.3">
      <c r="S232" s="156"/>
    </row>
    <row r="233" spans="19:19" x14ac:dyDescent="0.3">
      <c r="S233" s="156"/>
    </row>
    <row r="236" spans="19:19" x14ac:dyDescent="0.3">
      <c r="S236" s="156"/>
    </row>
    <row r="240" spans="19:19" x14ac:dyDescent="0.3">
      <c r="S240" s="156"/>
    </row>
    <row r="243" spans="19:19" x14ac:dyDescent="0.3">
      <c r="S243" s="156"/>
    </row>
    <row r="244" spans="19:19" x14ac:dyDescent="0.3">
      <c r="S244" s="156"/>
    </row>
    <row r="247" spans="19:19" x14ac:dyDescent="0.3">
      <c r="S247" s="156"/>
    </row>
    <row r="250" spans="19:19" x14ac:dyDescent="0.3">
      <c r="S250" s="156"/>
    </row>
    <row r="255" spans="19:19" x14ac:dyDescent="0.3">
      <c r="S255" s="156"/>
    </row>
    <row r="256" spans="19:19" x14ac:dyDescent="0.3">
      <c r="S256" s="156"/>
    </row>
    <row r="257" spans="19:19" x14ac:dyDescent="0.3">
      <c r="S257" s="156"/>
    </row>
    <row r="260" spans="19:19" x14ac:dyDescent="0.3">
      <c r="S260" s="156"/>
    </row>
    <row r="262" spans="19:19" x14ac:dyDescent="0.3">
      <c r="S262" s="156"/>
    </row>
    <row r="263" spans="19:19" x14ac:dyDescent="0.3">
      <c r="S263" s="156"/>
    </row>
    <row r="264" spans="19:19" x14ac:dyDescent="0.3">
      <c r="S264" s="156"/>
    </row>
    <row r="265" spans="19:19" x14ac:dyDescent="0.3">
      <c r="S265" s="156"/>
    </row>
    <row r="266" spans="19:19" x14ac:dyDescent="0.3">
      <c r="S266" s="156"/>
    </row>
    <row r="269" spans="19:19" x14ac:dyDescent="0.3">
      <c r="S269" s="156"/>
    </row>
    <row r="275" spans="19:19" x14ac:dyDescent="0.3">
      <c r="S275" s="156"/>
    </row>
    <row r="276" spans="19:19" x14ac:dyDescent="0.3">
      <c r="S276" s="156"/>
    </row>
    <row r="277" spans="19:19" x14ac:dyDescent="0.3">
      <c r="S277" s="156"/>
    </row>
    <row r="278" spans="19:19" x14ac:dyDescent="0.3">
      <c r="S278" s="156"/>
    </row>
    <row r="280" spans="19:19" x14ac:dyDescent="0.3">
      <c r="S280" s="156"/>
    </row>
    <row r="283" spans="19:19" x14ac:dyDescent="0.3">
      <c r="S283" s="156"/>
    </row>
    <row r="291" spans="19:19" x14ac:dyDescent="0.3">
      <c r="S291" s="156"/>
    </row>
    <row r="294" spans="19:19" x14ac:dyDescent="0.3">
      <c r="S294" s="156"/>
    </row>
    <row r="295" spans="19:19" x14ac:dyDescent="0.3">
      <c r="S295" s="156"/>
    </row>
    <row r="297" spans="19:19" x14ac:dyDescent="0.3">
      <c r="S297" s="156"/>
    </row>
    <row r="299" spans="19:19" x14ac:dyDescent="0.3">
      <c r="S299" s="156"/>
    </row>
    <row r="301" spans="19:19" x14ac:dyDescent="0.3">
      <c r="S301" s="156"/>
    </row>
    <row r="305" spans="19:19" x14ac:dyDescent="0.3">
      <c r="S305" s="156"/>
    </row>
    <row r="307" spans="19:19" x14ac:dyDescent="0.3">
      <c r="S307" s="156"/>
    </row>
    <row r="308" spans="19:19" x14ac:dyDescent="0.3">
      <c r="S308" s="156"/>
    </row>
    <row r="309" spans="19:19" x14ac:dyDescent="0.3">
      <c r="S309" s="156"/>
    </row>
    <row r="310" spans="19:19" x14ac:dyDescent="0.3">
      <c r="S310" s="156"/>
    </row>
    <row r="312" spans="19:19" x14ac:dyDescent="0.3">
      <c r="S312" s="156"/>
    </row>
    <row r="313" spans="19:19" x14ac:dyDescent="0.3">
      <c r="S313" s="156"/>
    </row>
    <row r="316" spans="19:19" x14ac:dyDescent="0.3">
      <c r="S316" s="156"/>
    </row>
    <row r="319" spans="19:19" x14ac:dyDescent="0.3">
      <c r="S319" s="156"/>
    </row>
    <row r="320" spans="19:19" x14ac:dyDescent="0.3">
      <c r="S320" s="156"/>
    </row>
    <row r="325" spans="19:19" x14ac:dyDescent="0.3">
      <c r="S325" s="156"/>
    </row>
    <row r="326" spans="19:19" x14ac:dyDescent="0.3">
      <c r="S326" s="156"/>
    </row>
    <row r="328" spans="19:19" x14ac:dyDescent="0.3">
      <c r="S328" s="156"/>
    </row>
    <row r="333" spans="19:19" x14ac:dyDescent="0.3">
      <c r="S333" s="156"/>
    </row>
    <row r="336" spans="19:19" x14ac:dyDescent="0.3">
      <c r="S336" s="156"/>
    </row>
    <row r="346" spans="19:19" x14ac:dyDescent="0.3">
      <c r="S346" s="156"/>
    </row>
    <row r="347" spans="19:19" x14ac:dyDescent="0.3">
      <c r="S347" s="156"/>
    </row>
    <row r="349" spans="19:19" x14ac:dyDescent="0.3">
      <c r="S349" s="156"/>
    </row>
    <row r="353" spans="19:19" x14ac:dyDescent="0.3">
      <c r="S353" s="156"/>
    </row>
    <row r="355" spans="19:19" x14ac:dyDescent="0.3">
      <c r="S355" s="156"/>
    </row>
    <row r="359" spans="19:19" x14ac:dyDescent="0.3">
      <c r="S359" s="156"/>
    </row>
    <row r="365" spans="19:19" x14ac:dyDescent="0.3">
      <c r="S365" s="156"/>
    </row>
    <row r="366" spans="19:19" x14ac:dyDescent="0.3">
      <c r="S366" s="156"/>
    </row>
    <row r="368" spans="19:19" x14ac:dyDescent="0.3">
      <c r="S368" s="156"/>
    </row>
    <row r="369" spans="19:19" x14ac:dyDescent="0.3">
      <c r="S369" s="156"/>
    </row>
    <row r="371" spans="19:19" x14ac:dyDescent="0.3">
      <c r="S371" s="156"/>
    </row>
    <row r="372" spans="19:19" x14ac:dyDescent="0.3">
      <c r="S372" s="156"/>
    </row>
    <row r="373" spans="19:19" x14ac:dyDescent="0.3">
      <c r="S373" s="156"/>
    </row>
    <row r="374" spans="19:19" x14ac:dyDescent="0.3">
      <c r="S374" s="156"/>
    </row>
    <row r="376" spans="19:19" x14ac:dyDescent="0.3">
      <c r="S376" s="156"/>
    </row>
    <row r="377" spans="19:19" x14ac:dyDescent="0.3">
      <c r="S377" s="156"/>
    </row>
    <row r="378" spans="19:19" x14ac:dyDescent="0.3">
      <c r="S378" s="156"/>
    </row>
    <row r="380" spans="19:19" x14ac:dyDescent="0.3">
      <c r="S380" s="156"/>
    </row>
    <row r="381" spans="19:19" x14ac:dyDescent="0.3">
      <c r="S381" s="156"/>
    </row>
    <row r="383" spans="19:19" x14ac:dyDescent="0.3">
      <c r="S383" s="156"/>
    </row>
    <row r="385" spans="19:19" x14ac:dyDescent="0.3">
      <c r="S385" s="156"/>
    </row>
    <row r="386" spans="19:19" x14ac:dyDescent="0.3">
      <c r="S386" s="156"/>
    </row>
    <row r="388" spans="19:19" x14ac:dyDescent="0.3">
      <c r="S388" s="156"/>
    </row>
    <row r="389" spans="19:19" x14ac:dyDescent="0.3">
      <c r="S389" s="156"/>
    </row>
    <row r="393" spans="19:19" x14ac:dyDescent="0.3">
      <c r="S393" s="156"/>
    </row>
    <row r="395" spans="19:19" x14ac:dyDescent="0.3">
      <c r="S395" s="156"/>
    </row>
    <row r="398" spans="19:19" x14ac:dyDescent="0.3">
      <c r="S398" s="156"/>
    </row>
    <row r="399" spans="19:19" x14ac:dyDescent="0.3">
      <c r="S399" s="156"/>
    </row>
    <row r="402" spans="19:19" x14ac:dyDescent="0.3">
      <c r="S402" s="156"/>
    </row>
    <row r="406" spans="19:19" x14ac:dyDescent="0.3">
      <c r="S406" s="156"/>
    </row>
    <row r="411" spans="19:19" x14ac:dyDescent="0.3">
      <c r="S411" s="156"/>
    </row>
    <row r="416" spans="19:19" x14ac:dyDescent="0.3">
      <c r="S416" s="156"/>
    </row>
    <row r="417" spans="19:19" x14ac:dyDescent="0.3">
      <c r="S417" s="156"/>
    </row>
    <row r="418" spans="19:19" x14ac:dyDescent="0.3">
      <c r="S418" s="156"/>
    </row>
    <row r="419" spans="19:19" x14ac:dyDescent="0.3">
      <c r="S419" s="156"/>
    </row>
    <row r="420" spans="19:19" x14ac:dyDescent="0.3">
      <c r="S420" s="156"/>
    </row>
    <row r="422" spans="19:19" x14ac:dyDescent="0.3">
      <c r="S422" s="156"/>
    </row>
    <row r="425" spans="19:19" x14ac:dyDescent="0.3">
      <c r="S425" s="156"/>
    </row>
    <row r="428" spans="19:19" x14ac:dyDescent="0.3">
      <c r="S428" s="156"/>
    </row>
    <row r="431" spans="19:19" x14ac:dyDescent="0.3">
      <c r="S431" s="156"/>
    </row>
    <row r="436" spans="19:19" x14ac:dyDescent="0.3">
      <c r="S436" s="156"/>
    </row>
    <row r="438" spans="19:19" x14ac:dyDescent="0.3">
      <c r="S438" s="156"/>
    </row>
    <row r="439" spans="19:19" x14ac:dyDescent="0.3">
      <c r="S439" s="156"/>
    </row>
    <row r="440" spans="19:19" x14ac:dyDescent="0.3">
      <c r="S440" s="156"/>
    </row>
    <row r="442" spans="19:19" x14ac:dyDescent="0.3">
      <c r="S442" s="156"/>
    </row>
    <row r="452" spans="19:19" x14ac:dyDescent="0.3">
      <c r="S452" s="156"/>
    </row>
    <row r="454" spans="19:19" x14ac:dyDescent="0.3">
      <c r="S454" s="156"/>
    </row>
    <row r="455" spans="19:19" x14ac:dyDescent="0.3">
      <c r="S455" s="156"/>
    </row>
    <row r="465" spans="19:19" x14ac:dyDescent="0.3">
      <c r="S465" s="156"/>
    </row>
    <row r="466" spans="19:19" x14ac:dyDescent="0.3">
      <c r="S466" s="156"/>
    </row>
    <row r="471" spans="19:19" x14ac:dyDescent="0.3">
      <c r="S471" s="156"/>
    </row>
    <row r="472" spans="19:19" x14ac:dyDescent="0.3">
      <c r="S472" s="156"/>
    </row>
    <row r="488" spans="19:19" x14ac:dyDescent="0.3">
      <c r="S488" s="156"/>
    </row>
    <row r="490" spans="19:19" x14ac:dyDescent="0.3">
      <c r="S490" s="156"/>
    </row>
    <row r="491" spans="19:19" x14ac:dyDescent="0.3">
      <c r="S491" s="156"/>
    </row>
    <row r="494" spans="19:19" x14ac:dyDescent="0.3">
      <c r="S494" s="156"/>
    </row>
    <row r="496" spans="19:19" x14ac:dyDescent="0.3">
      <c r="S496" s="156"/>
    </row>
    <row r="499" spans="19:19" x14ac:dyDescent="0.3">
      <c r="S499" s="156"/>
    </row>
    <row r="505" spans="19:19" x14ac:dyDescent="0.3">
      <c r="S505" s="156"/>
    </row>
    <row r="506" spans="19:19" x14ac:dyDescent="0.3">
      <c r="S506" s="156"/>
    </row>
    <row r="507" spans="19:19" x14ac:dyDescent="0.3">
      <c r="S507" s="156"/>
    </row>
    <row r="509" spans="19:19" x14ac:dyDescent="0.3">
      <c r="S509" s="156"/>
    </row>
    <row r="512" spans="19:19" x14ac:dyDescent="0.3">
      <c r="S512" s="156"/>
    </row>
    <row r="513" spans="19:19" x14ac:dyDescent="0.3">
      <c r="S513" s="156"/>
    </row>
    <row r="514" spans="19:19" x14ac:dyDescent="0.3">
      <c r="S514" s="156"/>
    </row>
    <row r="515" spans="19:19" x14ac:dyDescent="0.3">
      <c r="S515" s="156"/>
    </row>
    <row r="520" spans="19:19" x14ac:dyDescent="0.3">
      <c r="S520" s="156"/>
    </row>
    <row r="523" spans="19:19" x14ac:dyDescent="0.3">
      <c r="S523" s="156"/>
    </row>
    <row r="524" spans="19:19" x14ac:dyDescent="0.3">
      <c r="S524" s="156"/>
    </row>
    <row r="534" spans="19:19" x14ac:dyDescent="0.3">
      <c r="S534" s="156"/>
    </row>
    <row r="535" spans="19:19" x14ac:dyDescent="0.3">
      <c r="S535" s="156"/>
    </row>
    <row r="537" spans="19:19" x14ac:dyDescent="0.3">
      <c r="S537" s="156"/>
    </row>
    <row r="540" spans="19:19" x14ac:dyDescent="0.3">
      <c r="S540" s="156"/>
    </row>
    <row r="541" spans="19:19" x14ac:dyDescent="0.3">
      <c r="S541" s="156"/>
    </row>
    <row r="543" spans="19:19" x14ac:dyDescent="0.3">
      <c r="S543" s="156"/>
    </row>
    <row r="545" spans="19:19" x14ac:dyDescent="0.3">
      <c r="S545" s="156"/>
    </row>
    <row r="549" spans="19:19" x14ac:dyDescent="0.3">
      <c r="S549" s="156"/>
    </row>
    <row r="550" spans="19:19" x14ac:dyDescent="0.3">
      <c r="S550" s="156"/>
    </row>
    <row r="551" spans="19:19" x14ac:dyDescent="0.3">
      <c r="S551" s="156"/>
    </row>
    <row r="552" spans="19:19" x14ac:dyDescent="0.3">
      <c r="S552" s="156"/>
    </row>
    <row r="555" spans="19:19" x14ac:dyDescent="0.3">
      <c r="S555" s="156"/>
    </row>
    <row r="556" spans="19:19" x14ac:dyDescent="0.3">
      <c r="S556" s="156"/>
    </row>
    <row r="560" spans="19:19" x14ac:dyDescent="0.3">
      <c r="S560" s="156"/>
    </row>
    <row r="563" spans="19:19" x14ac:dyDescent="0.3">
      <c r="S563" s="156"/>
    </row>
    <row r="564" spans="19:19" x14ac:dyDescent="0.3">
      <c r="S564" s="156"/>
    </row>
    <row r="566" spans="19:19" x14ac:dyDescent="0.3">
      <c r="S566" s="156"/>
    </row>
    <row r="568" spans="19:19" x14ac:dyDescent="0.3">
      <c r="S568" s="156"/>
    </row>
    <row r="570" spans="19:19" x14ac:dyDescent="0.3">
      <c r="S570" s="156"/>
    </row>
    <row r="571" spans="19:19" x14ac:dyDescent="0.3">
      <c r="S571" s="156"/>
    </row>
    <row r="572" spans="19:19" x14ac:dyDescent="0.3">
      <c r="S572" s="156"/>
    </row>
    <row r="578" spans="19:19" x14ac:dyDescent="0.3">
      <c r="S578" s="156"/>
    </row>
    <row r="583" spans="19:19" x14ac:dyDescent="0.3">
      <c r="S583" s="156"/>
    </row>
    <row r="584" spans="19:19" x14ac:dyDescent="0.3">
      <c r="S584" s="156"/>
    </row>
    <row r="585" spans="19:19" x14ac:dyDescent="0.3">
      <c r="S585" s="156"/>
    </row>
    <row r="587" spans="19:19" x14ac:dyDescent="0.3">
      <c r="S587" s="156"/>
    </row>
    <row r="590" spans="19:19" x14ac:dyDescent="0.3">
      <c r="S590" s="156"/>
    </row>
    <row r="591" spans="19:19" x14ac:dyDescent="0.3">
      <c r="S591" s="156"/>
    </row>
    <row r="598" spans="19:19" x14ac:dyDescent="0.3">
      <c r="S598" s="156"/>
    </row>
    <row r="607" spans="19:19" x14ac:dyDescent="0.3">
      <c r="S607" s="156"/>
    </row>
    <row r="609" spans="19:19" x14ac:dyDescent="0.3">
      <c r="S609" s="156"/>
    </row>
    <row r="611" spans="19:19" x14ac:dyDescent="0.3">
      <c r="S611" s="156"/>
    </row>
    <row r="612" spans="19:19" x14ac:dyDescent="0.3">
      <c r="S612" s="156"/>
    </row>
    <row r="615" spans="19:19" x14ac:dyDescent="0.3">
      <c r="S615" s="156"/>
    </row>
    <row r="616" spans="19:19" x14ac:dyDescent="0.3">
      <c r="S616" s="156"/>
    </row>
    <row r="621" spans="19:19" x14ac:dyDescent="0.3">
      <c r="S621" s="156"/>
    </row>
    <row r="624" spans="19:19" x14ac:dyDescent="0.3">
      <c r="S624" s="156"/>
    </row>
    <row r="625" spans="19:19" x14ac:dyDescent="0.3">
      <c r="S625" s="156"/>
    </row>
    <row r="626" spans="19:19" x14ac:dyDescent="0.3">
      <c r="S626" s="156"/>
    </row>
    <row r="627" spans="19:19" x14ac:dyDescent="0.3">
      <c r="S627" s="156"/>
    </row>
    <row r="629" spans="19:19" x14ac:dyDescent="0.3">
      <c r="S629" s="156"/>
    </row>
    <row r="636" spans="19:19" x14ac:dyDescent="0.3">
      <c r="S636" s="156"/>
    </row>
    <row r="637" spans="19:19" x14ac:dyDescent="0.3">
      <c r="S637" s="156"/>
    </row>
    <row r="642" spans="19:19" x14ac:dyDescent="0.3">
      <c r="S642" s="156"/>
    </row>
    <row r="644" spans="19:19" x14ac:dyDescent="0.3">
      <c r="S644" s="156"/>
    </row>
    <row r="647" spans="19:19" x14ac:dyDescent="0.3">
      <c r="S647" s="156"/>
    </row>
    <row r="648" spans="19:19" x14ac:dyDescent="0.3">
      <c r="S648" s="156"/>
    </row>
    <row r="652" spans="19:19" x14ac:dyDescent="0.3">
      <c r="S652" s="156"/>
    </row>
    <row r="657" spans="19:19" x14ac:dyDescent="0.3">
      <c r="S657" s="156"/>
    </row>
    <row r="659" spans="19:19" x14ac:dyDescent="0.3">
      <c r="S659" s="156"/>
    </row>
    <row r="661" spans="19:19" x14ac:dyDescent="0.3">
      <c r="S661" s="156"/>
    </row>
    <row r="664" spans="19:19" x14ac:dyDescent="0.3">
      <c r="S664" s="156"/>
    </row>
    <row r="668" spans="19:19" x14ac:dyDescent="0.3">
      <c r="S668" s="156"/>
    </row>
    <row r="670" spans="19:19" x14ac:dyDescent="0.3">
      <c r="S670" s="156"/>
    </row>
    <row r="672" spans="19:19" x14ac:dyDescent="0.3">
      <c r="S672" s="156"/>
    </row>
    <row r="675" spans="19:19" x14ac:dyDescent="0.3">
      <c r="S675" s="156"/>
    </row>
    <row r="676" spans="19:19" x14ac:dyDescent="0.3">
      <c r="S676" s="156"/>
    </row>
    <row r="678" spans="19:19" x14ac:dyDescent="0.3">
      <c r="S678" s="156"/>
    </row>
    <row r="684" spans="19:19" x14ac:dyDescent="0.3">
      <c r="S684" s="156"/>
    </row>
    <row r="692" spans="19:19" x14ac:dyDescent="0.3">
      <c r="S692" s="156"/>
    </row>
    <row r="699" spans="19:19" x14ac:dyDescent="0.3">
      <c r="S699" s="156"/>
    </row>
    <row r="700" spans="19:19" x14ac:dyDescent="0.3">
      <c r="S700" s="156"/>
    </row>
    <row r="701" spans="19:19" x14ac:dyDescent="0.3">
      <c r="S701" s="156"/>
    </row>
    <row r="702" spans="19:19" x14ac:dyDescent="0.3">
      <c r="S702" s="156"/>
    </row>
    <row r="704" spans="19:19" x14ac:dyDescent="0.3">
      <c r="S704" s="156"/>
    </row>
    <row r="706" spans="19:19" x14ac:dyDescent="0.3">
      <c r="S706" s="156"/>
    </row>
    <row r="711" spans="19:19" x14ac:dyDescent="0.3">
      <c r="S711" s="156"/>
    </row>
    <row r="716" spans="19:19" x14ac:dyDescent="0.3">
      <c r="S716" s="156"/>
    </row>
    <row r="718" spans="19:19" x14ac:dyDescent="0.3">
      <c r="S718" s="156"/>
    </row>
    <row r="723" spans="19:19" x14ac:dyDescent="0.3">
      <c r="S723" s="156"/>
    </row>
    <row r="726" spans="19:19" x14ac:dyDescent="0.3">
      <c r="S726" s="156"/>
    </row>
    <row r="733" spans="19:19" x14ac:dyDescent="0.3">
      <c r="S733" s="156"/>
    </row>
    <row r="736" spans="19:19" x14ac:dyDescent="0.3">
      <c r="S736" s="156"/>
    </row>
    <row r="738" spans="19:19" x14ac:dyDescent="0.3">
      <c r="S738" s="156"/>
    </row>
    <row r="739" spans="19:19" x14ac:dyDescent="0.3">
      <c r="S739" s="156"/>
    </row>
    <row r="741" spans="19:19" x14ac:dyDescent="0.3">
      <c r="S741" s="156"/>
    </row>
    <row r="743" spans="19:19" x14ac:dyDescent="0.3">
      <c r="S743" s="156"/>
    </row>
    <row r="745" spans="19:19" x14ac:dyDescent="0.3">
      <c r="S745" s="156"/>
    </row>
    <row r="747" spans="19:19" x14ac:dyDescent="0.3">
      <c r="S747" s="156"/>
    </row>
    <row r="753" spans="19:19" x14ac:dyDescent="0.3">
      <c r="S753" s="156"/>
    </row>
    <row r="754" spans="19:19" x14ac:dyDescent="0.3">
      <c r="S754" s="156"/>
    </row>
    <row r="756" spans="19:19" x14ac:dyDescent="0.3">
      <c r="S756" s="156"/>
    </row>
    <row r="758" spans="19:19" x14ac:dyDescent="0.3">
      <c r="S758" s="156"/>
    </row>
    <row r="760" spans="19:19" x14ac:dyDescent="0.3">
      <c r="S760" s="156"/>
    </row>
    <row r="761" spans="19:19" x14ac:dyDescent="0.3">
      <c r="S761" s="156"/>
    </row>
    <row r="762" spans="19:19" x14ac:dyDescent="0.3">
      <c r="S762" s="156"/>
    </row>
    <row r="763" spans="19:19" x14ac:dyDescent="0.3">
      <c r="S763" s="156"/>
    </row>
    <row r="764" spans="19:19" x14ac:dyDescent="0.3">
      <c r="S764" s="156"/>
    </row>
    <row r="767" spans="19:19" x14ac:dyDescent="0.3">
      <c r="S767" s="156"/>
    </row>
    <row r="770" spans="19:19" x14ac:dyDescent="0.3">
      <c r="S770" s="156"/>
    </row>
    <row r="771" spans="19:19" x14ac:dyDescent="0.3">
      <c r="S771" s="156"/>
    </row>
    <row r="774" spans="19:19" x14ac:dyDescent="0.3">
      <c r="S774" s="156"/>
    </row>
    <row r="775" spans="19:19" x14ac:dyDescent="0.3">
      <c r="S775" s="156"/>
    </row>
    <row r="783" spans="19:19" x14ac:dyDescent="0.3">
      <c r="S783" s="156"/>
    </row>
    <row r="785" spans="19:19" x14ac:dyDescent="0.3">
      <c r="S785" s="156"/>
    </row>
    <row r="787" spans="19:19" x14ac:dyDescent="0.3">
      <c r="S787" s="156"/>
    </row>
    <row r="789" spans="19:19" x14ac:dyDescent="0.3">
      <c r="S789" s="156"/>
    </row>
    <row r="792" spans="19:19" x14ac:dyDescent="0.3">
      <c r="S792" s="156"/>
    </row>
    <row r="793" spans="19:19" x14ac:dyDescent="0.3">
      <c r="S793" s="156"/>
    </row>
    <row r="794" spans="19:19" x14ac:dyDescent="0.3">
      <c r="S794" s="156"/>
    </row>
    <row r="795" spans="19:19" x14ac:dyDescent="0.3">
      <c r="S795" s="156"/>
    </row>
    <row r="796" spans="19:19" x14ac:dyDescent="0.3">
      <c r="S796" s="156"/>
    </row>
    <row r="798" spans="19:19" x14ac:dyDescent="0.3">
      <c r="S798" s="156"/>
    </row>
    <row r="799" spans="19:19" x14ac:dyDescent="0.3">
      <c r="S799" s="156"/>
    </row>
    <row r="800" spans="19:19" x14ac:dyDescent="0.3">
      <c r="S800" s="156"/>
    </row>
    <row r="805" spans="19:19" x14ac:dyDescent="0.3">
      <c r="S805" s="156"/>
    </row>
    <row r="808" spans="19:19" x14ac:dyDescent="0.3">
      <c r="S808" s="156"/>
    </row>
    <row r="809" spans="19:19" x14ac:dyDescent="0.3">
      <c r="S809" s="156"/>
    </row>
    <row r="810" spans="19:19" x14ac:dyDescent="0.3">
      <c r="S810" s="156"/>
    </row>
    <row r="811" spans="19:19" x14ac:dyDescent="0.3">
      <c r="S811" s="156"/>
    </row>
    <row r="812" spans="19:19" x14ac:dyDescent="0.3">
      <c r="S812" s="156"/>
    </row>
    <row r="814" spans="19:19" x14ac:dyDescent="0.3">
      <c r="S814" s="156"/>
    </row>
    <row r="816" spans="19:19" x14ac:dyDescent="0.3">
      <c r="S816" s="156"/>
    </row>
    <row r="819" spans="19:19" x14ac:dyDescent="0.3">
      <c r="S819" s="156"/>
    </row>
    <row r="821" spans="19:19" x14ac:dyDescent="0.3">
      <c r="S821" s="156"/>
    </row>
    <row r="823" spans="19:19" x14ac:dyDescent="0.3">
      <c r="S823" s="156"/>
    </row>
    <row r="832" spans="19:19" x14ac:dyDescent="0.3">
      <c r="S832" s="156"/>
    </row>
    <row r="833" spans="19:19" x14ac:dyDescent="0.3">
      <c r="S833" s="156"/>
    </row>
    <row r="835" spans="19:19" x14ac:dyDescent="0.3">
      <c r="S835" s="156"/>
    </row>
    <row r="837" spans="19:19" x14ac:dyDescent="0.3">
      <c r="S837" s="156"/>
    </row>
    <row r="839" spans="19:19" x14ac:dyDescent="0.3">
      <c r="S839" s="156"/>
    </row>
    <row r="846" spans="19:19" x14ac:dyDescent="0.3">
      <c r="S846" s="156"/>
    </row>
    <row r="848" spans="19:19" x14ac:dyDescent="0.3">
      <c r="S848" s="156"/>
    </row>
    <row r="850" spans="19:19" x14ac:dyDescent="0.3">
      <c r="S850" s="156"/>
    </row>
    <row r="853" spans="19:19" x14ac:dyDescent="0.3">
      <c r="S853" s="156"/>
    </row>
    <row r="854" spans="19:19" x14ac:dyDescent="0.3">
      <c r="S854" s="156"/>
    </row>
    <row r="865" spans="19:19" x14ac:dyDescent="0.3">
      <c r="S865" s="156"/>
    </row>
    <row r="879" spans="19:19" x14ac:dyDescent="0.3">
      <c r="S879" s="156"/>
    </row>
    <row r="885" spans="19:19" x14ac:dyDescent="0.3">
      <c r="S885" s="156"/>
    </row>
    <row r="886" spans="19:19" x14ac:dyDescent="0.3">
      <c r="S886" s="156"/>
    </row>
    <row r="887" spans="19:19" x14ac:dyDescent="0.3">
      <c r="S887" s="156"/>
    </row>
    <row r="888" spans="19:19" x14ac:dyDescent="0.3">
      <c r="S888" s="156"/>
    </row>
    <row r="890" spans="19:19" x14ac:dyDescent="0.3">
      <c r="S890" s="156"/>
    </row>
    <row r="891" spans="19:19" x14ac:dyDescent="0.3">
      <c r="S891" s="156"/>
    </row>
    <row r="893" spans="19:19" x14ac:dyDescent="0.3">
      <c r="S893" s="156"/>
    </row>
    <row r="894" spans="19:19" x14ac:dyDescent="0.3">
      <c r="S894" s="156"/>
    </row>
    <row r="896" spans="19:19" x14ac:dyDescent="0.3">
      <c r="S896" s="156"/>
    </row>
    <row r="897" spans="19:19" x14ac:dyDescent="0.3">
      <c r="S897" s="156"/>
    </row>
    <row r="901" spans="19:19" x14ac:dyDescent="0.3">
      <c r="S901" s="156"/>
    </row>
    <row r="907" spans="19:19" x14ac:dyDescent="0.3">
      <c r="S907" s="156"/>
    </row>
    <row r="908" spans="19:19" x14ac:dyDescent="0.3">
      <c r="S908" s="156"/>
    </row>
    <row r="909" spans="19:19" x14ac:dyDescent="0.3">
      <c r="S909" s="156"/>
    </row>
    <row r="921" spans="19:19" x14ac:dyDescent="0.3">
      <c r="S921" s="156"/>
    </row>
    <row r="924" spans="19:19" x14ac:dyDescent="0.3">
      <c r="S924" s="156"/>
    </row>
    <row r="928" spans="19:19" x14ac:dyDescent="0.3">
      <c r="S928" s="156"/>
    </row>
    <row r="930" spans="19:19" x14ac:dyDescent="0.3">
      <c r="S930" s="156"/>
    </row>
    <row r="933" spans="19:19" x14ac:dyDescent="0.3">
      <c r="S933" s="156"/>
    </row>
    <row r="939" spans="19:19" x14ac:dyDescent="0.3">
      <c r="S939" s="156"/>
    </row>
    <row r="940" spans="19:19" x14ac:dyDescent="0.3">
      <c r="S940" s="156"/>
    </row>
    <row r="941" spans="19:19" x14ac:dyDescent="0.3">
      <c r="S941" s="156"/>
    </row>
    <row r="945" spans="19:19" x14ac:dyDescent="0.3">
      <c r="S945" s="156"/>
    </row>
    <row r="946" spans="19:19" x14ac:dyDescent="0.3">
      <c r="S946" s="156"/>
    </row>
    <row r="948" spans="19:19" x14ac:dyDescent="0.3">
      <c r="S948" s="156"/>
    </row>
    <row r="949" spans="19:19" x14ac:dyDescent="0.3">
      <c r="S949" s="156"/>
    </row>
    <row r="951" spans="19:19" x14ac:dyDescent="0.3">
      <c r="S951" s="156"/>
    </row>
    <row r="953" spans="19:19" x14ac:dyDescent="0.3">
      <c r="S953" s="156"/>
    </row>
    <row r="954" spans="19:19" x14ac:dyDescent="0.3">
      <c r="S954" s="156"/>
    </row>
    <row r="955" spans="19:19" x14ac:dyDescent="0.3">
      <c r="S955" s="156"/>
    </row>
    <row r="956" spans="19:19" x14ac:dyDescent="0.3">
      <c r="S956" s="156"/>
    </row>
    <row r="959" spans="19:19" x14ac:dyDescent="0.3">
      <c r="S959" s="156"/>
    </row>
    <row r="966" spans="19:19" x14ac:dyDescent="0.3">
      <c r="S966" s="156"/>
    </row>
    <row r="967" spans="19:19" x14ac:dyDescent="0.3">
      <c r="S967" s="156"/>
    </row>
    <row r="972" spans="19:19" x14ac:dyDescent="0.3">
      <c r="S972" s="156"/>
    </row>
    <row r="974" spans="19:19" x14ac:dyDescent="0.3">
      <c r="S974" s="156"/>
    </row>
    <row r="977" spans="19:19" x14ac:dyDescent="0.3">
      <c r="S977" s="156"/>
    </row>
    <row r="980" spans="19:19" x14ac:dyDescent="0.3">
      <c r="S980" s="156"/>
    </row>
    <row r="981" spans="19:19" x14ac:dyDescent="0.3">
      <c r="S981" s="156"/>
    </row>
    <row r="982" spans="19:19" x14ac:dyDescent="0.3">
      <c r="S982" s="156"/>
    </row>
    <row r="983" spans="19:19" x14ac:dyDescent="0.3">
      <c r="S983" s="156"/>
    </row>
    <row r="984" spans="19:19" x14ac:dyDescent="0.3">
      <c r="S984" s="156"/>
    </row>
    <row r="985" spans="19:19" x14ac:dyDescent="0.3">
      <c r="S985" s="156"/>
    </row>
    <row r="992" spans="19:19" x14ac:dyDescent="0.3">
      <c r="S992" s="156"/>
    </row>
    <row r="994" spans="19:19" x14ac:dyDescent="0.3">
      <c r="S994" s="156"/>
    </row>
    <row r="996" spans="19:19" x14ac:dyDescent="0.3">
      <c r="S996" s="156"/>
    </row>
    <row r="998" spans="19:19" x14ac:dyDescent="0.3">
      <c r="S998" s="156"/>
    </row>
    <row r="1001" spans="19:19" x14ac:dyDescent="0.3">
      <c r="S1001" s="156"/>
    </row>
  </sheetData>
  <mergeCells count="12">
    <mergeCell ref="L15:M15"/>
    <mergeCell ref="B2:P2"/>
    <mergeCell ref="N4:O4"/>
    <mergeCell ref="N5:N7"/>
    <mergeCell ref="O6:O7"/>
    <mergeCell ref="P6:P7"/>
    <mergeCell ref="L9:P9"/>
    <mergeCell ref="L10:O10"/>
    <mergeCell ref="L11:M11"/>
    <mergeCell ref="L12:N12"/>
    <mergeCell ref="L13:M13"/>
    <mergeCell ref="L14:N14"/>
  </mergeCells>
  <dataValidations count="2">
    <dataValidation type="list" allowBlank="1" showInputMessage="1" showErrorMessage="1" sqref="L6" xr:uid="{BA457DA4-947E-4856-8FC6-F6E25B801074}">
      <formula1>$M$4:$M$7</formula1>
    </dataValidation>
    <dataValidation type="list" allowBlank="1" showInputMessage="1" showErrorMessage="1" sqref="D5:D6" xr:uid="{663DB2A6-6D30-4290-8610-4F9AFB7165D0}">
      <formula1>"Skewed, Normal"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MCAu">
                <anchor moveWithCells="1" sizeWithCells="1">
                  <from>
                    <xdr:col>14</xdr:col>
                    <xdr:colOff>30480</xdr:colOff>
                    <xdr:row>5</xdr:row>
                    <xdr:rowOff>7620</xdr:rowOff>
                  </from>
                  <to>
                    <xdr:col>14</xdr:col>
                    <xdr:colOff>861060</xdr:colOff>
                    <xdr:row>6</xdr:row>
                    <xdr:rowOff>198120</xdr:rowOff>
                  </to>
                </anchor>
              </controlPr>
            </control>
          </mc:Choice>
        </mc:AlternateContent>
        <mc:AlternateContent xmlns:mc="http://schemas.openxmlformats.org/markup-compatibility/2006">
          <mc:Choice Requires="x14">
            <control shapeId="286722" r:id="rId5" name="Button 2">
              <controlPr defaultSize="0" print="0" autoFill="0" autoPict="0" macro="[0]!MCAd">
                <anchor moveWithCells="1" sizeWithCells="1">
                  <from>
                    <xdr:col>15</xdr:col>
                    <xdr:colOff>22860</xdr:colOff>
                    <xdr:row>5</xdr:row>
                    <xdr:rowOff>22860</xdr:rowOff>
                  </from>
                  <to>
                    <xdr:col>15</xdr:col>
                    <xdr:colOff>868680</xdr:colOff>
                    <xdr:row>6</xdr:row>
                    <xdr:rowOff>198120</xdr:rowOff>
                  </to>
                </anchor>
              </controlPr>
            </control>
          </mc:Choice>
        </mc:AlternateContent>
        <mc:AlternateContent xmlns:mc="http://schemas.openxmlformats.org/markup-compatibility/2006">
          <mc:Choice Requires="x14">
            <control shapeId="286723" r:id="rId6" name="Button 3">
              <controlPr defaultSize="0" print="0" autoFill="0" autoPict="0" macro="[0]!Plant">
                <anchor moveWithCells="1" sizeWithCells="1">
                  <from>
                    <xdr:col>15</xdr:col>
                    <xdr:colOff>22860</xdr:colOff>
                    <xdr:row>3</xdr:row>
                    <xdr:rowOff>7620</xdr:rowOff>
                  </from>
                  <to>
                    <xdr:col>15</xdr:col>
                    <xdr:colOff>868680</xdr:colOff>
                    <xdr:row>3</xdr:row>
                    <xdr:rowOff>213360</xdr:rowOff>
                  </to>
                </anchor>
              </controlPr>
            </control>
          </mc:Choice>
        </mc:AlternateContent>
        <mc:AlternateContent xmlns:mc="http://schemas.openxmlformats.org/markup-compatibility/2006">
          <mc:Choice Requires="x14">
            <control shapeId="286724" r:id="rId7" name="Button 4">
              <controlPr defaultSize="0" print="0" autoFill="0" autoPict="0" macro="[0]!_xludf.Exp">
                <anchor moveWithCells="1" sizeWithCells="1">
                  <from>
                    <xdr:col>11</xdr:col>
                    <xdr:colOff>7620</xdr:colOff>
                    <xdr:row>4</xdr:row>
                    <xdr:rowOff>22860</xdr:rowOff>
                  </from>
                  <to>
                    <xdr:col>11</xdr:col>
                    <xdr:colOff>899160</xdr:colOff>
                    <xdr:row>4</xdr:row>
                    <xdr:rowOff>213360</xdr:rowOff>
                  </to>
                </anchor>
              </controlPr>
            </control>
          </mc:Choice>
        </mc:AlternateContent>
        <mc:AlternateContent xmlns:mc="http://schemas.openxmlformats.org/markup-compatibility/2006">
          <mc:Choice Requires="x14">
            <control shapeId="286725" r:id="rId8" name="Button 5">
              <controlPr defaultSize="0" print="0" autoFill="0" autoPict="0" macro="[0]!_xludf.Run">
                <anchor moveWithCells="1" sizeWithCells="1">
                  <from>
                    <xdr:col>11</xdr:col>
                    <xdr:colOff>22860</xdr:colOff>
                    <xdr:row>6</xdr:row>
                    <xdr:rowOff>7620</xdr:rowOff>
                  </from>
                  <to>
                    <xdr:col>11</xdr:col>
                    <xdr:colOff>899160</xdr:colOff>
                    <xdr:row>6</xdr:row>
                    <xdr:rowOff>213360</xdr:rowOff>
                  </to>
                </anchor>
              </controlPr>
            </control>
          </mc:Choice>
        </mc:AlternateContent>
        <mc:AlternateContent xmlns:mc="http://schemas.openxmlformats.org/markup-compatibility/2006">
          <mc:Choice Requires="x14">
            <control shapeId="286726" r:id="rId9" name="Button 6">
              <controlPr defaultSize="0" print="0" autoFill="0" autoPict="0" macro="[0]!_xludf.Sort">
                <anchor moveWithCells="1" sizeWithCells="1">
                  <from>
                    <xdr:col>10</xdr:col>
                    <xdr:colOff>7620</xdr:colOff>
                    <xdr:row>10</xdr:row>
                    <xdr:rowOff>22860</xdr:rowOff>
                  </from>
                  <to>
                    <xdr:col>10</xdr:col>
                    <xdr:colOff>906780</xdr:colOff>
                    <xdr:row>10</xdr:row>
                    <xdr:rowOff>213360</xdr:rowOff>
                  </to>
                </anchor>
              </controlPr>
            </control>
          </mc:Choice>
        </mc:AlternateContent>
        <mc:AlternateContent xmlns:mc="http://schemas.openxmlformats.org/markup-compatibility/2006">
          <mc:Choice Requires="x14">
            <control shapeId="286727" r:id="rId10" name="Button 7">
              <controlPr defaultSize="0" print="0" autoFill="0" autoPict="0" macro="[0]!Plot">
                <anchor moveWithCells="1" sizeWithCells="1">
                  <from>
                    <xdr:col>10</xdr:col>
                    <xdr:colOff>7620</xdr:colOff>
                    <xdr:row>12</xdr:row>
                    <xdr:rowOff>7620</xdr:rowOff>
                  </from>
                  <to>
                    <xdr:col>10</xdr:col>
                    <xdr:colOff>906780</xdr:colOff>
                    <xdr:row>12</xdr:row>
                    <xdr:rowOff>213360</xdr:rowOff>
                  </to>
                </anchor>
              </controlPr>
            </control>
          </mc:Choice>
        </mc:AlternateContent>
        <mc:AlternateContent xmlns:mc="http://schemas.openxmlformats.org/markup-compatibility/2006">
          <mc:Choice Requires="x14">
            <control shapeId="286728" r:id="rId11" name="Button 8">
              <controlPr defaultSize="0" print="0" autoFill="0" autoPict="0" macro="[0]!Reset">
                <anchor moveWithCells="1" sizeWithCells="1">
                  <from>
                    <xdr:col>10</xdr:col>
                    <xdr:colOff>7620</xdr:colOff>
                    <xdr:row>14</xdr:row>
                    <xdr:rowOff>7620</xdr:rowOff>
                  </from>
                  <to>
                    <xdr:col>10</xdr:col>
                    <xdr:colOff>906780</xdr:colOff>
                    <xdr:row>14</xdr:row>
                    <xdr:rowOff>213360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96"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745" t="str">
        <f>+'Plant Overview'!E6&amp;": Input to SSM"</f>
        <v>Plant A: Input to SSM</v>
      </c>
      <c r="C2" s="746"/>
      <c r="D2" s="746"/>
      <c r="E2" s="746"/>
      <c r="F2" s="746"/>
      <c r="G2" s="746"/>
      <c r="H2" s="746"/>
      <c r="I2" s="746"/>
      <c r="J2" s="746"/>
      <c r="K2" s="747"/>
    </row>
    <row r="4" spans="2:14" ht="17.399999999999999" customHeight="1" x14ac:dyDescent="0.3">
      <c r="B4" s="600" t="s">
        <v>461</v>
      </c>
      <c r="C4" s="601" t="s">
        <v>666</v>
      </c>
      <c r="D4" s="602" t="s">
        <v>235</v>
      </c>
      <c r="F4" s="885" t="str">
        <f>+'Plant Overview'!D5</f>
        <v>Cost Estimate Details</v>
      </c>
      <c r="G4" s="886"/>
      <c r="I4" s="870" t="s">
        <v>495</v>
      </c>
      <c r="J4" s="871"/>
      <c r="K4" s="603"/>
    </row>
    <row r="5" spans="2:14" ht="17.399999999999999" customHeight="1" x14ac:dyDescent="0.3">
      <c r="C5" s="604"/>
      <c r="F5" s="99" t="str">
        <f>+'Plant Overview'!D7</f>
        <v>Location</v>
      </c>
      <c r="G5" s="177" t="str">
        <f>+'Plant Overview'!E7</f>
        <v>Western Europe</v>
      </c>
      <c r="I5" s="605"/>
      <c r="J5" s="205"/>
      <c r="K5" s="205"/>
    </row>
    <row r="6" spans="2:14" ht="17.399999999999999" customHeight="1" x14ac:dyDescent="0.3">
      <c r="F6" s="99" t="str">
        <f>+'Plant Overview'!D8</f>
        <v>Year</v>
      </c>
      <c r="G6" s="99">
        <f>+'Plant Overview'!E8</f>
        <v>2020</v>
      </c>
      <c r="I6" s="872" t="s">
        <v>759</v>
      </c>
      <c r="J6" s="222" t="s">
        <v>577</v>
      </c>
      <c r="K6" s="223" t="s">
        <v>578</v>
      </c>
      <c r="N6" s="884"/>
    </row>
    <row r="7" spans="2:14" ht="17.399999999999999" customHeight="1" x14ac:dyDescent="0.3">
      <c r="F7" s="170" t="str">
        <f>+'Plant Overview'!D9</f>
        <v xml:space="preserve"> Currency</v>
      </c>
      <c r="G7" s="170" t="str">
        <f>+'Plant Overview'!E9</f>
        <v>€</v>
      </c>
      <c r="I7" s="874"/>
      <c r="J7" s="86"/>
      <c r="K7" s="86"/>
      <c r="N7" s="884"/>
    </row>
    <row r="8" spans="2:14" ht="17.399999999999999" customHeight="1" x14ac:dyDescent="0.3">
      <c r="I8" s="362"/>
    </row>
    <row r="9" spans="2:14" ht="17.399999999999999" customHeight="1" x14ac:dyDescent="0.3">
      <c r="F9" s="677" t="s">
        <v>579</v>
      </c>
      <c r="G9" s="678"/>
      <c r="H9" s="678"/>
      <c r="I9" s="678"/>
      <c r="J9" s="678"/>
      <c r="K9" s="679"/>
    </row>
    <row r="10" spans="2:14" ht="17.399999999999999" customHeight="1" x14ac:dyDescent="0.3">
      <c r="F10" s="680"/>
      <c r="G10" s="732"/>
      <c r="H10" s="732"/>
      <c r="I10" s="732"/>
      <c r="J10" s="732"/>
      <c r="K10" s="733"/>
    </row>
    <row r="11" spans="2:14" ht="17.399999999999999" customHeight="1" x14ac:dyDescent="0.3">
      <c r="F11" s="734"/>
      <c r="G11" s="735"/>
      <c r="H11" s="735"/>
      <c r="I11" s="735"/>
      <c r="J11" s="735"/>
      <c r="K11" s="736"/>
    </row>
    <row r="12" spans="2:14" ht="17.399999999999999" customHeight="1" x14ac:dyDescent="0.3">
      <c r="F12" s="737"/>
      <c r="G12" s="738"/>
      <c r="H12" s="738"/>
      <c r="I12" s="738"/>
      <c r="J12" s="738"/>
      <c r="K12" s="739"/>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U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21" ht="19.95" customHeight="1" x14ac:dyDescent="0.3"/>
    <row r="2" spans="2:21" ht="19.95" customHeight="1" x14ac:dyDescent="0.3">
      <c r="B2" s="178" t="s">
        <v>648</v>
      </c>
      <c r="C2" s="178"/>
      <c r="D2" s="178"/>
      <c r="E2" s="178"/>
      <c r="F2" s="178"/>
      <c r="G2" s="178"/>
      <c r="H2" s="178"/>
      <c r="I2" s="178"/>
      <c r="J2" s="178"/>
      <c r="K2" s="178"/>
      <c r="L2" s="180"/>
      <c r="M2" s="180"/>
      <c r="O2" s="754" t="s">
        <v>499</v>
      </c>
      <c r="P2" s="887"/>
      <c r="Q2" s="887"/>
      <c r="R2" s="755"/>
      <c r="T2" s="754" t="s">
        <v>267</v>
      </c>
      <c r="U2" s="755"/>
    </row>
    <row r="3" spans="2:21" ht="19.95" customHeight="1" x14ac:dyDescent="0.3">
      <c r="B3" s="888" t="s">
        <v>695</v>
      </c>
      <c r="C3" s="888"/>
      <c r="D3" s="888"/>
      <c r="E3" s="889"/>
      <c r="F3" s="889"/>
      <c r="G3" s="889"/>
      <c r="H3" s="889"/>
      <c r="I3" s="889"/>
      <c r="J3" s="889"/>
      <c r="K3" s="178"/>
      <c r="L3" s="865" t="s">
        <v>653</v>
      </c>
      <c r="M3" s="866"/>
      <c r="N3" s="178"/>
      <c r="O3" s="271"/>
      <c r="P3" s="148"/>
      <c r="Q3" s="185" t="s">
        <v>469</v>
      </c>
      <c r="R3" s="186" t="s">
        <v>503</v>
      </c>
      <c r="T3" s="85"/>
      <c r="U3" s="319" t="s">
        <v>262</v>
      </c>
    </row>
    <row r="4" spans="2:21" ht="19.95" customHeight="1" x14ac:dyDescent="0.3">
      <c r="B4" s="347" t="s">
        <v>495</v>
      </c>
      <c r="C4" s="428" t="s">
        <v>694</v>
      </c>
      <c r="D4" s="470"/>
      <c r="E4" s="378"/>
      <c r="F4" s="351"/>
      <c r="G4" s="351"/>
      <c r="H4" s="351"/>
      <c r="I4" s="351"/>
      <c r="J4" s="352"/>
      <c r="K4" s="335"/>
      <c r="L4" s="349" t="s">
        <v>577</v>
      </c>
      <c r="M4" s="348"/>
      <c r="N4" s="335"/>
      <c r="O4" s="268"/>
      <c r="P4" s="97"/>
      <c r="Q4" s="166" t="s">
        <v>470</v>
      </c>
      <c r="R4" s="86" t="s">
        <v>504</v>
      </c>
      <c r="T4" s="179"/>
      <c r="U4" s="319" t="s">
        <v>263</v>
      </c>
    </row>
    <row r="5" spans="2:21" ht="19.95" customHeight="1" x14ac:dyDescent="0.3">
      <c r="B5" s="796"/>
      <c r="C5" s="421" t="s">
        <v>359</v>
      </c>
      <c r="D5" s="470"/>
      <c r="E5" s="379"/>
      <c r="F5" s="340"/>
      <c r="G5" s="340"/>
      <c r="H5" s="340"/>
      <c r="I5" s="340"/>
      <c r="J5" s="353"/>
      <c r="K5" s="335"/>
      <c r="L5" s="350" t="s">
        <v>578</v>
      </c>
      <c r="M5" s="348"/>
      <c r="N5" s="335"/>
      <c r="O5" s="268"/>
      <c r="P5" s="97"/>
      <c r="Q5" s="185" t="s">
        <v>464</v>
      </c>
      <c r="R5" s="186" t="s">
        <v>502</v>
      </c>
      <c r="T5" s="94"/>
      <c r="U5" s="98" t="s">
        <v>264</v>
      </c>
    </row>
    <row r="6" spans="2:21" ht="19.95" customHeight="1" x14ac:dyDescent="0.3">
      <c r="B6" s="890"/>
      <c r="C6" s="428" t="s">
        <v>588</v>
      </c>
      <c r="D6" s="470"/>
      <c r="E6" s="379"/>
      <c r="F6" s="340"/>
      <c r="G6" s="340"/>
      <c r="H6" s="340"/>
      <c r="I6" s="340"/>
      <c r="J6" s="353"/>
      <c r="K6" s="335"/>
      <c r="L6" s="335"/>
      <c r="M6" s="335"/>
      <c r="N6" s="335"/>
      <c r="O6" s="268"/>
      <c r="P6" s="97"/>
      <c r="Q6" s="185" t="s">
        <v>465</v>
      </c>
      <c r="R6" s="186" t="s">
        <v>500</v>
      </c>
      <c r="T6" s="108"/>
      <c r="U6" s="305" t="s">
        <v>268</v>
      </c>
    </row>
    <row r="7" spans="2:21" ht="19.95" customHeight="1" x14ac:dyDescent="0.3">
      <c r="B7" s="797"/>
      <c r="C7" s="469" t="s">
        <v>312</v>
      </c>
      <c r="D7" s="470"/>
      <c r="E7" s="380"/>
      <c r="F7" s="354"/>
      <c r="G7" s="354"/>
      <c r="H7" s="354"/>
      <c r="I7" s="354"/>
      <c r="J7" s="355"/>
      <c r="K7" s="335"/>
      <c r="L7" s="335"/>
      <c r="M7" s="335"/>
      <c r="N7" s="335"/>
      <c r="O7" s="269"/>
      <c r="P7" s="98"/>
      <c r="Q7" s="185" t="s">
        <v>466</v>
      </c>
      <c r="R7" s="186" t="s">
        <v>501</v>
      </c>
    </row>
    <row r="8" spans="2:21" ht="19.95" customHeight="1" x14ac:dyDescent="0.3">
      <c r="B8" s="171">
        <v>1</v>
      </c>
      <c r="S8" s="337"/>
      <c r="T8" s="336"/>
    </row>
    <row r="9" spans="2:21" ht="19.95" customHeight="1" x14ac:dyDescent="0.3">
      <c r="B9" s="166" t="s">
        <v>652</v>
      </c>
      <c r="C9" s="754"/>
      <c r="D9" s="887"/>
      <c r="E9" s="887"/>
      <c r="F9" s="887"/>
      <c r="G9" s="887"/>
      <c r="H9" s="887"/>
      <c r="I9" s="887"/>
      <c r="J9" s="887"/>
      <c r="K9" s="887"/>
      <c r="L9" s="887"/>
      <c r="M9" s="887"/>
      <c r="N9" s="887"/>
      <c r="O9" s="887"/>
      <c r="P9" s="887"/>
      <c r="Q9" s="887"/>
      <c r="R9" s="887"/>
      <c r="S9" s="887"/>
      <c r="T9" s="887"/>
      <c r="U9" s="755"/>
    </row>
    <row r="10" spans="2:21" ht="19.95" customHeight="1" x14ac:dyDescent="0.3">
      <c r="B10" s="751" t="s">
        <v>691</v>
      </c>
      <c r="C10" s="752"/>
      <c r="D10" s="752"/>
      <c r="E10" s="752"/>
      <c r="F10" s="752"/>
      <c r="G10" s="752"/>
      <c r="H10" s="752"/>
      <c r="I10" s="753"/>
      <c r="J10" s="751" t="s">
        <v>692</v>
      </c>
      <c r="K10" s="752"/>
      <c r="L10" s="752"/>
      <c r="M10" s="752"/>
      <c r="N10" s="752"/>
      <c r="O10" s="752"/>
      <c r="P10" s="752"/>
      <c r="Q10" s="752"/>
      <c r="R10" s="753"/>
      <c r="S10" s="751" t="s">
        <v>643</v>
      </c>
      <c r="T10" s="752"/>
      <c r="U10" s="753"/>
    </row>
    <row r="11" spans="2:21" ht="19.95" customHeight="1" x14ac:dyDescent="0.3">
      <c r="B11" s="428" t="s">
        <v>356</v>
      </c>
      <c r="C11" s="407" t="s">
        <v>645</v>
      </c>
      <c r="D11" s="428" t="s">
        <v>497</v>
      </c>
      <c r="E11" s="433" t="s">
        <v>463</v>
      </c>
      <c r="F11" s="433" t="s">
        <v>315</v>
      </c>
      <c r="G11" s="433" t="s">
        <v>508</v>
      </c>
      <c r="H11" s="428" t="s">
        <v>505</v>
      </c>
      <c r="I11" s="420" t="s">
        <v>235</v>
      </c>
      <c r="J11" s="419" t="s">
        <v>465</v>
      </c>
      <c r="K11" s="419" t="s">
        <v>466</v>
      </c>
      <c r="L11" s="426" t="s">
        <v>585</v>
      </c>
      <c r="M11" s="427" t="s">
        <v>468</v>
      </c>
      <c r="N11" s="423" t="s">
        <v>467</v>
      </c>
      <c r="O11" s="503" t="s">
        <v>649</v>
      </c>
      <c r="P11" s="503" t="s">
        <v>650</v>
      </c>
      <c r="Q11" s="427" t="s">
        <v>464</v>
      </c>
      <c r="R11" s="424" t="s">
        <v>638</v>
      </c>
      <c r="S11" s="503" t="s">
        <v>646</v>
      </c>
      <c r="T11" s="428" t="s">
        <v>359</v>
      </c>
      <c r="U11" s="468" t="s">
        <v>579</v>
      </c>
    </row>
    <row r="12" spans="2:21" ht="19.95" customHeight="1" x14ac:dyDescent="0.3">
      <c r="B12" s="271"/>
      <c r="C12" s="272"/>
      <c r="D12" s="272"/>
      <c r="E12" s="272"/>
      <c r="F12" s="272"/>
      <c r="G12" s="272"/>
      <c r="H12" s="272"/>
      <c r="I12" s="272"/>
      <c r="J12" s="271"/>
      <c r="K12" s="272"/>
      <c r="L12" s="272"/>
      <c r="M12" s="190"/>
      <c r="N12" s="190"/>
      <c r="O12" s="190"/>
      <c r="P12" s="190"/>
      <c r="Q12" s="272"/>
      <c r="R12" s="172" t="str" cm="1">
        <f t="array" aca="1" ref="R12" ca="1">+IF(N12&gt;0,N12*INDIRECT(ADDRESS(MATCH(F12,'Cost Conversion'!$B$3:$B$48,0)+2,4,1,1,"Cost conversion"))*INDIRECT(ADDRESS(MATCH(G12,'Cost Conversion'!$F$3:$F$22,0)+2,8,1,1,"Cost conversion"))/IF(E12="$",'Cost Conversion'!$L$2,1),"")</f>
        <v/>
      </c>
      <c r="S12" s="334"/>
      <c r="T12" s="276"/>
      <c r="U12" s="113"/>
    </row>
    <row r="13" spans="2:21" ht="19.95" customHeight="1" x14ac:dyDescent="0.3">
      <c r="B13" s="268"/>
      <c r="C13" s="96"/>
      <c r="D13" s="96"/>
      <c r="E13" s="96"/>
      <c r="F13" s="96"/>
      <c r="G13" s="96"/>
      <c r="H13" s="96"/>
      <c r="I13" s="96"/>
      <c r="J13" s="268"/>
      <c r="K13" s="96"/>
      <c r="L13" s="96"/>
      <c r="M13" s="156"/>
      <c r="N13" s="156"/>
      <c r="O13" s="96"/>
      <c r="P13" s="96"/>
      <c r="Q13" s="96"/>
      <c r="R13" s="172" t="str" cm="1">
        <f t="array" aca="1" ref="R13" ca="1">+IF(N13&gt;0,N13*INDIRECT(ADDRESS(MATCH(F13,'Cost Conversion'!$B$3:$B$48,0)+2,4,1,1,"Cost conversion"))*INDIRECT(ADDRESS(MATCH(G13,'Cost Conversion'!$F$3:$F$22,0)+2,8,1,1,"Cost conversion"))/IF(E13="$",'Cost Conversion'!$L$2,1),"")</f>
        <v/>
      </c>
      <c r="S13" s="268"/>
      <c r="U13" s="84"/>
    </row>
    <row r="14" spans="2:21" ht="19.95" customHeight="1" x14ac:dyDescent="0.3">
      <c r="B14" s="268"/>
      <c r="C14" s="96"/>
      <c r="D14" s="96"/>
      <c r="E14" s="96"/>
      <c r="F14" s="96"/>
      <c r="G14" s="96"/>
      <c r="H14" s="96"/>
      <c r="I14" s="96"/>
      <c r="J14" s="268"/>
      <c r="K14" s="96"/>
      <c r="L14" s="96"/>
      <c r="M14" s="156"/>
      <c r="N14" s="156"/>
      <c r="O14" s="156"/>
      <c r="P14" s="156"/>
      <c r="Q14" s="96"/>
      <c r="R14" s="172" t="str" cm="1">
        <f t="array" aca="1" ref="R14" ca="1">+IF(N14&gt;0,N14*INDIRECT(ADDRESS(MATCH(F14,'Cost Conversion'!$B$3:$B$48,0)+2,4,1,1,"Cost conversion"))*INDIRECT(ADDRESS(MATCH(G14,'Cost Conversion'!$F$3:$F$22,0)+2,8,1,1,"Cost conversion"))/IF(E14="$",'Cost Conversion'!$L$2,1),"")</f>
        <v/>
      </c>
      <c r="S14" s="268"/>
      <c r="U14" s="84"/>
    </row>
    <row r="15" spans="2:21" ht="19.95" customHeight="1" x14ac:dyDescent="0.3">
      <c r="B15" s="268"/>
      <c r="C15" s="96"/>
      <c r="D15" s="96"/>
      <c r="E15" s="96"/>
      <c r="F15" s="96"/>
      <c r="G15" s="96"/>
      <c r="H15" s="96"/>
      <c r="I15" s="338"/>
      <c r="J15" s="268"/>
      <c r="K15" s="96"/>
      <c r="L15" s="96"/>
      <c r="M15" s="156"/>
      <c r="N15" s="96"/>
      <c r="O15" s="96"/>
      <c r="P15" s="96"/>
      <c r="Q15" s="96"/>
      <c r="R15" s="172" t="str" cm="1">
        <f t="array" aca="1" ref="R15" ca="1">+IF(N15&gt;0,N15*INDIRECT(ADDRESS(MATCH(F15,'Cost Conversion'!$B$3:$B$48,0)+2,4,1,1,"Cost conversion"))*INDIRECT(ADDRESS(MATCH(G15,'Cost Conversion'!$F$3:$F$22,0)+2,8,1,1,"Cost conversion"))/IF(E15="$",'Cost Conversion'!$L$2,1),"")</f>
        <v/>
      </c>
      <c r="S15" s="268"/>
      <c r="U15" s="84"/>
    </row>
    <row r="16" spans="2:21" ht="19.95" customHeight="1" x14ac:dyDescent="0.3">
      <c r="B16" s="268"/>
      <c r="C16" s="96"/>
      <c r="D16" s="96"/>
      <c r="E16" s="96"/>
      <c r="F16" s="96"/>
      <c r="G16" s="96"/>
      <c r="H16" s="96"/>
      <c r="I16" s="96"/>
      <c r="J16" s="268"/>
      <c r="K16" s="96"/>
      <c r="L16" s="96"/>
      <c r="M16" s="96"/>
      <c r="N16" s="96"/>
      <c r="O16" s="96"/>
      <c r="P16" s="96"/>
      <c r="Q16" s="96"/>
      <c r="R16" s="172" t="str" cm="1">
        <f t="array" aca="1" ref="R16" ca="1">+IF(N16&gt;0,N16*INDIRECT(ADDRESS(MATCH(F16,'Cost Conversion'!$B$3:$B$48,0)+2,4,1,1,"Cost conversion"))*INDIRECT(ADDRESS(MATCH(G16,'Cost Conversion'!$F$3:$F$22,0)+2,8,1,1,"Cost conversion"))/IF(E16="$",'Cost Conversion'!$L$2,1),"")</f>
        <v/>
      </c>
      <c r="S16" s="268"/>
      <c r="U16" s="84"/>
    </row>
    <row r="17" spans="2:21" ht="19.95" customHeight="1" x14ac:dyDescent="0.3">
      <c r="B17" s="269"/>
      <c r="C17" s="270"/>
      <c r="D17" s="270"/>
      <c r="E17" s="270"/>
      <c r="F17" s="270"/>
      <c r="G17" s="270"/>
      <c r="H17" s="270"/>
      <c r="I17" s="270"/>
      <c r="J17" s="269"/>
      <c r="K17" s="270"/>
      <c r="L17" s="270"/>
      <c r="M17" s="270"/>
      <c r="N17" s="270"/>
      <c r="O17" s="270"/>
      <c r="P17" s="270"/>
      <c r="Q17" s="270"/>
      <c r="R17" s="172" t="str" cm="1">
        <f t="array" aca="1" ref="R17" ca="1">+IF(N17&gt;0,N17*INDIRECT(ADDRESS(MATCH(F17,'Cost Conversion'!$B$3:$B$48,0)+2,4,1,1,"Cost conversion"))*INDIRECT(ADDRESS(MATCH(G17,'Cost Conversion'!$F$3:$F$22,0)+2,8,1,1,"Cost conversion"))/IF(E17="$",'Cost Conversion'!$L$2,1),"")</f>
        <v/>
      </c>
      <c r="S17" s="269"/>
      <c r="T17" s="321"/>
      <c r="U17" s="323"/>
    </row>
    <row r="18" spans="2:21" ht="19.95" customHeight="1" x14ac:dyDescent="0.3">
      <c r="B18" s="271"/>
      <c r="C18" s="272"/>
      <c r="D18" s="272"/>
      <c r="E18" s="272"/>
      <c r="F18" s="272"/>
      <c r="G18" s="272"/>
      <c r="H18" s="272"/>
      <c r="I18" s="272"/>
      <c r="J18" s="272"/>
      <c r="K18" s="272"/>
      <c r="L18" s="272"/>
      <c r="M18" s="272"/>
      <c r="N18" s="272"/>
      <c r="O18" s="272"/>
      <c r="P18" s="272"/>
      <c r="Q18" s="272"/>
      <c r="R18" s="272"/>
      <c r="S18" s="272"/>
      <c r="T18" s="276"/>
      <c r="U18" s="113"/>
    </row>
    <row r="19" spans="2:21" ht="19.95" customHeight="1" x14ac:dyDescent="0.3">
      <c r="B19" s="268"/>
      <c r="C19" s="96"/>
      <c r="D19" s="96"/>
      <c r="E19" s="96"/>
      <c r="F19" s="96"/>
      <c r="G19" s="96"/>
      <c r="H19" s="96"/>
      <c r="I19" s="96"/>
      <c r="J19" s="96"/>
      <c r="K19" s="96"/>
      <c r="L19" s="96"/>
      <c r="M19" s="96"/>
      <c r="N19" s="96"/>
      <c r="O19" s="96"/>
      <c r="P19" s="96"/>
      <c r="Q19" s="96"/>
      <c r="R19" s="96"/>
      <c r="S19" s="96"/>
      <c r="U19" s="84"/>
    </row>
    <row r="20" spans="2:21" ht="19.95" customHeight="1" x14ac:dyDescent="0.3">
      <c r="B20" s="268"/>
      <c r="C20" s="96"/>
      <c r="D20" s="96"/>
      <c r="E20" s="96"/>
      <c r="F20" s="96"/>
      <c r="G20" s="96"/>
      <c r="H20" s="96"/>
      <c r="I20" s="96"/>
      <c r="J20" s="96"/>
      <c r="K20" s="96"/>
      <c r="L20" s="96"/>
      <c r="M20" s="96"/>
      <c r="N20" s="96"/>
      <c r="O20" s="96"/>
      <c r="P20" s="96"/>
      <c r="Q20" s="96"/>
      <c r="R20" s="96"/>
      <c r="S20" s="96"/>
      <c r="U20" s="84"/>
    </row>
    <row r="21" spans="2:21" ht="19.95" customHeight="1" x14ac:dyDescent="0.3">
      <c r="B21" s="268"/>
      <c r="C21" s="96"/>
      <c r="D21" s="96"/>
      <c r="E21" s="96"/>
      <c r="F21" s="96"/>
      <c r="G21" s="96"/>
      <c r="H21" s="96"/>
      <c r="I21" s="96"/>
      <c r="J21" s="829" t="str">
        <f>+B9&amp;" "&amp;D6</f>
        <v xml:space="preserve">BENCHMARK  </v>
      </c>
      <c r="K21" s="830"/>
      <c r="L21" s="830"/>
      <c r="M21" s="830"/>
      <c r="N21" s="830"/>
      <c r="O21" s="830"/>
      <c r="P21" s="830"/>
      <c r="Q21" s="830"/>
      <c r="R21" s="830"/>
      <c r="S21" s="830"/>
      <c r="T21" s="831"/>
      <c r="U21" s="84"/>
    </row>
    <row r="22" spans="2:21" ht="19.95" customHeight="1" x14ac:dyDescent="0.3">
      <c r="B22" s="268"/>
      <c r="C22" s="96"/>
      <c r="D22" s="96"/>
      <c r="E22" s="96"/>
      <c r="F22" s="96"/>
      <c r="G22" s="96"/>
      <c r="H22" s="96"/>
      <c r="I22" s="96"/>
      <c r="J22" s="341" t="s">
        <v>647</v>
      </c>
      <c r="K22" s="342">
        <v>1</v>
      </c>
      <c r="L22" s="342">
        <v>2</v>
      </c>
      <c r="M22" s="342">
        <v>3</v>
      </c>
      <c r="N22" s="342">
        <v>4</v>
      </c>
      <c r="O22" s="342">
        <v>5</v>
      </c>
      <c r="P22" s="342">
        <v>6</v>
      </c>
      <c r="Q22" s="342">
        <v>7</v>
      </c>
      <c r="R22" s="342">
        <v>8</v>
      </c>
      <c r="S22" s="342">
        <v>9</v>
      </c>
      <c r="T22" s="343">
        <v>10</v>
      </c>
      <c r="U22" s="84"/>
    </row>
    <row r="23" spans="2:21" ht="19.95" customHeight="1" x14ac:dyDescent="0.3">
      <c r="B23" s="268"/>
      <c r="C23" s="96"/>
      <c r="D23" s="96"/>
      <c r="E23" s="96"/>
      <c r="F23" s="96"/>
      <c r="G23" s="96"/>
      <c r="H23" s="96"/>
      <c r="I23" s="96"/>
      <c r="J23" s="86" t="str">
        <f>+TEXT(H12,0)&amp;" "&amp;"("&amp;TEXT(I12,0)&amp;")"</f>
        <v>0 (0)</v>
      </c>
      <c r="K23" s="364">
        <f>+P12</f>
        <v>0</v>
      </c>
      <c r="L23" s="344">
        <f>+K23+(O12-P12)/(T22-1)</f>
        <v>0</v>
      </c>
      <c r="M23" s="344">
        <f>+L23+(O12-P12)/(T22-1)</f>
        <v>0</v>
      </c>
      <c r="N23" s="344">
        <f>+M23+(O12-P12)/(T22-1)</f>
        <v>0</v>
      </c>
      <c r="O23" s="344">
        <f>+N23+(O12-P12)/(T22-1)</f>
        <v>0</v>
      </c>
      <c r="P23" s="344">
        <f>+O23+(O12-P12)/(T22-1)</f>
        <v>0</v>
      </c>
      <c r="Q23" s="344">
        <f>+P23+(O12-P12)/(T22-1)</f>
        <v>0</v>
      </c>
      <c r="R23" s="344">
        <f>+Q23+(O12-P12)/(T22-1)</f>
        <v>0</v>
      </c>
      <c r="S23" s="344">
        <f>+R23+(O12-P12)/(T22-1)</f>
        <v>0</v>
      </c>
      <c r="T23" s="345">
        <f>+S23+(O12-P12)/(T22-1)</f>
        <v>0</v>
      </c>
      <c r="U23" s="84"/>
    </row>
    <row r="24" spans="2:21" ht="19.95" customHeight="1" x14ac:dyDescent="0.3">
      <c r="B24" s="268"/>
      <c r="C24" s="96"/>
      <c r="D24" s="96"/>
      <c r="E24" s="96"/>
      <c r="F24" s="96"/>
      <c r="G24" s="96"/>
      <c r="H24" s="96"/>
      <c r="I24" s="96"/>
      <c r="J24" s="99" t="str">
        <f t="shared" ref="J24:J29" si="0">+IF(B12="","",TEXT(B12,0)&amp;" - Scaling")</f>
        <v/>
      </c>
      <c r="K24" s="297" t="e">
        <f ca="1">+(Q12/L12)^J12*R12*((K23/Q12)/(M12/L12))^K12</f>
        <v>#DIV/0!</v>
      </c>
      <c r="L24" s="190" t="e">
        <f ca="1">+(Q12/L12)^J12*R12*((L23/Q12)/(M12/L12))^K12</f>
        <v>#DIV/0!</v>
      </c>
      <c r="M24" s="190" t="e">
        <f ca="1">+(Q12/L12)^J12*R12*((M23/Q12)/(M12/L12))^K12</f>
        <v>#DIV/0!</v>
      </c>
      <c r="N24" s="190" t="e">
        <f ca="1">+(Q12/L12)^J12*R12*((N23/Q12)/(M12/L12))^K12</f>
        <v>#DIV/0!</v>
      </c>
      <c r="O24" s="190" t="e">
        <f ca="1">+(Q12/L12)^J12*R12*((O23/Q12)/(M12/L12))^K12</f>
        <v>#DIV/0!</v>
      </c>
      <c r="P24" s="190" t="e">
        <f ca="1">+(Q12/L12)^J12*R12*((P23/Q12)/(M12/L12))^K12</f>
        <v>#DIV/0!</v>
      </c>
      <c r="Q24" s="190" t="e">
        <f ca="1">+(Q12/L12)^J12*R12*((Q23/Q12)/(M12/L12))^K12</f>
        <v>#DIV/0!</v>
      </c>
      <c r="R24" s="190" t="e">
        <f ca="1">+(Q12/L12)^J12*R12*((R23/Q12)/(M12/L12))^K12</f>
        <v>#DIV/0!</v>
      </c>
      <c r="S24" s="190" t="e">
        <f ca="1">+(Q12/L12)^J12*R12*((S23/Q12)/(M12/L12))^K12</f>
        <v>#DIV/0!</v>
      </c>
      <c r="T24" s="238" t="e">
        <f ca="1">+(Q12/L12)^J12*R12*((T23/Q12)/(M12/L12))^K12</f>
        <v>#DIV/0!</v>
      </c>
      <c r="U24" s="84"/>
    </row>
    <row r="25" spans="2:21" ht="19.95" customHeight="1" x14ac:dyDescent="0.3">
      <c r="B25" s="268"/>
      <c r="C25" s="96"/>
      <c r="D25" s="96"/>
      <c r="E25" s="96"/>
      <c r="F25" s="96"/>
      <c r="G25" s="96"/>
      <c r="H25" s="96"/>
      <c r="I25" s="96"/>
      <c r="J25" s="99" t="str">
        <f t="shared" si="0"/>
        <v/>
      </c>
      <c r="K25" s="229" t="e">
        <f ca="1">+(Q13/L13)^J13*R13*((K23/Q13)/(M13/L13))^K13</f>
        <v>#DIV/0!</v>
      </c>
      <c r="L25" s="156" t="e">
        <f ca="1">+(Q13/L13)^J13*R13*((L23/Q13)/(M13/L13))^K13</f>
        <v>#DIV/0!</v>
      </c>
      <c r="M25" s="156" t="e">
        <f ca="1">+(Q13/L13)^J13*R13*((M23/Q13)/(M13/L13))^K13</f>
        <v>#DIV/0!</v>
      </c>
      <c r="N25" s="156" t="e">
        <f ca="1">+(Q13/L13)^J13*R13*((N23/Q13)/(M13/L13))^K13</f>
        <v>#DIV/0!</v>
      </c>
      <c r="O25" s="156" t="e">
        <f ca="1">+(Q13/L13)^J13*R13*((O23/Q13)/(M13/L13))^K13</f>
        <v>#DIV/0!</v>
      </c>
      <c r="P25" s="156" t="e">
        <f ca="1">+(Q13/L13)^J13*R13*((P23/Q13)/(M13/L13))^K13</f>
        <v>#DIV/0!</v>
      </c>
      <c r="Q25" s="156" t="e">
        <f ca="1">+(Q13/L13)^J13*R13*((Q23/Q13)/(M13/L13))^K13</f>
        <v>#DIV/0!</v>
      </c>
      <c r="R25" s="156" t="e">
        <f ca="1">+(Q13/L13)^J13*R13*((R23/Q13)/(M13/L13))^K13</f>
        <v>#DIV/0!</v>
      </c>
      <c r="S25" s="156" t="e">
        <f ca="1">+(Q13/L13)^J13*R13*((S23/Q13)/(M13/L13))^K13</f>
        <v>#DIV/0!</v>
      </c>
      <c r="T25" s="228" t="e">
        <f ca="1">+(Q13/L13)^J13*R13*((T23/Q13)/(M13/L13))^K13</f>
        <v>#DIV/0!</v>
      </c>
      <c r="U25" s="84"/>
    </row>
    <row r="26" spans="2:21" ht="19.95" customHeight="1" x14ac:dyDescent="0.3">
      <c r="B26" s="268"/>
      <c r="C26" s="96"/>
      <c r="D26" s="96"/>
      <c r="E26" s="96"/>
      <c r="F26" s="96"/>
      <c r="G26" s="96"/>
      <c r="H26" s="96"/>
      <c r="I26" s="96"/>
      <c r="J26" s="99" t="str">
        <f t="shared" si="0"/>
        <v/>
      </c>
      <c r="K26" s="229" t="e">
        <f ca="1">+(Q14/L14)^J14*R14*((K23/Q14)/(M14/L14))^K14</f>
        <v>#DIV/0!</v>
      </c>
      <c r="L26" s="156" t="e">
        <f ca="1">+(Q14/L14)^J14*R14*((L23/Q14)/(M14/L14))^K14</f>
        <v>#DIV/0!</v>
      </c>
      <c r="M26" s="156" t="e">
        <f ca="1">+(Q14/L14)^J14*R14*((M23/Q14)/(M14/L14))^K14</f>
        <v>#DIV/0!</v>
      </c>
      <c r="N26" s="156" t="e">
        <f ca="1">+(Q14/L14)^J14*R14*((N23/Q14)/(M14/L14))^K14</f>
        <v>#DIV/0!</v>
      </c>
      <c r="O26" s="156" t="e">
        <f ca="1">+(Q14/L14)^J14*R14*((O23/Q14)/(M14/L14))^K14</f>
        <v>#DIV/0!</v>
      </c>
      <c r="P26" s="156" t="e">
        <f ca="1">+(Q14/L14)^J14*R14*((P23/Q14)/(M14/L14))^K14</f>
        <v>#DIV/0!</v>
      </c>
      <c r="Q26" s="156" t="e">
        <f ca="1">+(Q14/L14)^J14*R14*((Q23/Q14)/(M14/L14))^K14</f>
        <v>#DIV/0!</v>
      </c>
      <c r="R26" s="156" t="e">
        <f ca="1">+(Q14/L14)^J14*R14*((R23/Q14)/(M14/L14))^K14</f>
        <v>#DIV/0!</v>
      </c>
      <c r="S26" s="156" t="e">
        <f ca="1">+(Q14/L14)^J14*R14*((S23/Q14)/(M14/L14))^K14</f>
        <v>#DIV/0!</v>
      </c>
      <c r="T26" s="228" t="e">
        <f ca="1">+(Q14/L14)^J14*R14*((T23/Q14)/(M14/L14))^K14</f>
        <v>#DIV/0!</v>
      </c>
      <c r="U26" s="84"/>
    </row>
    <row r="27" spans="2:21" ht="19.95" customHeight="1" x14ac:dyDescent="0.3">
      <c r="B27" s="268"/>
      <c r="C27" s="96"/>
      <c r="D27" s="96"/>
      <c r="E27" s="96"/>
      <c r="F27" s="96"/>
      <c r="G27" s="96"/>
      <c r="H27" s="96"/>
      <c r="I27" s="96"/>
      <c r="J27" s="99" t="str">
        <f t="shared" si="0"/>
        <v/>
      </c>
      <c r="K27" s="229" t="e">
        <f ca="1">+(Q15/L15)^J15*R15*((K23/Q15)/(M15/L15))^K15</f>
        <v>#DIV/0!</v>
      </c>
      <c r="L27" s="156" t="e">
        <f ca="1">+(Q15/L15)^J15*R15*((L23/Q15)/(M15/L15))^K15</f>
        <v>#DIV/0!</v>
      </c>
      <c r="M27" s="156" t="e">
        <f ca="1">+(Q15/L15)^J15*R15*((M23/Q15)/(M15/L15))^K15</f>
        <v>#DIV/0!</v>
      </c>
      <c r="N27" s="156" t="e">
        <f ca="1">+(Q15/L15)^J15*R15*((N23/Q15)/(M15/L15))^K15</f>
        <v>#DIV/0!</v>
      </c>
      <c r="O27" s="156" t="e">
        <f ca="1">+(Q15/L15)^J15*R15*((O23/Q15)/(M15/L15))^K15</f>
        <v>#DIV/0!</v>
      </c>
      <c r="P27" s="156" t="e">
        <f ca="1">+(Q15/L15)^J15*R15*((P23/Q15)/(M15/L15))^K15</f>
        <v>#DIV/0!</v>
      </c>
      <c r="Q27" s="156" t="e">
        <f ca="1">+(Q15/L15)^J15*R15*((Q23/Q15)/(M15/L15))^K15</f>
        <v>#DIV/0!</v>
      </c>
      <c r="R27" s="156" t="e">
        <f ca="1">+(Q15/L15)^J15*R15*((R23/Q15)/(M15/L15))^K15</f>
        <v>#DIV/0!</v>
      </c>
      <c r="S27" s="156" t="e">
        <f ca="1">+(Q15/L15)^J15*R15*((S23/Q15)/(M15/L15))^K15</f>
        <v>#DIV/0!</v>
      </c>
      <c r="T27" s="228" t="e">
        <f ca="1">+(Q15/L15)^J15*R15*((T23/Q15)/(M15/L15))^K15</f>
        <v>#DIV/0!</v>
      </c>
      <c r="U27" s="84"/>
    </row>
    <row r="28" spans="2:21" ht="19.95" customHeight="1" x14ac:dyDescent="0.3">
      <c r="B28" s="268"/>
      <c r="C28" s="96"/>
      <c r="D28" s="96"/>
      <c r="E28" s="96"/>
      <c r="F28" s="96"/>
      <c r="G28" s="96"/>
      <c r="H28" s="96"/>
      <c r="I28" s="96"/>
      <c r="J28" s="99" t="str">
        <f t="shared" si="0"/>
        <v/>
      </c>
      <c r="K28" s="268" t="e">
        <f ca="1">+(Q16/L16)^J16*R16*((K24/Q16)/(M16/L16))^K16</f>
        <v>#DIV/0!</v>
      </c>
      <c r="L28" s="156" t="e">
        <f ca="1">+(Q16/L16)^J16*R16*((L23/Q16)/(M16/L16))^K16</f>
        <v>#DIV/0!</v>
      </c>
      <c r="M28" s="156" t="e">
        <f ca="1">+(Q16/L16)^J16*R16*((M23/Q16)/(M16/L16))^K16</f>
        <v>#DIV/0!</v>
      </c>
      <c r="N28" s="156" t="e">
        <f ca="1">+(Q16/L16)^J16*R16*((N23/Q16)/(M16/L16))^K16</f>
        <v>#DIV/0!</v>
      </c>
      <c r="O28" s="156" t="e">
        <f ca="1">+(Q16/L16)^J16*R16*((O23/Q16)/(M16/L16))^K16</f>
        <v>#DIV/0!</v>
      </c>
      <c r="P28" s="156" t="e">
        <f ca="1">+(Q16/L16)^J16*R16*((P23/Q16)/(M16/L16))^K16</f>
        <v>#DIV/0!</v>
      </c>
      <c r="Q28" s="156" t="e">
        <f ca="1">+(Q16/L16)^J16*R16*((Q23/Q16)/(M16/L16))^K16</f>
        <v>#DIV/0!</v>
      </c>
      <c r="R28" s="156" t="e">
        <f ca="1">+(Q16/L16)^J16*R16*((R23/Q16)/(M16/L16))^K16</f>
        <v>#DIV/0!</v>
      </c>
      <c r="S28" s="156" t="e">
        <f ca="1">+(Q16/L16)^J16*R16*((S23/Q16)/(M16/L16))^K16</f>
        <v>#DIV/0!</v>
      </c>
      <c r="T28" s="228" t="e">
        <f ca="1">+(Q16/L16)^J16*R16*((T23/Q16)/(M16/L16))^K16</f>
        <v>#DIV/0!</v>
      </c>
      <c r="U28" s="84"/>
    </row>
    <row r="29" spans="2:21" ht="19.95" customHeight="1" x14ac:dyDescent="0.3">
      <c r="B29" s="268"/>
      <c r="C29" s="96"/>
      <c r="D29" s="96"/>
      <c r="E29" s="96"/>
      <c r="F29" s="96"/>
      <c r="G29" s="96"/>
      <c r="H29" s="96"/>
      <c r="I29" s="96"/>
      <c r="J29" s="99" t="str">
        <f t="shared" si="0"/>
        <v/>
      </c>
      <c r="K29" s="269" t="e">
        <f ca="1">+(Q17/L17)^J17*R17*((K23/Q17)/(M17/L17))^K17</f>
        <v>#DIV/0!</v>
      </c>
      <c r="L29" s="366" t="e">
        <f ca="1">+(Q17/L17)^J17*R17*((L23/Q17)/(M17/L17))^K17</f>
        <v>#DIV/0!</v>
      </c>
      <c r="M29" s="366" t="e">
        <f ca="1">+(Q17/L17)^J17*R17*((M23/Q17)/(M17/L17))^K17</f>
        <v>#DIV/0!</v>
      </c>
      <c r="N29" s="366" t="e">
        <f ca="1">+(Q17/L17)^J17*R17*((N23/Q17)/(M17/L17))^K17</f>
        <v>#DIV/0!</v>
      </c>
      <c r="O29" s="366" t="e">
        <f ca="1">+(Q17/L17)^J17*R17*((O23/Q17)/(M17/L17))^K17</f>
        <v>#DIV/0!</v>
      </c>
      <c r="P29" s="366" t="e" cm="1">
        <f t="array" aca="1" ref="P29" ca="1">+(Q17/L17)^J17*R17*((P23/Q17)/(M17/P26L17))^K17</f>
        <v>#DIV/0!</v>
      </c>
      <c r="Q29" s="366" t="e">
        <f ca="1">+(Q17/L17)^J17*R17*((Q23/Q17)/(M17/L17))^K17</f>
        <v>#DIV/0!</v>
      </c>
      <c r="R29" s="366" t="e">
        <f ca="1">+(Q17/L17)^J17*R17*((R23/Q17)/(M17/L17))^K17</f>
        <v>#DIV/0!</v>
      </c>
      <c r="S29" s="366" t="e">
        <f ca="1">+(Q17/L17)^J17*R17*((S23/Q17)/(M17/L17))^K17</f>
        <v>#DIV/0!</v>
      </c>
      <c r="T29" s="316" t="e">
        <f ca="1">+(Q17/L17)^J17*R17*((T23/Q17)/(M17/L17))^K17</f>
        <v>#DIV/0!</v>
      </c>
      <c r="U29" s="84"/>
    </row>
    <row r="30" spans="2:21" ht="19.95" customHeight="1" x14ac:dyDescent="0.3">
      <c r="B30" s="268"/>
      <c r="C30" s="96"/>
      <c r="D30" s="96"/>
      <c r="E30" s="96"/>
      <c r="F30" s="96"/>
      <c r="G30" s="96"/>
      <c r="H30" s="96"/>
      <c r="I30" s="96"/>
      <c r="J30" s="177" t="s">
        <v>575</v>
      </c>
      <c r="K30" s="177" t="s">
        <v>651</v>
      </c>
      <c r="L30" s="96"/>
      <c r="M30" s="96"/>
      <c r="N30" s="96"/>
      <c r="O30" s="96"/>
      <c r="P30" s="96"/>
      <c r="Q30" s="96"/>
      <c r="R30" s="96"/>
      <c r="S30" s="96"/>
      <c r="U30" s="84"/>
    </row>
    <row r="31" spans="2:21" ht="19.95" customHeight="1" x14ac:dyDescent="0.3">
      <c r="B31" s="268"/>
      <c r="C31" s="96"/>
      <c r="D31" s="96"/>
      <c r="E31" s="96"/>
      <c r="F31" s="96"/>
      <c r="G31" s="96"/>
      <c r="H31" s="96"/>
      <c r="I31" s="96"/>
      <c r="J31" s="271" t="str">
        <f t="shared" ref="J31:J36" si="1">+IF(B12="","",B12)</f>
        <v/>
      </c>
      <c r="K31" s="596" t="e">
        <f t="shared" ref="K31:K36" ca="1" si="2">+R12/(M12/Q12)</f>
        <v>#VALUE!</v>
      </c>
      <c r="L31" s="96"/>
      <c r="M31" s="96"/>
      <c r="N31" s="96"/>
      <c r="O31" s="96"/>
      <c r="P31" s="96"/>
      <c r="Q31" s="96"/>
      <c r="R31" s="96"/>
      <c r="S31" s="96"/>
      <c r="U31" s="84"/>
    </row>
    <row r="32" spans="2:21" ht="19.95" customHeight="1" x14ac:dyDescent="0.3">
      <c r="B32" s="268"/>
      <c r="C32" s="96"/>
      <c r="D32" s="96"/>
      <c r="E32" s="96"/>
      <c r="F32" s="96"/>
      <c r="G32" s="96"/>
      <c r="H32" s="96"/>
      <c r="I32" s="96"/>
      <c r="J32" s="268" t="str">
        <f t="shared" si="1"/>
        <v/>
      </c>
      <c r="K32" s="597" t="e">
        <f t="shared" ca="1" si="2"/>
        <v>#VALUE!</v>
      </c>
      <c r="L32" s="96"/>
      <c r="M32" s="96"/>
      <c r="N32" s="96"/>
      <c r="O32" s="96"/>
      <c r="P32" s="96"/>
      <c r="Q32" s="96"/>
      <c r="R32" s="96"/>
      <c r="S32" s="96"/>
      <c r="U32" s="84"/>
    </row>
    <row r="33" spans="2:21" ht="19.95" customHeight="1" x14ac:dyDescent="0.3">
      <c r="B33" s="91"/>
      <c r="F33" s="96"/>
      <c r="G33" s="96"/>
      <c r="J33" s="268" t="str">
        <f t="shared" si="1"/>
        <v/>
      </c>
      <c r="K33" s="597" t="e">
        <f t="shared" ca="1" si="2"/>
        <v>#VALUE!</v>
      </c>
      <c r="U33" s="84"/>
    </row>
    <row r="34" spans="2:21" ht="19.95" customHeight="1" x14ac:dyDescent="0.3">
      <c r="B34" s="91"/>
      <c r="F34" s="96"/>
      <c r="G34" s="96"/>
      <c r="J34" s="268" t="str">
        <f t="shared" si="1"/>
        <v/>
      </c>
      <c r="K34" s="597" t="e">
        <f t="shared" ca="1" si="2"/>
        <v>#VALUE!</v>
      </c>
      <c r="U34" s="84"/>
    </row>
    <row r="35" spans="2:21" ht="19.95" customHeight="1" x14ac:dyDescent="0.3">
      <c r="B35" s="91"/>
      <c r="F35" s="96"/>
      <c r="G35" s="96"/>
      <c r="J35" s="268" t="str">
        <f t="shared" si="1"/>
        <v/>
      </c>
      <c r="K35" s="597" t="e">
        <f t="shared" ca="1" si="2"/>
        <v>#VALUE!</v>
      </c>
      <c r="U35" s="84"/>
    </row>
    <row r="36" spans="2:21" ht="19.95" customHeight="1" x14ac:dyDescent="0.3">
      <c r="B36" s="91"/>
      <c r="F36" s="96"/>
      <c r="G36" s="96"/>
      <c r="J36" s="269" t="str">
        <f t="shared" si="1"/>
        <v/>
      </c>
      <c r="K36" s="598" t="e">
        <f t="shared" ca="1" si="2"/>
        <v>#VALUE!</v>
      </c>
      <c r="U36" s="84"/>
    </row>
    <row r="37" spans="2:21" ht="19.95" customHeight="1" x14ac:dyDescent="0.3">
      <c r="B37" s="91"/>
      <c r="F37" s="96"/>
      <c r="G37" s="96"/>
      <c r="U37" s="84"/>
    </row>
    <row r="38" spans="2:21" ht="19.95" customHeight="1" x14ac:dyDescent="0.3">
      <c r="B38" s="91"/>
      <c r="F38" s="96"/>
      <c r="G38" s="96"/>
      <c r="U38" s="84"/>
    </row>
    <row r="39" spans="2:21" ht="19.95" customHeight="1" x14ac:dyDescent="0.3">
      <c r="B39" s="91"/>
      <c r="F39" s="96"/>
      <c r="G39" s="96"/>
      <c r="U39" s="84"/>
    </row>
    <row r="40" spans="2:21" ht="19.95" customHeight="1" x14ac:dyDescent="0.3">
      <c r="B40" s="91"/>
      <c r="F40" s="96"/>
      <c r="G40" s="96"/>
      <c r="U40" s="84"/>
    </row>
    <row r="41" spans="2:21" ht="19.95" customHeight="1" x14ac:dyDescent="0.3">
      <c r="B41" s="91"/>
      <c r="F41" s="96"/>
      <c r="G41" s="96"/>
      <c r="U41" s="84"/>
    </row>
    <row r="42" spans="2:21" ht="19.95" customHeight="1" x14ac:dyDescent="0.3">
      <c r="B42" s="91"/>
      <c r="F42" s="96"/>
      <c r="G42" s="96"/>
      <c r="U42" s="84"/>
    </row>
    <row r="43" spans="2:21" ht="19.95" customHeight="1" x14ac:dyDescent="0.3">
      <c r="B43" s="320"/>
      <c r="C43" s="321"/>
      <c r="D43" s="321"/>
      <c r="E43" s="321"/>
      <c r="F43" s="270"/>
      <c r="G43" s="270"/>
      <c r="H43" s="321"/>
      <c r="I43" s="321"/>
      <c r="J43" s="321"/>
      <c r="K43" s="321"/>
      <c r="L43" s="321"/>
      <c r="M43" s="321"/>
      <c r="N43" s="321"/>
      <c r="O43" s="321"/>
      <c r="P43" s="321"/>
      <c r="Q43" s="321"/>
      <c r="R43" s="321"/>
      <c r="S43" s="321"/>
      <c r="T43" s="321"/>
      <c r="U43" s="323"/>
    </row>
    <row r="44" spans="2:21" x14ac:dyDescent="0.3">
      <c r="B44" s="171">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83"/>
      <c r="V1" s="83"/>
      <c r="W1" s="83"/>
      <c r="CI1" s="83"/>
      <c r="CJ1" s="83"/>
      <c r="CK1" s="83"/>
      <c r="CL1" s="83"/>
      <c r="CM1" s="83"/>
      <c r="CN1" s="83"/>
      <c r="CO1" s="83"/>
    </row>
    <row r="2" spans="1:93" ht="15.6" customHeight="1" x14ac:dyDescent="0.3">
      <c r="A2" s="83"/>
      <c r="B2" s="100"/>
      <c r="C2" s="101"/>
      <c r="D2" s="101"/>
      <c r="E2" s="101"/>
      <c r="F2" s="101"/>
      <c r="G2" s="101"/>
      <c r="H2" s="101"/>
      <c r="I2" s="101"/>
      <c r="J2" s="101"/>
      <c r="K2" s="101"/>
      <c r="L2" s="101"/>
      <c r="M2" s="101"/>
      <c r="N2" s="101"/>
      <c r="O2" s="101"/>
      <c r="P2" s="101"/>
      <c r="Q2" s="101"/>
      <c r="R2" s="101"/>
      <c r="S2" s="101"/>
      <c r="T2" s="102"/>
      <c r="U2" s="103"/>
      <c r="V2" s="83"/>
      <c r="W2" t="s">
        <v>229</v>
      </c>
      <c r="X2" s="202" t="s">
        <v>241</v>
      </c>
      <c r="Y2" t="s">
        <v>242</v>
      </c>
      <c r="Z2" t="s">
        <v>261</v>
      </c>
      <c r="AA2" t="s">
        <v>243</v>
      </c>
      <c r="AB2" t="s">
        <v>244</v>
      </c>
      <c r="AC2" t="s">
        <v>245</v>
      </c>
      <c r="AD2" t="s">
        <v>246</v>
      </c>
      <c r="AE2" t="s">
        <v>247</v>
      </c>
      <c r="AF2" t="s">
        <v>248</v>
      </c>
      <c r="AG2" t="s">
        <v>249</v>
      </c>
      <c r="AH2" t="s">
        <v>250</v>
      </c>
      <c r="AI2" t="s">
        <v>251</v>
      </c>
      <c r="AJ2" t="s">
        <v>252</v>
      </c>
      <c r="AK2" t="s">
        <v>253</v>
      </c>
      <c r="AL2" t="s">
        <v>254</v>
      </c>
      <c r="AM2" t="s">
        <v>255</v>
      </c>
      <c r="AN2" t="s">
        <v>256</v>
      </c>
      <c r="AO2" t="s">
        <v>257</v>
      </c>
      <c r="AP2" t="s">
        <v>148</v>
      </c>
      <c r="AQ2" t="s">
        <v>259</v>
      </c>
      <c r="AR2" t="s">
        <v>260</v>
      </c>
      <c r="AS2" t="s">
        <v>210</v>
      </c>
      <c r="AT2" t="s">
        <v>535</v>
      </c>
      <c r="AV2" s="206" t="s">
        <v>537</v>
      </c>
      <c r="AW2" s="207" t="s">
        <v>538</v>
      </c>
      <c r="AX2" s="208" t="s">
        <v>539</v>
      </c>
      <c r="AY2" s="208" t="s">
        <v>540</v>
      </c>
      <c r="AZ2" s="208" t="s">
        <v>541</v>
      </c>
      <c r="BA2" s="208" t="s">
        <v>542</v>
      </c>
      <c r="BB2" s="208" t="s">
        <v>543</v>
      </c>
      <c r="BC2" s="208" t="s">
        <v>544</v>
      </c>
      <c r="BD2" s="208" t="s">
        <v>545</v>
      </c>
      <c r="BE2" s="208" t="s">
        <v>546</v>
      </c>
      <c r="BF2" s="208" t="s">
        <v>547</v>
      </c>
      <c r="BG2" s="208" t="s">
        <v>548</v>
      </c>
      <c r="BH2" s="208" t="s">
        <v>549</v>
      </c>
      <c r="BI2" s="208" t="s">
        <v>550</v>
      </c>
      <c r="BJ2" s="208" t="s">
        <v>551</v>
      </c>
      <c r="BK2" s="208" t="s">
        <v>552</v>
      </c>
      <c r="BL2" s="208" t="s">
        <v>553</v>
      </c>
      <c r="BM2" s="208" t="s">
        <v>554</v>
      </c>
      <c r="BN2" s="208" t="s">
        <v>555</v>
      </c>
      <c r="BO2" s="208" t="s">
        <v>556</v>
      </c>
      <c r="BP2" s="208" t="s">
        <v>557</v>
      </c>
      <c r="BQ2" s="208" t="s">
        <v>558</v>
      </c>
      <c r="BR2" s="208" t="s">
        <v>559</v>
      </c>
      <c r="BT2" s="277" t="s">
        <v>612</v>
      </c>
      <c r="BU2" s="277" t="s">
        <v>613</v>
      </c>
      <c r="BV2" s="277" t="s">
        <v>623</v>
      </c>
      <c r="BW2" s="277" t="s">
        <v>614</v>
      </c>
      <c r="BX2" s="277" t="s">
        <v>615</v>
      </c>
      <c r="BY2" s="277" t="s">
        <v>616</v>
      </c>
      <c r="BZ2" s="277" t="s">
        <v>617</v>
      </c>
      <c r="CA2" s="277" t="s">
        <v>618</v>
      </c>
      <c r="CB2" s="277" t="s">
        <v>619</v>
      </c>
      <c r="CC2" s="277" t="s">
        <v>620</v>
      </c>
      <c r="CD2" s="277" t="s">
        <v>621</v>
      </c>
      <c r="CE2" s="277" t="s">
        <v>622</v>
      </c>
      <c r="CI2" s="83"/>
      <c r="CJ2" s="83"/>
      <c r="CK2" s="83"/>
      <c r="CL2" s="83"/>
      <c r="CM2" s="83"/>
      <c r="CN2" s="83"/>
      <c r="CO2" s="83"/>
    </row>
    <row r="3" spans="1:93" ht="18" x14ac:dyDescent="0.3">
      <c r="A3" s="83"/>
      <c r="B3" s="103"/>
      <c r="C3" s="751" t="s">
        <v>270</v>
      </c>
      <c r="D3" s="752"/>
      <c r="E3" s="752"/>
      <c r="F3" s="752"/>
      <c r="G3" s="752"/>
      <c r="H3" s="888" t="s">
        <v>229</v>
      </c>
      <c r="I3" s="888"/>
      <c r="J3" s="83"/>
      <c r="K3" s="751" t="s">
        <v>268</v>
      </c>
      <c r="L3" s="752"/>
      <c r="M3" s="752"/>
      <c r="N3" s="752"/>
      <c r="O3" s="752"/>
      <c r="P3" s="752"/>
      <c r="Q3" s="752"/>
      <c r="R3" s="752"/>
      <c r="S3" s="753"/>
      <c r="T3" s="104"/>
      <c r="U3" s="103"/>
      <c r="V3" s="83"/>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673</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13"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3">
      <c r="A4" s="83"/>
      <c r="B4" s="103"/>
      <c r="C4" s="83"/>
      <c r="D4" s="83"/>
      <c r="E4" s="83"/>
      <c r="F4" s="83"/>
      <c r="G4" s="83"/>
      <c r="H4" s="83"/>
      <c r="I4" s="83"/>
      <c r="J4" s="83"/>
      <c r="K4" s="897"/>
      <c r="L4" s="897"/>
      <c r="M4" s="897"/>
      <c r="N4" s="897"/>
      <c r="O4" s="897"/>
      <c r="P4" s="897"/>
      <c r="Q4" s="897"/>
      <c r="R4" s="897"/>
      <c r="S4" s="897"/>
      <c r="T4" s="104"/>
      <c r="U4" s="103"/>
      <c r="V4" s="83"/>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13"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 x14ac:dyDescent="0.35">
      <c r="A5" s="83"/>
      <c r="B5" s="103"/>
      <c r="C5" s="83"/>
      <c r="D5" s="898" t="s">
        <v>703</v>
      </c>
      <c r="E5" s="899"/>
      <c r="F5" s="83"/>
      <c r="G5" s="83"/>
      <c r="H5" s="898" t="s">
        <v>267</v>
      </c>
      <c r="I5" s="899"/>
      <c r="J5" s="83"/>
      <c r="K5" s="900" t="s">
        <v>718</v>
      </c>
      <c r="L5" s="901"/>
      <c r="M5" s="901"/>
      <c r="N5" s="901"/>
      <c r="O5" s="901"/>
      <c r="P5" s="901"/>
      <c r="Q5" s="901"/>
      <c r="R5" s="901"/>
      <c r="S5" s="902"/>
      <c r="T5" s="104"/>
      <c r="U5" s="103"/>
      <c r="V5" s="83"/>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13"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6" x14ac:dyDescent="0.3">
      <c r="A6" s="83"/>
      <c r="B6" s="103"/>
      <c r="C6" s="796" t="s">
        <v>495</v>
      </c>
      <c r="D6" s="508" t="s">
        <v>717</v>
      </c>
      <c r="E6" s="519" t="s">
        <v>702</v>
      </c>
      <c r="F6" s="83"/>
      <c r="G6" s="83"/>
      <c r="H6" s="85"/>
      <c r="I6" s="110" t="s">
        <v>262</v>
      </c>
      <c r="J6" s="83"/>
      <c r="K6" s="903"/>
      <c r="L6" s="904"/>
      <c r="M6" s="904"/>
      <c r="N6" s="904"/>
      <c r="O6" s="904"/>
      <c r="P6" s="904"/>
      <c r="Q6" s="904"/>
      <c r="R6" s="904"/>
      <c r="S6" s="905"/>
      <c r="T6" s="104"/>
      <c r="U6" s="103"/>
      <c r="V6" s="83"/>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13"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6" x14ac:dyDescent="0.3">
      <c r="A7" s="83"/>
      <c r="B7" s="103"/>
      <c r="C7" s="797"/>
      <c r="D7" s="91"/>
      <c r="E7" s="516"/>
      <c r="F7" s="83"/>
      <c r="G7" s="83"/>
      <c r="H7" s="95"/>
      <c r="I7" s="110" t="s">
        <v>263</v>
      </c>
      <c r="J7" s="83"/>
      <c r="K7" s="903"/>
      <c r="L7" s="904"/>
      <c r="M7" s="904"/>
      <c r="N7" s="904"/>
      <c r="O7" s="904"/>
      <c r="P7" s="904"/>
      <c r="Q7" s="904"/>
      <c r="R7" s="904"/>
      <c r="S7" s="905"/>
      <c r="T7" s="104"/>
      <c r="U7" s="103"/>
      <c r="V7" s="83"/>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13"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6" x14ac:dyDescent="0.3">
      <c r="A8" s="83"/>
      <c r="B8" s="103"/>
      <c r="C8" s="765"/>
      <c r="D8" s="515"/>
      <c r="E8" s="516"/>
      <c r="F8" s="83"/>
      <c r="G8" s="83"/>
      <c r="H8" s="94"/>
      <c r="I8" s="111" t="s">
        <v>264</v>
      </c>
      <c r="J8" s="83"/>
      <c r="K8" s="903"/>
      <c r="L8" s="904"/>
      <c r="M8" s="904"/>
      <c r="N8" s="904"/>
      <c r="O8" s="904"/>
      <c r="P8" s="904"/>
      <c r="Q8" s="904"/>
      <c r="R8" s="904"/>
      <c r="S8" s="905"/>
      <c r="T8" s="104"/>
      <c r="U8" s="103"/>
      <c r="V8" s="83"/>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13" t="s">
        <v>188</v>
      </c>
      <c r="BP8" s="83" t="s">
        <v>191</v>
      </c>
      <c r="BT8" s="83" t="s">
        <v>561</v>
      </c>
      <c r="BU8" s="83" t="s">
        <v>561</v>
      </c>
      <c r="BV8" s="83" t="s">
        <v>561</v>
      </c>
      <c r="BW8" s="83" t="s">
        <v>561</v>
      </c>
      <c r="BX8" s="83" t="s">
        <v>561</v>
      </c>
      <c r="BY8" s="83" t="s">
        <v>561</v>
      </c>
      <c r="BZ8" s="83" t="s">
        <v>561</v>
      </c>
      <c r="CA8" s="83" t="s">
        <v>561</v>
      </c>
      <c r="CH8" s="770" t="s">
        <v>672</v>
      </c>
      <c r="CI8" s="771"/>
      <c r="CJ8" s="771"/>
      <c r="CK8" s="771"/>
      <c r="CL8" s="771"/>
      <c r="CM8" s="772"/>
      <c r="CN8" s="83"/>
      <c r="CO8" s="83"/>
    </row>
    <row r="9" spans="1:93" ht="15.6" x14ac:dyDescent="0.3">
      <c r="A9" s="83"/>
      <c r="B9" s="103"/>
      <c r="C9" s="766"/>
      <c r="D9" s="517"/>
      <c r="E9" s="518"/>
      <c r="F9" s="83"/>
      <c r="G9" s="83"/>
      <c r="H9" s="108"/>
      <c r="I9" s="109" t="s">
        <v>268</v>
      </c>
      <c r="J9" s="83"/>
      <c r="K9" s="906"/>
      <c r="L9" s="907"/>
      <c r="M9" s="907"/>
      <c r="N9" s="907"/>
      <c r="O9" s="907"/>
      <c r="P9" s="907"/>
      <c r="Q9" s="907"/>
      <c r="R9" s="907"/>
      <c r="S9" s="908"/>
      <c r="T9" s="104"/>
      <c r="U9" s="103"/>
      <c r="V9" s="83"/>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13" t="s">
        <v>189</v>
      </c>
      <c r="BP9" s="83" t="s">
        <v>566</v>
      </c>
      <c r="BT9" s="83" t="s">
        <v>563</v>
      </c>
      <c r="BU9" s="83" t="s">
        <v>563</v>
      </c>
      <c r="BV9" s="83" t="s">
        <v>563</v>
      </c>
      <c r="BW9" s="83" t="s">
        <v>563</v>
      </c>
      <c r="BX9" s="83" t="s">
        <v>563</v>
      </c>
      <c r="BY9" s="83" t="s">
        <v>563</v>
      </c>
      <c r="BZ9" s="83" t="s">
        <v>563</v>
      </c>
      <c r="CA9" s="83" t="s">
        <v>563</v>
      </c>
      <c r="CH9" s="773"/>
      <c r="CI9" s="774"/>
      <c r="CJ9" s="774"/>
      <c r="CK9" s="774"/>
      <c r="CL9" s="774"/>
      <c r="CM9" s="775"/>
      <c r="CN9" s="83"/>
      <c r="CO9" s="83"/>
    </row>
    <row r="10" spans="1:93" x14ac:dyDescent="0.3">
      <c r="A10" s="83"/>
      <c r="B10" s="103"/>
      <c r="C10" s="83"/>
      <c r="D10" s="83"/>
      <c r="E10" s="83"/>
      <c r="F10" s="83"/>
      <c r="G10" s="83"/>
      <c r="H10" s="83"/>
      <c r="I10" s="83"/>
      <c r="J10" s="83"/>
      <c r="K10" s="83"/>
      <c r="L10" s="83"/>
      <c r="M10" s="83"/>
      <c r="N10" s="83"/>
      <c r="O10" s="83"/>
      <c r="P10" s="83"/>
      <c r="Q10" s="83"/>
      <c r="R10" s="83"/>
      <c r="S10" s="83"/>
      <c r="T10" s="104"/>
      <c r="U10" s="103"/>
      <c r="V10" s="83"/>
      <c r="W10" s="83" t="s">
        <v>247</v>
      </c>
      <c r="X10" s="1"/>
      <c r="Y10" s="1"/>
      <c r="Z10" s="1"/>
      <c r="AA10" s="1"/>
      <c r="AB10" s="1"/>
      <c r="AG10" s="83" t="str">
        <f>+'Equipment Data'!B85</f>
        <v>Table</v>
      </c>
      <c r="AJ10" s="83" t="str">
        <f>+'Equipment Data'!B137</f>
        <v>Teflon Tube</v>
      </c>
      <c r="AK10" s="1"/>
      <c r="AL10" s="1"/>
      <c r="AW10" s="1"/>
      <c r="BH10" s="83" t="s">
        <v>563</v>
      </c>
      <c r="BO10" s="13"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 x14ac:dyDescent="0.3">
      <c r="A11" s="83"/>
      <c r="B11" s="103"/>
      <c r="C11" s="83"/>
      <c r="D11" s="751" t="s">
        <v>510</v>
      </c>
      <c r="E11" s="752"/>
      <c r="F11" s="752"/>
      <c r="G11" s="752"/>
      <c r="H11" s="752"/>
      <c r="I11" s="752"/>
      <c r="J11" s="752"/>
      <c r="K11" s="752"/>
      <c r="L11" s="753"/>
      <c r="M11" s="751" t="s">
        <v>511</v>
      </c>
      <c r="N11" s="752"/>
      <c r="O11" s="752"/>
      <c r="P11" s="752"/>
      <c r="Q11" s="753"/>
      <c r="R11" s="83"/>
      <c r="S11" s="83"/>
      <c r="T11" s="104"/>
      <c r="U11" s="103"/>
      <c r="V11" s="83"/>
      <c r="W11" s="83" t="s">
        <v>248</v>
      </c>
      <c r="X11" s="1"/>
      <c r="Y11" s="1"/>
      <c r="Z11" s="1"/>
      <c r="AA11" s="1"/>
      <c r="AB11" s="1"/>
      <c r="AG11" s="83" t="str">
        <f>+'Equipment Data'!B86</f>
        <v>Tube</v>
      </c>
      <c r="AJ11" s="83" t="str">
        <f>+'Equipment Data'!B138</f>
        <v>Air Cooler</v>
      </c>
      <c r="AK11" s="1"/>
      <c r="AL11" s="1"/>
      <c r="AW11" s="1"/>
      <c r="BH11" s="83" t="s">
        <v>531</v>
      </c>
      <c r="BO11" s="13"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 x14ac:dyDescent="0.3">
      <c r="A12" s="83"/>
      <c r="B12" s="103"/>
      <c r="C12" s="88" t="s">
        <v>239</v>
      </c>
      <c r="D12" s="253" t="s">
        <v>229</v>
      </c>
      <c r="E12" s="253" t="s">
        <v>348</v>
      </c>
      <c r="F12" s="225" t="s">
        <v>234</v>
      </c>
      <c r="G12" s="225" t="s">
        <v>475</v>
      </c>
      <c r="H12" s="227" t="s">
        <v>235</v>
      </c>
      <c r="I12" s="253" t="s">
        <v>236</v>
      </c>
      <c r="J12" s="226" t="s">
        <v>341</v>
      </c>
      <c r="K12" s="225" t="s">
        <v>340</v>
      </c>
      <c r="L12" s="225" t="s">
        <v>534</v>
      </c>
      <c r="M12" s="227" t="s">
        <v>230</v>
      </c>
      <c r="N12" s="227" t="s">
        <v>231</v>
      </c>
      <c r="O12" s="227" t="s">
        <v>533</v>
      </c>
      <c r="P12" s="227" t="s">
        <v>225</v>
      </c>
      <c r="Q12" s="226" t="s">
        <v>233</v>
      </c>
      <c r="R12" s="90" t="s">
        <v>266</v>
      </c>
      <c r="S12" s="90" t="s">
        <v>237</v>
      </c>
      <c r="T12" s="104"/>
      <c r="U12" s="103"/>
      <c r="V12" s="83"/>
      <c r="W12" s="83" t="s">
        <v>249</v>
      </c>
      <c r="X12" s="1"/>
      <c r="Y12" s="1"/>
      <c r="Z12" s="1"/>
      <c r="AA12" s="1"/>
      <c r="AB12" s="1"/>
      <c r="AJ12" s="83" t="s">
        <v>137</v>
      </c>
      <c r="AK12" s="1"/>
      <c r="AL12" s="1"/>
      <c r="AW12" s="1"/>
      <c r="BH12" s="83" t="s">
        <v>85</v>
      </c>
      <c r="BO12" s="13" t="s">
        <v>191</v>
      </c>
      <c r="CI12" s="83"/>
      <c r="CJ12" s="83"/>
      <c r="CK12" s="83"/>
      <c r="CL12" s="83"/>
      <c r="CM12" s="83"/>
      <c r="CN12" s="83"/>
      <c r="CO12" s="83"/>
    </row>
    <row r="13" spans="1:93" x14ac:dyDescent="0.3">
      <c r="A13" s="83"/>
      <c r="B13" s="103"/>
      <c r="C13" s="254"/>
      <c r="D13" s="203" t="s">
        <v>512</v>
      </c>
      <c r="E13" s="203" t="s">
        <v>7</v>
      </c>
      <c r="F13" s="96">
        <v>1</v>
      </c>
      <c r="G13" s="96" t="s">
        <v>354</v>
      </c>
      <c r="H13" s="96" t="s">
        <v>471</v>
      </c>
      <c r="I13" s="96" t="s">
        <v>354</v>
      </c>
      <c r="J13" s="96" t="str">
        <f>+IF(F13&gt;'Equipment Data'!$G$4,"yes","No")</f>
        <v>No</v>
      </c>
      <c r="K13" s="96">
        <v>0.67</v>
      </c>
      <c r="L13" s="96" t="s">
        <v>354</v>
      </c>
      <c r="M13" s="153">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96" t="s">
        <v>354</v>
      </c>
      <c r="O13" s="96" t="s">
        <v>354</v>
      </c>
      <c r="P13" s="149">
        <f>+'Equipment Data'!$H$4</f>
        <v>1.1200000000000001</v>
      </c>
      <c r="Q13" s="150">
        <f>+M13*P13</f>
        <v>115695.91434724194</v>
      </c>
      <c r="R13" s="258"/>
      <c r="S13" s="259"/>
      <c r="T13" s="104"/>
      <c r="U13" s="103"/>
      <c r="V13" s="83"/>
      <c r="W13" s="83" t="s">
        <v>250</v>
      </c>
      <c r="X13" s="1"/>
      <c r="Y13" s="1"/>
      <c r="Z13" s="1"/>
      <c r="AA13" s="1"/>
      <c r="AB13" s="1"/>
      <c r="AJ13" s="83" t="str">
        <f>+'Equipment Data'!B141</f>
        <v>Spiral Plate</v>
      </c>
      <c r="AK13" s="1"/>
      <c r="AL13" s="1"/>
      <c r="AW13" s="1"/>
      <c r="BH13" s="83" t="s">
        <v>132</v>
      </c>
      <c r="CI13" s="83"/>
      <c r="CJ13" s="83"/>
      <c r="CK13" s="83"/>
      <c r="CL13" s="83"/>
      <c r="CM13" s="83"/>
      <c r="CN13" s="83"/>
      <c r="CO13" s="83"/>
    </row>
    <row r="14" spans="1:93" x14ac:dyDescent="0.3">
      <c r="A14" s="83"/>
      <c r="B14" s="103"/>
      <c r="C14" s="255"/>
      <c r="D14" s="203" t="s">
        <v>512</v>
      </c>
      <c r="E14" s="203" t="s">
        <v>8</v>
      </c>
      <c r="F14" s="96">
        <v>1</v>
      </c>
      <c r="G14" s="96" t="s">
        <v>354</v>
      </c>
      <c r="H14" s="96" t="s">
        <v>471</v>
      </c>
      <c r="I14" s="96" t="s">
        <v>354</v>
      </c>
      <c r="J14" s="96" t="str">
        <f>+IF(F14&gt;'Equipment Data'!$G$5,"yes","No")</f>
        <v>No</v>
      </c>
      <c r="K14" s="96">
        <v>0.67</v>
      </c>
      <c r="L14" s="96" t="s">
        <v>354</v>
      </c>
      <c r="M14" s="153">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96" t="s">
        <v>354</v>
      </c>
      <c r="O14" s="96" t="s">
        <v>354</v>
      </c>
      <c r="P14" s="149">
        <f>+'Equipment Data'!$H$5</f>
        <v>1.1200000000000001</v>
      </c>
      <c r="Q14" s="150">
        <f t="shared" ref="Q14:Q34" si="0">+M14*P14</f>
        <v>15339.740849225012</v>
      </c>
      <c r="R14" s="260"/>
      <c r="S14" s="261"/>
      <c r="T14" s="104"/>
      <c r="U14" s="103"/>
      <c r="V14" s="83"/>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3"/>
      <c r="C15" s="256"/>
      <c r="D15" s="203" t="s">
        <v>512</v>
      </c>
      <c r="E15" s="203" t="s">
        <v>513</v>
      </c>
      <c r="F15" s="96">
        <v>1</v>
      </c>
      <c r="G15" s="96" t="s">
        <v>354</v>
      </c>
      <c r="H15" s="96" t="s">
        <v>471</v>
      </c>
      <c r="I15" s="96" t="s">
        <v>354</v>
      </c>
      <c r="J15" s="96" t="str">
        <f>+IF(F15&gt;'Equipment Data'!$G$6,"yes","No")</f>
        <v>No</v>
      </c>
      <c r="K15" s="96">
        <v>0.67</v>
      </c>
      <c r="L15" s="96" t="s">
        <v>354</v>
      </c>
      <c r="M15" s="153">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96" t="s">
        <v>354</v>
      </c>
      <c r="O15" s="96" t="s">
        <v>354</v>
      </c>
      <c r="P15" s="149">
        <f>+'Equipment Data'!$H$6</f>
        <v>1.1200000000000001</v>
      </c>
      <c r="Q15" s="150">
        <f t="shared" si="0"/>
        <v>15339.740849225012</v>
      </c>
      <c r="R15" s="262"/>
      <c r="S15" s="263"/>
      <c r="T15" s="104"/>
      <c r="U15" s="103"/>
      <c r="V15" s="83"/>
      <c r="W15" s="83" t="s">
        <v>252</v>
      </c>
      <c r="X15" s="1"/>
      <c r="Y15" s="1"/>
      <c r="Z15" s="1"/>
      <c r="AA15" s="1"/>
      <c r="AB15" s="1"/>
      <c r="AW15" s="1"/>
      <c r="BH15" s="83" t="s">
        <v>133</v>
      </c>
      <c r="CI15" s="83"/>
      <c r="CJ15" s="83"/>
      <c r="CK15" s="83"/>
      <c r="CL15" s="83"/>
      <c r="CM15" s="83"/>
      <c r="CN15" s="83"/>
      <c r="CO15" s="83"/>
    </row>
    <row r="16" spans="1:93" x14ac:dyDescent="0.3">
      <c r="A16" s="83"/>
      <c r="B16" s="103"/>
      <c r="C16" s="189"/>
      <c r="D16" s="203" t="s">
        <v>514</v>
      </c>
      <c r="E16" s="203" t="s">
        <v>515</v>
      </c>
      <c r="F16" s="96">
        <v>1</v>
      </c>
      <c r="G16" s="96" t="s">
        <v>354</v>
      </c>
      <c r="H16" s="96" t="s">
        <v>353</v>
      </c>
      <c r="I16" s="96" t="s">
        <v>354</v>
      </c>
      <c r="J16" s="96" t="str">
        <f>+IF(F16&gt;'Equipment Data'!$G$11,"yes","No")</f>
        <v>No</v>
      </c>
      <c r="K16" s="96">
        <v>0.67</v>
      </c>
      <c r="L16" s="96" t="s">
        <v>354</v>
      </c>
      <c r="M16" s="153">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96" t="s">
        <v>354</v>
      </c>
      <c r="O16" s="156" t="s">
        <v>354</v>
      </c>
      <c r="P16" s="149">
        <f>+'Equipment Data'!$H$11</f>
        <v>1.57</v>
      </c>
      <c r="Q16" s="150">
        <f t="shared" si="0"/>
        <v>92044.883506491591</v>
      </c>
      <c r="R16" s="148"/>
      <c r="S16" s="194"/>
      <c r="T16" s="104"/>
      <c r="U16" s="103"/>
      <c r="V16" s="83"/>
      <c r="W16" s="83" t="s">
        <v>253</v>
      </c>
      <c r="X16" s="83"/>
      <c r="AW16" s="1"/>
      <c r="BH16" s="83" t="s">
        <v>134</v>
      </c>
      <c r="CI16" s="83"/>
      <c r="CJ16" s="83"/>
      <c r="CK16" s="83"/>
      <c r="CL16" s="83"/>
      <c r="CM16" s="83"/>
      <c r="CN16" s="83"/>
      <c r="CO16" s="83"/>
    </row>
    <row r="17" spans="1:93" x14ac:dyDescent="0.3">
      <c r="A17" s="83"/>
      <c r="B17" s="103"/>
      <c r="C17" s="187"/>
      <c r="D17" s="203" t="s">
        <v>514</v>
      </c>
      <c r="E17" s="203" t="s">
        <v>516</v>
      </c>
      <c r="F17" s="96">
        <v>1</v>
      </c>
      <c r="G17" s="96" t="s">
        <v>354</v>
      </c>
      <c r="H17" s="96" t="s">
        <v>353</v>
      </c>
      <c r="I17" s="96" t="s">
        <v>354</v>
      </c>
      <c r="J17" s="96" t="str">
        <f>+IF(F17&gt;'Equipment Data'!$G$12,"yes","No")</f>
        <v>No</v>
      </c>
      <c r="K17" s="96">
        <v>0.67</v>
      </c>
      <c r="L17" s="96" t="s">
        <v>354</v>
      </c>
      <c r="M17" s="153">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96" t="s">
        <v>354</v>
      </c>
      <c r="O17" s="156" t="s">
        <v>354</v>
      </c>
      <c r="P17" s="149">
        <f>+'Equipment Data'!$H$12</f>
        <v>1.57</v>
      </c>
      <c r="Q17" s="150">
        <f t="shared" si="0"/>
        <v>36066.139022386218</v>
      </c>
      <c r="R17" s="97"/>
      <c r="S17" s="188"/>
      <c r="T17" s="104"/>
      <c r="U17" s="103"/>
      <c r="V17" s="83"/>
      <c r="W17" s="83" t="s">
        <v>269</v>
      </c>
      <c r="X17" s="83"/>
      <c r="AW17" s="1"/>
      <c r="BH17" s="83" t="s">
        <v>142</v>
      </c>
      <c r="CI17" s="83"/>
      <c r="CJ17" s="83"/>
      <c r="CK17" s="83"/>
      <c r="CL17" s="83"/>
      <c r="CM17" s="83"/>
      <c r="CN17" s="83"/>
      <c r="CO17" s="83"/>
    </row>
    <row r="18" spans="1:93" x14ac:dyDescent="0.3">
      <c r="A18" s="83"/>
      <c r="B18" s="103"/>
      <c r="C18" s="187"/>
      <c r="D18" s="203" t="s">
        <v>514</v>
      </c>
      <c r="E18" s="203" t="s">
        <v>15</v>
      </c>
      <c r="F18" s="96">
        <v>1</v>
      </c>
      <c r="G18" s="96" t="s">
        <v>354</v>
      </c>
      <c r="H18" s="96" t="s">
        <v>353</v>
      </c>
      <c r="I18" s="96" t="s">
        <v>354</v>
      </c>
      <c r="J18" s="96" t="str">
        <f>+IF(F18&gt;'Equipment Data'!$G$13,"yes","No")</f>
        <v>No</v>
      </c>
      <c r="K18" s="96">
        <v>0.67</v>
      </c>
      <c r="L18" s="96" t="s">
        <v>354</v>
      </c>
      <c r="M18" s="153">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96" t="s">
        <v>354</v>
      </c>
      <c r="O18" s="96" t="s">
        <v>354</v>
      </c>
      <c r="P18" s="149">
        <f>+'Equipment Data'!$H$13</f>
        <v>1.57</v>
      </c>
      <c r="Q18" s="150">
        <f t="shared" si="0"/>
        <v>113736.44573177362</v>
      </c>
      <c r="R18" s="97"/>
      <c r="S18" s="188"/>
      <c r="T18" s="104"/>
      <c r="U18" s="103"/>
      <c r="V18" s="83"/>
      <c r="W18" s="83" t="s">
        <v>255</v>
      </c>
      <c r="X18" s="83"/>
      <c r="AW18" s="1"/>
      <c r="CI18" s="83"/>
      <c r="CJ18" s="83"/>
      <c r="CK18" s="83"/>
      <c r="CL18" s="83"/>
      <c r="CM18" s="83"/>
      <c r="CN18" s="83"/>
      <c r="CO18" s="83"/>
    </row>
    <row r="19" spans="1:93" x14ac:dyDescent="0.3">
      <c r="A19" s="83"/>
      <c r="B19" s="103"/>
      <c r="C19" s="187"/>
      <c r="D19" s="203" t="s">
        <v>514</v>
      </c>
      <c r="E19" s="203" t="s">
        <v>16</v>
      </c>
      <c r="F19" s="96">
        <v>1</v>
      </c>
      <c r="G19" s="96" t="s">
        <v>354</v>
      </c>
      <c r="H19" s="96" t="s">
        <v>353</v>
      </c>
      <c r="I19" s="96" t="s">
        <v>354</v>
      </c>
      <c r="J19" s="96" t="str">
        <f>+IF(F19&gt;'Equipment Data'!$G$14,"yes","No")</f>
        <v>No</v>
      </c>
      <c r="K19" s="96">
        <v>0.67</v>
      </c>
      <c r="L19" s="96" t="s">
        <v>354</v>
      </c>
      <c r="M19" s="153">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96" t="s">
        <v>354</v>
      </c>
      <c r="O19" s="96" t="s">
        <v>354</v>
      </c>
      <c r="P19" s="149">
        <f>+'Equipment Data'!$H$14</f>
        <v>1.27</v>
      </c>
      <c r="Q19" s="150">
        <f t="shared" si="0"/>
        <v>118441.45148013598</v>
      </c>
      <c r="R19" s="98"/>
      <c r="S19" s="196"/>
      <c r="T19" s="104"/>
      <c r="U19" s="103"/>
      <c r="V19" s="83"/>
      <c r="W19" s="83" t="s">
        <v>256</v>
      </c>
      <c r="X19" s="83"/>
      <c r="AW19" s="1"/>
      <c r="CI19" s="83"/>
      <c r="CJ19" s="83"/>
      <c r="CK19" s="83"/>
      <c r="CL19" s="83"/>
      <c r="CM19" s="83"/>
      <c r="CN19" s="83"/>
      <c r="CO19" s="83"/>
    </row>
    <row r="20" spans="1:93" x14ac:dyDescent="0.3">
      <c r="A20" s="83"/>
      <c r="B20" s="103"/>
      <c r="C20" s="254"/>
      <c r="D20" s="203" t="s">
        <v>261</v>
      </c>
      <c r="E20" s="203" t="s">
        <v>23</v>
      </c>
      <c r="F20" s="96">
        <v>1</v>
      </c>
      <c r="G20" s="96" t="s">
        <v>354</v>
      </c>
      <c r="H20" s="96" t="s">
        <v>473</v>
      </c>
      <c r="I20" s="96" t="s">
        <v>85</v>
      </c>
      <c r="J20" s="96" t="str">
        <f>+IF(F20&gt;'Equipment Data'!$J$19,"yes","No")</f>
        <v>No</v>
      </c>
      <c r="K20" s="96">
        <v>0.67</v>
      </c>
      <c r="L20" s="96" t="s">
        <v>354</v>
      </c>
      <c r="M20" s="153">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96" t="s">
        <v>354</v>
      </c>
      <c r="O20" s="156" t="s">
        <v>354</v>
      </c>
      <c r="P20" s="149">
        <f>+IF(I20="CS",'Equipment Data'!$F$19,IF(I20="SS",'Equipment Data'!$G$19,IF(I20="Ni",'Equipment Data'!$H$19,"N/A")))</f>
        <v>2.74</v>
      </c>
      <c r="Q20" s="150">
        <f t="shared" si="0"/>
        <v>533.15141088122277</v>
      </c>
      <c r="R20" s="258"/>
      <c r="S20" s="264"/>
      <c r="T20" s="104"/>
      <c r="U20" s="103"/>
      <c r="V20" s="83"/>
      <c r="W20" s="83" t="s">
        <v>257</v>
      </c>
      <c r="X20" s="83"/>
      <c r="AW20" s="1"/>
      <c r="CI20" s="83"/>
      <c r="CJ20" s="83"/>
      <c r="CK20" s="83"/>
      <c r="CL20" s="83"/>
      <c r="CM20" s="83"/>
      <c r="CN20" s="83"/>
      <c r="CO20" s="83"/>
    </row>
    <row r="21" spans="1:93" x14ac:dyDescent="0.3">
      <c r="A21" s="83"/>
      <c r="B21" s="103"/>
      <c r="C21" s="255"/>
      <c r="D21" s="203" t="s">
        <v>261</v>
      </c>
      <c r="E21" s="203" t="s">
        <v>24</v>
      </c>
      <c r="F21" s="96">
        <v>1</v>
      </c>
      <c r="G21" s="96" t="s">
        <v>354</v>
      </c>
      <c r="H21" s="96" t="s">
        <v>473</v>
      </c>
      <c r="I21" s="96" t="s">
        <v>85</v>
      </c>
      <c r="J21" s="96" t="str">
        <f>+IF(F21&gt;'Equipment Data'!$J$20,"yes","No")</f>
        <v>No</v>
      </c>
      <c r="K21" s="96">
        <v>0.67</v>
      </c>
      <c r="L21" s="96" t="s">
        <v>354</v>
      </c>
      <c r="M21" s="153">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96" t="s">
        <v>354</v>
      </c>
      <c r="O21" s="96" t="s">
        <v>354</v>
      </c>
      <c r="P21" s="149">
        <f>+IF(I21="CS",'Equipment Data'!$F$20,IF(I21="SS",'Equipment Data'!$G$20,IF(I21="Ni",'Equipment Data'!$H$20,"N/A")))</f>
        <v>3.83</v>
      </c>
      <c r="Q21" s="150">
        <f t="shared" si="0"/>
        <v>745.24449039236606</v>
      </c>
      <c r="R21" s="260"/>
      <c r="S21" s="265"/>
      <c r="T21" s="104"/>
      <c r="U21" s="83"/>
      <c r="V21" s="83"/>
      <c r="W21" s="83" t="s">
        <v>148</v>
      </c>
      <c r="X21" s="83"/>
      <c r="AW21" s="1"/>
      <c r="CI21" s="83"/>
      <c r="CJ21" s="83"/>
      <c r="CK21" s="83"/>
      <c r="CL21" s="83"/>
      <c r="CM21" s="83"/>
      <c r="CN21" s="83"/>
      <c r="CO21" s="83"/>
    </row>
    <row r="22" spans="1:93" x14ac:dyDescent="0.3">
      <c r="A22" s="83"/>
      <c r="B22" s="103"/>
      <c r="C22" s="255"/>
      <c r="D22" s="203" t="s">
        <v>261</v>
      </c>
      <c r="E22" s="203" t="s">
        <v>513</v>
      </c>
      <c r="F22" s="96">
        <v>1</v>
      </c>
      <c r="G22" s="96" t="s">
        <v>354</v>
      </c>
      <c r="H22" s="96" t="s">
        <v>473</v>
      </c>
      <c r="I22" s="96" t="s">
        <v>85</v>
      </c>
      <c r="J22" s="96" t="str">
        <f>+IF(F22&gt;'Equipment Data'!$J$21,"yes","No")</f>
        <v>No</v>
      </c>
      <c r="K22" s="96">
        <v>0.67</v>
      </c>
      <c r="L22" s="96" t="s">
        <v>354</v>
      </c>
      <c r="M22" s="153">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96" t="s">
        <v>354</v>
      </c>
      <c r="O22" s="96" t="s">
        <v>354</v>
      </c>
      <c r="P22" s="149">
        <f>+IF(I22="CS",'Equipment Data'!$F$21,IF(I22="SS",'Equipment Data'!$G$21,IF(I22="Ni",'Equipment Data'!$H$21,"N/A")))</f>
        <v>2.41</v>
      </c>
      <c r="Q22" s="150">
        <f t="shared" si="0"/>
        <v>261527.30746150017</v>
      </c>
      <c r="R22" s="260"/>
      <c r="S22" s="265"/>
      <c r="T22" s="104"/>
      <c r="U22" s="83"/>
      <c r="V22" s="83"/>
      <c r="W22" s="83" t="s">
        <v>259</v>
      </c>
      <c r="X22" s="83"/>
      <c r="AW22" s="1"/>
      <c r="CI22" s="83"/>
      <c r="CJ22" s="83"/>
      <c r="CK22" s="83"/>
      <c r="CL22" s="83"/>
      <c r="CM22" s="83"/>
      <c r="CN22" s="83"/>
      <c r="CO22" s="83"/>
    </row>
    <row r="23" spans="1:93" x14ac:dyDescent="0.3">
      <c r="A23" s="83"/>
      <c r="B23" s="103"/>
      <c r="C23" s="255"/>
      <c r="D23" s="203" t="s">
        <v>261</v>
      </c>
      <c r="E23" s="203" t="s">
        <v>25</v>
      </c>
      <c r="F23" s="96">
        <v>1</v>
      </c>
      <c r="G23" s="96" t="s">
        <v>354</v>
      </c>
      <c r="H23" s="96" t="s">
        <v>473</v>
      </c>
      <c r="I23" s="96" t="s">
        <v>85</v>
      </c>
      <c r="J23" s="96" t="str">
        <f>+IF(F23&gt;'Equipment Data'!$J$22,"yes","No")</f>
        <v>No</v>
      </c>
      <c r="K23" s="96">
        <v>0.67</v>
      </c>
      <c r="L23" s="96" t="s">
        <v>354</v>
      </c>
      <c r="M23" s="153">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96" t="s">
        <v>354</v>
      </c>
      <c r="O23" s="96" t="s">
        <v>354</v>
      </c>
      <c r="P23" s="149">
        <f>+IF(I23="CS",'Equipment Data'!$F$22,IF(I23="SS",'Equipment Data'!$G$22,IF(I23="Ni",'Equipment Data'!$H$22,"N/A")))</f>
        <v>3.37</v>
      </c>
      <c r="Q23" s="150">
        <f t="shared" si="0"/>
        <v>655.7373192225258</v>
      </c>
      <c r="R23" s="260"/>
      <c r="S23" s="265"/>
      <c r="T23" s="104"/>
      <c r="U23" s="83"/>
      <c r="V23" s="83"/>
      <c r="W23" s="83" t="s">
        <v>260</v>
      </c>
      <c r="X23" s="83"/>
      <c r="AW23" s="1"/>
      <c r="CI23" s="83"/>
      <c r="CJ23" s="83"/>
      <c r="CK23" s="83"/>
      <c r="CL23" s="83"/>
      <c r="CM23" s="83"/>
      <c r="CN23" s="83"/>
      <c r="CO23" s="83"/>
    </row>
    <row r="24" spans="1:93" x14ac:dyDescent="0.3">
      <c r="A24" s="83"/>
      <c r="B24" s="103"/>
      <c r="C24" s="189"/>
      <c r="D24" s="203" t="s">
        <v>243</v>
      </c>
      <c r="E24" s="203" t="s">
        <v>29</v>
      </c>
      <c r="F24" s="96">
        <v>1</v>
      </c>
      <c r="G24" s="96" t="s">
        <v>354</v>
      </c>
      <c r="H24" s="96" t="s">
        <v>352</v>
      </c>
      <c r="I24" s="96" t="s">
        <v>354</v>
      </c>
      <c r="J24" s="96" t="str">
        <f>+IF(F24&gt;'Equipment Data'!$G$27,"yes","No")</f>
        <v>No</v>
      </c>
      <c r="K24" s="96">
        <v>0.67</v>
      </c>
      <c r="L24" s="96" t="s">
        <v>354</v>
      </c>
      <c r="M24" s="153">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96" t="s">
        <v>354</v>
      </c>
      <c r="O24" s="96" t="s">
        <v>354</v>
      </c>
      <c r="P24" s="149">
        <f>+'Equipment Data'!$H$27</f>
        <v>2</v>
      </c>
      <c r="Q24" s="150">
        <f t="shared" si="0"/>
        <v>16847.287828768036</v>
      </c>
      <c r="R24" s="148"/>
      <c r="S24" s="174"/>
      <c r="T24" s="104"/>
      <c r="U24" s="83"/>
      <c r="V24" s="83"/>
      <c r="W24" s="83" t="s">
        <v>210</v>
      </c>
      <c r="X24" s="83"/>
      <c r="AW24" s="1"/>
      <c r="CI24" s="83"/>
      <c r="CJ24" s="83"/>
      <c r="CK24" s="83"/>
      <c r="CL24" s="83"/>
      <c r="CM24" s="83"/>
      <c r="CN24" s="83"/>
      <c r="CO24" s="83"/>
    </row>
    <row r="25" spans="1:93" x14ac:dyDescent="0.3">
      <c r="A25" s="83"/>
      <c r="B25" s="103"/>
      <c r="C25" s="187"/>
      <c r="D25" s="203" t="s">
        <v>243</v>
      </c>
      <c r="E25" s="203" t="s">
        <v>30</v>
      </c>
      <c r="F25" s="96">
        <v>1</v>
      </c>
      <c r="G25" s="96" t="s">
        <v>354</v>
      </c>
      <c r="H25" s="96" t="s">
        <v>352</v>
      </c>
      <c r="I25" s="96" t="s">
        <v>354</v>
      </c>
      <c r="J25" s="96" t="str">
        <f>+IF(F25&gt;'Equipment Data'!$G$28,"yes","No")</f>
        <v>No</v>
      </c>
      <c r="K25" s="96">
        <v>0.67</v>
      </c>
      <c r="L25" s="96" t="s">
        <v>354</v>
      </c>
      <c r="M25" s="153">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96" t="s">
        <v>354</v>
      </c>
      <c r="O25" s="96" t="s">
        <v>354</v>
      </c>
      <c r="P25" s="149">
        <f>+'Equipment Data'!$H$28</f>
        <v>1.25</v>
      </c>
      <c r="Q25" s="150">
        <f t="shared" si="0"/>
        <v>14474.714718986765</v>
      </c>
      <c r="R25" s="97"/>
      <c r="S25" s="151"/>
      <c r="T25" s="104"/>
      <c r="U25" s="83"/>
      <c r="V25" s="83"/>
      <c r="W25" s="83" t="s">
        <v>535</v>
      </c>
      <c r="X25" s="83"/>
      <c r="CI25" s="83"/>
      <c r="CJ25" s="83"/>
      <c r="CK25" s="83"/>
      <c r="CL25" s="83"/>
      <c r="CM25" s="83"/>
      <c r="CN25" s="83"/>
      <c r="CO25" s="83"/>
    </row>
    <row r="26" spans="1:93" x14ac:dyDescent="0.3">
      <c r="A26" s="83"/>
      <c r="B26" s="103"/>
      <c r="C26" s="187"/>
      <c r="D26" s="203" t="s">
        <v>243</v>
      </c>
      <c r="E26" s="203" t="s">
        <v>31</v>
      </c>
      <c r="F26" s="96">
        <v>1</v>
      </c>
      <c r="G26" s="96" t="s">
        <v>354</v>
      </c>
      <c r="H26" s="96" t="s">
        <v>352</v>
      </c>
      <c r="I26" s="96" t="s">
        <v>354</v>
      </c>
      <c r="J26" s="96" t="str">
        <f>+IF(F26&gt;'Equipment Data'!$G$29,"yes","No")</f>
        <v>No</v>
      </c>
      <c r="K26" s="96">
        <v>0.67</v>
      </c>
      <c r="L26" s="96" t="s">
        <v>354</v>
      </c>
      <c r="M26" s="153">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96" t="s">
        <v>354</v>
      </c>
      <c r="O26" s="96" t="s">
        <v>354</v>
      </c>
      <c r="P26" s="149">
        <f>+'Equipment Data'!$H$29</f>
        <v>1.25</v>
      </c>
      <c r="Q26" s="150">
        <f t="shared" si="0"/>
        <v>57346.908818392025</v>
      </c>
      <c r="R26" s="97"/>
      <c r="S26" s="151"/>
      <c r="T26" s="104"/>
      <c r="U26" s="83"/>
      <c r="V26" s="83"/>
      <c r="W26" s="83"/>
      <c r="X26" s="83"/>
      <c r="CI26" s="83"/>
      <c r="CJ26" s="83"/>
      <c r="CK26" s="83"/>
      <c r="CL26" s="83"/>
      <c r="CM26" s="83"/>
      <c r="CN26" s="83"/>
      <c r="CO26" s="83"/>
    </row>
    <row r="27" spans="1:93" x14ac:dyDescent="0.3">
      <c r="A27" s="83"/>
      <c r="B27" s="103"/>
      <c r="C27" s="195"/>
      <c r="D27" s="203" t="s">
        <v>243</v>
      </c>
      <c r="E27" s="203" t="s">
        <v>32</v>
      </c>
      <c r="F27" s="96">
        <v>1</v>
      </c>
      <c r="G27" s="96" t="s">
        <v>354</v>
      </c>
      <c r="H27" s="96" t="s">
        <v>352</v>
      </c>
      <c r="I27" s="96" t="s">
        <v>354</v>
      </c>
      <c r="J27" s="96" t="str">
        <f>+IF(F27&gt;'Equipment Data'!$G$30,"yes","No")</f>
        <v>No</v>
      </c>
      <c r="K27" s="96">
        <v>0.67</v>
      </c>
      <c r="L27" s="96" t="s">
        <v>354</v>
      </c>
      <c r="M27" s="153">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96" t="s">
        <v>354</v>
      </c>
      <c r="O27" s="96" t="s">
        <v>354</v>
      </c>
      <c r="P27" s="149">
        <f>+'Equipment Data'!$H$30</f>
        <v>1.1000000000000001</v>
      </c>
      <c r="Q27" s="150">
        <f t="shared" si="0"/>
        <v>4442.1445348373682</v>
      </c>
      <c r="R27" s="98"/>
      <c r="S27" s="175"/>
      <c r="T27" s="104"/>
      <c r="U27" s="83"/>
      <c r="V27" s="83"/>
      <c r="W27" s="83"/>
      <c r="X27" s="83"/>
      <c r="CI27" s="83"/>
      <c r="CJ27" s="83"/>
      <c r="CK27" s="83"/>
      <c r="CL27" s="83"/>
      <c r="CM27" s="83"/>
      <c r="CN27" s="83"/>
      <c r="CO27" s="83"/>
    </row>
    <row r="28" spans="1:93" x14ac:dyDescent="0.3">
      <c r="A28" s="83"/>
      <c r="B28" s="103"/>
      <c r="C28" s="257"/>
      <c r="D28" s="203" t="s">
        <v>517</v>
      </c>
      <c r="E28" s="203" t="s">
        <v>34</v>
      </c>
      <c r="F28" s="96">
        <v>1</v>
      </c>
      <c r="G28" s="96" t="s">
        <v>354</v>
      </c>
      <c r="H28" s="96" t="s">
        <v>471</v>
      </c>
      <c r="I28" s="96" t="s">
        <v>354</v>
      </c>
      <c r="J28" s="96" t="str">
        <f>+IF(F28&gt;'Equipment Data'!$G$35,"yes","No")</f>
        <v>No</v>
      </c>
      <c r="K28" s="96">
        <v>0.67</v>
      </c>
      <c r="L28" s="96" t="s">
        <v>354</v>
      </c>
      <c r="M28" s="153">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96" t="s">
        <v>354</v>
      </c>
      <c r="O28" s="96" t="s">
        <v>354</v>
      </c>
      <c r="P28" s="149">
        <f>+'Equipment Data'!$H$35</f>
        <v>1.6</v>
      </c>
      <c r="Q28" s="150">
        <f t="shared" si="0"/>
        <v>51739.232565982551</v>
      </c>
      <c r="R28" s="266"/>
      <c r="S28" s="267"/>
      <c r="T28" s="104"/>
      <c r="U28" s="83"/>
      <c r="V28" s="83"/>
      <c r="W28" s="83"/>
      <c r="X28" s="83"/>
      <c r="CI28" s="83"/>
      <c r="CJ28" s="83"/>
      <c r="CK28" s="83"/>
      <c r="CL28" s="83"/>
      <c r="CM28" s="83"/>
      <c r="CN28" s="83"/>
      <c r="CO28" s="83"/>
    </row>
    <row r="29" spans="1:93" x14ac:dyDescent="0.3">
      <c r="A29" s="83"/>
      <c r="B29" s="103"/>
      <c r="C29" s="189"/>
      <c r="D29" s="203" t="s">
        <v>518</v>
      </c>
      <c r="E29" s="203" t="s">
        <v>36</v>
      </c>
      <c r="F29" s="96">
        <v>1</v>
      </c>
      <c r="G29" s="96" t="s">
        <v>354</v>
      </c>
      <c r="H29" s="96" t="s">
        <v>473</v>
      </c>
      <c r="I29" s="96" t="s">
        <v>354</v>
      </c>
      <c r="J29" s="96" t="str">
        <f>+IF(F29&gt;'Equipment Data'!$H$40,"yes","No")</f>
        <v>No</v>
      </c>
      <c r="K29" s="96">
        <v>0.67</v>
      </c>
      <c r="L29" s="96" t="s">
        <v>354</v>
      </c>
      <c r="M29" s="153">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96" t="s">
        <v>354</v>
      </c>
      <c r="O29" s="96" t="s">
        <v>354</v>
      </c>
      <c r="P29" s="149">
        <f>+'Equipment Data'!$F$40</f>
        <v>1.5</v>
      </c>
      <c r="Q29" s="150">
        <f t="shared" si="0"/>
        <v>433.00335269224132</v>
      </c>
      <c r="R29" s="148"/>
      <c r="S29" s="174"/>
      <c r="T29" s="104"/>
      <c r="U29" s="83"/>
      <c r="V29" s="83"/>
      <c r="W29" s="83"/>
      <c r="X29" s="83"/>
      <c r="CI29" s="83"/>
      <c r="CJ29" s="83"/>
      <c r="CK29" s="83"/>
      <c r="CL29" s="83"/>
      <c r="CM29" s="83"/>
      <c r="CN29" s="83"/>
      <c r="CO29" s="83"/>
    </row>
    <row r="30" spans="1:93" x14ac:dyDescent="0.3">
      <c r="A30" s="83"/>
      <c r="B30" s="103"/>
      <c r="C30" s="187"/>
      <c r="D30" s="203" t="s">
        <v>518</v>
      </c>
      <c r="E30" s="203" t="s">
        <v>37</v>
      </c>
      <c r="F30" s="96">
        <v>1</v>
      </c>
      <c r="G30" s="96" t="s">
        <v>354</v>
      </c>
      <c r="H30" s="96" t="s">
        <v>473</v>
      </c>
      <c r="I30" s="96" t="s">
        <v>354</v>
      </c>
      <c r="J30" s="96" t="str">
        <f>+IF(F30&gt;'Equipment Data'!$H$41,"yes","No")</f>
        <v>No</v>
      </c>
      <c r="K30" s="96">
        <v>0.67</v>
      </c>
      <c r="L30" s="96" t="s">
        <v>354</v>
      </c>
      <c r="M30" s="153">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96" t="s">
        <v>354</v>
      </c>
      <c r="O30" s="96" t="s">
        <v>354</v>
      </c>
      <c r="P30" s="149">
        <f>+'Equipment Data'!$F$41</f>
        <v>1.5</v>
      </c>
      <c r="Q30" s="150">
        <f t="shared" si="0"/>
        <v>135.54742105834532</v>
      </c>
      <c r="R30" s="97"/>
      <c r="S30" s="151"/>
      <c r="T30" s="104"/>
      <c r="U30" s="83"/>
      <c r="V30" s="83"/>
      <c r="W30" s="83"/>
      <c r="X30" s="83"/>
      <c r="CI30" s="83"/>
      <c r="CJ30" s="83"/>
      <c r="CK30" s="83"/>
      <c r="CL30" s="83"/>
      <c r="CM30" s="83"/>
      <c r="CN30" s="83"/>
      <c r="CO30" s="83"/>
    </row>
    <row r="31" spans="1:93" x14ac:dyDescent="0.3">
      <c r="A31" s="83"/>
      <c r="B31" s="103"/>
      <c r="C31" s="187"/>
      <c r="D31" s="203" t="s">
        <v>518</v>
      </c>
      <c r="E31" s="203" t="s">
        <v>38</v>
      </c>
      <c r="F31" s="96">
        <v>1</v>
      </c>
      <c r="G31" s="96" t="s">
        <v>354</v>
      </c>
      <c r="H31" s="96" t="s">
        <v>473</v>
      </c>
      <c r="I31" s="96" t="s">
        <v>354</v>
      </c>
      <c r="J31" s="96" t="str">
        <f>+IF(F31&gt;'Equipment Data'!$H$42,"yes","No")</f>
        <v>No</v>
      </c>
      <c r="K31" s="96">
        <v>0.67</v>
      </c>
      <c r="L31" s="96" t="s">
        <v>354</v>
      </c>
      <c r="M31" s="153">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96" t="s">
        <v>354</v>
      </c>
      <c r="O31" s="96" t="s">
        <v>354</v>
      </c>
      <c r="P31" s="149">
        <f>+'Equipment Data'!$F$42</f>
        <v>1.5</v>
      </c>
      <c r="Q31" s="150">
        <f t="shared" si="0"/>
        <v>1339.3412940974749</v>
      </c>
      <c r="R31" s="97"/>
      <c r="S31" s="151"/>
      <c r="T31" s="104"/>
      <c r="U31" s="83"/>
      <c r="V31" s="83"/>
      <c r="W31" s="83"/>
      <c r="X31" s="83"/>
      <c r="CI31" s="83"/>
      <c r="CJ31" s="83"/>
      <c r="CK31" s="83"/>
      <c r="CL31" s="83"/>
      <c r="CM31" s="83"/>
      <c r="CN31" s="83"/>
      <c r="CO31" s="83"/>
    </row>
    <row r="32" spans="1:93" x14ac:dyDescent="0.3">
      <c r="A32" s="83"/>
      <c r="B32" s="103"/>
      <c r="C32" s="187"/>
      <c r="D32" s="203" t="s">
        <v>518</v>
      </c>
      <c r="E32" s="203" t="s">
        <v>40</v>
      </c>
      <c r="F32" s="96">
        <v>1</v>
      </c>
      <c r="G32" s="96" t="s">
        <v>354</v>
      </c>
      <c r="H32" s="96" t="s">
        <v>473</v>
      </c>
      <c r="I32" s="96" t="s">
        <v>354</v>
      </c>
      <c r="J32" s="96" t="str">
        <f>+IF(F32&gt;'Equipment Data'!$H$43,"yes","No")</f>
        <v>yes</v>
      </c>
      <c r="K32" s="96">
        <v>0.67</v>
      </c>
      <c r="L32" s="96" t="s">
        <v>354</v>
      </c>
      <c r="M32" s="153">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96" t="s">
        <v>354</v>
      </c>
      <c r="O32" s="96" t="s">
        <v>354</v>
      </c>
      <c r="P32" s="149">
        <f>+'Equipment Data'!$F$45</f>
        <v>3.5</v>
      </c>
      <c r="Q32" s="150">
        <f t="shared" si="0"/>
        <v>5.9411161684304908E-22</v>
      </c>
      <c r="R32" s="97"/>
      <c r="S32" s="151"/>
      <c r="T32" s="104"/>
      <c r="U32" s="83"/>
      <c r="V32" s="83"/>
      <c r="W32" s="83"/>
      <c r="X32" s="83"/>
      <c r="CI32" s="83"/>
      <c r="CJ32" s="83"/>
      <c r="CK32" s="83"/>
      <c r="CL32" s="83"/>
      <c r="CM32" s="83"/>
      <c r="CN32" s="83"/>
      <c r="CO32" s="83"/>
    </row>
    <row r="33" spans="1:93" x14ac:dyDescent="0.3">
      <c r="A33" s="83"/>
      <c r="B33" s="103"/>
      <c r="C33" s="187"/>
      <c r="D33" s="203" t="s">
        <v>518</v>
      </c>
      <c r="E33" s="203" t="s">
        <v>41</v>
      </c>
      <c r="F33" s="96">
        <v>1</v>
      </c>
      <c r="G33" s="96" t="s">
        <v>354</v>
      </c>
      <c r="H33" s="96" t="s">
        <v>473</v>
      </c>
      <c r="I33" s="96" t="s">
        <v>354</v>
      </c>
      <c r="J33" s="96" t="str">
        <f>+IF(F33&gt;'Equipment Data'!$H$44,"yes","No")</f>
        <v>No</v>
      </c>
      <c r="K33" s="96">
        <v>0.67</v>
      </c>
      <c r="L33" s="96" t="s">
        <v>354</v>
      </c>
      <c r="M33" s="153">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96" t="s">
        <v>354</v>
      </c>
      <c r="O33" s="96" t="s">
        <v>354</v>
      </c>
      <c r="P33" s="149">
        <f>+'Equipment Data'!$F$46</f>
        <v>3.5</v>
      </c>
      <c r="Q33" s="150">
        <f t="shared" si="0"/>
        <v>1478.9995584854855</v>
      </c>
      <c r="R33" s="97"/>
      <c r="S33" s="151"/>
      <c r="T33" s="104"/>
      <c r="U33" s="83"/>
      <c r="V33" s="83"/>
      <c r="W33" s="83"/>
      <c r="X33" s="83"/>
      <c r="CI33" s="83"/>
      <c r="CJ33" s="83"/>
      <c r="CK33" s="83"/>
      <c r="CL33" s="83"/>
      <c r="CM33" s="83"/>
      <c r="CN33" s="83"/>
      <c r="CO33" s="83"/>
    </row>
    <row r="34" spans="1:93" x14ac:dyDescent="0.3">
      <c r="A34" s="83"/>
      <c r="B34" s="103"/>
      <c r="C34" s="195"/>
      <c r="D34" s="203" t="s">
        <v>518</v>
      </c>
      <c r="E34" s="203" t="s">
        <v>42</v>
      </c>
      <c r="F34" s="96">
        <v>1</v>
      </c>
      <c r="G34" s="96" t="s">
        <v>354</v>
      </c>
      <c r="H34" s="96" t="s">
        <v>473</v>
      </c>
      <c r="I34" s="96" t="s">
        <v>354</v>
      </c>
      <c r="J34" s="96" t="str">
        <f>+IF(F34&gt;'Equipment Data'!$H$45,"yes","No")</f>
        <v>No</v>
      </c>
      <c r="K34" s="96">
        <v>0.67</v>
      </c>
      <c r="L34" s="96" t="s">
        <v>354</v>
      </c>
      <c r="M34" s="153">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96" t="s">
        <v>354</v>
      </c>
      <c r="O34" s="96" t="s">
        <v>354</v>
      </c>
      <c r="P34" s="149">
        <f>+'Equipment Data'!$F$47</f>
        <v>2</v>
      </c>
      <c r="Q34" s="150">
        <f t="shared" si="0"/>
        <v>1160.192345045409</v>
      </c>
      <c r="R34" s="98"/>
      <c r="S34" s="175"/>
      <c r="T34" s="104"/>
      <c r="U34" s="83"/>
      <c r="V34" s="83"/>
      <c r="W34" s="83"/>
      <c r="X34" s="83"/>
      <c r="CI34" s="83"/>
      <c r="CJ34" s="83"/>
      <c r="CK34" s="83"/>
      <c r="CL34" s="83"/>
      <c r="CM34" s="83"/>
      <c r="CN34" s="83"/>
      <c r="CO34" s="83"/>
    </row>
    <row r="35" spans="1:93" x14ac:dyDescent="0.3">
      <c r="A35" s="83"/>
      <c r="B35" s="103"/>
      <c r="C35" s="254"/>
      <c r="D35" s="203" t="s">
        <v>246</v>
      </c>
      <c r="E35" s="203" t="s">
        <v>44</v>
      </c>
      <c r="F35" s="96">
        <v>1</v>
      </c>
      <c r="G35" s="96" t="s">
        <v>354</v>
      </c>
      <c r="H35" s="96" t="s">
        <v>352</v>
      </c>
      <c r="I35" s="96" t="s">
        <v>354</v>
      </c>
      <c r="J35" s="96" t="str">
        <f>+IF(F35&gt;'Equipment Data'!$G$2,"yes","No")</f>
        <v>yes</v>
      </c>
      <c r="K35" s="96">
        <v>0.67</v>
      </c>
      <c r="L35" s="96" t="s">
        <v>354</v>
      </c>
      <c r="M35" s="153">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96" t="s">
        <v>354</v>
      </c>
      <c r="O35" s="96" t="s">
        <v>354</v>
      </c>
      <c r="P35" s="149">
        <f>+'Equipment Data'!$H$52</f>
        <v>1.6</v>
      </c>
      <c r="Q35" s="150">
        <f>+M35*P35</f>
        <v>56405.30899134183</v>
      </c>
      <c r="R35" s="258"/>
      <c r="S35" s="264"/>
      <c r="T35" s="104"/>
      <c r="U35" s="83"/>
      <c r="V35" s="83"/>
      <c r="W35" s="83"/>
      <c r="X35" s="83"/>
      <c r="CI35" s="83"/>
      <c r="CJ35" s="83"/>
      <c r="CK35" s="83"/>
      <c r="CL35" s="83"/>
      <c r="CM35" s="83"/>
      <c r="CN35" s="83"/>
      <c r="CO35" s="83"/>
    </row>
    <row r="36" spans="1:93" x14ac:dyDescent="0.3">
      <c r="A36" s="83"/>
      <c r="B36" s="103"/>
      <c r="C36" s="255"/>
      <c r="D36" s="203" t="s">
        <v>246</v>
      </c>
      <c r="E36" s="203" t="s">
        <v>519</v>
      </c>
      <c r="F36" s="96">
        <v>1</v>
      </c>
      <c r="G36" s="96" t="s">
        <v>354</v>
      </c>
      <c r="H36" s="96" t="s">
        <v>352</v>
      </c>
      <c r="I36" s="96" t="s">
        <v>354</v>
      </c>
      <c r="J36" s="96" t="str">
        <f>+IF(F36&gt;'Equipment Data'!$G$3,"yes","No")</f>
        <v>No</v>
      </c>
      <c r="K36" s="96">
        <v>0.67</v>
      </c>
      <c r="L36" s="96" t="s">
        <v>354</v>
      </c>
      <c r="M36" s="153">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96" t="s">
        <v>354</v>
      </c>
      <c r="O36" s="96" t="s">
        <v>354</v>
      </c>
      <c r="P36" s="149">
        <f>+'Equipment Data'!$H$53</f>
        <v>1.25</v>
      </c>
      <c r="Q36" s="150">
        <f>+M36*P36</f>
        <v>4585.7461805167804</v>
      </c>
      <c r="R36" s="260"/>
      <c r="S36" s="265"/>
      <c r="T36" s="104"/>
      <c r="U36" s="83"/>
      <c r="V36" s="83"/>
      <c r="W36" s="83"/>
      <c r="X36" s="83"/>
      <c r="CI36" s="83"/>
      <c r="CJ36" s="83"/>
      <c r="CK36" s="83"/>
      <c r="CL36" s="83"/>
      <c r="CM36" s="83"/>
      <c r="CN36" s="83"/>
      <c r="CO36" s="83"/>
    </row>
    <row r="37" spans="1:93" x14ac:dyDescent="0.3">
      <c r="A37" s="83"/>
      <c r="B37" s="103"/>
      <c r="C37" s="255"/>
      <c r="D37" s="203" t="s">
        <v>246</v>
      </c>
      <c r="E37" s="203" t="s">
        <v>46</v>
      </c>
      <c r="F37" s="96">
        <v>1</v>
      </c>
      <c r="G37" s="96" t="s">
        <v>354</v>
      </c>
      <c r="H37" s="96" t="s">
        <v>352</v>
      </c>
      <c r="I37" s="96" t="s">
        <v>354</v>
      </c>
      <c r="J37" s="96" t="str">
        <f>+IF(F37&gt;'Equipment Data'!$G$4,"yes","No")</f>
        <v>No</v>
      </c>
      <c r="K37" s="96">
        <v>0.67</v>
      </c>
      <c r="L37" s="96" t="s">
        <v>354</v>
      </c>
      <c r="M37" s="153">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96" t="s">
        <v>354</v>
      </c>
      <c r="O37" s="96" t="s">
        <v>354</v>
      </c>
      <c r="P37" s="149">
        <f>+'Equipment Data'!$H$54</f>
        <v>1.25</v>
      </c>
      <c r="Q37" s="150">
        <f>+M37*P37</f>
        <v>6194.5535695287181</v>
      </c>
      <c r="R37" s="260"/>
      <c r="S37" s="265"/>
      <c r="T37" s="104"/>
      <c r="U37" s="83"/>
      <c r="V37" s="83"/>
      <c r="W37" s="83"/>
      <c r="X37" s="83"/>
      <c r="CI37" s="83"/>
      <c r="CJ37" s="83"/>
      <c r="CK37" s="83"/>
      <c r="CL37" s="83"/>
      <c r="CM37" s="83"/>
      <c r="CN37" s="83"/>
      <c r="CO37" s="83"/>
    </row>
    <row r="38" spans="1:93" x14ac:dyDescent="0.3">
      <c r="A38" s="83"/>
      <c r="B38" s="103"/>
      <c r="C38" s="189"/>
      <c r="D38" s="203" t="s">
        <v>521</v>
      </c>
      <c r="E38" s="203" t="s">
        <v>50</v>
      </c>
      <c r="F38" s="96">
        <v>1</v>
      </c>
      <c r="G38" s="96" t="s">
        <v>354</v>
      </c>
      <c r="H38" s="96" t="s">
        <v>351</v>
      </c>
      <c r="I38" s="96" t="s">
        <v>354</v>
      </c>
      <c r="J38" s="96" t="str">
        <f>+IF(F38&gt;'Equipment Data'!$G$59,"yes","No")</f>
        <v>No</v>
      </c>
      <c r="K38" s="96">
        <v>0.67</v>
      </c>
      <c r="L38" s="96" t="s">
        <v>354</v>
      </c>
      <c r="M38" s="153">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96" t="s">
        <v>354</v>
      </c>
      <c r="O38" s="96" t="s">
        <v>354</v>
      </c>
      <c r="P38" s="149">
        <f>+'Equipment Data'!$H$59</f>
        <v>2.86</v>
      </c>
      <c r="Q38" s="150">
        <f>+P38*M38</f>
        <v>90587.032520112072</v>
      </c>
      <c r="R38" s="148"/>
      <c r="S38" s="174"/>
      <c r="T38" s="104"/>
      <c r="U38" s="83"/>
      <c r="V38" s="83"/>
      <c r="W38" s="83"/>
      <c r="X38" s="83"/>
      <c r="CI38" s="83"/>
      <c r="CJ38" s="83"/>
      <c r="CK38" s="83"/>
      <c r="CL38" s="83"/>
      <c r="CM38" s="83"/>
      <c r="CN38" s="83"/>
      <c r="CO38" s="83"/>
    </row>
    <row r="39" spans="1:93" x14ac:dyDescent="0.3">
      <c r="A39" s="83"/>
      <c r="B39" s="103"/>
      <c r="C39" s="187"/>
      <c r="D39" s="203" t="s">
        <v>521</v>
      </c>
      <c r="E39" s="203" t="s">
        <v>520</v>
      </c>
      <c r="F39" s="96">
        <v>1</v>
      </c>
      <c r="G39" s="96" t="s">
        <v>354</v>
      </c>
      <c r="H39" s="96" t="s">
        <v>351</v>
      </c>
      <c r="I39" s="96" t="s">
        <v>354</v>
      </c>
      <c r="J39" s="96" t="str">
        <f>+IF(F39&gt;'Equipment Data'!$G$60,"yes","No")</f>
        <v>No</v>
      </c>
      <c r="K39" s="96">
        <v>0.67</v>
      </c>
      <c r="L39" s="96" t="s">
        <v>354</v>
      </c>
      <c r="M39" s="153">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96" t="s">
        <v>354</v>
      </c>
      <c r="O39" s="96" t="s">
        <v>354</v>
      </c>
      <c r="P39" s="149">
        <f>+'Equipment Data'!$H$60</f>
        <v>2.86</v>
      </c>
      <c r="Q39" s="150">
        <f>+P39*M39</f>
        <v>12194.557143342265</v>
      </c>
      <c r="R39" s="97"/>
      <c r="S39" s="151"/>
      <c r="T39" s="104"/>
      <c r="U39" s="83"/>
      <c r="V39" s="83"/>
      <c r="W39" s="83"/>
      <c r="X39" s="83"/>
      <c r="CI39" s="83"/>
      <c r="CJ39" s="83"/>
      <c r="CK39" s="83"/>
      <c r="CL39" s="83"/>
      <c r="CM39" s="83"/>
      <c r="CN39" s="83"/>
      <c r="CO39" s="83"/>
    </row>
    <row r="40" spans="1:93" x14ac:dyDescent="0.3">
      <c r="A40" s="83"/>
      <c r="B40" s="103"/>
      <c r="C40" s="187"/>
      <c r="D40" s="203" t="s">
        <v>521</v>
      </c>
      <c r="E40" s="203" t="s">
        <v>55</v>
      </c>
      <c r="F40" s="96">
        <v>1</v>
      </c>
      <c r="G40" s="96" t="s">
        <v>354</v>
      </c>
      <c r="H40" s="96" t="s">
        <v>351</v>
      </c>
      <c r="I40" s="96" t="s">
        <v>354</v>
      </c>
      <c r="J40" s="96" t="str">
        <f>+IF(F40&gt;'Equipment Data'!$G$64,"yes","No")</f>
        <v>No</v>
      </c>
      <c r="K40" s="96">
        <v>0.67</v>
      </c>
      <c r="L40" s="96" t="s">
        <v>354</v>
      </c>
      <c r="M40" s="153">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96" t="s">
        <v>354</v>
      </c>
      <c r="O40" s="96" t="s">
        <v>354</v>
      </c>
      <c r="P40" s="149">
        <f>+'Equipment Data'!$H$64</f>
        <v>2.86</v>
      </c>
      <c r="Q40" s="150">
        <f>+P40*M40</f>
        <v>12194.557143342265</v>
      </c>
      <c r="R40" s="97"/>
      <c r="S40" s="151"/>
      <c r="T40" s="104"/>
      <c r="U40" s="83"/>
      <c r="V40" s="83"/>
      <c r="W40" s="83"/>
      <c r="X40" s="83"/>
      <c r="CI40" s="83"/>
      <c r="CJ40" s="83"/>
      <c r="CK40" s="83"/>
      <c r="CL40" s="83"/>
      <c r="CM40" s="83"/>
      <c r="CN40" s="83"/>
      <c r="CO40" s="83"/>
    </row>
    <row r="41" spans="1:93" x14ac:dyDescent="0.3">
      <c r="A41" s="83"/>
      <c r="B41" s="103"/>
      <c r="C41" s="195"/>
      <c r="D41" s="203" t="s">
        <v>521</v>
      </c>
      <c r="E41" s="203" t="s">
        <v>56</v>
      </c>
      <c r="F41" s="96">
        <v>1</v>
      </c>
      <c r="G41" s="96" t="s">
        <v>354</v>
      </c>
      <c r="H41" s="96" t="s">
        <v>351</v>
      </c>
      <c r="I41" s="96" t="s">
        <v>354</v>
      </c>
      <c r="J41" s="96" t="str">
        <f>+IF(F41&gt;'Equipment Data'!$G$65,"yes","No")</f>
        <v>No</v>
      </c>
      <c r="K41" s="96">
        <v>0.67</v>
      </c>
      <c r="L41" s="96" t="s">
        <v>354</v>
      </c>
      <c r="M41" s="153">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96" t="s">
        <v>354</v>
      </c>
      <c r="O41" s="96" t="s">
        <v>354</v>
      </c>
      <c r="P41" s="149">
        <f>+'Equipment Data'!$H$65</f>
        <v>2.86</v>
      </c>
      <c r="Q41" s="150">
        <f>+P41*M41</f>
        <v>12194.557143342265</v>
      </c>
      <c r="R41" s="98"/>
      <c r="S41" s="175"/>
      <c r="T41" s="104"/>
      <c r="U41" s="83"/>
      <c r="V41" s="83"/>
      <c r="W41" s="83"/>
      <c r="X41" s="83"/>
      <c r="CI41" s="83"/>
      <c r="CJ41" s="83"/>
      <c r="CK41" s="83"/>
      <c r="CL41" s="83"/>
      <c r="CM41" s="83"/>
      <c r="CN41" s="83"/>
      <c r="CO41" s="83"/>
    </row>
    <row r="42" spans="1:93" x14ac:dyDescent="0.3">
      <c r="A42" s="83"/>
      <c r="B42" s="103"/>
      <c r="C42" s="254"/>
      <c r="D42" s="203" t="s">
        <v>248</v>
      </c>
      <c r="E42" s="203" t="s">
        <v>66</v>
      </c>
      <c r="F42" s="96">
        <v>1</v>
      </c>
      <c r="G42" s="96">
        <v>1</v>
      </c>
      <c r="H42" s="96" t="s">
        <v>473</v>
      </c>
      <c r="I42" s="96" t="s">
        <v>85</v>
      </c>
      <c r="J42" s="96" t="str">
        <f>+IF(F42&gt;'Equipment Data'!$O$70,"yes","No")</f>
        <v>No</v>
      </c>
      <c r="K42" s="96">
        <v>0.67</v>
      </c>
      <c r="L42" s="96" t="s">
        <v>354</v>
      </c>
      <c r="M42" s="153">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49">
        <f>+IF((G42/100)&gt;'Equipment Data'!$J$70,10^('Equipment Data'!$K$70+'Equipment Data'!$L$70*LOG10(G42)+'Equipment Data'!$M$70*LOG10(G42)*LOG10(G42)),1)</f>
        <v>1</v>
      </c>
      <c r="O42" s="96" t="s">
        <v>354</v>
      </c>
      <c r="P42" s="149">
        <f>+IF(I42="CS",'Equipment Data'!$F$70,IF(I42="SS",'Equipment Data'!$H$70,IF(I42="Ni",'Equipment Data'!$I$70,IF(I42="fiberglass",'Equipment Data'!$G$70,"N/A"))))</f>
        <v>2.74</v>
      </c>
      <c r="Q42" s="150">
        <f>+M42*N42*P42</f>
        <v>9480.9217640328061</v>
      </c>
      <c r="R42" s="258"/>
      <c r="S42" s="264"/>
      <c r="T42" s="104"/>
      <c r="U42" s="83"/>
      <c r="V42" s="83"/>
      <c r="W42" s="83"/>
      <c r="X42" s="83"/>
      <c r="CI42" s="83"/>
      <c r="CJ42" s="83"/>
      <c r="CK42" s="83"/>
      <c r="CL42" s="83"/>
      <c r="CM42" s="83"/>
      <c r="CN42" s="83"/>
      <c r="CO42" s="83"/>
    </row>
    <row r="43" spans="1:93" x14ac:dyDescent="0.3">
      <c r="A43" s="83"/>
      <c r="B43" s="103"/>
      <c r="C43" s="255"/>
      <c r="D43" s="203" t="s">
        <v>248</v>
      </c>
      <c r="E43" s="203" t="s">
        <v>67</v>
      </c>
      <c r="F43" s="96">
        <v>1</v>
      </c>
      <c r="G43" s="96">
        <v>1</v>
      </c>
      <c r="H43" s="96" t="s">
        <v>473</v>
      </c>
      <c r="I43" s="96" t="s">
        <v>85</v>
      </c>
      <c r="J43" s="96" t="str">
        <f>+IF(F43&gt;'Equipment Data'!$O$71,"yes","No")</f>
        <v>No</v>
      </c>
      <c r="K43" s="96">
        <v>0.67</v>
      </c>
      <c r="L43" s="96" t="s">
        <v>354</v>
      </c>
      <c r="M43" s="153">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49">
        <f>+IF((G43/100)&gt;'Equipment Data'!$J$71,10^('Equipment Data'!$K$71+'Equipment Data'!$L$71*LOG10(G43)+'Equipment Data'!$M$71*LOG10(G43)*LOG10(G43)),1)</f>
        <v>1</v>
      </c>
      <c r="O43" s="96" t="s">
        <v>354</v>
      </c>
      <c r="P43" s="149">
        <f>+IF(I43="CS",'Equipment Data'!$F$71,IF(I43="SS",'Equipment Data'!$H$71,IF(I43="Ni",'Equipment Data'!$I$71,IF(I43="fiberglass",'Equipment Data'!$G$71,"N/A"))))</f>
        <v>2.74</v>
      </c>
      <c r="Q43" s="150">
        <f>+M43*N43*P43</f>
        <v>6093.2719665874984</v>
      </c>
      <c r="R43" s="260"/>
      <c r="S43" s="265"/>
      <c r="T43" s="104"/>
      <c r="U43" s="83"/>
      <c r="V43" s="83"/>
      <c r="W43" s="83"/>
      <c r="X43" s="83"/>
      <c r="CI43" s="83"/>
      <c r="CJ43" s="83"/>
      <c r="CK43" s="83"/>
      <c r="CL43" s="83"/>
      <c r="CM43" s="83"/>
      <c r="CN43" s="83"/>
      <c r="CO43" s="83"/>
    </row>
    <row r="44" spans="1:93" x14ac:dyDescent="0.3">
      <c r="A44" s="83"/>
      <c r="B44" s="103"/>
      <c r="C44" s="255"/>
      <c r="D44" s="203" t="s">
        <v>248</v>
      </c>
      <c r="E44" s="203" t="s">
        <v>68</v>
      </c>
      <c r="F44" s="96">
        <v>1</v>
      </c>
      <c r="G44" s="96">
        <v>1</v>
      </c>
      <c r="H44" s="96" t="s">
        <v>473</v>
      </c>
      <c r="I44" s="96" t="s">
        <v>85</v>
      </c>
      <c r="J44" s="96" t="str">
        <f>+IF(F44&gt;'Equipment Data'!$O$72,"yes","No")</f>
        <v>No</v>
      </c>
      <c r="K44" s="96">
        <v>0.67</v>
      </c>
      <c r="L44" s="96" t="s">
        <v>354</v>
      </c>
      <c r="M44" s="153">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49">
        <f>+IF((G44/100)&gt;'Equipment Data'!$J$72,10^('Equipment Data'!$K$72+'Equipment Data'!$L$72*LOG10(G44)+'Equipment Data'!$M$72*LOG10(G44)*LOG10(G44)),1)</f>
        <v>1</v>
      </c>
      <c r="O44" s="96" t="s">
        <v>354</v>
      </c>
      <c r="P44" s="149">
        <f>+IF(I44="CS",'Equipment Data'!$F$72,IF(I44="SS",'Equipment Data'!$H$72,IF(I44="Ni",'Equipment Data'!$I$72,IF(I44="fiberglass",'Equipment Data'!$G$72,"N/A"))))</f>
        <v>2.74</v>
      </c>
      <c r="Q44" s="150">
        <f>+M44*N44*P44</f>
        <v>3014.0507653670466</v>
      </c>
      <c r="R44" s="260"/>
      <c r="S44" s="265"/>
      <c r="T44" s="104"/>
      <c r="U44" s="83"/>
      <c r="V44" s="83"/>
      <c r="W44" s="83"/>
      <c r="X44" s="83"/>
      <c r="CI44" s="83"/>
      <c r="CJ44" s="83"/>
      <c r="CK44" s="83"/>
      <c r="CL44" s="83"/>
      <c r="CM44" s="83"/>
      <c r="CN44" s="83"/>
      <c r="CO44" s="83"/>
    </row>
    <row r="45" spans="1:93" x14ac:dyDescent="0.3">
      <c r="A45" s="83"/>
      <c r="B45" s="103"/>
      <c r="C45" s="256"/>
      <c r="D45" s="203" t="s">
        <v>248</v>
      </c>
      <c r="E45" s="203" t="s">
        <v>69</v>
      </c>
      <c r="F45" s="96">
        <v>1</v>
      </c>
      <c r="G45" s="96">
        <v>1</v>
      </c>
      <c r="H45" s="96" t="s">
        <v>473</v>
      </c>
      <c r="I45" s="96" t="s">
        <v>85</v>
      </c>
      <c r="J45" s="96" t="str">
        <f>+IF(F45&gt;'Equipment Data'!$O$73,"yes","No")</f>
        <v>No</v>
      </c>
      <c r="K45" s="96">
        <v>0.67</v>
      </c>
      <c r="L45" s="96" t="s">
        <v>354</v>
      </c>
      <c r="M45" s="153">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49">
        <f>+IF((G45/100)&gt;'Equipment Data'!$J$73,10^('Equipment Data'!$K$73+'Equipment Data'!$L$73*LOG10(G45)+'Equipment Data'!$M$73*LOG10(G45)*LOG10(G45)),1)</f>
        <v>1</v>
      </c>
      <c r="O45" s="96" t="s">
        <v>354</v>
      </c>
      <c r="P45" s="149">
        <f>+IF(I45="CS",'Equipment Data'!$F$73,IF(I45="SS",'Equipment Data'!$H$73,IF(I45="Ni",'Equipment Data'!$I$73,IF(I45="fiberglass",'Equipment Data'!$G$73,"N/A"))))</f>
        <v>2.74</v>
      </c>
      <c r="Q45" s="150">
        <f>+M45*N45*P45</f>
        <v>4110.0827218492996</v>
      </c>
      <c r="R45" s="260"/>
      <c r="S45" s="265"/>
      <c r="T45" s="104"/>
      <c r="U45" s="83"/>
      <c r="V45" s="83"/>
      <c r="W45" s="83"/>
      <c r="X45" s="83"/>
      <c r="CI45" s="83"/>
      <c r="CJ45" s="83"/>
      <c r="CK45" s="83"/>
      <c r="CL45" s="83"/>
      <c r="CM45" s="83"/>
      <c r="CN45" s="83"/>
      <c r="CO45" s="83"/>
    </row>
    <row r="46" spans="1:93" x14ac:dyDescent="0.3">
      <c r="A46" s="83"/>
      <c r="B46" s="103"/>
      <c r="C46" s="189"/>
      <c r="D46" s="203" t="s">
        <v>522</v>
      </c>
      <c r="E46" s="203" t="s">
        <v>71</v>
      </c>
      <c r="F46" s="96">
        <v>1</v>
      </c>
      <c r="G46" s="96" t="s">
        <v>354</v>
      </c>
      <c r="H46" s="96" t="s">
        <v>352</v>
      </c>
      <c r="I46" s="96" t="s">
        <v>354</v>
      </c>
      <c r="J46" s="96" t="str">
        <f>+IF(F46&gt;'Equipment Data'!$G$78,"yes","No")</f>
        <v>No</v>
      </c>
      <c r="K46" s="96">
        <v>0.67</v>
      </c>
      <c r="L46" s="96" t="s">
        <v>354</v>
      </c>
      <c r="M46" s="153">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96" t="s">
        <v>354</v>
      </c>
      <c r="O46" s="96" t="s">
        <v>354</v>
      </c>
      <c r="P46" s="149">
        <f>+'Equipment Data'!$H$78</f>
        <v>1.65</v>
      </c>
      <c r="Q46" s="150">
        <f>+M46*P46</f>
        <v>210370.06649071307</v>
      </c>
      <c r="R46" s="148"/>
      <c r="S46" s="174"/>
      <c r="T46" s="104"/>
      <c r="U46" s="83"/>
      <c r="V46" s="83"/>
      <c r="W46" s="83"/>
      <c r="X46" s="83"/>
      <c r="CI46" s="83"/>
      <c r="CJ46" s="83"/>
      <c r="CK46" s="83"/>
      <c r="CL46" s="83"/>
      <c r="CM46" s="83"/>
      <c r="CN46" s="83"/>
      <c r="CO46" s="83"/>
    </row>
    <row r="47" spans="1:93" ht="13.2" customHeight="1" x14ac:dyDescent="0.3">
      <c r="A47" s="83"/>
      <c r="B47" s="103"/>
      <c r="C47" s="187"/>
      <c r="D47" s="203" t="s">
        <v>522</v>
      </c>
      <c r="E47" s="203" t="s">
        <v>72</v>
      </c>
      <c r="F47" s="96">
        <v>1</v>
      </c>
      <c r="G47" s="96" t="s">
        <v>354</v>
      </c>
      <c r="H47" s="96" t="s">
        <v>352</v>
      </c>
      <c r="I47" s="96" t="s">
        <v>354</v>
      </c>
      <c r="J47" s="96" t="str">
        <f>+IF(F47&gt;'Equipment Data'!$G$79,"yes","No")</f>
        <v>No</v>
      </c>
      <c r="K47" s="96">
        <v>0.67</v>
      </c>
      <c r="L47" s="96" t="s">
        <v>354</v>
      </c>
      <c r="M47" s="153">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96" t="s">
        <v>354</v>
      </c>
      <c r="O47" s="96" t="s">
        <v>354</v>
      </c>
      <c r="P47" s="149">
        <f>+'Equipment Data'!$H$79</f>
        <v>1.65</v>
      </c>
      <c r="Q47" s="150">
        <f t="shared" ref="Q47:Q54" si="1">+M47*P47</f>
        <v>2680.3033194193504</v>
      </c>
      <c r="R47" s="97"/>
      <c r="S47" s="151"/>
      <c r="T47" s="104"/>
      <c r="U47" s="83"/>
      <c r="V47" s="83"/>
      <c r="W47" s="83"/>
      <c r="X47" s="83"/>
      <c r="CI47" s="83"/>
      <c r="CJ47" s="83"/>
      <c r="CK47" s="83"/>
      <c r="CL47" s="83"/>
      <c r="CM47" s="83"/>
      <c r="CN47" s="83"/>
      <c r="CO47" s="83"/>
    </row>
    <row r="48" spans="1:93" ht="13.2" customHeight="1" x14ac:dyDescent="0.3">
      <c r="A48" s="83"/>
      <c r="B48" s="103"/>
      <c r="C48" s="187"/>
      <c r="D48" s="203" t="s">
        <v>522</v>
      </c>
      <c r="E48" s="203" t="s">
        <v>73</v>
      </c>
      <c r="F48" s="96">
        <v>1</v>
      </c>
      <c r="G48" s="96" t="s">
        <v>354</v>
      </c>
      <c r="H48" s="96" t="s">
        <v>352</v>
      </c>
      <c r="I48" s="96" t="s">
        <v>354</v>
      </c>
      <c r="J48" s="96" t="str">
        <f>+IF(F48&gt;'Equipment Data'!$G$80,"yes","No")</f>
        <v>No</v>
      </c>
      <c r="K48" s="96">
        <v>0.67</v>
      </c>
      <c r="L48" s="96" t="s">
        <v>354</v>
      </c>
      <c r="M48" s="153">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96" t="s">
        <v>354</v>
      </c>
      <c r="O48" s="96" t="s">
        <v>354</v>
      </c>
      <c r="P48" s="149">
        <f>+'Equipment Data'!$H$80</f>
        <v>1.65</v>
      </c>
      <c r="Q48" s="150">
        <f t="shared" si="1"/>
        <v>107098.63710675374</v>
      </c>
      <c r="R48" s="97"/>
      <c r="S48" s="151"/>
      <c r="T48" s="104"/>
      <c r="U48" s="83"/>
      <c r="V48" s="83"/>
      <c r="W48" s="83"/>
      <c r="X48" s="83"/>
      <c r="CI48" s="83"/>
      <c r="CJ48" s="83"/>
      <c r="CK48" s="83"/>
      <c r="CL48" s="83"/>
      <c r="CM48" s="83"/>
      <c r="CN48" s="83"/>
      <c r="CO48" s="83"/>
    </row>
    <row r="49" spans="1:93" ht="13.2" customHeight="1" x14ac:dyDescent="0.3">
      <c r="A49" s="83"/>
      <c r="B49" s="103"/>
      <c r="C49" s="187"/>
      <c r="D49" s="203" t="s">
        <v>522</v>
      </c>
      <c r="E49" s="203" t="s">
        <v>74</v>
      </c>
      <c r="F49" s="96">
        <v>1</v>
      </c>
      <c r="G49" s="96" t="s">
        <v>354</v>
      </c>
      <c r="H49" s="96" t="s">
        <v>352</v>
      </c>
      <c r="I49" s="96" t="s">
        <v>354</v>
      </c>
      <c r="J49" s="96" t="str">
        <f>+IF(F49&gt;'Equipment Data'!$G$81,"yes","No")</f>
        <v>No</v>
      </c>
      <c r="K49" s="96">
        <v>0.67</v>
      </c>
      <c r="L49" s="96" t="s">
        <v>354</v>
      </c>
      <c r="M49" s="153">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96" t="s">
        <v>354</v>
      </c>
      <c r="O49" s="96" t="s">
        <v>354</v>
      </c>
      <c r="P49" s="149">
        <f>+'Equipment Data'!$H$81</f>
        <v>1.65</v>
      </c>
      <c r="Q49" s="150">
        <f t="shared" si="1"/>
        <v>31123.178548292599</v>
      </c>
      <c r="R49" s="97"/>
      <c r="S49" s="151"/>
      <c r="T49" s="104"/>
      <c r="U49" s="83"/>
      <c r="V49" s="83"/>
      <c r="W49" s="83"/>
      <c r="X49" s="83"/>
      <c r="CI49" s="83"/>
      <c r="CJ49" s="83"/>
      <c r="CK49" s="83"/>
      <c r="CL49" s="83"/>
      <c r="CM49" s="83"/>
      <c r="CN49" s="83"/>
      <c r="CO49" s="83"/>
    </row>
    <row r="50" spans="1:93" ht="13.2" customHeight="1" x14ac:dyDescent="0.3">
      <c r="A50" s="83"/>
      <c r="B50" s="103"/>
      <c r="C50" s="187"/>
      <c r="D50" s="203" t="s">
        <v>522</v>
      </c>
      <c r="E50" s="203" t="s">
        <v>75</v>
      </c>
      <c r="F50" s="96">
        <v>1</v>
      </c>
      <c r="G50" s="96" t="s">
        <v>354</v>
      </c>
      <c r="H50" s="96" t="s">
        <v>352</v>
      </c>
      <c r="I50" s="96" t="s">
        <v>354</v>
      </c>
      <c r="J50" s="96" t="str">
        <f>+IF(F50&gt;'Equipment Data'!$G$82,"yes","No")</f>
        <v>No</v>
      </c>
      <c r="K50" s="96">
        <v>0.67</v>
      </c>
      <c r="L50" s="96" t="s">
        <v>354</v>
      </c>
      <c r="M50" s="153">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96" t="s">
        <v>354</v>
      </c>
      <c r="O50" s="96" t="s">
        <v>354</v>
      </c>
      <c r="P50" s="149">
        <f>+'Equipment Data'!$H$82</f>
        <v>1.65</v>
      </c>
      <c r="Q50" s="150">
        <f t="shared" si="1"/>
        <v>10868.858736151833</v>
      </c>
      <c r="R50" s="97"/>
      <c r="S50" s="151"/>
      <c r="T50" s="104"/>
      <c r="U50" s="83"/>
      <c r="V50" s="83"/>
      <c r="W50" s="83"/>
      <c r="X50" s="83"/>
      <c r="CI50" s="83"/>
      <c r="CJ50" s="83"/>
      <c r="CK50" s="83"/>
      <c r="CL50" s="83"/>
      <c r="CM50" s="83"/>
      <c r="CN50" s="83"/>
      <c r="CO50" s="83"/>
    </row>
    <row r="51" spans="1:93" ht="13.2" customHeight="1" x14ac:dyDescent="0.3">
      <c r="A51" s="83"/>
      <c r="B51" s="103"/>
      <c r="C51" s="187"/>
      <c r="D51" s="203" t="s">
        <v>522</v>
      </c>
      <c r="E51" s="203" t="s">
        <v>76</v>
      </c>
      <c r="F51" s="96">
        <v>1</v>
      </c>
      <c r="G51" s="96" t="s">
        <v>354</v>
      </c>
      <c r="H51" s="96" t="s">
        <v>352</v>
      </c>
      <c r="I51" s="96" t="s">
        <v>354</v>
      </c>
      <c r="J51" s="96" t="str">
        <f>+IF(F51&gt;'Equipment Data'!$G$83,"yes","No")</f>
        <v>No</v>
      </c>
      <c r="K51" s="96">
        <v>0.67</v>
      </c>
      <c r="L51" s="96" t="s">
        <v>354</v>
      </c>
      <c r="M51" s="153">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96" t="s">
        <v>354</v>
      </c>
      <c r="O51" s="96" t="s">
        <v>354</v>
      </c>
      <c r="P51" s="149">
        <f>+'Equipment Data'!$H$83</f>
        <v>1.65</v>
      </c>
      <c r="Q51" s="150">
        <f t="shared" si="1"/>
        <v>107098.63710675374</v>
      </c>
      <c r="R51" s="97"/>
      <c r="S51" s="151"/>
      <c r="T51" s="104"/>
      <c r="U51" s="83"/>
      <c r="V51" s="83"/>
      <c r="W51" s="83"/>
      <c r="X51" s="1"/>
      <c r="CI51" s="83"/>
      <c r="CJ51" s="83"/>
      <c r="CK51" s="83"/>
      <c r="CL51" s="83"/>
      <c r="CM51" s="83"/>
      <c r="CN51" s="83"/>
      <c r="CO51" s="83"/>
    </row>
    <row r="52" spans="1:93" ht="13.2" customHeight="1" x14ac:dyDescent="0.3">
      <c r="A52" s="83"/>
      <c r="B52" s="103"/>
      <c r="C52" s="187"/>
      <c r="D52" s="203" t="s">
        <v>522</v>
      </c>
      <c r="E52" s="203" t="s">
        <v>77</v>
      </c>
      <c r="F52" s="96">
        <v>1</v>
      </c>
      <c r="G52" s="96" t="s">
        <v>354</v>
      </c>
      <c r="H52" s="96" t="s">
        <v>352</v>
      </c>
      <c r="I52" s="96" t="s">
        <v>354</v>
      </c>
      <c r="J52" s="96" t="str">
        <f>+IF(F52&gt;'Equipment Data'!$G$84,"yes","No")</f>
        <v>No</v>
      </c>
      <c r="K52" s="96">
        <v>0.67</v>
      </c>
      <c r="L52" s="96" t="s">
        <v>354</v>
      </c>
      <c r="M52" s="153">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96" t="s">
        <v>354</v>
      </c>
      <c r="O52" s="96" t="s">
        <v>354</v>
      </c>
      <c r="P52" s="149">
        <f>+'Equipment Data'!$H$84</f>
        <v>1.8</v>
      </c>
      <c r="Q52" s="150">
        <f t="shared" si="1"/>
        <v>33952.558416319203</v>
      </c>
      <c r="R52" s="97"/>
      <c r="S52" s="151"/>
      <c r="T52" s="104"/>
      <c r="U52" s="83"/>
      <c r="V52" s="83"/>
      <c r="W52" s="83"/>
      <c r="X52" s="1"/>
      <c r="CI52" s="83"/>
      <c r="CJ52" s="83"/>
      <c r="CK52" s="83"/>
      <c r="CL52" s="83"/>
      <c r="CM52" s="83"/>
      <c r="CN52" s="83"/>
      <c r="CO52" s="83"/>
    </row>
    <row r="53" spans="1:93" ht="13.2" customHeight="1" x14ac:dyDescent="0.3">
      <c r="A53" s="83"/>
      <c r="B53" s="103"/>
      <c r="C53" s="187"/>
      <c r="D53" s="203" t="s">
        <v>522</v>
      </c>
      <c r="E53" s="203" t="s">
        <v>78</v>
      </c>
      <c r="F53" s="96">
        <v>1</v>
      </c>
      <c r="G53" s="96" t="s">
        <v>354</v>
      </c>
      <c r="H53" s="96" t="s">
        <v>352</v>
      </c>
      <c r="I53" s="96" t="s">
        <v>354</v>
      </c>
      <c r="J53" s="96" t="str">
        <f>+IF(F53&gt;'Equipment Data'!$G$85,"yes","No")</f>
        <v>No</v>
      </c>
      <c r="K53" s="96">
        <v>0.67</v>
      </c>
      <c r="L53" s="96" t="s">
        <v>354</v>
      </c>
      <c r="M53" s="153">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96" t="s">
        <v>354</v>
      </c>
      <c r="O53" s="96" t="s">
        <v>354</v>
      </c>
      <c r="P53" s="149">
        <f>+'Equipment Data'!$H$85</f>
        <v>1.65</v>
      </c>
      <c r="Q53" s="150">
        <f t="shared" si="1"/>
        <v>210370.06649071307</v>
      </c>
      <c r="R53" s="97"/>
      <c r="S53" s="151"/>
      <c r="T53" s="104"/>
      <c r="U53" s="83"/>
      <c r="V53" s="83"/>
      <c r="W53" s="83"/>
      <c r="X53" s="1"/>
      <c r="CI53" s="83"/>
      <c r="CJ53" s="83"/>
      <c r="CK53" s="83"/>
      <c r="CL53" s="83"/>
      <c r="CM53" s="83"/>
      <c r="CN53" s="83"/>
      <c r="CO53" s="83"/>
    </row>
    <row r="54" spans="1:93" ht="13.2" customHeight="1" x14ac:dyDescent="0.3">
      <c r="A54" s="83"/>
      <c r="B54" s="103"/>
      <c r="C54" s="195"/>
      <c r="D54" s="203" t="s">
        <v>522</v>
      </c>
      <c r="E54" s="203" t="s">
        <v>79</v>
      </c>
      <c r="F54" s="96">
        <v>1</v>
      </c>
      <c r="G54" s="96" t="s">
        <v>354</v>
      </c>
      <c r="H54" s="96" t="s">
        <v>352</v>
      </c>
      <c r="I54" s="96" t="s">
        <v>354</v>
      </c>
      <c r="J54" s="96" t="str">
        <f>+IF(F54&gt;'Equipment Data'!$G$86,"yes","No")</f>
        <v>No</v>
      </c>
      <c r="K54" s="96">
        <v>0.67</v>
      </c>
      <c r="L54" s="96" t="s">
        <v>354</v>
      </c>
      <c r="M54" s="153">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96" t="s">
        <v>354</v>
      </c>
      <c r="O54" s="96" t="s">
        <v>354</v>
      </c>
      <c r="P54" s="149">
        <f>+'Equipment Data'!$H$86</f>
        <v>1.54</v>
      </c>
      <c r="Q54" s="150">
        <f t="shared" si="1"/>
        <v>196345.39539133222</v>
      </c>
      <c r="R54" s="98"/>
      <c r="S54" s="175"/>
      <c r="T54" s="104"/>
      <c r="U54" s="83"/>
      <c r="V54" s="83"/>
      <c r="W54" s="83"/>
      <c r="X54" s="1"/>
      <c r="CI54" s="83"/>
      <c r="CJ54" s="83"/>
      <c r="CK54" s="83"/>
      <c r="CL54" s="83"/>
      <c r="CM54" s="83"/>
      <c r="CN54" s="83"/>
      <c r="CO54" s="83"/>
    </row>
    <row r="55" spans="1:93" ht="13.2" customHeight="1" x14ac:dyDescent="0.3">
      <c r="A55" s="83"/>
      <c r="B55" s="103"/>
      <c r="C55" s="254"/>
      <c r="D55" s="203" t="s">
        <v>523</v>
      </c>
      <c r="E55" s="203" t="s">
        <v>88</v>
      </c>
      <c r="F55" s="96">
        <v>1</v>
      </c>
      <c r="G55" s="96">
        <v>1</v>
      </c>
      <c r="H55" s="96" t="s">
        <v>473</v>
      </c>
      <c r="I55" s="96" t="s">
        <v>85</v>
      </c>
      <c r="J55" s="96" t="str">
        <f>+IF(F55&gt;'Equipment Data'!$G$92,"yes","No")</f>
        <v>No</v>
      </c>
      <c r="K55" s="96">
        <v>0.67</v>
      </c>
      <c r="L55" s="96" t="s">
        <v>354</v>
      </c>
      <c r="M55" s="153">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49">
        <f>+IF(G55-1.01325&gt;10,10^('Equipment Data'!$I$92+LOG10(G55-1.01325)*'Equipment Data'!$J$92+'Equipment Data'!$K$92*LOG10(G55-1.01325)*LOG10(G55-1.01325)),1)</f>
        <v>1</v>
      </c>
      <c r="O55" s="252"/>
      <c r="P55" s="149">
        <f>+IF(I55="CS",'Equipment Data'!$L$92,IF(I55="Alloy Steel",'Equipment Data'!$M$92,IF(I55="SS",'Equipment Data'!$N$92,"N/A")))</f>
        <v>2.13</v>
      </c>
      <c r="Q55" s="150">
        <f t="shared" ref="Q55:Q60" si="2">+M55*N55*P55</f>
        <v>2491.0337028723284</v>
      </c>
      <c r="R55" s="258"/>
      <c r="S55" s="264"/>
      <c r="T55" s="104"/>
      <c r="U55" s="83"/>
      <c r="V55" s="83"/>
      <c r="W55" s="83"/>
      <c r="X55" s="1"/>
      <c r="CI55" s="83"/>
      <c r="CJ55" s="83"/>
      <c r="CK55" s="83"/>
      <c r="CL55" s="83"/>
      <c r="CM55" s="83"/>
      <c r="CN55" s="83"/>
      <c r="CO55" s="83"/>
    </row>
    <row r="56" spans="1:93" ht="13.2" customHeight="1" x14ac:dyDescent="0.3">
      <c r="A56" s="83"/>
      <c r="B56" s="103"/>
      <c r="C56" s="255"/>
      <c r="D56" s="203" t="s">
        <v>523</v>
      </c>
      <c r="E56" s="203" t="s">
        <v>524</v>
      </c>
      <c r="F56" s="96">
        <v>1</v>
      </c>
      <c r="G56" s="96">
        <v>1</v>
      </c>
      <c r="H56" s="96" t="s">
        <v>473</v>
      </c>
      <c r="I56" s="96" t="s">
        <v>85</v>
      </c>
      <c r="J56" s="96" t="str">
        <f>+IF(F56&gt;'Equipment Data'!$G$93,"yes","No")</f>
        <v>No</v>
      </c>
      <c r="K56" s="96">
        <v>0.67</v>
      </c>
      <c r="L56" s="96" t="s">
        <v>354</v>
      </c>
      <c r="M56" s="153">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49">
        <f>+IF(G56-1.01325&gt;10,10^('Equipment Data'!$I$93+LOG10(G56-1.01325)*'Equipment Data'!$J$93+'Equipment Data'!$K$93*LOG10(G56-1.01325)*LOG10(G56-1.01325)),1)</f>
        <v>1</v>
      </c>
      <c r="O56" s="150" t="s">
        <v>354</v>
      </c>
      <c r="P56" s="149">
        <f>+IF(I56="CS",'Equipment Data'!$L$93,IF(I56="Alloy Steel",'Equipment Data'!$M$93,IF(I56="SS",'Equipment Data'!$N$93,"N/A")))</f>
        <v>2.13</v>
      </c>
      <c r="Q56" s="150">
        <f t="shared" si="2"/>
        <v>517.94018006756983</v>
      </c>
      <c r="R56" s="260"/>
      <c r="S56" s="265"/>
      <c r="T56" s="104"/>
      <c r="U56" s="83"/>
      <c r="V56" s="83"/>
      <c r="W56" s="83"/>
      <c r="X56" s="1"/>
      <c r="CI56" s="83"/>
      <c r="CJ56" s="83"/>
      <c r="CK56" s="83"/>
      <c r="CL56" s="83"/>
      <c r="CM56" s="83"/>
      <c r="CN56" s="83"/>
      <c r="CO56" s="83"/>
    </row>
    <row r="57" spans="1:93" ht="13.2" customHeight="1" x14ac:dyDescent="0.3">
      <c r="A57" s="83"/>
      <c r="B57" s="103"/>
      <c r="C57" s="255"/>
      <c r="D57" s="203" t="s">
        <v>523</v>
      </c>
      <c r="E57" s="203" t="s">
        <v>91</v>
      </c>
      <c r="F57" s="96">
        <v>1</v>
      </c>
      <c r="G57" s="96">
        <v>1</v>
      </c>
      <c r="H57" s="96" t="s">
        <v>473</v>
      </c>
      <c r="I57" s="96" t="s">
        <v>85</v>
      </c>
      <c r="J57" s="96" t="str">
        <f>+IF(F57&gt;'Equipment Data'!$G$94,"yes","No")</f>
        <v>yes</v>
      </c>
      <c r="K57" s="96">
        <v>0.67</v>
      </c>
      <c r="L57" s="96" t="s">
        <v>354</v>
      </c>
      <c r="M57" s="153">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49">
        <f>+IF(G57-1.01325&gt;10,10^('Equipment Data'!$I$97+LOG10(G57-1.01325)*'Equipment Data'!$J$97+'Equipment Data'!$K$97*LOG10(G57-1.01325)*LOG10(G57-1.01325)),1)</f>
        <v>1</v>
      </c>
      <c r="O57" s="150" t="s">
        <v>354</v>
      </c>
      <c r="P57" s="149">
        <f>+IF(I57="CS",'Equipment Data'!$L$97,IF(I57="Alloy Steel",'Equipment Data'!$M$97,IF(I57="SS",'Equipment Data'!$N$97,"N/A")))</f>
        <v>2.13</v>
      </c>
      <c r="Q57" s="150">
        <f t="shared" si="2"/>
        <v>47553184.252436623</v>
      </c>
      <c r="R57" s="260"/>
      <c r="S57" s="265"/>
      <c r="T57" s="104"/>
      <c r="U57" s="83"/>
      <c r="V57" s="83"/>
      <c r="W57" s="83"/>
      <c r="X57" s="1"/>
      <c r="CI57" s="83"/>
      <c r="CJ57" s="83"/>
      <c r="CK57" s="83"/>
      <c r="CL57" s="83"/>
      <c r="CM57" s="83"/>
      <c r="CN57" s="83"/>
      <c r="CO57" s="83"/>
    </row>
    <row r="58" spans="1:93" ht="13.2" customHeight="1" x14ac:dyDescent="0.3">
      <c r="A58" s="83"/>
      <c r="B58" s="103"/>
      <c r="C58" s="255"/>
      <c r="D58" s="203" t="s">
        <v>523</v>
      </c>
      <c r="E58" s="203" t="s">
        <v>98</v>
      </c>
      <c r="F58" s="96">
        <v>1</v>
      </c>
      <c r="G58" s="96">
        <v>1</v>
      </c>
      <c r="H58" s="96" t="s">
        <v>473</v>
      </c>
      <c r="I58" s="96" t="s">
        <v>354</v>
      </c>
      <c r="J58" s="96" t="str">
        <f>+IF(F58&gt;'Equipment Data'!$G$95,"yes","No")</f>
        <v>yes</v>
      </c>
      <c r="K58" s="96">
        <v>0.67</v>
      </c>
      <c r="L58" s="96" t="s">
        <v>354</v>
      </c>
      <c r="M58" s="153">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49">
        <f>+IF(G58-1.01325&gt;10,10^('Equipment Data'!$I$102+LOG10(G58-1.01325)*'Equipment Data'!$J$102+'Equipment Data'!$K$102*LOG10(G58-1.01325)*LOG10(G58-1.01325)),1)</f>
        <v>1</v>
      </c>
      <c r="O58" s="150" t="s">
        <v>354</v>
      </c>
      <c r="P58" s="149">
        <f>+'Equipment Data'!$L$102</f>
        <v>2.17</v>
      </c>
      <c r="Q58" s="150">
        <f t="shared" si="2"/>
        <v>262.63931308077269</v>
      </c>
      <c r="R58" s="260"/>
      <c r="S58" s="265"/>
      <c r="T58" s="104"/>
      <c r="U58" s="83"/>
      <c r="V58" s="83"/>
      <c r="W58" s="83"/>
      <c r="X58" s="1"/>
      <c r="CI58" s="83"/>
      <c r="CJ58" s="83"/>
      <c r="CK58" s="83"/>
      <c r="CL58" s="83"/>
      <c r="CM58" s="83"/>
      <c r="CN58" s="83"/>
      <c r="CO58" s="83"/>
    </row>
    <row r="59" spans="1:93" ht="13.2" customHeight="1" x14ac:dyDescent="0.3">
      <c r="A59" s="83"/>
      <c r="B59" s="103"/>
      <c r="C59" s="255"/>
      <c r="D59" s="203" t="s">
        <v>523</v>
      </c>
      <c r="E59" s="203" t="s">
        <v>99</v>
      </c>
      <c r="F59" s="96">
        <v>1</v>
      </c>
      <c r="G59" s="96">
        <v>1</v>
      </c>
      <c r="H59" s="96" t="s">
        <v>473</v>
      </c>
      <c r="I59" s="96" t="s">
        <v>354</v>
      </c>
      <c r="J59" s="96" t="str">
        <f>+IF(F59&gt;'Equipment Data'!$G$96,"yes","No")</f>
        <v>No</v>
      </c>
      <c r="K59" s="96">
        <v>0.67</v>
      </c>
      <c r="L59" s="96" t="s">
        <v>354</v>
      </c>
      <c r="M59" s="153">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49">
        <f>+IF(G59-1.01325&gt;10,10^('Equipment Data'!$I$103+LOG10(G59-1.01325)*'Equipment Data'!$J$103+'Equipment Data'!$K$103*LOG10(G59-1.01325)*LOG10(G59-1.01325)),1)</f>
        <v>1</v>
      </c>
      <c r="O59" s="150" t="s">
        <v>354</v>
      </c>
      <c r="P59" s="149">
        <f>+'Equipment Data'!$L$103</f>
        <v>2.17</v>
      </c>
      <c r="Q59" s="150">
        <f t="shared" si="2"/>
        <v>34.22628275223952</v>
      </c>
      <c r="R59" s="260"/>
      <c r="S59" s="265"/>
      <c r="T59" s="104"/>
      <c r="U59" s="83"/>
      <c r="V59" s="83"/>
      <c r="W59" s="83"/>
      <c r="X59" s="1"/>
      <c r="CI59" s="83"/>
      <c r="CJ59" s="83"/>
      <c r="CK59" s="83"/>
      <c r="CL59" s="83"/>
      <c r="CM59" s="83"/>
      <c r="CN59" s="83"/>
      <c r="CO59" s="83"/>
    </row>
    <row r="60" spans="1:93" x14ac:dyDescent="0.3">
      <c r="A60" s="83"/>
      <c r="B60" s="103"/>
      <c r="C60" s="255"/>
      <c r="D60" s="203" t="s">
        <v>523</v>
      </c>
      <c r="E60" s="203" t="s">
        <v>100</v>
      </c>
      <c r="F60" s="96">
        <v>1</v>
      </c>
      <c r="G60" s="96">
        <v>1</v>
      </c>
      <c r="H60" s="96" t="s">
        <v>473</v>
      </c>
      <c r="I60" s="96" t="s">
        <v>354</v>
      </c>
      <c r="J60" s="96" t="str">
        <f>+IF(F60&gt;'Equipment Data'!$G$97,"yes","No")</f>
        <v>No</v>
      </c>
      <c r="K60" s="96">
        <v>0.67</v>
      </c>
      <c r="L60" s="96" t="s">
        <v>354</v>
      </c>
      <c r="M60" s="153">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49">
        <f>+IF(G60-1.01325&gt;10,10^('Equipment Data'!$I$104+LOG10(G60-1.01325)*'Equipment Data'!$J$104+'Equipment Data'!$K$104*LOG10(G60-1.01325)*LOG10(G60-1.01325)),1)</f>
        <v>1</v>
      </c>
      <c r="O60" s="150" t="s">
        <v>354</v>
      </c>
      <c r="P60" s="149">
        <f>+'Equipment Data'!$L$104</f>
        <v>2.17</v>
      </c>
      <c r="Q60" s="150">
        <f t="shared" si="2"/>
        <v>397.42916461151316</v>
      </c>
      <c r="R60" s="260"/>
      <c r="S60" s="265"/>
      <c r="T60" s="104"/>
      <c r="U60" s="83"/>
      <c r="V60" s="83"/>
      <c r="W60" s="83"/>
      <c r="X60" s="1"/>
      <c r="CI60" s="83"/>
      <c r="CJ60" s="83"/>
      <c r="CK60" s="83"/>
      <c r="CL60" s="83"/>
      <c r="CM60" s="83"/>
      <c r="CN60" s="83"/>
      <c r="CO60" s="83"/>
    </row>
    <row r="61" spans="1:93" x14ac:dyDescent="0.3">
      <c r="A61" s="83"/>
      <c r="B61" s="103"/>
      <c r="C61" s="255"/>
      <c r="D61" s="203" t="s">
        <v>523</v>
      </c>
      <c r="E61" s="203" t="s">
        <v>101</v>
      </c>
      <c r="F61" s="96">
        <v>1</v>
      </c>
      <c r="G61" s="96">
        <v>1</v>
      </c>
      <c r="H61" s="96" t="s">
        <v>473</v>
      </c>
      <c r="I61" s="96" t="s">
        <v>354</v>
      </c>
      <c r="J61" s="96" t="str">
        <f>+IF(F61&gt;'Equipment Data'!$G$98,"yes","No")</f>
        <v>yes</v>
      </c>
      <c r="K61" s="96">
        <v>0.67</v>
      </c>
      <c r="L61" s="96">
        <v>1</v>
      </c>
      <c r="M61" s="153">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49">
        <f>+IF(G61-1.01325&gt;10,10^('Equipment Data'!$I$105+LOG10(G61-1.01325)*'Equipment Data'!$J$105+'Equipment Data'!$K$105*LOG10(G61-1.01325)*LOG10(G61-1.01325)),1)</f>
        <v>1</v>
      </c>
      <c r="O61" s="149">
        <f>IF(L61="","Input Steam Superheat in ºC",1+0.00184*L61-0.00000335*L61*L61)</f>
        <v>1.00183665</v>
      </c>
      <c r="P61" s="149">
        <f>+'Equipment Data'!$L$105</f>
        <v>2.17</v>
      </c>
      <c r="Q61" s="150">
        <f>+M61*N61*P61*O61</f>
        <v>19904746.420936067</v>
      </c>
      <c r="R61" s="260"/>
      <c r="S61" s="265"/>
      <c r="T61" s="104"/>
      <c r="U61" s="83"/>
      <c r="V61" s="83"/>
      <c r="W61" s="83"/>
      <c r="X61" s="1"/>
      <c r="CI61" s="83"/>
      <c r="CJ61" s="83"/>
      <c r="CK61" s="83"/>
      <c r="CL61" s="83"/>
      <c r="CM61" s="83"/>
      <c r="CN61" s="83"/>
      <c r="CO61" s="83"/>
    </row>
    <row r="62" spans="1:93" x14ac:dyDescent="0.3">
      <c r="A62" s="83"/>
      <c r="B62" s="103"/>
      <c r="C62" s="189"/>
      <c r="D62" s="203" t="s">
        <v>472</v>
      </c>
      <c r="E62" s="203" t="s">
        <v>105</v>
      </c>
      <c r="F62" s="96">
        <v>1</v>
      </c>
      <c r="G62" s="96">
        <v>1</v>
      </c>
      <c r="H62" s="96" t="s">
        <v>352</v>
      </c>
      <c r="I62" s="96" t="s">
        <v>85</v>
      </c>
      <c r="J62" s="96" t="str">
        <f>+IF(F62&gt;'Equipment Data'!$G$111,"yes","No")</f>
        <v>No</v>
      </c>
      <c r="K62" s="96">
        <v>0.67</v>
      </c>
      <c r="L62" s="96" t="s">
        <v>354</v>
      </c>
      <c r="M62" s="153">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49">
        <f>+IF(G62-1.01325&gt;10,10^('Equipment Data'!$I$111+LOG10(G62-1.01325)*'Equipment Data'!$J$111+'Equipment Data'!$K$111*LOG10(G62-1.01325)*LOG10(G62-1.01325)),1)</f>
        <v>1</v>
      </c>
      <c r="O62" s="209" t="s">
        <v>354</v>
      </c>
      <c r="P62" s="149">
        <f>+IF(I62="CS",'Equipment Data'!$C$229,IF(I62="Cu Alloy",'Equipment Data'!$D$229,IF(I62="SS",'Equipment Data'!$E$229,IF(I62="Ni Alloy",'Equipment Data'!$F$229,IF(I62="Ti",'Equipment Data'!$G$229,"N/A")))))</f>
        <v>2.9</v>
      </c>
      <c r="Q62" s="150">
        <f>+M62*N62*P62</f>
        <v>306335.97225509956</v>
      </c>
      <c r="R62" s="148"/>
      <c r="S62" s="194"/>
      <c r="T62" s="104"/>
      <c r="U62" s="83"/>
      <c r="V62" s="83"/>
      <c r="W62" s="83"/>
      <c r="X62" s="1"/>
      <c r="CI62" s="83"/>
      <c r="CJ62" s="83"/>
      <c r="CK62" s="83"/>
      <c r="CL62" s="83"/>
      <c r="CM62" s="83"/>
      <c r="CN62" s="83"/>
      <c r="CO62" s="83"/>
    </row>
    <row r="63" spans="1:93" x14ac:dyDescent="0.3">
      <c r="A63" s="83"/>
      <c r="B63" s="103"/>
      <c r="C63" s="187"/>
      <c r="D63" s="203" t="s">
        <v>472</v>
      </c>
      <c r="E63" s="203" t="s">
        <v>106</v>
      </c>
      <c r="F63" s="96">
        <v>1</v>
      </c>
      <c r="G63" s="96">
        <v>1</v>
      </c>
      <c r="H63" s="96" t="s">
        <v>352</v>
      </c>
      <c r="I63" s="96" t="s">
        <v>85</v>
      </c>
      <c r="J63" s="96" t="str">
        <f>+IF(F63&gt;'Equipment Data'!$G$112,"yes","No")</f>
        <v>No</v>
      </c>
      <c r="K63" s="96">
        <v>0.67</v>
      </c>
      <c r="L63" s="96" t="s">
        <v>354</v>
      </c>
      <c r="M63" s="153">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49">
        <f>+IF(G63-1.01325&gt;10,10^('Equipment Data'!$I$112+LOG10(G63-1.01325)*'Equipment Data'!$J$112+'Equipment Data'!$K$112*LOG10(G63-1.01325)*LOG10(G63-1.01325)),1)</f>
        <v>1</v>
      </c>
      <c r="O63" s="209" t="s">
        <v>354</v>
      </c>
      <c r="P63" s="149">
        <f>+IF(I63="CS",'Equipment Data'!$C$230,IF(I63="Cu Alloy",'Equipment Data'!$D$230,IF(I63="SS",'Equipment Data'!$E$230,IF(I63="Ni Alloy",'Equipment Data'!$F$230,IF(I63="Ti",'Equipment Data'!$G$230,"N/A")))))</f>
        <v>2.25</v>
      </c>
      <c r="Q63" s="150">
        <f>+M63*N63*P63</f>
        <v>18368.873279202722</v>
      </c>
      <c r="R63" s="97"/>
      <c r="S63" s="188"/>
      <c r="T63" s="104"/>
      <c r="U63" s="83"/>
      <c r="V63" s="83"/>
      <c r="W63" s="83"/>
      <c r="X63" s="1"/>
      <c r="CI63" s="83"/>
      <c r="CJ63" s="83"/>
      <c r="CK63" s="83"/>
      <c r="CL63" s="83"/>
      <c r="CM63" s="83"/>
      <c r="CN63" s="83"/>
      <c r="CO63" s="83"/>
    </row>
    <row r="64" spans="1:93" x14ac:dyDescent="0.3">
      <c r="A64" s="83"/>
      <c r="B64" s="103"/>
      <c r="C64" s="187"/>
      <c r="D64" s="203" t="s">
        <v>472</v>
      </c>
      <c r="E64" s="203" t="s">
        <v>107</v>
      </c>
      <c r="F64" s="96">
        <v>1</v>
      </c>
      <c r="G64" s="96">
        <v>1</v>
      </c>
      <c r="H64" s="96" t="s">
        <v>352</v>
      </c>
      <c r="I64" s="96" t="s">
        <v>85</v>
      </c>
      <c r="J64" s="96" t="str">
        <f>+IF(F64&gt;'Equipment Data'!$G$113,"yes","No")</f>
        <v>No</v>
      </c>
      <c r="K64" s="96">
        <v>0.67</v>
      </c>
      <c r="L64" s="96" t="s">
        <v>354</v>
      </c>
      <c r="M64" s="153">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49">
        <f>+IF(G64-1.01325&gt;10,10^('Equipment Data'!$I$113+LOG10(G64-1.01325)*'Equipment Data'!$J$113+'Equipment Data'!$K$113*LOG10(G64-1.01325)*LOG10(G64-1.01325)),1)</f>
        <v>1</v>
      </c>
      <c r="O64" s="209" t="s">
        <v>354</v>
      </c>
      <c r="P64" s="149">
        <f>+IF(I64="CS",'Equipment Data'!$C$231,IF(I64="Cu Alloy",'Equipment Data'!$D$231,IF(I64="SS",'Equipment Data'!$E$231,IF(I64="Ni Alloy",'Equipment Data'!$F$231,IF(I64="Ti",'Equipment Data'!$G$231,"N/A")))))</f>
        <v>2.25</v>
      </c>
      <c r="Q64" s="150">
        <f>+M64*N64*P64</f>
        <v>225000</v>
      </c>
      <c r="R64" s="97"/>
      <c r="S64" s="188"/>
      <c r="T64" s="104"/>
      <c r="U64" s="83"/>
      <c r="V64" s="83"/>
      <c r="W64" s="83"/>
      <c r="X64" s="1"/>
      <c r="CI64" s="83"/>
      <c r="CJ64" s="83"/>
      <c r="CK64" s="83"/>
      <c r="CL64" s="83"/>
      <c r="CM64" s="83"/>
      <c r="CN64" s="83"/>
      <c r="CO64" s="83"/>
    </row>
    <row r="65" spans="1:93" x14ac:dyDescent="0.3">
      <c r="A65" s="83"/>
      <c r="B65" s="103"/>
      <c r="C65" s="187"/>
      <c r="D65" s="203" t="s">
        <v>472</v>
      </c>
      <c r="E65" s="203" t="s">
        <v>108</v>
      </c>
      <c r="F65" s="96">
        <v>1</v>
      </c>
      <c r="G65" s="96">
        <v>1</v>
      </c>
      <c r="H65" s="96" t="s">
        <v>352</v>
      </c>
      <c r="I65" s="96" t="s">
        <v>85</v>
      </c>
      <c r="J65" s="96" t="str">
        <f>+IF(F65&gt;'Equipment Data'!$G$114,"yes","No")</f>
        <v>No</v>
      </c>
      <c r="K65" s="96">
        <v>0.67</v>
      </c>
      <c r="L65" s="96" t="s">
        <v>354</v>
      </c>
      <c r="M65" s="153">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49">
        <f>+IF(G65-1.01325&gt;10,10^('Equipment Data'!$I$114+LOG10(G65-1.01325)*'Equipment Data'!$J$114+'Equipment Data'!$K$114*LOG10(G65-1.01325)*LOG10(G65-1.01325)),1)</f>
        <v>1</v>
      </c>
      <c r="O65" s="209" t="s">
        <v>354</v>
      </c>
      <c r="P65" s="149">
        <f>+IF(I65="CS",'Equipment Data'!$C$232,IF(I65="Cu Alloy",'Equipment Data'!$D$232,IF(I65="SS",'Equipment Data'!$E$232,IF(I65="Ni Alloy",'Equipment Data'!$F$232,IF(I65="Ti",'Equipment Data'!$G$232,"N/A")))))</f>
        <v>2.9</v>
      </c>
      <c r="Q65" s="150">
        <f>+M65*N65*P65</f>
        <v>500032.2298190766</v>
      </c>
      <c r="R65" s="97"/>
      <c r="S65" s="188"/>
      <c r="T65" s="104"/>
      <c r="U65" s="83"/>
      <c r="V65" s="83"/>
      <c r="W65" s="83"/>
      <c r="X65" s="1"/>
      <c r="CI65" s="83"/>
      <c r="CJ65" s="83"/>
      <c r="CK65" s="83"/>
      <c r="CL65" s="83"/>
      <c r="CM65" s="83"/>
      <c r="CN65" s="83"/>
      <c r="CO65" s="83"/>
    </row>
    <row r="66" spans="1:93" x14ac:dyDescent="0.3">
      <c r="A66" s="83"/>
      <c r="B66" s="103"/>
      <c r="C66" s="187"/>
      <c r="D66" s="203" t="s">
        <v>472</v>
      </c>
      <c r="E66" s="203" t="s">
        <v>109</v>
      </c>
      <c r="F66" s="96">
        <v>1</v>
      </c>
      <c r="G66" s="96">
        <v>1</v>
      </c>
      <c r="H66" s="96" t="s">
        <v>352</v>
      </c>
      <c r="I66" s="96" t="s">
        <v>85</v>
      </c>
      <c r="J66" s="96" t="str">
        <f>+IF(F66&gt;'Equipment Data'!$G$115,"yes","No")</f>
        <v>No</v>
      </c>
      <c r="K66" s="96">
        <v>0.67</v>
      </c>
      <c r="L66" s="96" t="s">
        <v>354</v>
      </c>
      <c r="M66" s="153">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49">
        <f>+IF(G66-1.01325&gt;10,10^('Equipment Data'!$I$115+LOG10(G66-1.01325)*'Equipment Data'!$J$115+'Equipment Data'!$K$115*LOG10(G66-1.01325)*LOG10(G66-1.01325)),1)</f>
        <v>1</v>
      </c>
      <c r="O66" s="209" t="s">
        <v>354</v>
      </c>
      <c r="P66" s="149">
        <f>+IF(I66="CS",'Equipment Data'!$C$233,IF(I66="Cu Alloy",'Equipment Data'!$D$233,IF(I66="SS",'Equipment Data'!$E$233,IF(I66="Ni Alloy",'Equipment Data'!$F$233,IF(I66="Ti",'Equipment Data'!$G$233,"N/A")))))</f>
        <v>2.9</v>
      </c>
      <c r="Q66" s="150">
        <f>+M66*N66*P66</f>
        <v>127173.90235474604</v>
      </c>
      <c r="R66" s="98"/>
      <c r="S66" s="196"/>
      <c r="T66" s="104"/>
      <c r="U66" s="83"/>
      <c r="V66" s="83"/>
      <c r="W66" s="83"/>
      <c r="X66" s="1"/>
      <c r="CI66" s="83"/>
      <c r="CJ66" s="83"/>
      <c r="CK66" s="83"/>
      <c r="CL66" s="83"/>
      <c r="CM66" s="83"/>
      <c r="CN66" s="83"/>
      <c r="CO66" s="83"/>
    </row>
    <row r="67" spans="1:93" x14ac:dyDescent="0.3">
      <c r="A67" s="83"/>
      <c r="B67" s="103"/>
      <c r="C67" s="254"/>
      <c r="D67" s="203" t="s">
        <v>252</v>
      </c>
      <c r="E67" s="203" t="s">
        <v>113</v>
      </c>
      <c r="F67" s="96">
        <v>1</v>
      </c>
      <c r="G67" s="96">
        <v>1</v>
      </c>
      <c r="H67" s="96" t="s">
        <v>352</v>
      </c>
      <c r="I67" s="96" t="s">
        <v>530</v>
      </c>
      <c r="J67" s="96" t="str">
        <f>+IF(F67&gt;'Equipment Data'!$L$120,"yes","No")</f>
        <v>No</v>
      </c>
      <c r="K67" s="96">
        <v>0.67</v>
      </c>
      <c r="L67" s="96" t="s">
        <v>354</v>
      </c>
      <c r="M67" s="153">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49">
        <f>+IF((G67-1.01325)&gt;40,IF((G67-1.01325)&lt;100,10^('Equipment Data'!$F$121+'Equipment Data'!$G$121*LOG10(G67-1.01325)+'Equipment Data'!$H$121*LOG10(G67-1.01325)*LOG10(G67-1.01325)),IF((G67-1.01325)&gt;100,10^('Equipment Data'!$F$120+'Equipment Data'!$G$120*LOG10(G67-1.01325)+'Equipment Data'!$H$120*LOG10(G67-1.01325)*LOG10(G67-1.01325)))),1)</f>
        <v>1</v>
      </c>
      <c r="O67" s="96">
        <f>+IF(I67="CS/CS",'Equipment Data'!$C$147,IF(I67="CS/Cu",'Equipment Data'!$D$147,IF(I67="Cu/Cu",'Equipment Data'!$E$147,IF(I67="CS/SS",'Equipment Data'!$F$147,IF(I67="SS/SS",'Equipment Data'!$G$147,IF(I67="CS/Ni",'Equipment Data'!$H$147,IF(I67="Ni/Ni",'Equipment Data'!$I$147,IF(I67="CS/Ti",'Equipment Data'!$J$147,IF(I67="Ti/Ti",'Equipment Data'!$K$147,"N/A")))))))))</f>
        <v>1</v>
      </c>
      <c r="P67" s="149">
        <f>+'Equipment Data'!$I$120+'Equipment Data'!$J$120*N67*O67</f>
        <v>3.29</v>
      </c>
      <c r="Q67" s="150">
        <f>+M67*P67</f>
        <v>7271.0293540788207</v>
      </c>
      <c r="R67" s="258"/>
      <c r="S67" s="264"/>
      <c r="T67" s="104"/>
      <c r="U67" s="83"/>
      <c r="V67" s="83"/>
      <c r="W67" s="83"/>
      <c r="X67" s="1"/>
      <c r="CI67" s="83"/>
      <c r="CJ67" s="83"/>
      <c r="CK67" s="83"/>
      <c r="CL67" s="83"/>
      <c r="CM67" s="83"/>
      <c r="CN67" s="83"/>
      <c r="CO67" s="83"/>
    </row>
    <row r="68" spans="1:93" x14ac:dyDescent="0.3">
      <c r="A68" s="83"/>
      <c r="B68" s="103"/>
      <c r="C68" s="255"/>
      <c r="D68" s="203" t="s">
        <v>252</v>
      </c>
      <c r="E68" s="203" t="s">
        <v>116</v>
      </c>
      <c r="F68" s="96">
        <v>1</v>
      </c>
      <c r="G68" s="96">
        <v>1</v>
      </c>
      <c r="H68" s="96" t="s">
        <v>352</v>
      </c>
      <c r="I68" s="96" t="s">
        <v>530</v>
      </c>
      <c r="J68" s="96" t="str">
        <f>+IF(F68&gt;'Equipment Data'!$L$123,"yes","No")</f>
        <v>No</v>
      </c>
      <c r="K68" s="96">
        <v>0.67</v>
      </c>
      <c r="L68" s="96" t="s">
        <v>354</v>
      </c>
      <c r="M68" s="153">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49">
        <f>+IF((G68-1.01325)&gt;40,IF((G68-1.01325)&lt;100,10^('Equipment Data'!$F$122+'Equipment Data'!$G$122*LOG10(G68-1.01325)+'Equipment Data'!$H$122*LOG10(G68-1.01325)*LOG10(G68-1.01325)),IF((G68-1.01325)&gt;100,10^('Equipment Data'!$F$121+'Equipment Data'!$G$121*LOG10(G68-1.01325)+'Equipment Data'!$H$121*LOG10(G68-1.01325)*LOG10(G68-1.01325)))),1)</f>
        <v>1</v>
      </c>
      <c r="O68" s="96">
        <f>+IF(I68="CS/CS",'Equipment Data'!$C$148,IF(I68="CS/Cu",'Equipment Data'!$D$148,IF(I68="Cu/Cu",'Equipment Data'!$E$148,IF(I68="CS/SS",'Equipment Data'!$F$148,IF(I68="SS/SS",'Equipment Data'!$G$148,IF(I68="CS/Ni",'Equipment Data'!$H$148,IF(I68="Ni/Ni",'Equipment Data'!$I$148,IF(I68="CS/Ti",'Equipment Data'!$J$148,IF(I68="Ti/Ti",'Equipment Data'!$K$148,"N/A")))))))))</f>
        <v>1</v>
      </c>
      <c r="P68" s="149">
        <f>+'Equipment Data'!$I$123+'Equipment Data'!$J$123*N68*O68</f>
        <v>3.29</v>
      </c>
      <c r="Q68" s="150">
        <f t="shared" ref="Q68:Q78" si="3">+M68*P68</f>
        <v>1916.001734734944</v>
      </c>
      <c r="R68" s="260"/>
      <c r="S68" s="265"/>
      <c r="T68" s="104"/>
      <c r="U68" s="83"/>
      <c r="V68" s="83"/>
      <c r="W68" s="83"/>
      <c r="X68" s="1"/>
      <c r="CI68" s="83"/>
      <c r="CJ68" s="83"/>
      <c r="CK68" s="83"/>
      <c r="CL68" s="83"/>
      <c r="CM68" s="83"/>
      <c r="CN68" s="83"/>
      <c r="CO68" s="83"/>
    </row>
    <row r="69" spans="1:93" x14ac:dyDescent="0.3">
      <c r="A69" s="83"/>
      <c r="B69" s="103"/>
      <c r="C69" s="255"/>
      <c r="D69" s="203" t="s">
        <v>252</v>
      </c>
      <c r="E69" s="203" t="s">
        <v>117</v>
      </c>
      <c r="F69" s="96">
        <v>1</v>
      </c>
      <c r="G69" s="96">
        <v>1</v>
      </c>
      <c r="H69" s="96" t="s">
        <v>352</v>
      </c>
      <c r="I69" s="96" t="s">
        <v>530</v>
      </c>
      <c r="J69" s="96" t="str">
        <f>+IF(F69&gt;'Equipment Data'!$L$126,"yes","No")</f>
        <v>No</v>
      </c>
      <c r="K69" s="96">
        <v>0.67</v>
      </c>
      <c r="L69" s="96" t="s">
        <v>529</v>
      </c>
      <c r="M69" s="153">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49">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96">
        <f>+IF(I69="CS/CS",'Equipment Data'!$C$149,IF(I69="CS/Cu",'Equipment Data'!$D$149,IF(I69="Cu/Cu",'Equipment Data'!$E$149,IF(I69="CS/SS",'Equipment Data'!$F$149,IF(I69="SS/SS",'Equipment Data'!$G$149,IF(I69="CS/Ni",'Equipment Data'!$H$149,IF(I69="Ni/Ni",'Equipment Data'!$I$149,IF(I69="CS/Ti",'Equipment Data'!$J$149,IF(I69="Ti/Ti",'Equipment Data'!$K$149,"N/A")))))))))</f>
        <v>1</v>
      </c>
      <c r="P69" s="149">
        <f>+'Equipment Data'!$I$126+'Equipment Data'!$J$126*N69*O69</f>
        <v>3.29</v>
      </c>
      <c r="Q69" s="150">
        <f t="shared" si="3"/>
        <v>69485.773756467606</v>
      </c>
      <c r="R69" s="260"/>
      <c r="S69" s="265"/>
      <c r="T69" s="104"/>
      <c r="U69" s="83"/>
      <c r="V69" s="83"/>
      <c r="W69" s="83"/>
      <c r="X69" s="1"/>
      <c r="CI69" s="83"/>
      <c r="CJ69" s="83"/>
      <c r="CK69" s="83"/>
      <c r="CL69" s="83"/>
      <c r="CM69" s="83"/>
      <c r="CN69" s="83"/>
      <c r="CO69" s="83"/>
    </row>
    <row r="70" spans="1:93" x14ac:dyDescent="0.3">
      <c r="A70" s="83"/>
      <c r="B70" s="103"/>
      <c r="C70" s="255"/>
      <c r="D70" s="203" t="s">
        <v>252</v>
      </c>
      <c r="E70" s="203" t="s">
        <v>119</v>
      </c>
      <c r="F70" s="96">
        <v>1</v>
      </c>
      <c r="G70" s="96">
        <v>1</v>
      </c>
      <c r="H70" s="96" t="s">
        <v>352</v>
      </c>
      <c r="I70" s="96" t="s">
        <v>530</v>
      </c>
      <c r="J70" s="96" t="str">
        <f>+IF(F70&gt;'Equipment Data'!$L$128,"yes","No")</f>
        <v>No</v>
      </c>
      <c r="K70" s="96">
        <v>0.67</v>
      </c>
      <c r="L70" s="96" t="s">
        <v>529</v>
      </c>
      <c r="M70" s="153">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49">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96">
        <f>+IF(I70="CS/CS",'Equipment Data'!$C$150,IF(I70="CS/Cu",'Equipment Data'!$D$150,IF(I70="Cu/Cu",'Equipment Data'!$E$150,IF(I70="CS/SS",'Equipment Data'!$F$150,IF(I70="SS/SS",'Equipment Data'!$G$150,IF(I70="CS/Ni",'Equipment Data'!$H$150,IF(I70="Ni/Ni",'Equipment Data'!$I$150,IF(I70="CS/Ti",'Equipment Data'!$J$150,IF(I70="Ti/Ti",'Equipment Data'!$K$150,"N/A")))))))))</f>
        <v>1</v>
      </c>
      <c r="P70" s="149">
        <f>+'Equipment Data'!$I$128+'Equipment Data'!$J$128*N70*O70</f>
        <v>3.29</v>
      </c>
      <c r="Q70" s="150">
        <f t="shared" si="3"/>
        <v>222738.81147305027</v>
      </c>
      <c r="R70" s="260"/>
      <c r="S70" s="265"/>
      <c r="T70" s="104"/>
      <c r="U70" s="83"/>
      <c r="V70" s="83"/>
      <c r="W70" s="83"/>
      <c r="X70" s="1"/>
      <c r="CI70" s="83"/>
      <c r="CJ70" s="83"/>
      <c r="CK70" s="83"/>
      <c r="CL70" s="83"/>
      <c r="CM70" s="83"/>
      <c r="CN70" s="83"/>
      <c r="CO70" s="83"/>
    </row>
    <row r="71" spans="1:93" x14ac:dyDescent="0.3">
      <c r="A71" s="83"/>
      <c r="B71" s="103"/>
      <c r="C71" s="255"/>
      <c r="D71" s="203" t="s">
        <v>252</v>
      </c>
      <c r="E71" s="203" t="s">
        <v>121</v>
      </c>
      <c r="F71" s="96">
        <v>1</v>
      </c>
      <c r="G71" s="96">
        <v>1</v>
      </c>
      <c r="H71" s="96" t="s">
        <v>352</v>
      </c>
      <c r="I71" s="96" t="s">
        <v>530</v>
      </c>
      <c r="J71" s="96" t="str">
        <f>+IF(F71&gt;'Equipment Data'!$L$130,"yes","No")</f>
        <v>No</v>
      </c>
      <c r="K71" s="96">
        <v>0.67</v>
      </c>
      <c r="L71" s="96" t="s">
        <v>529</v>
      </c>
      <c r="M71" s="153">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49">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96">
        <f>+IF(I71="CS/CS",'Equipment Data'!$C$151,IF(I71="CS/Cu",'Equipment Data'!$D$151,IF(I71="Cu/Cu",'Equipment Data'!$E$151,IF(I71="CS/SS",'Equipment Data'!$F$151,IF(I71="SS/SS",'Equipment Data'!$G$151,IF(I71="CS/Ni",'Equipment Data'!$H$151,IF(I71="Ni/Ni",'Equipment Data'!$I$151,IF(I71="CS/Ti",'Equipment Data'!$J$151,IF(I71="Ti/Ti",'Equipment Data'!$K$151,"N/A")))))))))</f>
        <v>1</v>
      </c>
      <c r="P71" s="149">
        <f>+'Equipment Data'!$I$130+'Equipment Data'!$J$130*N71*O71</f>
        <v>3.29</v>
      </c>
      <c r="Q71" s="150">
        <f t="shared" si="3"/>
        <v>62229.440737206161</v>
      </c>
      <c r="R71" s="260"/>
      <c r="S71" s="265"/>
      <c r="T71" s="104"/>
      <c r="U71" s="83"/>
      <c r="V71" s="83"/>
      <c r="W71" s="83"/>
      <c r="X71" s="1"/>
      <c r="CI71" s="83"/>
      <c r="CJ71" s="83"/>
      <c r="CK71" s="83"/>
      <c r="CL71" s="83"/>
      <c r="CM71" s="83"/>
      <c r="CN71" s="83"/>
      <c r="CO71" s="83"/>
    </row>
    <row r="72" spans="1:93" x14ac:dyDescent="0.3">
      <c r="A72" s="83"/>
      <c r="B72" s="103"/>
      <c r="C72" s="255"/>
      <c r="D72" s="203" t="s">
        <v>252</v>
      </c>
      <c r="E72" s="203" t="s">
        <v>122</v>
      </c>
      <c r="F72" s="96">
        <v>1</v>
      </c>
      <c r="G72" s="96">
        <v>1</v>
      </c>
      <c r="H72" s="96" t="s">
        <v>352</v>
      </c>
      <c r="I72" s="96" t="s">
        <v>530</v>
      </c>
      <c r="J72" s="96" t="str">
        <f>+IF(F72&gt;'Equipment Data'!$L$132,"yes","No")</f>
        <v>No</v>
      </c>
      <c r="K72" s="96">
        <v>0.67</v>
      </c>
      <c r="L72" s="96" t="s">
        <v>529</v>
      </c>
      <c r="M72" s="153">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49">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96">
        <f>+IF(I72="CS/CS",'Equipment Data'!$C$152,IF(I72="CS/Cu",'Equipment Data'!$D$152,IF(I72="Cu/Cu",'Equipment Data'!$E$152,IF(I72="CS/SS",'Equipment Data'!$F$152,IF(I72="SS/SS",'Equipment Data'!$G$152,IF(I72="CS/Ni",'Equipment Data'!$H$152,IF(I72="Ni/Ni",'Equipment Data'!$I$152,IF(I72="CS/Ti",'Equipment Data'!$J$152,IF(I72="Ti/Ti",'Equipment Data'!$K$152,"N/A")))))))))</f>
        <v>1</v>
      </c>
      <c r="P72" s="149">
        <f>+'Equipment Data'!$I$132+'Equipment Data'!$J$132*N72*O72</f>
        <v>3.29</v>
      </c>
      <c r="Q72" s="150">
        <f t="shared" si="3"/>
        <v>95894.985528444595</v>
      </c>
      <c r="R72" s="260"/>
      <c r="S72" s="265"/>
      <c r="T72" s="104"/>
      <c r="U72" s="83"/>
      <c r="V72" s="83"/>
      <c r="W72" s="83"/>
      <c r="X72" s="1"/>
      <c r="CI72" s="83"/>
      <c r="CJ72" s="83"/>
      <c r="CK72" s="83"/>
      <c r="CL72" s="83"/>
      <c r="CM72" s="83"/>
      <c r="CN72" s="83"/>
      <c r="CO72" s="83"/>
    </row>
    <row r="73" spans="1:93" x14ac:dyDescent="0.3">
      <c r="A73" s="83"/>
      <c r="B73" s="103"/>
      <c r="C73" s="255"/>
      <c r="D73" s="203" t="s">
        <v>252</v>
      </c>
      <c r="E73" s="203" t="s">
        <v>123</v>
      </c>
      <c r="F73" s="96">
        <v>1</v>
      </c>
      <c r="G73" s="96">
        <v>1</v>
      </c>
      <c r="H73" s="96" t="s">
        <v>352</v>
      </c>
      <c r="I73" s="96" t="s">
        <v>530</v>
      </c>
      <c r="J73" s="96" t="str">
        <f>+IF(F73&gt;'Equipment Data'!$L$134,"yes","No")</f>
        <v>No</v>
      </c>
      <c r="K73" s="96">
        <v>0.67</v>
      </c>
      <c r="L73" s="96" t="s">
        <v>354</v>
      </c>
      <c r="M73" s="153">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49">
        <f>+IF((G73-1.01325)&gt;40,IF((G73-1.01325)&lt;100,10^('Equipment Data'!$F$134+'Equipment Data'!$G$134*LOG10(G73-1.01325)+'Equipment Data'!$H$134*LOG10(G73-1.01325)*LOG10(G73-1.01325)),IF((G73-1.01325)&gt;100,10^('Equipment Data'!$F$133+'Equipment Data'!$G$133*LOG10(G73-1.01325)+'Equipment Data'!$H$133*LOG10(G73-1.01325)*LOG10(G73-1.01325)))),1)</f>
        <v>1</v>
      </c>
      <c r="O73" s="96">
        <f>+IF(I73="CS/CS",'Equipment Data'!$C$153,IF(I73="CS/Cu",'Equipment Data'!$D$153,IF(I73="Cu/Cu",'Equipment Data'!$E$153,IF(I73="CS/SS",'Equipment Data'!$F$153,IF(I73="SS/SS",'Equipment Data'!$G$153,IF(I73="CS/Ni",'Equipment Data'!$H$153,IF(I73="Ni/Ni",'Equipment Data'!$I$153,IF(I73="CS/Ti",'Equipment Data'!$J$153,IF(I73="Ti/Ti",'Equipment Data'!$K$153,"N/A")))))))))</f>
        <v>1</v>
      </c>
      <c r="P73" s="149">
        <f>+'Equipment Data'!$I$134+'Equipment Data'!$J$134*N73*O73</f>
        <v>3.29</v>
      </c>
      <c r="Q73" s="150">
        <f t="shared" si="3"/>
        <v>19837.909192094801</v>
      </c>
      <c r="R73" s="260"/>
      <c r="S73" s="265"/>
      <c r="T73" s="104"/>
      <c r="U73" s="83"/>
      <c r="V73" s="83"/>
      <c r="W73" s="83"/>
      <c r="X73" s="1"/>
      <c r="CI73" s="83"/>
      <c r="CJ73" s="83"/>
      <c r="CK73" s="83"/>
      <c r="CL73" s="83"/>
      <c r="CM73" s="83"/>
      <c r="CN73" s="83"/>
      <c r="CO73" s="83"/>
    </row>
    <row r="74" spans="1:93" x14ac:dyDescent="0.3">
      <c r="A74" s="83"/>
      <c r="B74" s="103"/>
      <c r="C74" s="255"/>
      <c r="D74" s="203" t="s">
        <v>252</v>
      </c>
      <c r="E74" s="203" t="s">
        <v>124</v>
      </c>
      <c r="F74" s="96">
        <v>1</v>
      </c>
      <c r="G74" s="96">
        <v>1</v>
      </c>
      <c r="H74" s="96" t="s">
        <v>352</v>
      </c>
      <c r="I74" s="96" t="s">
        <v>85</v>
      </c>
      <c r="J74" s="96" t="str">
        <f>+IF(F74&gt;'Equipment Data'!$L$137,"yes","No")</f>
        <v>No</v>
      </c>
      <c r="K74" s="96">
        <v>0.67</v>
      </c>
      <c r="L74" s="96" t="s">
        <v>354</v>
      </c>
      <c r="M74" s="153">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49">
        <v>1</v>
      </c>
      <c r="O74" s="96">
        <f>+IF(I74="CS",'Equipment Data'!$C$158,IF(I74="Cu",'Equipment Data'!$D$158,IF(I74="SS",'Equipment Data'!$E$158,IF(I74="Ni",'Equipment Data'!$F$158,IF(I74="Ti",'Equipment Data'!$G$158,"N/A")))))</f>
        <v>1</v>
      </c>
      <c r="P74" s="149">
        <f>+'Equipment Data'!$I$137+'Equipment Data'!$J$137*N74*O74</f>
        <v>3.29</v>
      </c>
      <c r="Q74" s="150">
        <f t="shared" si="3"/>
        <v>21056.970948365411</v>
      </c>
      <c r="R74" s="260"/>
      <c r="S74" s="265"/>
      <c r="T74" s="104"/>
      <c r="U74" s="83"/>
      <c r="V74" s="83"/>
      <c r="W74" s="83"/>
      <c r="X74" s="1"/>
      <c r="CI74" s="83"/>
      <c r="CJ74" s="83"/>
      <c r="CK74" s="83"/>
      <c r="CL74" s="83"/>
      <c r="CM74" s="83"/>
      <c r="CN74" s="83"/>
      <c r="CO74" s="83"/>
    </row>
    <row r="75" spans="1:93" x14ac:dyDescent="0.3">
      <c r="A75" s="83"/>
      <c r="B75" s="103"/>
      <c r="C75" s="255"/>
      <c r="D75" s="203" t="s">
        <v>252</v>
      </c>
      <c r="E75" s="203" t="s">
        <v>125</v>
      </c>
      <c r="F75" s="96">
        <v>1</v>
      </c>
      <c r="G75" s="96">
        <v>1</v>
      </c>
      <c r="H75" s="96" t="s">
        <v>352</v>
      </c>
      <c r="I75" s="96" t="s">
        <v>85</v>
      </c>
      <c r="J75" s="96" t="str">
        <f>+IF(F75&gt;'Equipment Data'!$L$138,"yes","No")</f>
        <v>No</v>
      </c>
      <c r="K75" s="96">
        <v>0.67</v>
      </c>
      <c r="L75" s="96" t="s">
        <v>354</v>
      </c>
      <c r="M75" s="153">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49">
        <f>+IF(G75-1.01325&gt;10,10^('Equipment Data'!$F$138+'Equipment Data'!$G$138*LOG10(G75-1.01325)+'Equipment Data'!$H$138*LOG10(G75-1.01325)*LOG10(G75-1.01325)),1)</f>
        <v>1</v>
      </c>
      <c r="O75" s="96">
        <f>+IF(I75="CS",'Equipment Data'!$C$167,IF(I75="Al",'Equipment Data'!$D$167,IF(I75="SS",'Equipment Data'!$E$167,"N/A")))</f>
        <v>1</v>
      </c>
      <c r="P75" s="149">
        <f>+'Equipment Data'!$I$128+'Equipment Data'!$J$128*N75*O75</f>
        <v>3.29</v>
      </c>
      <c r="Q75" s="150">
        <f t="shared" si="3"/>
        <v>35546.422451013517</v>
      </c>
      <c r="R75" s="260"/>
      <c r="S75" s="265"/>
      <c r="T75" s="104"/>
      <c r="U75" s="83"/>
      <c r="V75" s="83"/>
      <c r="W75" s="83"/>
      <c r="X75" s="1"/>
      <c r="CI75" s="83"/>
      <c r="CJ75" s="83"/>
      <c r="CK75" s="83"/>
      <c r="CL75" s="83"/>
      <c r="CM75" s="83"/>
      <c r="CN75" s="83"/>
      <c r="CO75" s="83"/>
    </row>
    <row r="76" spans="1:93" x14ac:dyDescent="0.3">
      <c r="A76" s="83"/>
      <c r="B76" s="103"/>
      <c r="C76" s="255"/>
      <c r="D76" s="203" t="s">
        <v>252</v>
      </c>
      <c r="E76" s="203" t="s">
        <v>137</v>
      </c>
      <c r="F76" s="96">
        <v>1</v>
      </c>
      <c r="G76" s="96">
        <v>1</v>
      </c>
      <c r="H76" s="96" t="s">
        <v>352</v>
      </c>
      <c r="I76" s="96" t="s">
        <v>530</v>
      </c>
      <c r="J76" s="96" t="str">
        <f>+IF(F76&gt;'Equipment Data'!$L$139,"yes","No")</f>
        <v>No</v>
      </c>
      <c r="K76" s="96">
        <v>0.67</v>
      </c>
      <c r="L76" s="96" t="s">
        <v>529</v>
      </c>
      <c r="M76" s="153">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49">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96">
        <f>+IF(I76="CS/CS",'Equipment Data'!$C$154,IF(I76="CS/Cu",'Equipment Data'!$D$154,IF(I76="Cu/Cu",'Equipment Data'!$E$154,IF(I76="CS/SS",'Equipment Data'!$F$154,IF(I76="SS/SS",'Equipment Data'!$G$154,IF(I76="CS/Ni",'Equipment Data'!$H$154,IF(I76="Ni/Ni",'Equipment Data'!$I$154,IF(I76="CS/Ti",'Equipment Data'!$J$154,IF(I76="Ti/Ti",'Equipment Data'!$K$154,"N/A")))))))))</f>
        <v>1</v>
      </c>
      <c r="P76" s="149">
        <f>+'Equipment Data'!$I$139+'Equipment Data'!$J$139*N76*O76</f>
        <v>3.29</v>
      </c>
      <c r="Q76" s="150">
        <f t="shared" si="3"/>
        <v>32240.064200045108</v>
      </c>
      <c r="R76" s="260"/>
      <c r="S76" s="265"/>
      <c r="T76" s="104"/>
      <c r="U76" s="83"/>
      <c r="V76" s="83"/>
      <c r="W76" s="83"/>
      <c r="X76" s="1"/>
      <c r="CI76" s="83"/>
      <c r="CJ76" s="83"/>
      <c r="CK76" s="83"/>
      <c r="CL76" s="83"/>
      <c r="CM76" s="83"/>
      <c r="CN76" s="83"/>
      <c r="CO76" s="83"/>
    </row>
    <row r="77" spans="1:93" x14ac:dyDescent="0.3">
      <c r="A77" s="83"/>
      <c r="B77" s="103"/>
      <c r="C77" s="255"/>
      <c r="D77" s="203" t="s">
        <v>252</v>
      </c>
      <c r="E77" s="203" t="s">
        <v>128</v>
      </c>
      <c r="F77" s="96">
        <v>1</v>
      </c>
      <c r="G77" s="96">
        <v>1</v>
      </c>
      <c r="H77" s="96" t="s">
        <v>352</v>
      </c>
      <c r="I77" s="96" t="s">
        <v>85</v>
      </c>
      <c r="J77" s="96" t="str">
        <f>+IF(F77&gt;'Equipment Data'!$L$141,"yes","No")</f>
        <v>No</v>
      </c>
      <c r="K77" s="96">
        <v>0.67</v>
      </c>
      <c r="L77" s="96" t="s">
        <v>354</v>
      </c>
      <c r="M77" s="153">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49">
        <v>1</v>
      </c>
      <c r="O77" s="96">
        <f>+IF(I77="CS",'Equipment Data'!$C$162,IF(I77="Cu",'Equipment Data'!$D$162,IF(I77="SS",'Equipment Data'!$E$162,IF(I77="Ni",'Equipment Data'!$F$162,IF(I77="Ti",'Equipment Data'!$G$162,"N/A")))))</f>
        <v>1</v>
      </c>
      <c r="P77" s="149">
        <f>+'Equipment Data'!$I$141+'Equipment Data'!$J$141*N77*O77</f>
        <v>2.17</v>
      </c>
      <c r="Q77" s="150">
        <f t="shared" si="3"/>
        <v>98301.406968796393</v>
      </c>
      <c r="R77" s="260"/>
      <c r="S77" s="265"/>
      <c r="T77" s="104"/>
      <c r="U77" s="83"/>
      <c r="V77" s="83"/>
      <c r="W77" s="83"/>
      <c r="X77" s="1"/>
      <c r="CI77" s="83"/>
      <c r="CJ77" s="83"/>
      <c r="CK77" s="83"/>
      <c r="CL77" s="83"/>
      <c r="CM77" s="83"/>
      <c r="CN77" s="83"/>
      <c r="CO77" s="83"/>
    </row>
    <row r="78" spans="1:93" x14ac:dyDescent="0.3">
      <c r="A78" s="83"/>
      <c r="B78" s="103"/>
      <c r="C78" s="255"/>
      <c r="D78" s="203" t="s">
        <v>252</v>
      </c>
      <c r="E78" s="203" t="s">
        <v>129</v>
      </c>
      <c r="F78" s="96">
        <v>1</v>
      </c>
      <c r="G78" s="96">
        <v>1</v>
      </c>
      <c r="H78" s="96" t="s">
        <v>352</v>
      </c>
      <c r="I78" s="96" t="s">
        <v>85</v>
      </c>
      <c r="J78" s="96" t="str">
        <f>+IF(F78&gt;'Equipment Data'!$L$142,"yes","No")</f>
        <v>No</v>
      </c>
      <c r="K78" s="96">
        <v>0.67</v>
      </c>
      <c r="L78" s="96" t="s">
        <v>354</v>
      </c>
      <c r="M78" s="153">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49">
        <v>1</v>
      </c>
      <c r="O78" s="96">
        <f>+IF(I78="CS",'Equipment Data'!$C$163,IF(I78="Cu",'Equipment Data'!$D$163,IF(I78="SS",'Equipment Data'!$E$163,IF(I78="Ni",'Equipment Data'!$F$163,IF(I78="Ti",'Equipment Data'!$G$163,"N/A")))))</f>
        <v>1</v>
      </c>
      <c r="P78" s="149">
        <f>+'Equipment Data'!$I$142+'Equipment Data'!$J$142*N78*O78</f>
        <v>2.17</v>
      </c>
      <c r="Q78" s="150">
        <f t="shared" si="3"/>
        <v>100475.39769168713</v>
      </c>
      <c r="R78" s="260"/>
      <c r="S78" s="265"/>
      <c r="T78" s="104"/>
      <c r="U78" s="83"/>
      <c r="V78" s="83"/>
      <c r="W78" s="83"/>
      <c r="X78" s="1"/>
      <c r="CI78" s="83"/>
      <c r="CJ78" s="83"/>
      <c r="CK78" s="83"/>
      <c r="CL78" s="83"/>
      <c r="CM78" s="83"/>
      <c r="CN78" s="83"/>
      <c r="CO78" s="83"/>
    </row>
    <row r="79" spans="1:93" x14ac:dyDescent="0.3">
      <c r="A79" s="83"/>
      <c r="B79" s="103"/>
      <c r="C79" s="189"/>
      <c r="D79" s="203" t="s">
        <v>525</v>
      </c>
      <c r="E79" s="203" t="s">
        <v>146</v>
      </c>
      <c r="F79" s="96">
        <v>1</v>
      </c>
      <c r="G79" s="96" t="s">
        <v>354</v>
      </c>
      <c r="H79" s="96" t="s">
        <v>473</v>
      </c>
      <c r="I79" s="96" t="s">
        <v>354</v>
      </c>
      <c r="J79" s="96" t="str">
        <f>+IF(F79&gt;'Equipment Data'!$G$172,"yes","No")</f>
        <v>No</v>
      </c>
      <c r="K79" s="96">
        <v>0.67</v>
      </c>
      <c r="L79" s="96" t="s">
        <v>354</v>
      </c>
      <c r="M79" s="153">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96" t="s">
        <v>354</v>
      </c>
      <c r="O79" s="96" t="s">
        <v>354</v>
      </c>
      <c r="P79" s="96">
        <f>+'Equipment Data'!$H$172</f>
        <v>1.38</v>
      </c>
      <c r="Q79" s="150">
        <f>+M79*P79</f>
        <v>9794.4281887035741</v>
      </c>
      <c r="R79" s="148"/>
      <c r="S79" s="194"/>
      <c r="T79" s="104"/>
      <c r="U79" s="83"/>
      <c r="V79" s="83"/>
      <c r="W79" s="83"/>
      <c r="X79" s="1"/>
      <c r="CI79" s="83"/>
      <c r="CJ79" s="83"/>
      <c r="CK79" s="83"/>
      <c r="CL79" s="83"/>
      <c r="CM79" s="83"/>
      <c r="CN79" s="83"/>
      <c r="CO79" s="83"/>
    </row>
    <row r="80" spans="1:93" x14ac:dyDescent="0.3">
      <c r="A80" s="83"/>
      <c r="B80" s="103"/>
      <c r="C80" s="187"/>
      <c r="D80" s="203" t="s">
        <v>525</v>
      </c>
      <c r="E80" s="203" t="s">
        <v>147</v>
      </c>
      <c r="F80" s="96">
        <v>1</v>
      </c>
      <c r="G80" s="96" t="s">
        <v>354</v>
      </c>
      <c r="H80" s="96" t="s">
        <v>473</v>
      </c>
      <c r="I80" s="96" t="s">
        <v>354</v>
      </c>
      <c r="J80" s="96" t="str">
        <f>+IF(F80&gt;'Equipment Data'!$G$173,"yes","No")</f>
        <v>No</v>
      </c>
      <c r="K80" s="96">
        <v>0.67</v>
      </c>
      <c r="L80" s="96" t="s">
        <v>354</v>
      </c>
      <c r="M80" s="153">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96" t="s">
        <v>354</v>
      </c>
      <c r="O80" s="96" t="s">
        <v>354</v>
      </c>
      <c r="P80" s="96">
        <f>+'Equipment Data'!$H$173</f>
        <v>1.38</v>
      </c>
      <c r="Q80" s="150">
        <f>+P80*M80</f>
        <v>28878.796233382836</v>
      </c>
      <c r="R80" s="97"/>
      <c r="S80" s="188"/>
      <c r="T80" s="104"/>
      <c r="U80" s="83"/>
      <c r="V80" s="83"/>
      <c r="W80" s="83"/>
      <c r="X80" s="1"/>
      <c r="CI80" s="83"/>
      <c r="CJ80" s="83"/>
      <c r="CK80" s="83"/>
      <c r="CL80" s="83"/>
      <c r="CM80" s="83"/>
      <c r="CN80" s="83"/>
      <c r="CO80" s="83"/>
    </row>
    <row r="81" spans="1:93" x14ac:dyDescent="0.3">
      <c r="A81" s="83"/>
      <c r="B81" s="103"/>
      <c r="C81" s="187"/>
      <c r="D81" s="203" t="s">
        <v>525</v>
      </c>
      <c r="E81" s="203" t="s">
        <v>148</v>
      </c>
      <c r="F81" s="96">
        <v>1</v>
      </c>
      <c r="G81" s="96" t="s">
        <v>354</v>
      </c>
      <c r="H81" s="96" t="s">
        <v>473</v>
      </c>
      <c r="I81" s="96" t="s">
        <v>354</v>
      </c>
      <c r="J81" s="96" t="str">
        <f>+IF(F81&gt;'Equipment Data'!$G$174,"yes","No")</f>
        <v>No</v>
      </c>
      <c r="K81" s="96">
        <v>0.67</v>
      </c>
      <c r="L81" s="96" t="s">
        <v>354</v>
      </c>
      <c r="M81" s="153">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96" t="s">
        <v>354</v>
      </c>
      <c r="O81" s="96" t="s">
        <v>354</v>
      </c>
      <c r="P81" s="96">
        <f>+'Equipment Data'!$H$174</f>
        <v>1.38</v>
      </c>
      <c r="Q81" s="150">
        <f>+P81*M81</f>
        <v>3540.6181099081195</v>
      </c>
      <c r="R81" s="97"/>
      <c r="S81" s="188"/>
      <c r="T81" s="104"/>
      <c r="U81" s="83"/>
      <c r="V81" s="83"/>
      <c r="W81" s="83"/>
      <c r="X81" s="1"/>
      <c r="CI81" s="83"/>
      <c r="CJ81" s="83"/>
      <c r="CK81" s="83"/>
      <c r="CL81" s="83"/>
      <c r="CM81" s="83"/>
      <c r="CN81" s="83"/>
      <c r="CO81" s="83"/>
    </row>
    <row r="82" spans="1:93" x14ac:dyDescent="0.3">
      <c r="A82" s="83"/>
      <c r="B82" s="103"/>
      <c r="C82" s="254"/>
      <c r="D82" s="203" t="s">
        <v>269</v>
      </c>
      <c r="E82" s="203" t="s">
        <v>156</v>
      </c>
      <c r="F82" s="96">
        <v>1</v>
      </c>
      <c r="G82" s="96">
        <v>1</v>
      </c>
      <c r="H82" s="96" t="s">
        <v>473</v>
      </c>
      <c r="I82" s="96" t="s">
        <v>85</v>
      </c>
      <c r="J82" s="96" t="str">
        <f>+IF(F82&gt;'Equipment Data'!$S$179,"yes","No")</f>
        <v>No</v>
      </c>
      <c r="K82" s="96">
        <v>0.67</v>
      </c>
      <c r="L82" s="96" t="s">
        <v>354</v>
      </c>
      <c r="M82" s="153">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156">
        <f>+IF(G82-1.01325&gt;10,10^('Equipment Data'!$F$179+'Equipment Data'!$G$179*LOG10(G82-1.01325)+'Equipment Data'!$H$179*LOG10(G82-1.01325)*LOG10(G82-1.01325)),1)</f>
        <v>1</v>
      </c>
      <c r="O82" s="96">
        <f>+IF(I82="Cl",'Equipment Data'!$K$179,IF(I82="CS",'Equipment Data'!$L$179,IF(I82="Cu",'Equipment Data'!$M$179,IF(I82="SS",'Equipment Data'!$N$179,IF(I82="Ni",'Equipment Data'!$O$179,IF(I82="Ti",'Equipment Data'!$P$179,"N/A"))))))</f>
        <v>1.55</v>
      </c>
      <c r="P82" s="96">
        <f>+'Equipment Data'!$I$179+'Equipment Data'!$J$179*O82*N82</f>
        <v>3.9824999999999999</v>
      </c>
      <c r="Q82" s="150">
        <f>+P82*M82</f>
        <v>9757.8869991277315</v>
      </c>
      <c r="R82" s="258"/>
      <c r="S82" s="259"/>
      <c r="T82" s="104"/>
      <c r="U82" s="83"/>
      <c r="V82" s="83"/>
      <c r="W82" s="83"/>
      <c r="X82" s="1"/>
      <c r="CI82" s="83"/>
      <c r="CJ82" s="83"/>
      <c r="CK82" s="83"/>
      <c r="CL82" s="83"/>
      <c r="CM82" s="83"/>
      <c r="CN82" s="83"/>
      <c r="CO82" s="83"/>
    </row>
    <row r="83" spans="1:93" x14ac:dyDescent="0.3">
      <c r="A83" s="83"/>
      <c r="B83" s="103"/>
      <c r="C83" s="255"/>
      <c r="D83" s="203" t="s">
        <v>269</v>
      </c>
      <c r="E83" s="203" t="s">
        <v>158</v>
      </c>
      <c r="F83" s="96">
        <v>1</v>
      </c>
      <c r="G83" s="96">
        <v>1</v>
      </c>
      <c r="H83" s="96" t="s">
        <v>473</v>
      </c>
      <c r="I83" s="96" t="s">
        <v>85</v>
      </c>
      <c r="J83" s="96" t="str">
        <f>+IF(F83&gt;'Equipment Data'!$S$180,"yes","No")</f>
        <v>No</v>
      </c>
      <c r="K83" s="96">
        <v>0.67</v>
      </c>
      <c r="L83" s="96" t="s">
        <v>354</v>
      </c>
      <c r="M83" s="153">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96">
        <f>+IF(G83-1.01325&gt;10,10^('Equipment Data'!$F$180+'Equipment Data'!$G$180*LOG10(G83-1.01325)+'Equipment Data'!$H$180*LOG10(G83-1.01325)*LOG10(G83-1.01325)),1)</f>
        <v>1</v>
      </c>
      <c r="O83" s="96">
        <f>+IF(I83="Cl",'Equipment Data'!$K$180,IF(I83="CS",'Equipment Data'!$L$180,IF(I83="Cu",'Equipment Data'!$M$180,IF(I83="SS",'Equipment Data'!$N$180,IF(I83="Ni",'Equipment Data'!$O$180,IF(I83="Ti",'Equipment Data'!$P$180,"N/A"))))))</f>
        <v>1.41</v>
      </c>
      <c r="P83" s="96">
        <f>+'Equipment Data'!$I$180+'Equipment Data'!$J$180*O83*N83</f>
        <v>3.7934999999999999</v>
      </c>
      <c r="Q83" s="150">
        <f>+M83*P83</f>
        <v>11379.943042847275</v>
      </c>
      <c r="R83" s="260"/>
      <c r="S83" s="261"/>
      <c r="T83" s="104"/>
      <c r="U83" s="83"/>
      <c r="V83" s="83"/>
      <c r="W83" s="83"/>
      <c r="X83" s="1"/>
      <c r="CI83" s="83"/>
      <c r="CJ83" s="83"/>
      <c r="CK83" s="83"/>
      <c r="CL83" s="83"/>
      <c r="CM83" s="83"/>
      <c r="CN83" s="83"/>
      <c r="CO83" s="83"/>
    </row>
    <row r="84" spans="1:93" x14ac:dyDescent="0.3">
      <c r="A84" s="83"/>
      <c r="B84" s="103"/>
      <c r="C84" s="255"/>
      <c r="D84" s="203" t="s">
        <v>269</v>
      </c>
      <c r="E84" s="203" t="s">
        <v>159</v>
      </c>
      <c r="F84" s="96">
        <v>1</v>
      </c>
      <c r="G84" s="96">
        <v>1</v>
      </c>
      <c r="H84" s="96" t="s">
        <v>473</v>
      </c>
      <c r="I84" s="96" t="s">
        <v>85</v>
      </c>
      <c r="J84" s="96" t="str">
        <f>+IF(F84&gt;'Equipment Data'!$S$181,"yes","No")</f>
        <v>No</v>
      </c>
      <c r="K84" s="96">
        <v>0.67</v>
      </c>
      <c r="L84" s="96" t="s">
        <v>354</v>
      </c>
      <c r="M84" s="153">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96">
        <f>+IF(G84-1.01325&gt;10,10^('Equipment Data'!$F$181+'Equipment Data'!$G$181*LOG10(G84-1.01325)+'Equipment Data'!$H$181*LOG10(G84-1.01325)*LOG10(G84-1.01325)),1)</f>
        <v>1</v>
      </c>
      <c r="O84" s="96">
        <f>+IF(I84="Cl",'Equipment Data'!$K$181,IF(I84="CS",'Equipment Data'!$L$181,IF(I84="Cu",'Equipment Data'!$M$181,IF(I84="SS",'Equipment Data'!$N$181,IF(I84="Ni",'Equipment Data'!$O$181,IF(I84="Ti",'Equipment Data'!$P$181,"N/A"))))))</f>
        <v>1.46</v>
      </c>
      <c r="P84" s="96">
        <f>+'Equipment Data'!$I$181+'Equipment Data'!$J$181*O84*N84</f>
        <v>3.8609999999999998</v>
      </c>
      <c r="Q84" s="150">
        <f>+M84*P84</f>
        <v>28595.638727427508</v>
      </c>
      <c r="R84" s="260"/>
      <c r="S84" s="261"/>
      <c r="T84" s="104"/>
      <c r="U84" s="83"/>
      <c r="V84" s="83"/>
      <c r="W84" s="83"/>
      <c r="X84" s="1"/>
      <c r="CI84" s="83"/>
      <c r="CJ84" s="83"/>
      <c r="CK84" s="83"/>
      <c r="CL84" s="83"/>
      <c r="CM84" s="83"/>
      <c r="CN84" s="83"/>
      <c r="CO84" s="83"/>
    </row>
    <row r="85" spans="1:93" x14ac:dyDescent="0.3">
      <c r="A85" s="83"/>
      <c r="B85" s="103"/>
      <c r="C85" s="189"/>
      <c r="D85" s="203" t="s">
        <v>526</v>
      </c>
      <c r="E85" s="203" t="s">
        <v>161</v>
      </c>
      <c r="F85" s="96">
        <v>1</v>
      </c>
      <c r="G85" s="96" t="s">
        <v>354</v>
      </c>
      <c r="H85" s="96" t="s">
        <v>471</v>
      </c>
      <c r="I85" s="96" t="s">
        <v>354</v>
      </c>
      <c r="J85" s="96" t="str">
        <f>+IF(F85&gt;'Equipment Data'!$G$186,"yes","No")</f>
        <v>No</v>
      </c>
      <c r="K85" s="96">
        <v>0.67</v>
      </c>
      <c r="L85" s="96" t="s">
        <v>354</v>
      </c>
      <c r="M85" s="153">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96" t="s">
        <v>354</v>
      </c>
      <c r="O85" s="96" t="s">
        <v>354</v>
      </c>
      <c r="P85" s="156">
        <f>+'Equipment Data'!$H$186</f>
        <v>4</v>
      </c>
      <c r="Q85" s="150">
        <f t="shared" ref="Q85:Q96" si="4">+M85*P85</f>
        <v>144797.14248969589</v>
      </c>
      <c r="R85" s="148"/>
      <c r="S85" s="194"/>
      <c r="T85" s="104"/>
      <c r="U85" s="83"/>
      <c r="V85" s="83"/>
      <c r="W85" s="83"/>
      <c r="X85" s="1"/>
      <c r="CI85" s="83"/>
      <c r="CJ85" s="83"/>
      <c r="CK85" s="83"/>
      <c r="CL85" s="83"/>
      <c r="CM85" s="83"/>
      <c r="CN85" s="83"/>
      <c r="CO85" s="83"/>
    </row>
    <row r="86" spans="1:93" x14ac:dyDescent="0.3">
      <c r="A86" s="83"/>
      <c r="B86" s="103"/>
      <c r="C86" s="187"/>
      <c r="D86" s="203" t="s">
        <v>526</v>
      </c>
      <c r="E86" s="203" t="s">
        <v>162</v>
      </c>
      <c r="F86" s="96">
        <v>1</v>
      </c>
      <c r="G86" s="96" t="s">
        <v>354</v>
      </c>
      <c r="H86" s="96" t="s">
        <v>471</v>
      </c>
      <c r="I86" s="96" t="s">
        <v>354</v>
      </c>
      <c r="J86" s="96" t="str">
        <f>+IF(F86&gt;'Equipment Data'!$G$187,"yes","No")</f>
        <v>No</v>
      </c>
      <c r="K86" s="96">
        <v>0.67</v>
      </c>
      <c r="L86" s="96" t="s">
        <v>354</v>
      </c>
      <c r="M86" s="153">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96" t="s">
        <v>354</v>
      </c>
      <c r="O86" s="96" t="s">
        <v>354</v>
      </c>
      <c r="P86" s="156">
        <f>+'Equipment Data'!$H$187</f>
        <v>4</v>
      </c>
      <c r="Q86" s="150">
        <f t="shared" si="4"/>
        <v>50963.58743676445</v>
      </c>
      <c r="R86" s="97"/>
      <c r="S86" s="188"/>
      <c r="T86" s="104"/>
      <c r="U86" s="83"/>
      <c r="V86" s="83"/>
      <c r="W86" s="83"/>
      <c r="X86" s="1"/>
      <c r="CI86" s="83"/>
      <c r="CJ86" s="83"/>
      <c r="CK86" s="83"/>
      <c r="CL86" s="83"/>
      <c r="CM86" s="83"/>
      <c r="CN86" s="83"/>
      <c r="CO86" s="83"/>
    </row>
    <row r="87" spans="1:93" x14ac:dyDescent="0.3">
      <c r="A87" s="83"/>
      <c r="B87" s="103"/>
      <c r="C87" s="187"/>
      <c r="D87" s="203" t="s">
        <v>526</v>
      </c>
      <c r="E87" s="203" t="s">
        <v>163</v>
      </c>
      <c r="F87" s="96">
        <v>1</v>
      </c>
      <c r="G87" s="96" t="s">
        <v>354</v>
      </c>
      <c r="H87" s="96" t="s">
        <v>471</v>
      </c>
      <c r="I87" s="96" t="s">
        <v>354</v>
      </c>
      <c r="J87" s="96" t="str">
        <f>+IF(F87&gt;'Equipment Data'!$G$188,"yes","No")</f>
        <v>No</v>
      </c>
      <c r="K87" s="96">
        <v>0.67</v>
      </c>
      <c r="L87" s="96" t="s">
        <v>354</v>
      </c>
      <c r="M87" s="153">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96" t="s">
        <v>354</v>
      </c>
      <c r="O87" s="96" t="s">
        <v>354</v>
      </c>
      <c r="P87" s="156">
        <f>+'Equipment Data'!$H$188</f>
        <v>4</v>
      </c>
      <c r="Q87" s="150">
        <f t="shared" si="4"/>
        <v>24989.639516062187</v>
      </c>
      <c r="R87" s="97"/>
      <c r="S87" s="188"/>
      <c r="T87" s="104"/>
      <c r="U87" s="83"/>
      <c r="V87" s="83"/>
      <c r="W87" s="83"/>
      <c r="X87" s="1"/>
      <c r="CI87" s="83"/>
      <c r="CJ87" s="83"/>
      <c r="CK87" s="83"/>
      <c r="CL87" s="83"/>
      <c r="CM87" s="83"/>
      <c r="CN87" s="83"/>
      <c r="CO87" s="83"/>
    </row>
    <row r="88" spans="1:93" x14ac:dyDescent="0.3">
      <c r="A88" s="83"/>
      <c r="B88" s="103"/>
      <c r="C88" s="187"/>
      <c r="D88" s="203" t="s">
        <v>526</v>
      </c>
      <c r="E88" s="203" t="s">
        <v>164</v>
      </c>
      <c r="F88" s="96">
        <v>1</v>
      </c>
      <c r="G88" s="96" t="s">
        <v>354</v>
      </c>
      <c r="H88" s="96" t="s">
        <v>471</v>
      </c>
      <c r="I88" s="96" t="s">
        <v>354</v>
      </c>
      <c r="J88" s="96" t="str">
        <f>+IF(F88&gt;'Equipment Data'!$G$189,"yes","No")</f>
        <v>No</v>
      </c>
      <c r="K88" s="96">
        <v>0.67</v>
      </c>
      <c r="L88" s="96" t="s">
        <v>354</v>
      </c>
      <c r="M88" s="153">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96" t="s">
        <v>354</v>
      </c>
      <c r="O88" s="96" t="s">
        <v>354</v>
      </c>
      <c r="P88" s="156">
        <f>+'Equipment Data'!$H$189</f>
        <v>4</v>
      </c>
      <c r="Q88" s="150">
        <f t="shared" si="4"/>
        <v>50963.58743676445</v>
      </c>
      <c r="R88" s="97"/>
      <c r="S88" s="188"/>
      <c r="T88" s="104"/>
      <c r="U88" s="83"/>
      <c r="V88" s="83"/>
      <c r="W88" s="83"/>
      <c r="X88" s="1"/>
      <c r="CI88" s="83"/>
      <c r="CJ88" s="83"/>
      <c r="CK88" s="83"/>
      <c r="CL88" s="83"/>
      <c r="CM88" s="83"/>
      <c r="CN88" s="83"/>
      <c r="CO88" s="83"/>
    </row>
    <row r="89" spans="1:93" x14ac:dyDescent="0.3">
      <c r="A89" s="83"/>
      <c r="B89" s="103"/>
      <c r="C89" s="187"/>
      <c r="D89" s="203" t="s">
        <v>526</v>
      </c>
      <c r="E89" s="203" t="s">
        <v>165</v>
      </c>
      <c r="F89" s="96">
        <v>1</v>
      </c>
      <c r="G89" s="96" t="s">
        <v>354</v>
      </c>
      <c r="H89" s="96" t="s">
        <v>471</v>
      </c>
      <c r="I89" s="96" t="s">
        <v>354</v>
      </c>
      <c r="J89" s="96" t="str">
        <f>+IF(F89&gt;'Equipment Data'!$G$190,"yes","No")</f>
        <v>No</v>
      </c>
      <c r="K89" s="96">
        <v>0.67</v>
      </c>
      <c r="L89" s="96" t="s">
        <v>354</v>
      </c>
      <c r="M89" s="153">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96" t="s">
        <v>354</v>
      </c>
      <c r="O89" s="96" t="s">
        <v>354</v>
      </c>
      <c r="P89" s="156">
        <f>+'Equipment Data'!$H$190</f>
        <v>4</v>
      </c>
      <c r="Q89" s="150">
        <f t="shared" si="4"/>
        <v>8946.6405978647181</v>
      </c>
      <c r="R89" s="97"/>
      <c r="S89" s="188"/>
      <c r="T89" s="104"/>
      <c r="U89" s="83"/>
      <c r="V89" s="83"/>
      <c r="W89" s="83"/>
      <c r="X89" s="1"/>
      <c r="CI89" s="83"/>
      <c r="CJ89" s="83"/>
      <c r="CK89" s="83"/>
      <c r="CL89" s="83"/>
      <c r="CM89" s="83"/>
      <c r="CN89" s="83"/>
      <c r="CO89" s="83"/>
    </row>
    <row r="90" spans="1:93" x14ac:dyDescent="0.3">
      <c r="A90" s="83"/>
      <c r="B90" s="103"/>
      <c r="C90" s="195"/>
      <c r="D90" s="203" t="s">
        <v>526</v>
      </c>
      <c r="E90" s="203" t="s">
        <v>166</v>
      </c>
      <c r="F90" s="96">
        <v>1</v>
      </c>
      <c r="G90" s="96" t="s">
        <v>354</v>
      </c>
      <c r="H90" s="96" t="s">
        <v>471</v>
      </c>
      <c r="I90" s="96" t="s">
        <v>354</v>
      </c>
      <c r="J90" s="96" t="str">
        <f>+IF(F90&gt;'Equipment Data'!$G$191,"yes","No")</f>
        <v>No</v>
      </c>
      <c r="K90" s="96">
        <v>0.67</v>
      </c>
      <c r="L90" s="96" t="s">
        <v>354</v>
      </c>
      <c r="M90" s="153">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96" t="s">
        <v>354</v>
      </c>
      <c r="O90" s="96" t="s">
        <v>354</v>
      </c>
      <c r="P90" s="156">
        <f>+'Equipment Data'!$H$191</f>
        <v>4</v>
      </c>
      <c r="Q90" s="150">
        <f t="shared" si="4"/>
        <v>205901.72797250503</v>
      </c>
      <c r="R90" s="97"/>
      <c r="S90" s="188"/>
      <c r="T90" s="104"/>
      <c r="U90" s="83"/>
      <c r="V90" s="83"/>
      <c r="W90" s="83"/>
      <c r="X90" s="1"/>
      <c r="CI90" s="83"/>
      <c r="CJ90" s="83"/>
      <c r="CK90" s="83"/>
      <c r="CL90" s="83"/>
      <c r="CM90" s="83"/>
      <c r="CN90" s="83"/>
      <c r="CO90" s="83"/>
    </row>
    <row r="91" spans="1:93" x14ac:dyDescent="0.3">
      <c r="A91" s="83"/>
      <c r="B91" s="103"/>
      <c r="C91" s="255"/>
      <c r="D91" s="203" t="s">
        <v>527</v>
      </c>
      <c r="E91" s="203" t="s">
        <v>168</v>
      </c>
      <c r="F91" s="96">
        <v>1</v>
      </c>
      <c r="G91" s="96" t="s">
        <v>354</v>
      </c>
      <c r="H91" s="96" t="s">
        <v>352</v>
      </c>
      <c r="I91" s="96" t="s">
        <v>354</v>
      </c>
      <c r="J91" s="96" t="str">
        <f>+IF(F91&gt;'Equipment Data'!$G$196,"yes","No")</f>
        <v>No</v>
      </c>
      <c r="K91" s="96">
        <v>0.67</v>
      </c>
      <c r="L91" s="96" t="s">
        <v>354</v>
      </c>
      <c r="M91" s="153">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96" t="s">
        <v>354</v>
      </c>
      <c r="O91" s="96" t="s">
        <v>354</v>
      </c>
      <c r="P91" s="96">
        <f>+'Equipment Data'!$H$196</f>
        <v>1.34</v>
      </c>
      <c r="Q91" s="150">
        <f t="shared" si="4"/>
        <v>8552.7307149533608</v>
      </c>
      <c r="R91" s="258"/>
      <c r="S91" s="259"/>
      <c r="T91" s="104"/>
      <c r="U91" s="83"/>
      <c r="V91" s="83"/>
      <c r="W91" s="83"/>
      <c r="X91" s="1"/>
      <c r="CI91" s="83"/>
      <c r="CJ91" s="83"/>
      <c r="CK91" s="83"/>
      <c r="CL91" s="83"/>
      <c r="CM91" s="83"/>
      <c r="CN91" s="83"/>
      <c r="CO91" s="83"/>
    </row>
    <row r="92" spans="1:93" x14ac:dyDescent="0.3">
      <c r="A92" s="83"/>
      <c r="B92" s="103"/>
      <c r="C92" s="255"/>
      <c r="D92" s="203" t="s">
        <v>527</v>
      </c>
      <c r="E92" s="203" t="s">
        <v>513</v>
      </c>
      <c r="F92" s="96">
        <v>1</v>
      </c>
      <c r="G92" s="96" t="s">
        <v>354</v>
      </c>
      <c r="H92" s="96" t="s">
        <v>352</v>
      </c>
      <c r="I92" s="96" t="s">
        <v>354</v>
      </c>
      <c r="J92" s="96" t="str">
        <f>+IF(F92&gt;'Equipment Data'!$G$197,"yes","No")</f>
        <v>No</v>
      </c>
      <c r="K92" s="96">
        <v>0.67</v>
      </c>
      <c r="L92" s="96" t="s">
        <v>354</v>
      </c>
      <c r="M92" s="153">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96" t="s">
        <v>354</v>
      </c>
      <c r="O92" s="96" t="s">
        <v>354</v>
      </c>
      <c r="P92" s="96">
        <f>+'Equipment Data'!$H$197</f>
        <v>1.34</v>
      </c>
      <c r="Q92" s="150">
        <f t="shared" si="4"/>
        <v>14983.207649428554</v>
      </c>
      <c r="R92" s="260"/>
      <c r="S92" s="261"/>
      <c r="T92" s="104"/>
      <c r="U92" s="83"/>
      <c r="V92" s="83"/>
      <c r="W92" s="83"/>
      <c r="X92" s="1"/>
      <c r="CI92" s="83"/>
      <c r="CJ92" s="83"/>
      <c r="CK92" s="83"/>
      <c r="CL92" s="83"/>
      <c r="CM92" s="83"/>
      <c r="CN92" s="83"/>
      <c r="CO92" s="83"/>
    </row>
    <row r="93" spans="1:93" x14ac:dyDescent="0.3">
      <c r="A93" s="83"/>
      <c r="B93" s="103"/>
      <c r="C93" s="255"/>
      <c r="D93" s="203" t="s">
        <v>527</v>
      </c>
      <c r="E93" s="203" t="s">
        <v>169</v>
      </c>
      <c r="F93" s="96">
        <v>1</v>
      </c>
      <c r="G93" s="96" t="s">
        <v>354</v>
      </c>
      <c r="H93" s="96" t="s">
        <v>352</v>
      </c>
      <c r="I93" s="96" t="s">
        <v>354</v>
      </c>
      <c r="J93" s="96" t="str">
        <f>+IF(F93&gt;'Equipment Data'!$G$198,"yes","No")</f>
        <v>No</v>
      </c>
      <c r="K93" s="96">
        <v>0.67</v>
      </c>
      <c r="L93" s="96" t="s">
        <v>354</v>
      </c>
      <c r="M93" s="153">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96" t="s">
        <v>354</v>
      </c>
      <c r="O93" s="96" t="s">
        <v>354</v>
      </c>
      <c r="P93" s="96">
        <f>+'Equipment Data'!$H$198</f>
        <v>1.34</v>
      </c>
      <c r="Q93" s="150">
        <f t="shared" si="4"/>
        <v>8892.1094237817506</v>
      </c>
      <c r="R93" s="260"/>
      <c r="S93" s="261"/>
      <c r="T93" s="104"/>
      <c r="U93" s="83"/>
      <c r="V93" s="83"/>
      <c r="W93" s="83"/>
      <c r="X93" s="1"/>
      <c r="CI93" s="83"/>
      <c r="CJ93" s="83"/>
      <c r="CK93" s="83"/>
      <c r="CL93" s="83"/>
      <c r="CM93" s="83"/>
      <c r="CN93" s="83"/>
      <c r="CO93" s="83"/>
    </row>
    <row r="94" spans="1:93" x14ac:dyDescent="0.3">
      <c r="A94" s="83"/>
      <c r="B94" s="103"/>
      <c r="C94" s="256"/>
      <c r="D94" s="203" t="s">
        <v>527</v>
      </c>
      <c r="E94" s="203" t="s">
        <v>170</v>
      </c>
      <c r="F94" s="96">
        <v>1</v>
      </c>
      <c r="G94" s="96" t="s">
        <v>354</v>
      </c>
      <c r="H94" s="96" t="s">
        <v>352</v>
      </c>
      <c r="I94" s="96" t="s">
        <v>354</v>
      </c>
      <c r="J94" s="96" t="str">
        <f>+IF(F94&gt;'Equipment Data'!$G$199,"yes","No")</f>
        <v>No</v>
      </c>
      <c r="K94" s="96">
        <v>0.67</v>
      </c>
      <c r="L94" s="96" t="s">
        <v>354</v>
      </c>
      <c r="M94" s="153">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96" t="s">
        <v>354</v>
      </c>
      <c r="O94" s="96" t="s">
        <v>354</v>
      </c>
      <c r="P94" s="96">
        <f>+'Equipment Data'!$H$199</f>
        <v>1.34</v>
      </c>
      <c r="Q94" s="150">
        <f t="shared" si="4"/>
        <v>14983.207649428554</v>
      </c>
      <c r="R94" s="262"/>
      <c r="S94" s="263"/>
      <c r="T94" s="104"/>
      <c r="U94" s="83"/>
      <c r="V94" s="83"/>
      <c r="W94" s="83"/>
      <c r="X94" s="1"/>
      <c r="CI94" s="83"/>
      <c r="CJ94" s="83"/>
      <c r="CK94" s="83"/>
      <c r="CL94" s="83"/>
      <c r="CM94" s="83"/>
      <c r="CN94" s="83"/>
      <c r="CO94" s="83"/>
    </row>
    <row r="95" spans="1:93" x14ac:dyDescent="0.3">
      <c r="A95" s="83"/>
      <c r="B95" s="103"/>
      <c r="C95" s="189"/>
      <c r="D95" s="203" t="s">
        <v>257</v>
      </c>
      <c r="E95" s="203" t="s">
        <v>172</v>
      </c>
      <c r="F95" s="96">
        <v>1</v>
      </c>
      <c r="G95" s="96" t="s">
        <v>354</v>
      </c>
      <c r="H95" s="96" t="s">
        <v>471</v>
      </c>
      <c r="I95" s="96" t="s">
        <v>354</v>
      </c>
      <c r="J95" s="96" t="str">
        <f>+IF(F95&gt;'Equipment Data'!$I$204,"yes","No")</f>
        <v>No</v>
      </c>
      <c r="K95" s="96">
        <v>0.67</v>
      </c>
      <c r="L95" s="96" t="s">
        <v>354</v>
      </c>
      <c r="M95" s="153">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96" t="s">
        <v>354</v>
      </c>
      <c r="O95" s="96" t="s">
        <v>354</v>
      </c>
      <c r="P95" s="96">
        <v>1.1000000000000001</v>
      </c>
      <c r="Q95" s="150">
        <f t="shared" si="4"/>
        <v>78035.584049874946</v>
      </c>
      <c r="R95" s="148"/>
      <c r="S95" s="174"/>
      <c r="T95" s="104"/>
      <c r="U95" s="83"/>
      <c r="V95" s="83"/>
      <c r="W95" s="83"/>
      <c r="X95" s="1"/>
      <c r="CI95" s="83"/>
      <c r="CJ95" s="83"/>
      <c r="CK95" s="83"/>
      <c r="CL95" s="83"/>
      <c r="CM95" s="83"/>
      <c r="CN95" s="83"/>
      <c r="CO95" s="83"/>
    </row>
    <row r="96" spans="1:93" x14ac:dyDescent="0.3">
      <c r="A96" s="83"/>
      <c r="B96" s="103"/>
      <c r="C96" s="187"/>
      <c r="D96" s="203" t="s">
        <v>257</v>
      </c>
      <c r="E96" s="203" t="s">
        <v>173</v>
      </c>
      <c r="F96" s="96">
        <v>1</v>
      </c>
      <c r="G96" s="96" t="s">
        <v>354</v>
      </c>
      <c r="H96" s="96" t="s">
        <v>471</v>
      </c>
      <c r="I96" s="96" t="s">
        <v>354</v>
      </c>
      <c r="J96" s="96" t="str">
        <f>+IF(F96&gt;'Equipment Data'!$I$205,"yes","No")</f>
        <v>No</v>
      </c>
      <c r="K96" s="96">
        <v>0.67</v>
      </c>
      <c r="L96" s="96" t="s">
        <v>354</v>
      </c>
      <c r="M96" s="153">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96" t="s">
        <v>354</v>
      </c>
      <c r="O96" s="96" t="s">
        <v>354</v>
      </c>
      <c r="P96" s="96">
        <v>1.1000000000000001</v>
      </c>
      <c r="Q96" s="150">
        <f t="shared" si="4"/>
        <v>995617.87493027258</v>
      </c>
      <c r="R96" s="97"/>
      <c r="S96" s="151"/>
      <c r="T96" s="104"/>
      <c r="U96" s="83"/>
      <c r="V96" s="83"/>
      <c r="W96" s="83"/>
      <c r="X96" s="1"/>
      <c r="CI96" s="83"/>
      <c r="CJ96" s="83"/>
      <c r="CK96" s="83"/>
      <c r="CL96" s="83"/>
      <c r="CM96" s="83"/>
      <c r="CN96" s="83"/>
      <c r="CO96" s="83"/>
    </row>
    <row r="97" spans="1:93" x14ac:dyDescent="0.3">
      <c r="A97" s="83"/>
      <c r="B97" s="103"/>
      <c r="C97" s="254"/>
      <c r="D97" s="203" t="s">
        <v>148</v>
      </c>
      <c r="E97" s="203" t="s">
        <v>24</v>
      </c>
      <c r="F97" s="96">
        <v>1</v>
      </c>
      <c r="G97" s="96" t="s">
        <v>354</v>
      </c>
      <c r="H97" s="96" t="s">
        <v>473</v>
      </c>
      <c r="I97" s="96" t="s">
        <v>85</v>
      </c>
      <c r="J97" s="96" t="str">
        <f>+IF(F97&gt;'Equipment Data'!$M$210,"yes","No")</f>
        <v>No</v>
      </c>
      <c r="K97" s="96">
        <v>0.67</v>
      </c>
      <c r="L97" s="96" t="s">
        <v>354</v>
      </c>
      <c r="M97" s="153">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96" t="s">
        <v>354</v>
      </c>
      <c r="O97" s="96" t="s">
        <v>354</v>
      </c>
      <c r="P97" s="96">
        <f>+IF(I97="Cl",'Equipment Data'!$F$210,IF(I97="CS",'Equipment Data'!$G$210,IF(I97="Cu",'Equipment Data'!$H$210,IF(I97="SS",'Equipment Data'!$I$210,IF(I97="Ni",'Equipment Data'!$J$210,IF(I97="Ti",'Equipment Data'!$K$210,"N/A"))))))</f>
        <v>3.5</v>
      </c>
      <c r="Q97" s="150">
        <f>+M97*P97</f>
        <v>1774.8761122418107</v>
      </c>
      <c r="R97" s="258"/>
      <c r="S97" s="259"/>
      <c r="T97" s="104"/>
      <c r="U97" s="83"/>
      <c r="V97" s="83"/>
      <c r="W97" s="83"/>
      <c r="X97" s="1"/>
      <c r="CI97" s="83"/>
      <c r="CJ97" s="83"/>
      <c r="CK97" s="83"/>
      <c r="CL97" s="83"/>
      <c r="CM97" s="83"/>
      <c r="CN97" s="83"/>
      <c r="CO97" s="83"/>
    </row>
    <row r="98" spans="1:93" x14ac:dyDescent="0.3">
      <c r="A98" s="83"/>
      <c r="B98" s="103"/>
      <c r="C98" s="256"/>
      <c r="D98" s="203" t="s">
        <v>148</v>
      </c>
      <c r="E98" s="203" t="s">
        <v>178</v>
      </c>
      <c r="F98" s="96">
        <v>1</v>
      </c>
      <c r="G98" s="96" t="s">
        <v>354</v>
      </c>
      <c r="H98" s="96" t="s">
        <v>473</v>
      </c>
      <c r="I98" s="96" t="s">
        <v>85</v>
      </c>
      <c r="J98" s="96" t="str">
        <f>+IF(F98&gt;'Equipment Data'!$G$211,"yes","No")</f>
        <v>No</v>
      </c>
      <c r="K98" s="96">
        <v>0.67</v>
      </c>
      <c r="L98" s="96" t="s">
        <v>354</v>
      </c>
      <c r="M98" s="153">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96" t="s">
        <v>354</v>
      </c>
      <c r="O98" s="96" t="s">
        <v>354</v>
      </c>
      <c r="P98" s="96">
        <f>+IF(I98="Cl",'Equipment Data'!$F$211,IF(I98="CS",'Equipment Data'!$G$211,IF(I98="Cu",'Equipment Data'!$H$211,IF(I98="SS",'Equipment Data'!$I$211,IF(I98="Ni",'Equipment Data'!$J$211,IF(I98="Ti",'Equipment Data'!$K$211,"N/A"))))))</f>
        <v>3.5</v>
      </c>
      <c r="Q98" s="150">
        <f>+M98*P98</f>
        <v>618.96778239862999</v>
      </c>
      <c r="R98" s="262"/>
      <c r="S98" s="263"/>
      <c r="T98" s="104"/>
      <c r="U98" s="83"/>
      <c r="V98" s="83"/>
      <c r="W98" s="83"/>
      <c r="X98" s="1"/>
      <c r="CI98" s="83"/>
      <c r="CJ98" s="83"/>
      <c r="CK98" s="83"/>
      <c r="CL98" s="83"/>
      <c r="CM98" s="83"/>
      <c r="CN98" s="83"/>
      <c r="CO98" s="83"/>
    </row>
    <row r="99" spans="1:93" x14ac:dyDescent="0.3">
      <c r="A99" s="83"/>
      <c r="B99" s="103"/>
      <c r="C99" s="189"/>
      <c r="D99" s="203" t="s">
        <v>259</v>
      </c>
      <c r="E99" s="203" t="s">
        <v>182</v>
      </c>
      <c r="F99" s="96">
        <v>1</v>
      </c>
      <c r="G99" s="96">
        <v>1</v>
      </c>
      <c r="H99" s="96" t="s">
        <v>471</v>
      </c>
      <c r="I99" s="96" t="s">
        <v>85</v>
      </c>
      <c r="J99" s="96" t="str">
        <f>+IF(F99&gt;'Equipment Data'!$G$216,"yes","No")</f>
        <v>No</v>
      </c>
      <c r="K99" s="96">
        <v>0.67</v>
      </c>
      <c r="L99" s="96" t="s">
        <v>354</v>
      </c>
      <c r="M99" s="153">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49">
        <f>+IF(G99-1.01325&gt;5,10^('Equipment Data'!$I$216+'Equipment Data'!$J$216*LOG10(G99-1.01325)+'Equipment Data'!$K$216*LOG10(G99-1.01325)*LOG10(G99-1.01325)),1)</f>
        <v>1</v>
      </c>
      <c r="O99" s="118" t="s">
        <v>354</v>
      </c>
      <c r="P99" s="96">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50">
        <f>+M99*N99*P99</f>
        <v>20551.833025368316</v>
      </c>
      <c r="R99" s="148"/>
      <c r="S99" s="174"/>
      <c r="T99" s="104"/>
      <c r="U99" s="83"/>
      <c r="V99" s="83"/>
      <c r="W99" s="83"/>
      <c r="X99" s="1"/>
      <c r="CI99" s="83"/>
      <c r="CJ99" s="83"/>
      <c r="CK99" s="83"/>
      <c r="CL99" s="83"/>
      <c r="CM99" s="83"/>
      <c r="CN99" s="83"/>
      <c r="CO99" s="83"/>
    </row>
    <row r="100" spans="1:93" x14ac:dyDescent="0.3">
      <c r="A100" s="83"/>
      <c r="B100" s="103"/>
      <c r="C100" s="187"/>
      <c r="D100" s="203" t="s">
        <v>259</v>
      </c>
      <c r="E100" s="203" t="s">
        <v>183</v>
      </c>
      <c r="F100" s="96">
        <v>1</v>
      </c>
      <c r="G100" s="96">
        <v>1</v>
      </c>
      <c r="H100" s="96" t="s">
        <v>471</v>
      </c>
      <c r="I100" s="96" t="s">
        <v>85</v>
      </c>
      <c r="J100" s="96" t="str">
        <f>+IF(F100&gt;'Equipment Data'!$G$217,"yes","No")</f>
        <v>No</v>
      </c>
      <c r="K100" s="96">
        <v>0.67</v>
      </c>
      <c r="L100" s="96" t="s">
        <v>354</v>
      </c>
      <c r="M100" s="153">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49">
        <f>+IF(G100-1.01325&gt;5,10^('Equipment Data'!$I$217+'Equipment Data'!$J$217*LOG10(G100-1.01325)+'Equipment Data'!$K$217*LOG10(G100-1.01325)*LOG10(G100-1.01325)),1)</f>
        <v>1</v>
      </c>
      <c r="O100" s="96" t="s">
        <v>354</v>
      </c>
      <c r="P100" s="96">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50">
        <f>+M100*N100*P100</f>
        <v>33070.642194397347</v>
      </c>
      <c r="R100" s="97"/>
      <c r="S100" s="151"/>
      <c r="T100" s="104"/>
      <c r="U100" s="83"/>
      <c r="V100" s="83"/>
      <c r="W100" s="83"/>
      <c r="X100" s="1"/>
      <c r="CI100" s="83"/>
      <c r="CJ100" s="83"/>
      <c r="CK100" s="83"/>
      <c r="CL100" s="83"/>
      <c r="CM100" s="83"/>
      <c r="CN100" s="83"/>
      <c r="CO100" s="83"/>
    </row>
    <row r="101" spans="1:93" x14ac:dyDescent="0.3">
      <c r="A101" s="83"/>
      <c r="B101" s="103"/>
      <c r="C101" s="187"/>
      <c r="D101" s="203" t="s">
        <v>259</v>
      </c>
      <c r="E101" s="203" t="s">
        <v>184</v>
      </c>
      <c r="F101" s="96">
        <v>1</v>
      </c>
      <c r="G101" s="96">
        <v>1</v>
      </c>
      <c r="H101" s="96" t="s">
        <v>471</v>
      </c>
      <c r="I101" s="96" t="s">
        <v>85</v>
      </c>
      <c r="J101" s="96" t="str">
        <f>+IF(F101&gt;'Equipment Data'!$G$218,"yes","No")</f>
        <v>No</v>
      </c>
      <c r="K101" s="96">
        <v>0.67</v>
      </c>
      <c r="L101" s="96" t="s">
        <v>354</v>
      </c>
      <c r="M101" s="153">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49">
        <f>+IF(G101-1.01325&gt;5,10^('Equipment Data'!$I$218+'Equipment Data'!$J$218*LOG10(G101-1.01325)+'Equipment Data'!$K$218*LOG10(G101-1.01325)*LOG10(G101-1.01325)),1)</f>
        <v>1</v>
      </c>
      <c r="O101" s="96" t="s">
        <v>354</v>
      </c>
      <c r="P101" s="96">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50">
        <f>+M101*N101*P101</f>
        <v>33070.642194397347</v>
      </c>
      <c r="R101" s="97"/>
      <c r="S101" s="151"/>
      <c r="T101" s="104"/>
      <c r="U101" s="83"/>
      <c r="V101" s="83"/>
      <c r="W101" s="83"/>
      <c r="X101" s="1"/>
      <c r="CI101" s="83"/>
      <c r="CJ101" s="83"/>
      <c r="CK101" s="83"/>
      <c r="CL101" s="83"/>
      <c r="CM101" s="83"/>
      <c r="CN101" s="83"/>
      <c r="CO101" s="83"/>
    </row>
    <row r="102" spans="1:93" x14ac:dyDescent="0.3">
      <c r="A102" s="83"/>
      <c r="B102" s="103"/>
      <c r="C102" s="254"/>
      <c r="D102" s="203" t="s">
        <v>260</v>
      </c>
      <c r="E102" s="203" t="s">
        <v>200</v>
      </c>
      <c r="F102" s="96">
        <v>1</v>
      </c>
      <c r="G102" s="96">
        <v>1</v>
      </c>
      <c r="H102" s="96" t="s">
        <v>471</v>
      </c>
      <c r="I102" s="96" t="s">
        <v>85</v>
      </c>
      <c r="J102" s="96" t="str">
        <f>+IF(F102&gt;'Equipment Data'!$K$239,"yes","No")</f>
        <v>No</v>
      </c>
      <c r="K102" s="96">
        <v>0.67</v>
      </c>
      <c r="L102" s="96">
        <v>1</v>
      </c>
      <c r="M102" s="153">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49">
        <f>+IF(L102="","Input Diameter in m",IF(G102&gt;0.5,IF(((G102*L102)/(2*(850-0.6*G102))+0.00315)/0.0063&lt;1,1,((G102*L102)/(2*(850-0.6*G102))+0.00315)/0.0063),1.25))</f>
        <v>1</v>
      </c>
      <c r="O102" s="96">
        <f>+IF(I102="CS",'Equipment Data'!$C$247,IF(I102="SS Clad",'Equipment Data'!$C$248,IF(I102="SS",'Equipment Data'!$C$249,IF(I102="Ni Clad",'Equipment Data'!$C$250,IF(I102="Ni",'Equipment Data'!$C$251,IF(I102="Ti Clad",'Equipment Data'!$C$252,IF(I102="Ti",'Equipment Data'!$C$253,"N/A")))))))</f>
        <v>1</v>
      </c>
      <c r="P102" s="150">
        <f>+'Equipment Data'!$C$243+'Equipment Data'!$D$243*N102*O102</f>
        <v>3.01</v>
      </c>
      <c r="Q102" s="150">
        <f>+M102*P102</f>
        <v>10840.928886881307</v>
      </c>
      <c r="R102" s="258"/>
      <c r="S102" s="259"/>
      <c r="T102" s="104"/>
      <c r="U102" s="83"/>
      <c r="V102" s="83"/>
      <c r="W102" s="83"/>
      <c r="X102" s="1"/>
      <c r="CI102" s="83"/>
      <c r="CJ102" s="83"/>
      <c r="CK102" s="83"/>
      <c r="CL102" s="83"/>
      <c r="CM102" s="83"/>
      <c r="CN102" s="83"/>
      <c r="CO102" s="83"/>
    </row>
    <row r="103" spans="1:93" x14ac:dyDescent="0.3">
      <c r="A103" s="83"/>
      <c r="B103" s="103"/>
      <c r="C103" s="256"/>
      <c r="D103" s="203" t="s">
        <v>260</v>
      </c>
      <c r="E103" s="203" t="s">
        <v>201</v>
      </c>
      <c r="F103" s="96">
        <v>1</v>
      </c>
      <c r="G103" s="96">
        <v>1</v>
      </c>
      <c r="H103" s="96" t="s">
        <v>471</v>
      </c>
      <c r="I103" s="96" t="s">
        <v>85</v>
      </c>
      <c r="J103" s="96" t="str">
        <f>+IF(F103&gt;'Equipment Data'!$F$239,"yes","No")</f>
        <v>No</v>
      </c>
      <c r="K103" s="96">
        <v>0.67</v>
      </c>
      <c r="L103" s="96">
        <v>1</v>
      </c>
      <c r="M103" s="153">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52">
        <f>+IF(L103="","Input Diameter in m",IF(G103&gt;0.5,IF(((G103*L103)/(2*(850-0.6*G103))+0.00315)/0.0063&lt;1,1,((G103*L103)/(2*(850-0.6*G103))+0.00315)/0.0063),1.25))</f>
        <v>1</v>
      </c>
      <c r="O103" s="96">
        <f>+IF(I103="CS",'Equipment Data'!$C$247,IF(I103="SS Clad",'Equipment Data'!$C$248,IF(I103="SS",'Equipment Data'!$C$249,IF(I103="Ni Clad",'Equipment Data'!$C$250,IF(I103="Ni",'Equipment Data'!$C$251,IF(I103="Ti Clad",'Equipment Data'!$C$252,IF(I103="Ti",'Equipment Data'!$C$253,"N/A")))))))</f>
        <v>1</v>
      </c>
      <c r="P103" s="150">
        <f>+'Equipment Data'!$C$244+'Equipment Data'!$D$244*N103*O103</f>
        <v>4.07</v>
      </c>
      <c r="Q103" s="150">
        <f>+M103*P103</f>
        <v>12793.648344877778</v>
      </c>
      <c r="R103" s="262"/>
      <c r="S103" s="263"/>
      <c r="T103" s="104"/>
      <c r="U103" s="83"/>
      <c r="V103" s="83"/>
      <c r="W103" s="83"/>
      <c r="X103" s="1"/>
      <c r="CI103" s="83"/>
      <c r="CJ103" s="83"/>
      <c r="CK103" s="83"/>
      <c r="CL103" s="83"/>
      <c r="CM103" s="83"/>
      <c r="CN103" s="83"/>
      <c r="CO103" s="83"/>
    </row>
    <row r="104" spans="1:93" x14ac:dyDescent="0.3">
      <c r="A104" s="83"/>
      <c r="B104" s="103"/>
      <c r="C104" s="189"/>
      <c r="D104" s="203" t="s">
        <v>210</v>
      </c>
      <c r="E104" s="203" t="s">
        <v>214</v>
      </c>
      <c r="F104" s="96">
        <v>1</v>
      </c>
      <c r="G104" s="96" t="s">
        <v>354</v>
      </c>
      <c r="H104" s="96" t="s">
        <v>352</v>
      </c>
      <c r="I104" s="96" t="s">
        <v>85</v>
      </c>
      <c r="J104" s="96" t="str">
        <f>+IF(F104&gt;'Equipment Data'!$G$257,"yes","No")</f>
        <v>No</v>
      </c>
      <c r="K104" s="96">
        <v>0.67</v>
      </c>
      <c r="L104" s="96">
        <v>1</v>
      </c>
      <c r="M104" s="153">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96" t="s">
        <v>354</v>
      </c>
      <c r="O104" s="149">
        <f>+IF(L104="","Input nº of Trays",IF(L104&lt;20,10^(0.4771+0.08516*LOG10(L104)-0.3473*LOG10(L104)*LOG10(L104)),1))</f>
        <v>2.9998531811907938</v>
      </c>
      <c r="P104" s="96">
        <f>+IF(I104="CS",'Equipment Data'!$D$262,IF(I104="SS",'Equipment Data'!$D$263,IF(I104="Fluorocarbon",'Equipment Data'!$D$264,IF(I104="Ni Alloy",'Equipment Data'!$D$265,"N/A"))))</f>
        <v>1</v>
      </c>
      <c r="Q104" s="150">
        <f>+M104*O104*P104</f>
        <v>2964.8313895243455</v>
      </c>
      <c r="R104" s="148"/>
      <c r="S104" s="174"/>
      <c r="T104" s="104"/>
      <c r="U104" s="83"/>
      <c r="V104" s="83"/>
      <c r="W104" s="83"/>
      <c r="X104" s="1"/>
      <c r="CI104" s="83"/>
      <c r="CJ104" s="83"/>
      <c r="CK104" s="83"/>
      <c r="CL104" s="83"/>
      <c r="CM104" s="83"/>
      <c r="CN104" s="83"/>
      <c r="CO104" s="83"/>
    </row>
    <row r="105" spans="1:93" x14ac:dyDescent="0.3">
      <c r="A105" s="83"/>
      <c r="B105" s="103"/>
      <c r="C105" s="187"/>
      <c r="D105" s="203" t="s">
        <v>210</v>
      </c>
      <c r="E105" s="203" t="s">
        <v>215</v>
      </c>
      <c r="F105" s="96">
        <v>1</v>
      </c>
      <c r="G105" s="96" t="s">
        <v>354</v>
      </c>
      <c r="H105" s="96" t="s">
        <v>352</v>
      </c>
      <c r="I105" s="96" t="s">
        <v>85</v>
      </c>
      <c r="J105" s="96" t="str">
        <f>+IF(F105&gt;'Equipment Data'!$G$258,"yes","No")</f>
        <v>No</v>
      </c>
      <c r="K105" s="96">
        <v>0.67</v>
      </c>
      <c r="L105" s="96">
        <v>1</v>
      </c>
      <c r="M105" s="153">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96" t="s">
        <v>354</v>
      </c>
      <c r="O105" s="149">
        <f>+IF(L105="","Input nº of Trays",IF(L105&lt;20,10^(0.4771+0.08516*LOG10(L105)-0.3473*LOG10(L105)*LOG10(L105)),1))</f>
        <v>2.9998531811907938</v>
      </c>
      <c r="P105" s="96">
        <f>+IF(I105="CS",'Equipment Data'!$E$262,IF(I105="SS",'Equipment Data'!$E$263,IF(I105="Fluorocarbon",'Equipment Data'!$E$264,IF(I105="Ni Alloy",'Equipment Data'!$E$265,"N/A"))))</f>
        <v>1</v>
      </c>
      <c r="Q105" s="150">
        <f>+M105*O105*P105</f>
        <v>6446.143956044054</v>
      </c>
      <c r="R105" s="97"/>
      <c r="S105" s="151"/>
      <c r="T105" s="104"/>
      <c r="U105" s="83"/>
      <c r="V105" s="83"/>
      <c r="W105" s="83"/>
      <c r="X105" s="1"/>
      <c r="CI105" s="83"/>
      <c r="CJ105" s="83"/>
      <c r="CK105" s="83"/>
      <c r="CL105" s="83"/>
      <c r="CM105" s="83"/>
      <c r="CN105" s="83"/>
      <c r="CO105" s="83"/>
    </row>
    <row r="106" spans="1:93" x14ac:dyDescent="0.3">
      <c r="A106" s="83"/>
      <c r="B106" s="103"/>
      <c r="C106" s="195"/>
      <c r="D106" s="203" t="s">
        <v>210</v>
      </c>
      <c r="E106" s="203" t="s">
        <v>216</v>
      </c>
      <c r="F106" s="96">
        <v>1</v>
      </c>
      <c r="G106" s="96" t="s">
        <v>354</v>
      </c>
      <c r="H106" s="96" t="s">
        <v>352</v>
      </c>
      <c r="I106" s="96" t="s">
        <v>85</v>
      </c>
      <c r="J106" s="96" t="str">
        <f>+IF(F106&gt;'Equipment Data'!$G$259,"yes","No")</f>
        <v>No</v>
      </c>
      <c r="K106" s="96">
        <v>0.67</v>
      </c>
      <c r="L106" s="96">
        <v>1</v>
      </c>
      <c r="M106" s="153">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96" t="s">
        <v>354</v>
      </c>
      <c r="O106" s="156">
        <f>+IF(L106="","Input nº of Trays",IF(L106&lt;20,10^(0.4771+0.08516*LOG10(L106)-0.3473*LOG10(L106)*LOG10(L106)),1))</f>
        <v>2.9998531811907938</v>
      </c>
      <c r="P106" s="96">
        <f>+IF(I106="CS",'Equipment Data'!$F$262,IF(I106="SS",'Equipment Data'!$F$263,IF(I106="Fluorocarbon",'Equipment Data'!$F$264,IF(I106="Ni Alloy",'Equipment Data'!$F$265,"N/A"))))</f>
        <v>1</v>
      </c>
      <c r="Q106" s="150">
        <f>+M106*O106*P106</f>
        <v>5157.0340630264673</v>
      </c>
      <c r="R106" s="98"/>
      <c r="S106" s="175"/>
      <c r="T106" s="104"/>
      <c r="U106" s="83"/>
      <c r="V106" s="83"/>
      <c r="W106" s="83"/>
      <c r="X106" s="1"/>
      <c r="CI106" s="83"/>
      <c r="CJ106" s="83"/>
      <c r="CK106" s="83"/>
      <c r="CL106" s="83"/>
      <c r="CM106" s="83"/>
      <c r="CN106" s="83"/>
      <c r="CO106" s="83"/>
    </row>
    <row r="107" spans="1:93" x14ac:dyDescent="0.3">
      <c r="A107" s="83"/>
      <c r="B107" s="103"/>
      <c r="C107" s="255"/>
      <c r="D107" s="203" t="s">
        <v>535</v>
      </c>
      <c r="E107" s="203" t="s">
        <v>673</v>
      </c>
      <c r="F107" s="96">
        <v>1</v>
      </c>
      <c r="G107" s="96" t="s">
        <v>354</v>
      </c>
      <c r="H107" s="96" t="s">
        <v>471</v>
      </c>
      <c r="I107" s="96" t="s">
        <v>226</v>
      </c>
      <c r="J107" s="96" t="str">
        <f>+IF(F107&gt;'Equipment Data'!$G$283,"yes","No")</f>
        <v>No</v>
      </c>
      <c r="K107" s="96">
        <v>0.67</v>
      </c>
      <c r="L107" s="96" t="s">
        <v>354</v>
      </c>
      <c r="M107" s="153">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96" t="s">
        <v>354</v>
      </c>
      <c r="O107" s="96" t="s">
        <v>354</v>
      </c>
      <c r="P107" s="149">
        <f>+IF(I107="Ceramic",'Equipment Data'!$H$283,IF(I107="304 SS",'Equipment Data'!$H$284,IF(I107="Plastic Saddle",'Equipment Data'!$H$285,"N/A")))</f>
        <v>4.1399999999999997</v>
      </c>
      <c r="Q107" s="150">
        <f>+M107*P107</f>
        <v>1164.93137199697</v>
      </c>
      <c r="R107" s="260"/>
      <c r="S107" s="265"/>
      <c r="T107" s="104"/>
      <c r="U107" s="83"/>
      <c r="V107" s="83"/>
      <c r="W107" s="83"/>
      <c r="X107" s="1"/>
      <c r="CI107" s="83"/>
      <c r="CJ107" s="83"/>
      <c r="CK107" s="83"/>
      <c r="CL107" s="83"/>
      <c r="CM107" s="83"/>
      <c r="CN107" s="83"/>
      <c r="CO107" s="83"/>
    </row>
    <row r="108" spans="1:93" ht="14.4" customHeight="1" x14ac:dyDescent="0.3">
      <c r="A108" s="83"/>
      <c r="B108" s="103"/>
      <c r="C108" s="891"/>
      <c r="D108" s="892"/>
      <c r="E108" s="892"/>
      <c r="F108" s="892"/>
      <c r="G108" s="892"/>
      <c r="H108" s="892"/>
      <c r="I108" s="892"/>
      <c r="J108" s="892"/>
      <c r="K108" s="892"/>
      <c r="L108" s="892"/>
      <c r="M108" s="892"/>
      <c r="N108" s="892"/>
      <c r="O108" s="892"/>
      <c r="P108" s="892"/>
      <c r="Q108" s="892"/>
      <c r="R108" s="893"/>
      <c r="S108" s="894"/>
      <c r="T108" s="104"/>
      <c r="U108" s="83"/>
      <c r="V108" s="83"/>
      <c r="W108" s="83"/>
      <c r="X108" s="1"/>
      <c r="CI108" s="83"/>
      <c r="CJ108" s="83"/>
      <c r="CK108" s="83"/>
      <c r="CL108" s="83"/>
      <c r="CM108" s="83"/>
      <c r="CN108" s="83"/>
      <c r="CO108" s="83"/>
    </row>
    <row r="109" spans="1:93" ht="14.4" customHeight="1" x14ac:dyDescent="0.3">
      <c r="A109" s="83"/>
      <c r="B109" s="103"/>
      <c r="C109" s="721"/>
      <c r="D109" s="722"/>
      <c r="E109" s="722"/>
      <c r="F109" s="722"/>
      <c r="G109" s="722"/>
      <c r="H109" s="722"/>
      <c r="I109" s="722"/>
      <c r="J109" s="722"/>
      <c r="K109" s="722"/>
      <c r="L109" s="722"/>
      <c r="M109" s="722"/>
      <c r="N109" s="722"/>
      <c r="O109" s="722"/>
      <c r="P109" s="722"/>
      <c r="Q109" s="722"/>
      <c r="R109" s="723"/>
      <c r="S109" s="895"/>
      <c r="T109" s="104"/>
      <c r="U109" s="83"/>
      <c r="V109" s="83"/>
      <c r="W109" s="83"/>
      <c r="X109" s="1"/>
      <c r="CI109" s="83"/>
      <c r="CJ109" s="83"/>
      <c r="CK109" s="83"/>
      <c r="CL109" s="83"/>
      <c r="CM109" s="83"/>
      <c r="CN109" s="83"/>
      <c r="CO109" s="83"/>
    </row>
    <row r="110" spans="1:93" x14ac:dyDescent="0.3">
      <c r="A110" s="83"/>
      <c r="B110" s="105"/>
      <c r="C110" s="106"/>
      <c r="D110" s="106"/>
      <c r="E110" s="106"/>
      <c r="F110" s="106"/>
      <c r="G110" s="106"/>
      <c r="H110" s="106"/>
      <c r="I110" s="106"/>
      <c r="J110" s="106"/>
      <c r="K110" s="106"/>
      <c r="L110" s="106"/>
      <c r="M110" s="106"/>
      <c r="N110" s="106"/>
      <c r="O110" s="106"/>
      <c r="P110" s="106"/>
      <c r="Q110" s="106"/>
      <c r="R110" s="106"/>
      <c r="S110" s="106"/>
      <c r="T110" s="107"/>
      <c r="U110" s="83"/>
      <c r="V110" s="83"/>
      <c r="W110" s="83"/>
      <c r="X110" s="1"/>
      <c r="CI110" s="83"/>
      <c r="CJ110" s="83"/>
      <c r="CK110" s="83"/>
      <c r="CL110" s="83"/>
      <c r="CM110" s="83"/>
      <c r="CN110" s="83"/>
      <c r="CO110" s="83"/>
    </row>
    <row r="111" spans="1:93"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1"/>
      <c r="CI111" s="83"/>
      <c r="CJ111" s="83"/>
      <c r="CK111" s="83"/>
      <c r="CL111" s="83"/>
      <c r="CM111" s="83"/>
      <c r="CN111" s="83"/>
      <c r="CO111" s="83"/>
    </row>
    <row r="112" spans="1:93" x14ac:dyDescent="0.3">
      <c r="A112" s="83"/>
      <c r="B112" s="896"/>
      <c r="C112" s="896"/>
      <c r="D112" s="896"/>
      <c r="E112" s="896"/>
      <c r="F112" s="896"/>
      <c r="G112" s="896"/>
      <c r="H112" s="83"/>
      <c r="I112" s="83"/>
      <c r="J112" s="83"/>
      <c r="K112" s="83"/>
      <c r="L112" s="83"/>
      <c r="M112" s="83"/>
      <c r="N112" s="83"/>
      <c r="O112" s="83"/>
      <c r="P112" s="83"/>
      <c r="Q112" s="83"/>
      <c r="R112" s="83"/>
      <c r="S112" s="83"/>
      <c r="T112" s="83"/>
      <c r="U112" s="83"/>
      <c r="V112" s="83"/>
      <c r="W112" s="83"/>
      <c r="X112" s="1"/>
      <c r="CI112" s="83"/>
      <c r="CJ112" s="83"/>
      <c r="CK112" s="83"/>
      <c r="CL112" s="83"/>
      <c r="CM112" s="83"/>
      <c r="CN112" s="83"/>
      <c r="CO112" s="83"/>
    </row>
    <row r="113" spans="1:93" x14ac:dyDescent="0.3">
      <c r="A113" s="83"/>
      <c r="B113" s="83"/>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83"/>
      <c r="T114" s="83"/>
      <c r="U114" s="83"/>
      <c r="V114" s="83"/>
      <c r="W114" s="83"/>
      <c r="X114" s="83"/>
      <c r="CI114" s="83"/>
      <c r="CJ114" s="83"/>
      <c r="CK114" s="83"/>
      <c r="CL114" s="83"/>
      <c r="CM114" s="83"/>
      <c r="CN114" s="83"/>
      <c r="CO114" s="83"/>
    </row>
    <row r="115" spans="1:93" x14ac:dyDescent="0.3">
      <c r="A115" s="83"/>
      <c r="B115" s="83"/>
      <c r="T115" s="83"/>
      <c r="U115" s="83"/>
      <c r="V115" s="83"/>
      <c r="W115" s="83"/>
      <c r="X115" s="83"/>
      <c r="CI115" s="83"/>
      <c r="CJ115" s="83"/>
      <c r="CK115" s="83"/>
      <c r="CL115" s="83"/>
      <c r="CM115" s="83"/>
      <c r="CN115" s="83"/>
      <c r="CO115" s="83"/>
    </row>
    <row r="116" spans="1:93" x14ac:dyDescent="0.3">
      <c r="A116" s="83"/>
      <c r="B116" s="83"/>
      <c r="T116" s="83"/>
      <c r="U116" s="83"/>
      <c r="V116" s="83"/>
      <c r="W116" s="83"/>
      <c r="X116" s="83"/>
      <c r="CI116" s="83"/>
      <c r="CJ116" s="83"/>
      <c r="CK116" s="83"/>
      <c r="CL116" s="83"/>
      <c r="CM116" s="83"/>
      <c r="CN116" s="83"/>
      <c r="CO116" s="83"/>
    </row>
    <row r="117" spans="1:93" x14ac:dyDescent="0.3">
      <c r="A117" s="83"/>
      <c r="B117" s="83"/>
      <c r="T117" s="83"/>
      <c r="U117" s="83"/>
      <c r="V117" s="83"/>
      <c r="W117" s="83"/>
      <c r="X117" s="83"/>
      <c r="CI117" s="83"/>
      <c r="CJ117" s="83"/>
      <c r="CK117" s="83"/>
      <c r="CL117" s="83"/>
      <c r="CM117" s="83"/>
      <c r="CN117" s="83"/>
      <c r="CO117" s="83"/>
    </row>
    <row r="118" spans="1:93" x14ac:dyDescent="0.3">
      <c r="A118" s="83"/>
      <c r="B118" s="83"/>
      <c r="T118" s="83"/>
      <c r="U118" s="83"/>
      <c r="V118" s="83"/>
      <c r="W118" s="83"/>
      <c r="X118" s="83"/>
      <c r="CI118" s="83"/>
      <c r="CJ118" s="83"/>
      <c r="CK118" s="83"/>
      <c r="CL118" s="83"/>
      <c r="CM118" s="83"/>
      <c r="CN118" s="83"/>
      <c r="CO118" s="83"/>
    </row>
    <row r="119" spans="1:93" x14ac:dyDescent="0.3">
      <c r="A119" s="83"/>
      <c r="B119" s="83"/>
      <c r="T119" s="83"/>
      <c r="U119" s="83"/>
      <c r="V119" s="83"/>
      <c r="W119" s="83"/>
      <c r="X119" s="83"/>
      <c r="CI119" s="83"/>
      <c r="CJ119" s="83"/>
      <c r="CK119" s="83"/>
      <c r="CL119" s="83"/>
      <c r="CM119" s="83"/>
      <c r="CN119" s="83"/>
      <c r="CO119" s="83"/>
    </row>
    <row r="120" spans="1:93" x14ac:dyDescent="0.3">
      <c r="A120" s="83"/>
      <c r="B120" s="83"/>
      <c r="T120" s="83"/>
      <c r="U120" s="83"/>
      <c r="V120" s="83"/>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2:K38"/>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2" spans="2:11" ht="27" customHeight="1" x14ac:dyDescent="0.3">
      <c r="B2" s="751" t="s">
        <v>357</v>
      </c>
      <c r="C2" s="752"/>
      <c r="D2" s="752"/>
      <c r="E2" s="753"/>
    </row>
    <row r="3" spans="2:11" ht="27" customHeight="1" x14ac:dyDescent="0.3">
      <c r="B3" s="428" t="s">
        <v>696</v>
      </c>
      <c r="C3" s="505" t="s">
        <v>359</v>
      </c>
      <c r="D3" s="506" t="s">
        <v>579</v>
      </c>
      <c r="E3" s="507" t="s">
        <v>697</v>
      </c>
    </row>
    <row r="4" spans="2:11" ht="27" customHeight="1" x14ac:dyDescent="0.3">
      <c r="B4" s="504"/>
      <c r="C4" s="504"/>
      <c r="D4" s="504"/>
      <c r="E4" s="502"/>
      <c r="G4" s="115"/>
      <c r="H4" s="115"/>
      <c r="I4" s="115"/>
      <c r="J4" s="115"/>
      <c r="K4" s="115"/>
    </row>
    <row r="5" spans="2:11" ht="27" customHeight="1" x14ac:dyDescent="0.3">
      <c r="B5" s="504"/>
      <c r="C5" s="504"/>
      <c r="D5" s="504"/>
      <c r="E5" s="502"/>
      <c r="G5" s="114"/>
      <c r="H5" s="114"/>
      <c r="I5" s="114"/>
      <c r="J5" s="114"/>
      <c r="K5" s="114"/>
    </row>
    <row r="6" spans="2:11" ht="27" customHeight="1" x14ac:dyDescent="0.3">
      <c r="B6" s="504"/>
      <c r="C6" s="504"/>
      <c r="D6" s="504"/>
      <c r="E6" s="502"/>
      <c r="G6" s="114"/>
      <c r="H6" s="114"/>
      <c r="I6" s="114"/>
      <c r="J6" s="114"/>
      <c r="K6" s="114"/>
    </row>
    <row r="7" spans="2:11" ht="27" customHeight="1" x14ac:dyDescent="0.3">
      <c r="B7" s="504"/>
      <c r="C7" s="504"/>
      <c r="D7" s="504"/>
      <c r="E7" s="502"/>
      <c r="G7" s="114"/>
      <c r="H7" s="114"/>
      <c r="I7" s="114"/>
      <c r="J7" s="114"/>
      <c r="K7" s="114"/>
    </row>
    <row r="8" spans="2:11" ht="27" customHeight="1" x14ac:dyDescent="0.3">
      <c r="B8" s="504"/>
      <c r="C8" s="504"/>
      <c r="D8" s="504"/>
      <c r="E8" s="502"/>
      <c r="G8" s="114"/>
      <c r="H8" s="114"/>
      <c r="I8" s="114"/>
      <c r="J8" s="114"/>
      <c r="K8" s="114"/>
    </row>
    <row r="9" spans="2:11" ht="27" customHeight="1" x14ac:dyDescent="0.3">
      <c r="B9" s="504"/>
      <c r="C9" s="504"/>
      <c r="D9" s="504"/>
      <c r="E9" s="502"/>
      <c r="G9" s="114"/>
      <c r="H9" s="114"/>
      <c r="I9" s="114"/>
      <c r="J9" s="114"/>
      <c r="K9" s="114"/>
    </row>
    <row r="10" spans="2:11" ht="27" customHeight="1" x14ac:dyDescent="0.3">
      <c r="B10" s="504"/>
      <c r="C10" s="504"/>
      <c r="D10" s="504"/>
      <c r="E10" s="502"/>
      <c r="G10" s="114"/>
      <c r="H10" s="114"/>
      <c r="I10" s="114"/>
      <c r="J10" s="114"/>
      <c r="K10" s="114"/>
    </row>
    <row r="11" spans="2:11" ht="27" customHeight="1" x14ac:dyDescent="0.3">
      <c r="B11" s="504"/>
      <c r="C11" s="504"/>
      <c r="D11" s="504"/>
      <c r="E11" s="502"/>
      <c r="G11" s="114"/>
      <c r="H11" s="114"/>
      <c r="I11" s="114"/>
      <c r="J11" s="114"/>
      <c r="K11" s="114"/>
    </row>
    <row r="12" spans="2:11" ht="27" customHeight="1" x14ac:dyDescent="0.3">
      <c r="B12" s="504"/>
      <c r="C12" s="504"/>
      <c r="D12" s="504"/>
      <c r="E12" s="502"/>
      <c r="G12" s="114"/>
      <c r="H12" s="114"/>
      <c r="I12" s="114"/>
      <c r="J12" s="114"/>
      <c r="K12" s="114"/>
    </row>
    <row r="13" spans="2:11" ht="27" customHeight="1" x14ac:dyDescent="0.3">
      <c r="B13" s="504"/>
      <c r="C13" s="504"/>
      <c r="D13" s="504"/>
      <c r="E13" s="502"/>
      <c r="G13" s="114"/>
      <c r="H13" s="114"/>
      <c r="I13" s="114"/>
      <c r="J13" s="114"/>
      <c r="K13" s="114"/>
    </row>
    <row r="14" spans="2:11" ht="27" customHeight="1" x14ac:dyDescent="0.3">
      <c r="B14" s="504"/>
      <c r="C14" s="504"/>
      <c r="D14" s="504"/>
      <c r="E14" s="502"/>
      <c r="G14" s="114"/>
      <c r="H14" s="114"/>
      <c r="I14" s="114"/>
      <c r="J14" s="114"/>
      <c r="K14" s="114"/>
    </row>
    <row r="15" spans="2:11" ht="27" customHeight="1" x14ac:dyDescent="0.3">
      <c r="B15" s="504"/>
      <c r="C15" s="504"/>
      <c r="D15" s="504"/>
      <c r="E15" s="502"/>
      <c r="G15" s="114"/>
      <c r="H15" s="114"/>
      <c r="I15" s="114"/>
      <c r="J15" s="114"/>
      <c r="K15" s="114"/>
    </row>
    <row r="16" spans="2:11" ht="27" customHeight="1" x14ac:dyDescent="0.3">
      <c r="B16" s="504"/>
      <c r="C16" s="504"/>
      <c r="D16" s="504"/>
      <c r="E16" s="502"/>
      <c r="G16" s="114"/>
      <c r="H16" s="114"/>
      <c r="I16" s="114"/>
      <c r="J16" s="114"/>
      <c r="K16" s="114"/>
    </row>
    <row r="17" spans="2:11" ht="27" customHeight="1" x14ac:dyDescent="0.3">
      <c r="B17" s="504"/>
      <c r="C17" s="504"/>
      <c r="D17" s="504"/>
      <c r="E17" s="502"/>
      <c r="G17" s="114"/>
      <c r="H17" s="114"/>
      <c r="I17" s="114"/>
      <c r="J17" s="114"/>
      <c r="K17" s="114"/>
    </row>
    <row r="18" spans="2:11" ht="27" customHeight="1" x14ac:dyDescent="0.3">
      <c r="B18" s="504"/>
      <c r="C18" s="504"/>
      <c r="D18" s="504"/>
      <c r="E18" s="502"/>
      <c r="G18" s="114"/>
      <c r="H18" s="114"/>
      <c r="I18" s="114"/>
      <c r="J18" s="114"/>
      <c r="K18" s="114"/>
    </row>
    <row r="19" spans="2:11" ht="27" customHeight="1" x14ac:dyDescent="0.3">
      <c r="B19" s="504"/>
      <c r="C19" s="504"/>
      <c r="D19" s="504"/>
      <c r="E19" s="502"/>
      <c r="G19" s="114"/>
      <c r="H19" s="114"/>
      <c r="I19" s="114"/>
      <c r="J19" s="114"/>
      <c r="K19" s="114"/>
    </row>
    <row r="20" spans="2:11" ht="27" customHeight="1" x14ac:dyDescent="0.3">
      <c r="B20" s="504"/>
      <c r="C20" s="504"/>
      <c r="D20" s="504"/>
      <c r="E20" s="502"/>
      <c r="G20" s="114"/>
      <c r="H20" s="114"/>
      <c r="I20" s="114"/>
      <c r="J20" s="114"/>
      <c r="K20" s="114"/>
    </row>
    <row r="21" spans="2:11" ht="27" customHeight="1" x14ac:dyDescent="0.3">
      <c r="B21" s="504"/>
      <c r="C21" s="504"/>
      <c r="D21" s="504"/>
      <c r="E21" s="502"/>
      <c r="G21" s="114"/>
      <c r="H21" s="114"/>
      <c r="I21" s="114"/>
      <c r="J21" s="114"/>
      <c r="K21" s="114"/>
    </row>
    <row r="22" spans="2:11" ht="27" customHeight="1" x14ac:dyDescent="0.3">
      <c r="B22" s="504"/>
      <c r="C22" s="504"/>
      <c r="D22" s="504"/>
      <c r="E22" s="502"/>
      <c r="G22" s="114"/>
      <c r="H22" s="114"/>
      <c r="I22" s="114"/>
      <c r="J22" s="114"/>
      <c r="K22" s="114"/>
    </row>
    <row r="23" spans="2:11" ht="27" customHeight="1" x14ac:dyDescent="0.3">
      <c r="B23" s="504"/>
      <c r="C23" s="504"/>
      <c r="D23" s="504"/>
      <c r="E23" s="502"/>
      <c r="G23" s="114"/>
      <c r="H23" s="114"/>
      <c r="I23" s="114"/>
      <c r="J23" s="114"/>
      <c r="K23" s="114"/>
    </row>
    <row r="24" spans="2:11" ht="27" customHeight="1" x14ac:dyDescent="0.3">
      <c r="B24" s="504"/>
      <c r="C24" s="504"/>
      <c r="D24" s="504"/>
      <c r="E24" s="502"/>
      <c r="G24" s="114"/>
      <c r="H24" s="114"/>
      <c r="I24" s="114"/>
      <c r="J24" s="114"/>
      <c r="K24" s="114"/>
    </row>
    <row r="25" spans="2:11" ht="27" customHeight="1" x14ac:dyDescent="0.3">
      <c r="B25" s="504"/>
      <c r="C25" s="504"/>
      <c r="D25" s="504"/>
      <c r="E25" s="502"/>
      <c r="G25" s="114"/>
      <c r="H25" s="114"/>
      <c r="I25" s="114"/>
      <c r="J25" s="114"/>
      <c r="K25" s="114"/>
    </row>
    <row r="26" spans="2:11" ht="27" customHeight="1" x14ac:dyDescent="0.3">
      <c r="B26" s="504"/>
      <c r="C26" s="504"/>
      <c r="D26" s="504"/>
      <c r="E26" s="502"/>
      <c r="G26" s="114"/>
      <c r="H26" s="114"/>
      <c r="I26" s="114"/>
      <c r="J26" s="114"/>
      <c r="K26" s="114"/>
    </row>
    <row r="27" spans="2:11" ht="27" customHeight="1" x14ac:dyDescent="0.3">
      <c r="B27" s="504"/>
      <c r="C27" s="504"/>
      <c r="D27" s="504"/>
      <c r="E27" s="502"/>
      <c r="G27" s="114"/>
      <c r="H27" s="114"/>
      <c r="I27" s="114"/>
      <c r="J27" s="114"/>
      <c r="K27" s="114"/>
    </row>
    <row r="28" spans="2:11" ht="27" customHeight="1" x14ac:dyDescent="0.3">
      <c r="B28" s="504"/>
      <c r="C28" s="504"/>
      <c r="D28" s="504"/>
      <c r="E28" s="502"/>
      <c r="G28" s="114"/>
      <c r="H28" s="114"/>
      <c r="I28" s="114"/>
      <c r="J28" s="114"/>
      <c r="K28" s="114"/>
    </row>
    <row r="29" spans="2:11" ht="27" customHeight="1" x14ac:dyDescent="0.3">
      <c r="B29" s="504"/>
      <c r="C29" s="504"/>
      <c r="D29" s="504"/>
      <c r="E29" s="502"/>
      <c r="G29" s="114"/>
      <c r="H29" s="114"/>
      <c r="I29" s="114"/>
      <c r="J29" s="114"/>
      <c r="K29" s="114"/>
    </row>
    <row r="30" spans="2:11" ht="27" customHeight="1" x14ac:dyDescent="0.3">
      <c r="B30" s="504"/>
      <c r="C30" s="504"/>
      <c r="D30" s="504"/>
      <c r="E30" s="502"/>
      <c r="G30" s="114"/>
      <c r="H30" s="114"/>
      <c r="I30" s="114"/>
      <c r="J30" s="114"/>
      <c r="K30" s="114"/>
    </row>
    <row r="31" spans="2:11" ht="27" customHeight="1" x14ac:dyDescent="0.3">
      <c r="B31" s="504"/>
      <c r="C31" s="504"/>
      <c r="D31" s="504"/>
      <c r="E31" s="502"/>
      <c r="G31" s="114"/>
      <c r="H31" s="114"/>
      <c r="I31" s="114"/>
      <c r="J31" s="114"/>
      <c r="K31" s="114"/>
    </row>
    <row r="32" spans="2:11" ht="27" customHeight="1" x14ac:dyDescent="0.3">
      <c r="B32" s="504"/>
      <c r="C32" s="504"/>
      <c r="D32" s="504"/>
      <c r="E32" s="502"/>
      <c r="G32" s="114"/>
      <c r="H32" s="114"/>
      <c r="I32" s="114"/>
      <c r="J32" s="114"/>
      <c r="K32" s="114"/>
    </row>
    <row r="33" spans="2:11" ht="27" customHeight="1" x14ac:dyDescent="0.3">
      <c r="B33" s="504"/>
      <c r="C33" s="504"/>
      <c r="D33" s="504"/>
      <c r="E33" s="502"/>
      <c r="G33" s="114"/>
      <c r="H33" s="114"/>
      <c r="I33" s="114"/>
      <c r="J33" s="114"/>
      <c r="K33" s="114"/>
    </row>
    <row r="34" spans="2:11" ht="27" customHeight="1" x14ac:dyDescent="0.3">
      <c r="B34" s="504"/>
      <c r="C34" s="504"/>
      <c r="D34" s="504"/>
      <c r="E34" s="502"/>
      <c r="G34" s="114"/>
      <c r="H34" s="114"/>
      <c r="I34" s="114"/>
      <c r="J34" s="114"/>
      <c r="K34" s="114"/>
    </row>
    <row r="35" spans="2:11" ht="27" customHeight="1" x14ac:dyDescent="0.3">
      <c r="B35" s="504"/>
      <c r="C35" s="504"/>
      <c r="D35" s="504"/>
      <c r="E35" s="502"/>
      <c r="G35" s="114"/>
      <c r="H35" s="114"/>
      <c r="I35" s="114"/>
      <c r="J35" s="114"/>
      <c r="K35" s="114"/>
    </row>
    <row r="36" spans="2:11" ht="27" customHeight="1" x14ac:dyDescent="0.3">
      <c r="B36" s="504"/>
      <c r="C36" s="504"/>
      <c r="D36" s="504"/>
      <c r="E36" s="502"/>
      <c r="G36" s="114"/>
      <c r="H36" s="114"/>
      <c r="I36" s="114"/>
      <c r="J36" s="114"/>
      <c r="K36" s="114"/>
    </row>
    <row r="37" spans="2:11" ht="27" customHeight="1" x14ac:dyDescent="0.3">
      <c r="B37" s="170"/>
      <c r="C37" s="170"/>
      <c r="D37" s="170"/>
      <c r="E37" s="98"/>
      <c r="G37" s="114"/>
      <c r="H37" s="114"/>
      <c r="I37" s="114"/>
      <c r="J37" s="114"/>
      <c r="K37" s="114"/>
    </row>
    <row r="38" spans="2:11" x14ac:dyDescent="0.3">
      <c r="G38" s="114"/>
      <c r="H38" s="114"/>
      <c r="I38" s="114"/>
      <c r="J38" s="114"/>
      <c r="K38" s="114"/>
    </row>
  </sheetData>
  <mergeCells count="1">
    <mergeCell ref="B2:E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08" t="s">
        <v>489</v>
      </c>
      <c r="C2" s="164" t="s">
        <v>314</v>
      </c>
      <c r="D2" s="310" t="s">
        <v>490</v>
      </c>
      <c r="E2" s="83"/>
      <c r="F2" s="313" t="s">
        <v>476</v>
      </c>
      <c r="G2" s="302" t="s">
        <v>602</v>
      </c>
      <c r="H2" s="251" t="s">
        <v>491</v>
      </c>
      <c r="I2" s="83"/>
      <c r="J2" s="909" t="s">
        <v>492</v>
      </c>
      <c r="K2" s="910"/>
      <c r="L2" s="311">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273">
        <v>1995</v>
      </c>
      <c r="C3" s="273">
        <v>381.1</v>
      </c>
      <c r="D3" s="232" cm="1">
        <f t="array" aca="1" ref="D3" ca="1">INDIRECT(ADDRESS(MATCH('Plant Overview'!$E$8,'Cost Conversion'!$B$3:$B$48,0)+2,3))/C3</f>
        <v>1.6502230385725529</v>
      </c>
      <c r="E3" s="83"/>
      <c r="F3" s="163" t="s">
        <v>477</v>
      </c>
      <c r="G3" s="303">
        <v>1</v>
      </c>
      <c r="H3" s="23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2">
        <v>1996</v>
      </c>
      <c r="C4" s="112">
        <v>381.7</v>
      </c>
      <c r="D4" s="233" cm="1">
        <f t="array" aca="1" ref="D4" ca="1">INDIRECT(ADDRESS(MATCH('Plant Overview'!$E$8,'Cost Conversion'!$B$3:$B$48,0)+2,3))/C4</f>
        <v>1.6476290280324863</v>
      </c>
      <c r="E4" s="83"/>
      <c r="F4" s="147" t="s">
        <v>478</v>
      </c>
      <c r="G4" s="298">
        <v>0.95</v>
      </c>
      <c r="H4" s="23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2">
        <v>1997</v>
      </c>
      <c r="C5" s="112">
        <v>386.5</v>
      </c>
      <c r="D5" s="233" cm="1">
        <f t="array" aca="1" ref="D5" ca="1">INDIRECT(ADDRESS(MATCH('Plant Overview'!$E$8,'Cost Conversion'!$B$3:$B$48,0)+2,3))/C5</f>
        <v>1.6271668822768435</v>
      </c>
      <c r="E5" s="83"/>
      <c r="F5" s="147" t="s">
        <v>479</v>
      </c>
      <c r="G5" s="298">
        <v>1.1000000000000001</v>
      </c>
      <c r="H5" s="23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2">
        <v>1998</v>
      </c>
      <c r="C6" s="112">
        <v>389.5</v>
      </c>
      <c r="D6" s="233" cm="1">
        <f t="array" aca="1" ref="D6" ca="1">INDIRECT(ADDRESS(MATCH('Plant Overview'!$E$8,'Cost Conversion'!$B$3:$B$48,0)+2,3))/C6</f>
        <v>1.6146341463414633</v>
      </c>
      <c r="E6" s="83"/>
      <c r="F6" s="147" t="s">
        <v>480</v>
      </c>
      <c r="G6" s="298">
        <v>1.1499999999999999</v>
      </c>
      <c r="H6" s="23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2">
        <v>1999</v>
      </c>
      <c r="C7" s="112">
        <v>390.6</v>
      </c>
      <c r="D7" s="233" cm="1">
        <f t="array" aca="1" ref="D7" ca="1">INDIRECT(ADDRESS(MATCH('Plant Overview'!$E$8,'Cost Conversion'!$B$3:$B$48,0)+2,3))/C7</f>
        <v>1.6100870455709164</v>
      </c>
      <c r="E7" s="83"/>
      <c r="F7" s="147" t="s">
        <v>481</v>
      </c>
      <c r="G7" s="298">
        <v>1.25</v>
      </c>
      <c r="H7" s="23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2">
        <v>2000</v>
      </c>
      <c r="C8" s="112">
        <v>394.1</v>
      </c>
      <c r="D8" s="233" cm="1">
        <f t="array" aca="1" ref="D8" ca="1">INDIRECT(ADDRESS(MATCH('Plant Overview'!$E$8,'Cost Conversion'!$B$3:$B$48,0)+2,3))/C8</f>
        <v>1.5957878710987057</v>
      </c>
      <c r="E8" s="83"/>
      <c r="F8" s="147" t="s">
        <v>487</v>
      </c>
      <c r="G8" s="298">
        <v>1.2</v>
      </c>
      <c r="H8" s="23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2">
        <v>2001</v>
      </c>
      <c r="C9" s="112">
        <v>394.3</v>
      </c>
      <c r="D9" s="233" cm="1">
        <f t="array" aca="1" ref="D9" ca="1">INDIRECT(ADDRESS(MATCH('Plant Overview'!$E$8,'Cost Conversion'!$B$3:$B$48,0)+2,3))/C9</f>
        <v>1.5949784428100431</v>
      </c>
      <c r="E9" s="83"/>
      <c r="F9" s="147" t="s">
        <v>599</v>
      </c>
      <c r="G9" s="282">
        <v>0.9</v>
      </c>
      <c r="H9" s="23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2">
        <v>2002</v>
      </c>
      <c r="C10" s="112">
        <v>395.6</v>
      </c>
      <c r="D10" s="233" cm="1">
        <f t="array" aca="1" ref="D10" ca="1">INDIRECT(ADDRESS(MATCH('Plant Overview'!$E$8,'Cost Conversion'!$B$3:$B$48,0)+2,3))/C10</f>
        <v>1.5897371081900908</v>
      </c>
      <c r="E10" s="83"/>
      <c r="F10" s="147" t="s">
        <v>482</v>
      </c>
      <c r="G10" s="298">
        <v>0.95</v>
      </c>
      <c r="H10" s="23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2">
        <v>2003</v>
      </c>
      <c r="C11" s="112">
        <v>402</v>
      </c>
      <c r="D11" s="233" cm="1">
        <f t="array" aca="1" ref="D11" ca="1">INDIRECT(ADDRESS(MATCH('Plant Overview'!$E$8,'Cost Conversion'!$B$3:$B$48,0)+2,3))/C11</f>
        <v>1.5644278606965174</v>
      </c>
      <c r="E11" s="83"/>
      <c r="F11" s="147" t="s">
        <v>601</v>
      </c>
      <c r="G11" s="282">
        <v>0.95</v>
      </c>
      <c r="H11" s="23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2">
        <v>2004</v>
      </c>
      <c r="C12" s="112">
        <v>444.2</v>
      </c>
      <c r="D12" s="233" cm="1">
        <f t="array" aca="1" ref="D12" ca="1">INDIRECT(ADDRESS(MATCH('Plant Overview'!$E$8,'Cost Conversion'!$B$3:$B$48,0)+2,3))/C12</f>
        <v>1.4158036920306167</v>
      </c>
      <c r="E12" s="83"/>
      <c r="F12" s="147" t="s">
        <v>483</v>
      </c>
      <c r="G12" s="298">
        <v>1.1499999999999999</v>
      </c>
      <c r="H12" s="23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2">
        <v>2005</v>
      </c>
      <c r="C13" s="112">
        <v>468.2</v>
      </c>
      <c r="D13" s="233" cm="1">
        <f t="array" aca="1" ref="D13" ca="1">INDIRECT(ADDRESS(MATCH('Plant Overview'!$E$8,'Cost Conversion'!$B$3:$B$48,0)+2,3))/C13</f>
        <v>1.3432293891499358</v>
      </c>
      <c r="E13" s="83"/>
      <c r="F13" s="147" t="s">
        <v>600</v>
      </c>
      <c r="G13" s="282">
        <v>1.3</v>
      </c>
      <c r="H13" s="23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2">
        <v>2006</v>
      </c>
      <c r="C14" s="112">
        <v>499.6</v>
      </c>
      <c r="D14" s="233" cm="1">
        <f t="array" aca="1" ref="D14" ca="1">INDIRECT(ADDRESS(MATCH('Plant Overview'!$E$8,'Cost Conversion'!$B$3:$B$48,0)+2,3))/C14</f>
        <v>1.258807045636509</v>
      </c>
      <c r="E14" s="83"/>
      <c r="F14" s="147" t="s">
        <v>484</v>
      </c>
      <c r="G14" s="298">
        <v>0.85</v>
      </c>
      <c r="H14" s="23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2">
        <v>2007</v>
      </c>
      <c r="C15" s="112">
        <v>525.4</v>
      </c>
      <c r="D15" s="233" cm="1">
        <f t="array" aca="1" ref="D15" ca="1">INDIRECT(ADDRESS(MATCH('Plant Overview'!$E$8,'Cost Conversion'!$B$3:$B$48,0)+2,3))/C15</f>
        <v>1.1969927674153027</v>
      </c>
      <c r="E15" s="83"/>
      <c r="F15" s="147" t="s">
        <v>596</v>
      </c>
      <c r="G15" s="282">
        <v>0.75</v>
      </c>
      <c r="H15" s="23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2">
        <v>2008</v>
      </c>
      <c r="C16" s="112">
        <v>575.4</v>
      </c>
      <c r="D16" s="233" cm="1">
        <f t="array" aca="1" ref="D16" ca="1">INDIRECT(ADDRESS(MATCH('Plant Overview'!$E$8,'Cost Conversion'!$B$3:$B$48,0)+2,3))/C16</f>
        <v>1.0929787973583593</v>
      </c>
      <c r="E16" s="83"/>
      <c r="F16" s="147" t="s">
        <v>597</v>
      </c>
      <c r="G16" s="282">
        <v>0.85</v>
      </c>
      <c r="H16" s="23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2">
        <v>2009</v>
      </c>
      <c r="C17" s="112">
        <v>521.9</v>
      </c>
      <c r="D17" s="233" cm="1">
        <f t="array" aca="1" ref="D17" ca="1">INDIRECT(ADDRESS(MATCH('Plant Overview'!$E$8,'Cost Conversion'!$B$3:$B$48,0)+2,3))/C17</f>
        <v>1.2050201187967045</v>
      </c>
      <c r="E17" s="83"/>
      <c r="F17" s="147" t="s">
        <v>598</v>
      </c>
      <c r="G17" s="282">
        <v>0.9</v>
      </c>
      <c r="H17" s="23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2">
        <v>2010</v>
      </c>
      <c r="C18" s="112">
        <v>550.79999999999995</v>
      </c>
      <c r="D18" s="233" cm="1">
        <f t="array" aca="1" ref="D18" ca="1">INDIRECT(ADDRESS(MATCH('Plant Overview'!$E$8,'Cost Conversion'!$B$3:$B$48,0)+2,3))/C18</f>
        <v>1.1417937545388526</v>
      </c>
      <c r="E18" s="83"/>
      <c r="F18" s="147"/>
      <c r="G18" s="298">
        <v>1</v>
      </c>
      <c r="H18" s="23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2">
        <v>2011</v>
      </c>
      <c r="C19" s="112">
        <v>585.70000000000005</v>
      </c>
      <c r="D19" s="233" cm="1">
        <f t="array" aca="1" ref="D19" ca="1">INDIRECT(ADDRESS(MATCH('Plant Overview'!$E$8,'Cost Conversion'!$B$3:$B$48,0)+2,3))/C19</f>
        <v>1.0737578965340617</v>
      </c>
      <c r="E19" s="83"/>
      <c r="F19" s="147"/>
      <c r="G19" s="298">
        <v>1</v>
      </c>
      <c r="H19" s="23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2">
        <v>2012</v>
      </c>
      <c r="C20" s="112">
        <v>584.6</v>
      </c>
      <c r="D20" s="233" cm="1">
        <f t="array" aca="1" ref="D20" ca="1">INDIRECT(ADDRESS(MATCH('Plant Overview'!$E$8,'Cost Conversion'!$B$3:$B$48,0)+2,3))/C20</f>
        <v>1.0757783099555251</v>
      </c>
      <c r="E20" s="83"/>
      <c r="F20" s="147"/>
      <c r="G20" s="298">
        <v>1</v>
      </c>
      <c r="H20" s="23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2">
        <v>2013</v>
      </c>
      <c r="C21" s="112">
        <v>567.29999999999995</v>
      </c>
      <c r="D21" s="233" cm="1">
        <f t="array" aca="1" ref="D21" ca="1">INDIRECT(ADDRESS(MATCH('Plant Overview'!$E$8,'Cost Conversion'!$B$3:$B$48,0)+2,3))/C21</f>
        <v>1.1085845231799754</v>
      </c>
      <c r="E21" s="83"/>
      <c r="F21" s="147"/>
      <c r="G21" s="298">
        <v>1</v>
      </c>
      <c r="H21" s="23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2">
        <v>2014</v>
      </c>
      <c r="C22" s="112">
        <v>576.1</v>
      </c>
      <c r="D22" s="233" cm="1">
        <f t="array" aca="1" ref="D22" ca="1">INDIRECT(ADDRESS(MATCH('Plant Overview'!$E$8,'Cost Conversion'!$B$3:$B$48,0)+2,3))/C22</f>
        <v>1.0916507550772434</v>
      </c>
      <c r="E22" s="83"/>
      <c r="F22" s="173"/>
      <c r="G22" s="283">
        <v>1</v>
      </c>
      <c r="H22" s="23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2">
        <v>2015</v>
      </c>
      <c r="C23" s="112">
        <v>557</v>
      </c>
      <c r="D23" s="23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2">
        <v>2016</v>
      </c>
      <c r="C24" s="112">
        <v>542</v>
      </c>
      <c r="D24" s="233" cm="1">
        <f t="array" aca="1" ref="D24" ca="1">INDIRECT(ADDRESS(MATCH('Plant Overview'!$E$8,'Cost Conversion'!$B$3:$B$48,0)+2,3))/C24</f>
        <v>1.1603321033210332</v>
      </c>
      <c r="E24" s="83"/>
      <c r="G24" s="911" t="s">
        <v>610</v>
      </c>
      <c r="H24" s="911"/>
      <c r="I24" s="911"/>
      <c r="J24" s="309" t="s">
        <v>609</v>
      </c>
      <c r="K24" s="284">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2">
        <v>2017</v>
      </c>
      <c r="C25" s="112">
        <v>567.5</v>
      </c>
      <c r="D25" s="233" cm="1">
        <f t="array" aca="1" ref="D25" ca="1">INDIRECT(ADDRESS(MATCH('Plant Overview'!$E$8,'Cost Conversion'!$B$3:$B$48,0)+2,3))/C25</f>
        <v>1.108193832599119</v>
      </c>
      <c r="E25" s="83"/>
      <c r="F25" s="304" t="s">
        <v>476</v>
      </c>
      <c r="G25" s="304" t="s">
        <v>229</v>
      </c>
      <c r="H25" s="309"/>
      <c r="I25" s="305"/>
      <c r="J25" s="311" t="s">
        <v>625</v>
      </c>
      <c r="K25" s="305"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2">
        <v>2018</v>
      </c>
      <c r="C26" s="112">
        <v>603.1</v>
      </c>
      <c r="D26" s="233" cm="1">
        <f t="array" aca="1" ref="D26" ca="1">INDIRECT(ADDRESS(MATCH('Plant Overview'!$E$8,'Cost Conversion'!$B$3:$B$48,0)+2,3))/C26</f>
        <v>1.0427789752943126</v>
      </c>
      <c r="E26" s="83"/>
      <c r="F26" s="306" t="s">
        <v>603</v>
      </c>
      <c r="G26" s="298">
        <v>1</v>
      </c>
      <c r="H26" s="211">
        <v>1</v>
      </c>
      <c r="I26" s="299">
        <v>1</v>
      </c>
      <c r="J26" s="235">
        <f t="shared" ref="J26:J38" si="0">H26*I26</f>
        <v>1</v>
      </c>
      <c r="K26" s="299">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2">
        <v>2019</v>
      </c>
      <c r="C27" s="112">
        <v>607.5</v>
      </c>
      <c r="D27" s="233" cm="1">
        <f t="array" aca="1" ref="D27" ca="1">INDIRECT(ADDRESS(MATCH('Plant Overview'!$E$8,'Cost Conversion'!$B$3:$B$48,0)+2,3))/C27</f>
        <v>1.0352263374485597</v>
      </c>
      <c r="E27" s="83"/>
      <c r="F27" s="306" t="s">
        <v>604</v>
      </c>
      <c r="G27" s="298">
        <v>0.95</v>
      </c>
      <c r="H27" s="211">
        <v>1.19</v>
      </c>
      <c r="I27" s="299">
        <v>1.04</v>
      </c>
      <c r="J27" s="235">
        <f t="shared" si="0"/>
        <v>1.2376</v>
      </c>
      <c r="K27" s="299">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2">
        <v>2020</v>
      </c>
      <c r="C28" s="274">
        <v>628.9</v>
      </c>
      <c r="D28" s="233" cm="1">
        <f t="array" aca="1" ref="D28" ca="1">INDIRECT(ADDRESS(MATCH('Plant Overview'!$E$8,'Cost Conversion'!$B$3:$B$48,0)+2,3))/C28</f>
        <v>1</v>
      </c>
      <c r="E28" s="83"/>
      <c r="F28" s="306" t="s">
        <v>605</v>
      </c>
      <c r="G28" s="298">
        <v>1.01</v>
      </c>
      <c r="H28" s="211">
        <v>1.54</v>
      </c>
      <c r="I28" s="299">
        <v>1.87</v>
      </c>
      <c r="J28" s="235">
        <f t="shared" si="0"/>
        <v>2.8798000000000004</v>
      </c>
      <c r="K28" s="299">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2">
        <v>2021</v>
      </c>
      <c r="C29" s="274">
        <v>637.70000000000095</v>
      </c>
      <c r="D29" s="233" cm="1">
        <f t="array" aca="1" ref="D29" ca="1">INDIRECT(ADDRESS(MATCH('Plant Overview'!$E$8,'Cost Conversion'!$B$3:$B$48,0)+2,3))/C29</f>
        <v>0.9862004077152251</v>
      </c>
      <c r="E29" s="83"/>
      <c r="F29" s="306" t="s">
        <v>606</v>
      </c>
      <c r="G29" s="298">
        <v>1.1000000000000001</v>
      </c>
      <c r="H29" s="211">
        <v>1.4</v>
      </c>
      <c r="I29" s="299">
        <v>1.3</v>
      </c>
      <c r="J29" s="235">
        <f t="shared" si="0"/>
        <v>1.8199999999999998</v>
      </c>
      <c r="K29" s="299">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2">
        <v>2022</v>
      </c>
      <c r="C30" s="274">
        <v>646.50000000000102</v>
      </c>
      <c r="D30" s="233" cm="1">
        <f t="array" aca="1" ref="D30" ca="1">INDIRECT(ADDRESS(MATCH('Plant Overview'!$E$8,'Cost Conversion'!$B$3:$B$48,0)+2,3))/C30</f>
        <v>0.97277648878576795</v>
      </c>
      <c r="E30" s="83"/>
      <c r="F30" s="306" t="s">
        <v>596</v>
      </c>
      <c r="G30" s="298">
        <v>0.87</v>
      </c>
      <c r="H30" s="211">
        <v>2.86</v>
      </c>
      <c r="I30" s="299">
        <v>0.21</v>
      </c>
      <c r="J30" s="235">
        <f t="shared" si="0"/>
        <v>0.60059999999999991</v>
      </c>
      <c r="K30" s="299">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2">
        <v>2023</v>
      </c>
      <c r="C31" s="274">
        <v>655.30000000000098</v>
      </c>
      <c r="D31" s="233" cm="1">
        <f t="array" aca="1" ref="D31" ca="1">INDIRECT(ADDRESS(MATCH('Plant Overview'!$E$8,'Cost Conversion'!$B$3:$B$48,0)+2,3))/C31</f>
        <v>0.9597131084999222</v>
      </c>
      <c r="E31" s="83"/>
      <c r="F31" s="306" t="s">
        <v>599</v>
      </c>
      <c r="G31" s="298">
        <v>0.93</v>
      </c>
      <c r="H31" s="211">
        <v>1.6</v>
      </c>
      <c r="I31" s="299">
        <v>0.55000000000000004</v>
      </c>
      <c r="J31" s="235">
        <f t="shared" si="0"/>
        <v>0.88000000000000012</v>
      </c>
      <c r="K31" s="299">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2">
        <v>2024</v>
      </c>
      <c r="C32" s="274">
        <v>664.10000000000105</v>
      </c>
      <c r="D32" s="233" cm="1">
        <f t="array" aca="1" ref="D32" ca="1">INDIRECT(ADDRESS(MATCH('Plant Overview'!$E$8,'Cost Conversion'!$B$3:$B$48,0)+2,3))/C32</f>
        <v>0.94699593434723539</v>
      </c>
      <c r="E32" s="83"/>
      <c r="F32" s="306" t="s">
        <v>607</v>
      </c>
      <c r="G32" s="298">
        <v>1.01</v>
      </c>
      <c r="H32" s="211">
        <v>1.25</v>
      </c>
      <c r="I32" s="299">
        <v>1.36</v>
      </c>
      <c r="J32" s="235">
        <f t="shared" si="0"/>
        <v>1.7000000000000002</v>
      </c>
      <c r="K32" s="299">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2">
        <v>2025</v>
      </c>
      <c r="C33" s="274">
        <v>672.900000000001</v>
      </c>
      <c r="D33" s="233" cm="1">
        <f t="array" aca="1" ref="D33" ca="1">INDIRECT(ADDRESS(MATCH('Plant Overview'!$E$8,'Cost Conversion'!$B$3:$B$48,0)+2,3))/C33</f>
        <v>0.93461138356367812</v>
      </c>
      <c r="E33" s="83"/>
      <c r="F33" s="306" t="s">
        <v>484</v>
      </c>
      <c r="G33" s="298">
        <v>0.94</v>
      </c>
      <c r="H33" s="211">
        <v>3.03</v>
      </c>
      <c r="I33" s="299">
        <v>0.35</v>
      </c>
      <c r="J33" s="235">
        <f t="shared" si="0"/>
        <v>1.0604999999999998</v>
      </c>
      <c r="K33" s="299">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2">
        <v>2026</v>
      </c>
      <c r="C34" s="274">
        <v>681.70000000000095</v>
      </c>
      <c r="D34" s="233" cm="1">
        <f t="array" aca="1" ref="D34" ca="1">INDIRECT(ADDRESS(MATCH('Plant Overview'!$E$8,'Cost Conversion'!$B$3:$B$48,0)+2,3))/C34</f>
        <v>0.92254657473962021</v>
      </c>
      <c r="E34" s="83"/>
      <c r="F34" s="306" t="s">
        <v>483</v>
      </c>
      <c r="G34" s="298">
        <v>0.9</v>
      </c>
      <c r="H34" s="211">
        <v>1.22</v>
      </c>
      <c r="I34" s="299">
        <v>0.92</v>
      </c>
      <c r="J34" s="235">
        <f t="shared" si="0"/>
        <v>1.1224000000000001</v>
      </c>
      <c r="K34" s="299">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2">
        <v>2027</v>
      </c>
      <c r="C35" s="274">
        <v>690.50000000000102</v>
      </c>
      <c r="D35" s="233" cm="1">
        <f t="array" aca="1" ref="D35" ca="1">INDIRECT(ADDRESS(MATCH('Plant Overview'!$E$8,'Cost Conversion'!$B$3:$B$48,0)+2,3))/C35</f>
        <v>0.91078928312816665</v>
      </c>
      <c r="E35" s="83"/>
      <c r="F35" s="306" t="s">
        <v>598</v>
      </c>
      <c r="G35" s="298">
        <v>0.94</v>
      </c>
      <c r="H35" s="211">
        <v>2.2999999999999998</v>
      </c>
      <c r="I35" s="299">
        <v>0.32</v>
      </c>
      <c r="J35" s="235">
        <f t="shared" si="0"/>
        <v>0.73599999999999999</v>
      </c>
      <c r="K35" s="299">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2">
        <v>2028</v>
      </c>
      <c r="C36" s="274">
        <v>699.30000000000098</v>
      </c>
      <c r="D36" s="233" cm="1">
        <f t="array" aca="1" ref="D36" ca="1">INDIRECT(ADDRESS(MATCH('Plant Overview'!$E$8,'Cost Conversion'!$B$3:$B$48,0)+2,3))/C36</f>
        <v>0.89932789932789803</v>
      </c>
      <c r="E36" s="83"/>
      <c r="F36" s="306" t="s">
        <v>608</v>
      </c>
      <c r="G36" s="298">
        <v>1.05</v>
      </c>
      <c r="H36" s="211">
        <v>2.8</v>
      </c>
      <c r="I36" s="299">
        <v>0.95</v>
      </c>
      <c r="J36" s="235">
        <f t="shared" si="0"/>
        <v>2.6599999999999997</v>
      </c>
      <c r="K36" s="299">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2">
        <v>2029</v>
      </c>
      <c r="C37" s="274">
        <v>708.10000000000105</v>
      </c>
      <c r="D37" s="233" cm="1">
        <f t="array" aca="1" ref="D37" ca="1">INDIRECT(ADDRESS(MATCH('Plant Overview'!$E$8,'Cost Conversion'!$B$3:$B$48,0)+2,3))/C37</f>
        <v>0.88815139104646101</v>
      </c>
      <c r="E37" s="83"/>
      <c r="F37" s="306" t="s">
        <v>601</v>
      </c>
      <c r="G37" s="298">
        <v>1.01</v>
      </c>
      <c r="H37" s="211">
        <v>2</v>
      </c>
      <c r="I37" s="299">
        <v>0.38</v>
      </c>
      <c r="J37" s="235">
        <f t="shared" si="0"/>
        <v>0.76</v>
      </c>
      <c r="K37" s="299">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2">
        <v>2030</v>
      </c>
      <c r="C38" s="274">
        <v>716.900000000001</v>
      </c>
      <c r="D38" s="233" cm="1">
        <f t="array" aca="1" ref="D38" ca="1">INDIRECT(ADDRESS(MATCH('Plant Overview'!$E$8,'Cost Conversion'!$B$3:$B$48,0)+2,3))/C38</f>
        <v>0.87724926768028888</v>
      </c>
      <c r="E38" s="83"/>
      <c r="F38" s="307" t="s">
        <v>597</v>
      </c>
      <c r="G38" s="300">
        <v>0.93</v>
      </c>
      <c r="H38" s="280">
        <v>2.2200000000000002</v>
      </c>
      <c r="I38" s="301">
        <v>0.32</v>
      </c>
      <c r="J38" s="281">
        <f t="shared" si="0"/>
        <v>0.71040000000000003</v>
      </c>
      <c r="K38" s="301">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2">
        <v>2031</v>
      </c>
      <c r="C39" s="274">
        <v>725.70000000000095</v>
      </c>
      <c r="D39" s="23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2">
        <v>2032</v>
      </c>
      <c r="C40" s="274">
        <v>734.50000000000102</v>
      </c>
      <c r="D40" s="23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2">
        <v>2033</v>
      </c>
      <c r="C41" s="274">
        <v>743.30000000000098</v>
      </c>
      <c r="D41" s="23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2">
        <v>2034</v>
      </c>
      <c r="C42" s="274">
        <v>752.10000000000105</v>
      </c>
      <c r="D42" s="23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2">
        <v>2035</v>
      </c>
      <c r="C43" s="274">
        <v>760.90000000000202</v>
      </c>
      <c r="D43" s="23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2">
        <v>2036</v>
      </c>
      <c r="C44" s="274">
        <v>769.70000000000198</v>
      </c>
      <c r="D44" s="23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2">
        <v>2037</v>
      </c>
      <c r="C45" s="274">
        <v>778.50000000000205</v>
      </c>
      <c r="D45" s="23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2">
        <v>2038</v>
      </c>
      <c r="C46" s="274">
        <v>787.300000000002</v>
      </c>
      <c r="D46" s="23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2">
        <v>2039</v>
      </c>
      <c r="C47" s="274">
        <v>796.10000000000196</v>
      </c>
      <c r="D47" s="23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12">
        <v>2040</v>
      </c>
      <c r="C48" s="275">
        <v>804.90000000000202</v>
      </c>
      <c r="D48" s="23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912" t="s">
        <v>330</v>
      </c>
      <c r="C2" s="913"/>
      <c r="D2" s="913"/>
      <c r="E2" s="913"/>
      <c r="F2" s="914"/>
    </row>
    <row r="3" spans="2:11" x14ac:dyDescent="0.3">
      <c r="B3" s="96"/>
      <c r="J3" s="287"/>
      <c r="K3" s="86" t="s">
        <v>628</v>
      </c>
    </row>
    <row r="4" spans="2:11" x14ac:dyDescent="0.3">
      <c r="B4" s="96"/>
      <c r="J4" s="288"/>
      <c r="K4" s="86" t="s">
        <v>629</v>
      </c>
    </row>
    <row r="5" spans="2:11" ht="18" x14ac:dyDescent="0.3">
      <c r="B5" s="87" t="s">
        <v>342</v>
      </c>
      <c r="C5" s="119" t="s">
        <v>312</v>
      </c>
      <c r="D5" s="120" t="s">
        <v>350</v>
      </c>
      <c r="E5" s="120" t="s">
        <v>286</v>
      </c>
      <c r="F5" s="121" t="s">
        <v>375</v>
      </c>
      <c r="G5" s="122" t="s">
        <v>627</v>
      </c>
      <c r="H5" s="120" t="s">
        <v>626</v>
      </c>
    </row>
    <row r="6" spans="2:11" ht="15.6" x14ac:dyDescent="0.3">
      <c r="B6" s="919">
        <v>1</v>
      </c>
      <c r="C6" s="916" t="s">
        <v>313</v>
      </c>
      <c r="D6" s="123" t="s">
        <v>238</v>
      </c>
      <c r="E6" s="123"/>
      <c r="F6" s="124"/>
      <c r="G6" s="271"/>
      <c r="H6" s="177"/>
    </row>
    <row r="7" spans="2:11" ht="15.6" x14ac:dyDescent="0.3">
      <c r="B7" s="920"/>
      <c r="C7" s="917"/>
      <c r="D7" s="125"/>
      <c r="E7" s="125" t="s">
        <v>290</v>
      </c>
      <c r="F7" s="126" t="s">
        <v>288</v>
      </c>
      <c r="G7" s="268"/>
      <c r="H7" s="92"/>
    </row>
    <row r="8" spans="2:11" ht="15.6" x14ac:dyDescent="0.3">
      <c r="B8" s="920"/>
      <c r="C8" s="917"/>
      <c r="D8" s="125"/>
      <c r="E8" s="125"/>
      <c r="F8" s="126" t="s">
        <v>294</v>
      </c>
      <c r="G8" s="268"/>
      <c r="H8" s="99"/>
    </row>
    <row r="9" spans="2:11" ht="15.6" x14ac:dyDescent="0.3">
      <c r="B9" s="920"/>
      <c r="C9" s="917"/>
      <c r="D9" s="125"/>
      <c r="E9" s="125"/>
      <c r="F9" s="126" t="s">
        <v>287</v>
      </c>
      <c r="G9" s="268"/>
      <c r="H9" s="99"/>
    </row>
    <row r="10" spans="2:11" ht="15.6" x14ac:dyDescent="0.3">
      <c r="B10" s="920"/>
      <c r="C10" s="917"/>
      <c r="D10" s="125"/>
      <c r="E10" s="125"/>
      <c r="F10" s="126" t="s">
        <v>289</v>
      </c>
      <c r="G10" s="289"/>
      <c r="H10" s="99" t="s">
        <v>229</v>
      </c>
    </row>
    <row r="11" spans="2:11" ht="15.6" x14ac:dyDescent="0.3">
      <c r="B11" s="920"/>
      <c r="C11" s="917"/>
      <c r="D11" s="125"/>
      <c r="E11" s="125" t="s">
        <v>397</v>
      </c>
      <c r="F11" s="126"/>
      <c r="G11" s="268"/>
      <c r="H11" s="99"/>
    </row>
    <row r="12" spans="2:11" ht="15.6" x14ac:dyDescent="0.3">
      <c r="B12" s="921"/>
      <c r="C12" s="918"/>
      <c r="D12" s="127"/>
      <c r="E12" s="127" t="s">
        <v>291</v>
      </c>
      <c r="F12" s="133"/>
      <c r="G12" s="269"/>
      <c r="H12" s="170"/>
    </row>
    <row r="13" spans="2:11" ht="15.6" x14ac:dyDescent="0.3">
      <c r="B13" s="920">
        <v>2</v>
      </c>
      <c r="C13" s="916" t="s">
        <v>418</v>
      </c>
      <c r="D13" s="128" t="s">
        <v>285</v>
      </c>
      <c r="E13" s="128"/>
      <c r="F13" s="123" t="s">
        <v>295</v>
      </c>
      <c r="G13" s="272"/>
      <c r="H13" s="177"/>
    </row>
    <row r="14" spans="2:11" ht="15.6" x14ac:dyDescent="0.3">
      <c r="B14" s="920"/>
      <c r="C14" s="917"/>
      <c r="D14" s="129"/>
      <c r="E14" s="129" t="s">
        <v>292</v>
      </c>
      <c r="F14" s="125" t="s">
        <v>296</v>
      </c>
      <c r="G14" s="96"/>
      <c r="H14" s="99"/>
    </row>
    <row r="15" spans="2:11" ht="15.6" x14ac:dyDescent="0.3">
      <c r="B15" s="920"/>
      <c r="C15" s="917"/>
      <c r="D15" s="129"/>
      <c r="E15" s="129" t="s">
        <v>338</v>
      </c>
      <c r="F15" s="125" t="s">
        <v>323</v>
      </c>
      <c r="G15" s="290"/>
      <c r="H15" s="99"/>
    </row>
    <row r="16" spans="2:11" ht="15.6" x14ac:dyDescent="0.3">
      <c r="B16" s="920"/>
      <c r="C16" s="917"/>
      <c r="D16" s="129"/>
      <c r="E16" s="129" t="s">
        <v>293</v>
      </c>
      <c r="F16" s="125" t="s">
        <v>324</v>
      </c>
      <c r="G16" s="96"/>
      <c r="H16" s="99"/>
    </row>
    <row r="17" spans="2:8" ht="15.6" x14ac:dyDescent="0.3">
      <c r="B17" s="920"/>
      <c r="C17" s="917"/>
      <c r="D17" s="129"/>
      <c r="E17" s="129" t="s">
        <v>297</v>
      </c>
      <c r="F17" s="125" t="s">
        <v>336</v>
      </c>
      <c r="G17" s="96"/>
      <c r="H17" s="99"/>
    </row>
    <row r="18" spans="2:8" ht="15.6" x14ac:dyDescent="0.3">
      <c r="B18" s="920"/>
      <c r="C18" s="917"/>
      <c r="D18" s="129"/>
      <c r="E18" s="129" t="s">
        <v>335</v>
      </c>
      <c r="F18" s="125" t="s">
        <v>337</v>
      </c>
      <c r="G18" s="96"/>
      <c r="H18" s="99"/>
    </row>
    <row r="19" spans="2:8" ht="15.6" x14ac:dyDescent="0.3">
      <c r="B19" s="920"/>
      <c r="C19" s="917"/>
      <c r="D19" s="129"/>
      <c r="E19" s="129" t="s">
        <v>339</v>
      </c>
      <c r="F19" s="125" t="s">
        <v>345</v>
      </c>
      <c r="G19" s="96"/>
      <c r="H19" s="99"/>
    </row>
    <row r="20" spans="2:8" ht="15.6" x14ac:dyDescent="0.3">
      <c r="B20" s="920"/>
      <c r="C20" s="917"/>
      <c r="D20" s="129"/>
      <c r="E20" s="129"/>
      <c r="F20" s="125" t="s">
        <v>346</v>
      </c>
      <c r="G20" s="96"/>
      <c r="H20" s="99"/>
    </row>
    <row r="21" spans="2:8" ht="15.6" x14ac:dyDescent="0.3">
      <c r="B21" s="920"/>
      <c r="C21" s="917"/>
      <c r="D21" s="129"/>
      <c r="E21" s="129"/>
      <c r="F21" s="125" t="s">
        <v>347</v>
      </c>
      <c r="G21" s="96"/>
      <c r="H21" s="99"/>
    </row>
    <row r="22" spans="2:8" ht="15.6" x14ac:dyDescent="0.3">
      <c r="B22" s="920"/>
      <c r="C22" s="917"/>
      <c r="D22" s="129" t="s">
        <v>317</v>
      </c>
      <c r="E22" s="129"/>
      <c r="F22" s="125"/>
      <c r="G22" s="96"/>
      <c r="H22" s="99"/>
    </row>
    <row r="23" spans="2:8" ht="15.6" x14ac:dyDescent="0.3">
      <c r="B23" s="920"/>
      <c r="C23" s="917"/>
      <c r="D23" s="129"/>
      <c r="E23" s="129" t="s">
        <v>318</v>
      </c>
      <c r="F23" s="125"/>
      <c r="G23" s="96"/>
      <c r="H23" s="99"/>
    </row>
    <row r="24" spans="2:8" ht="15.6" x14ac:dyDescent="0.3">
      <c r="B24" s="920"/>
      <c r="C24" s="917"/>
      <c r="D24" s="129"/>
      <c r="E24" s="129" t="s">
        <v>319</v>
      </c>
      <c r="F24" s="125"/>
      <c r="G24" s="96"/>
      <c r="H24" s="99"/>
    </row>
    <row r="25" spans="2:8" ht="15.6" x14ac:dyDescent="0.3">
      <c r="B25" s="920"/>
      <c r="C25" s="917"/>
      <c r="D25" s="129"/>
      <c r="E25" s="129" t="s">
        <v>389</v>
      </c>
      <c r="F25" s="125" t="s">
        <v>390</v>
      </c>
      <c r="G25" s="96"/>
      <c r="H25" s="99"/>
    </row>
    <row r="26" spans="2:8" ht="15.6" x14ac:dyDescent="0.3">
      <c r="B26" s="920"/>
      <c r="C26" s="917"/>
      <c r="D26" s="129"/>
      <c r="E26" s="129"/>
      <c r="F26" s="125" t="s">
        <v>391</v>
      </c>
      <c r="G26" s="96"/>
      <c r="H26" s="99"/>
    </row>
    <row r="27" spans="2:8" ht="15.6" x14ac:dyDescent="0.3">
      <c r="B27" s="921"/>
      <c r="C27" s="918"/>
      <c r="D27" s="130"/>
      <c r="E27" s="130" t="s">
        <v>433</v>
      </c>
      <c r="F27" s="127"/>
      <c r="G27" s="270"/>
      <c r="H27" s="170"/>
    </row>
    <row r="28" spans="2:8" ht="15.6" x14ac:dyDescent="0.3">
      <c r="B28" s="919">
        <v>3</v>
      </c>
      <c r="C28" s="776" t="s">
        <v>316</v>
      </c>
      <c r="D28" s="123" t="s">
        <v>40</v>
      </c>
      <c r="E28" s="123"/>
      <c r="F28" s="124"/>
      <c r="G28" s="271"/>
      <c r="H28" s="177"/>
    </row>
    <row r="29" spans="2:8" ht="15.6" x14ac:dyDescent="0.3">
      <c r="B29" s="920"/>
      <c r="C29" s="915"/>
      <c r="D29" s="125"/>
      <c r="E29" s="125" t="s">
        <v>298</v>
      </c>
      <c r="F29" s="126" t="s">
        <v>301</v>
      </c>
      <c r="G29" s="268"/>
      <c r="H29" s="99"/>
    </row>
    <row r="30" spans="2:8" ht="15.6" x14ac:dyDescent="0.3">
      <c r="B30" s="920"/>
      <c r="C30" s="915"/>
      <c r="D30" s="125"/>
      <c r="E30" s="125" t="s">
        <v>299</v>
      </c>
      <c r="F30" s="126" t="s">
        <v>302</v>
      </c>
      <c r="G30" s="268"/>
      <c r="H30" s="99"/>
    </row>
    <row r="31" spans="2:8" ht="15.6" x14ac:dyDescent="0.3">
      <c r="B31" s="920"/>
      <c r="C31" s="915"/>
      <c r="D31" s="125"/>
      <c r="E31" s="125" t="s">
        <v>300</v>
      </c>
      <c r="F31" s="126" t="s">
        <v>303</v>
      </c>
      <c r="G31" s="268"/>
      <c r="H31" s="99"/>
    </row>
    <row r="32" spans="2:8" ht="15.6" x14ac:dyDescent="0.3">
      <c r="B32" s="920"/>
      <c r="C32" s="915"/>
      <c r="D32" s="125"/>
      <c r="E32" s="125" t="s">
        <v>362</v>
      </c>
      <c r="F32" s="126"/>
      <c r="G32" s="268"/>
      <c r="H32" s="99"/>
    </row>
    <row r="33" spans="2:8" ht="15.6" x14ac:dyDescent="0.3">
      <c r="B33" s="920"/>
      <c r="C33" s="915"/>
      <c r="D33" s="125" t="s">
        <v>404</v>
      </c>
      <c r="E33" s="125" t="s">
        <v>41</v>
      </c>
      <c r="F33" s="126"/>
      <c r="G33" s="268"/>
      <c r="H33" s="99"/>
    </row>
    <row r="34" spans="2:8" ht="15.6" x14ac:dyDescent="0.3">
      <c r="B34" s="920"/>
      <c r="C34" s="915"/>
      <c r="D34" s="125"/>
      <c r="E34" s="125" t="s">
        <v>331</v>
      </c>
      <c r="F34" s="126" t="s">
        <v>409</v>
      </c>
      <c r="G34" s="268"/>
      <c r="H34" s="99"/>
    </row>
    <row r="35" spans="2:8" ht="15.6" x14ac:dyDescent="0.3">
      <c r="B35" s="920"/>
      <c r="C35" s="915"/>
      <c r="D35" s="125"/>
      <c r="E35" s="125"/>
      <c r="F35" s="126" t="s">
        <v>410</v>
      </c>
      <c r="G35" s="268"/>
      <c r="H35" s="99"/>
    </row>
    <row r="36" spans="2:8" ht="15.6" x14ac:dyDescent="0.3">
      <c r="B36" s="920"/>
      <c r="C36" s="915"/>
      <c r="D36" s="125"/>
      <c r="E36" s="125" t="s">
        <v>405</v>
      </c>
      <c r="F36" s="126" t="s">
        <v>408</v>
      </c>
      <c r="G36" s="268"/>
      <c r="H36" s="99"/>
    </row>
    <row r="37" spans="2:8" ht="15.6" x14ac:dyDescent="0.3">
      <c r="B37" s="920"/>
      <c r="C37" s="915"/>
      <c r="D37" s="125" t="s">
        <v>413</v>
      </c>
      <c r="E37" s="125" t="s">
        <v>332</v>
      </c>
      <c r="F37" s="126"/>
      <c r="G37" s="268"/>
      <c r="H37" s="99"/>
    </row>
    <row r="38" spans="2:8" ht="15.6" x14ac:dyDescent="0.3">
      <c r="B38" s="920"/>
      <c r="C38" s="915"/>
      <c r="D38" s="125"/>
      <c r="E38" s="125" t="s">
        <v>349</v>
      </c>
      <c r="F38" s="126"/>
      <c r="G38" s="268"/>
      <c r="H38" s="99"/>
    </row>
    <row r="39" spans="2:8" ht="15.6" x14ac:dyDescent="0.3">
      <c r="B39" s="920"/>
      <c r="C39" s="915"/>
      <c r="D39" s="125" t="s">
        <v>407</v>
      </c>
      <c r="E39" s="125" t="s">
        <v>435</v>
      </c>
      <c r="F39" s="126"/>
      <c r="G39" s="268"/>
      <c r="H39" s="99"/>
    </row>
    <row r="40" spans="2:8" ht="15.6" x14ac:dyDescent="0.3">
      <c r="B40" s="920"/>
      <c r="C40" s="915"/>
      <c r="D40" s="125" t="s">
        <v>436</v>
      </c>
      <c r="E40" s="125"/>
      <c r="F40" s="126"/>
      <c r="G40" s="268"/>
      <c r="H40" s="99"/>
    </row>
    <row r="41" spans="2:8" ht="15.6" x14ac:dyDescent="0.3">
      <c r="B41" s="920"/>
      <c r="C41" s="915"/>
      <c r="D41" s="125"/>
      <c r="E41" s="125" t="s">
        <v>403</v>
      </c>
      <c r="F41" s="126"/>
      <c r="G41" s="268"/>
      <c r="H41" s="99"/>
    </row>
    <row r="42" spans="2:8" ht="15.6" x14ac:dyDescent="0.3">
      <c r="B42" s="920"/>
      <c r="C42" s="915"/>
      <c r="D42" s="125"/>
      <c r="E42" s="125" t="s">
        <v>406</v>
      </c>
      <c r="F42" s="126"/>
      <c r="G42" s="268"/>
      <c r="H42" s="99"/>
    </row>
    <row r="43" spans="2:8" ht="15.6" x14ac:dyDescent="0.3">
      <c r="B43" s="920"/>
      <c r="C43" s="915"/>
      <c r="D43" s="125" t="s">
        <v>374</v>
      </c>
      <c r="E43" s="125"/>
      <c r="F43" s="126"/>
      <c r="G43" s="268"/>
      <c r="H43" s="99"/>
    </row>
    <row r="44" spans="2:8" ht="15.6" x14ac:dyDescent="0.3">
      <c r="B44" s="920"/>
      <c r="C44" s="915"/>
      <c r="D44" s="125" t="s">
        <v>401</v>
      </c>
      <c r="E44" s="125"/>
      <c r="F44" s="126"/>
      <c r="G44" s="268"/>
      <c r="H44" s="99"/>
    </row>
    <row r="45" spans="2:8" ht="15.6" x14ac:dyDescent="0.3">
      <c r="B45" s="920"/>
      <c r="C45" s="915"/>
      <c r="D45" s="125" t="s">
        <v>402</v>
      </c>
      <c r="E45" s="125"/>
      <c r="F45" s="126"/>
      <c r="G45" s="268"/>
      <c r="H45" s="99"/>
    </row>
    <row r="46" spans="2:8" ht="15.6" x14ac:dyDescent="0.3">
      <c r="B46" s="920"/>
      <c r="C46" s="915"/>
      <c r="D46" s="125"/>
      <c r="E46" s="125" t="s">
        <v>399</v>
      </c>
      <c r="F46" s="126"/>
      <c r="G46" s="268"/>
      <c r="H46" s="99"/>
    </row>
    <row r="47" spans="2:8" ht="15.6" x14ac:dyDescent="0.3">
      <c r="B47" s="920"/>
      <c r="C47" s="915"/>
      <c r="D47" s="125"/>
      <c r="E47" s="125" t="s">
        <v>411</v>
      </c>
      <c r="F47" s="126"/>
      <c r="G47" s="268"/>
      <c r="H47" s="99"/>
    </row>
    <row r="48" spans="2:8" ht="15.6" x14ac:dyDescent="0.3">
      <c r="B48" s="920"/>
      <c r="C48" s="915"/>
      <c r="D48" s="125" t="s">
        <v>355</v>
      </c>
      <c r="E48" s="125"/>
      <c r="F48" s="126"/>
      <c r="G48" s="268"/>
      <c r="H48" s="99"/>
    </row>
    <row r="49" spans="2:8" ht="15.6" x14ac:dyDescent="0.3">
      <c r="B49" s="920"/>
      <c r="C49" s="915"/>
      <c r="D49" s="131"/>
      <c r="E49" s="125" t="s">
        <v>412</v>
      </c>
      <c r="F49" s="126"/>
      <c r="G49" s="268"/>
      <c r="H49" s="99"/>
    </row>
    <row r="50" spans="2:8" ht="15.6" x14ac:dyDescent="0.3">
      <c r="B50" s="920"/>
      <c r="C50" s="915"/>
      <c r="D50" s="131"/>
      <c r="E50" s="125" t="s">
        <v>400</v>
      </c>
      <c r="F50" s="126"/>
      <c r="G50" s="268"/>
      <c r="H50" s="99"/>
    </row>
    <row r="51" spans="2:8" ht="15.6" x14ac:dyDescent="0.3">
      <c r="B51" s="921"/>
      <c r="C51" s="777"/>
      <c r="D51" s="285"/>
      <c r="E51" s="127" t="s">
        <v>363</v>
      </c>
      <c r="F51" s="133"/>
      <c r="G51" s="269"/>
      <c r="H51" s="170"/>
    </row>
    <row r="52" spans="2:8" ht="15.6" x14ac:dyDescent="0.3">
      <c r="B52" s="919">
        <v>4</v>
      </c>
      <c r="C52" s="922" t="s">
        <v>434</v>
      </c>
      <c r="D52" s="123" t="s">
        <v>344</v>
      </c>
      <c r="E52" s="128"/>
      <c r="F52" s="123"/>
      <c r="G52" s="271"/>
      <c r="H52" s="177"/>
    </row>
    <row r="53" spans="2:8" ht="15.6" x14ac:dyDescent="0.3">
      <c r="B53" s="920"/>
      <c r="C53" s="923"/>
      <c r="D53" s="125"/>
      <c r="E53" s="129" t="s">
        <v>307</v>
      </c>
      <c r="F53" s="125" t="s">
        <v>304</v>
      </c>
      <c r="G53" s="268"/>
      <c r="H53" s="99"/>
    </row>
    <row r="54" spans="2:8" ht="15.6" x14ac:dyDescent="0.3">
      <c r="B54" s="920"/>
      <c r="C54" s="923"/>
      <c r="D54" s="125"/>
      <c r="E54" s="129" t="s">
        <v>306</v>
      </c>
      <c r="F54" s="125" t="s">
        <v>305</v>
      </c>
      <c r="G54" s="268"/>
      <c r="H54" s="99"/>
    </row>
    <row r="55" spans="2:8" ht="15.6" x14ac:dyDescent="0.3">
      <c r="B55" s="920"/>
      <c r="C55" s="923"/>
      <c r="D55" s="125"/>
      <c r="E55" s="129" t="s">
        <v>428</v>
      </c>
      <c r="F55" s="125"/>
      <c r="G55" s="268"/>
      <c r="H55" s="99"/>
    </row>
    <row r="56" spans="2:8" ht="15.6" x14ac:dyDescent="0.3">
      <c r="B56" s="920"/>
      <c r="C56" s="923"/>
      <c r="D56" s="125" t="s">
        <v>343</v>
      </c>
      <c r="E56" s="129"/>
      <c r="F56" s="125"/>
      <c r="G56" s="268"/>
      <c r="H56" s="99"/>
    </row>
    <row r="57" spans="2:8" ht="15.6" x14ac:dyDescent="0.3">
      <c r="B57" s="920"/>
      <c r="C57" s="923"/>
      <c r="D57" s="125"/>
      <c r="E57" s="129" t="s">
        <v>307</v>
      </c>
      <c r="F57" s="125"/>
      <c r="G57" s="268"/>
      <c r="H57" s="99"/>
    </row>
    <row r="58" spans="2:8" ht="15.6" x14ac:dyDescent="0.3">
      <c r="B58" s="920"/>
      <c r="C58" s="923"/>
      <c r="D58" s="125" t="s">
        <v>429</v>
      </c>
      <c r="E58" s="286"/>
      <c r="F58" s="125"/>
      <c r="G58" s="268"/>
      <c r="H58" s="99"/>
    </row>
    <row r="59" spans="2:8" ht="15.6" x14ac:dyDescent="0.3">
      <c r="B59" s="920"/>
      <c r="C59" s="923"/>
      <c r="D59" s="125"/>
      <c r="E59" s="129" t="s">
        <v>422</v>
      </c>
      <c r="F59" s="125" t="s">
        <v>426</v>
      </c>
      <c r="G59" s="268"/>
      <c r="H59" s="99"/>
    </row>
    <row r="60" spans="2:8" ht="15.6" x14ac:dyDescent="0.3">
      <c r="B60" s="920"/>
      <c r="C60" s="923"/>
      <c r="D60" s="125"/>
      <c r="E60" s="129" t="s">
        <v>424</v>
      </c>
      <c r="F60" s="125" t="s">
        <v>200</v>
      </c>
      <c r="G60" s="268"/>
      <c r="H60" s="99"/>
    </row>
    <row r="61" spans="2:8" ht="15.6" x14ac:dyDescent="0.3">
      <c r="B61" s="920"/>
      <c r="C61" s="923"/>
      <c r="D61" s="125"/>
      <c r="E61" s="129" t="s">
        <v>423</v>
      </c>
      <c r="F61" s="125" t="s">
        <v>427</v>
      </c>
      <c r="G61" s="268"/>
      <c r="H61" s="99"/>
    </row>
    <row r="62" spans="2:8" ht="15.6" x14ac:dyDescent="0.3">
      <c r="B62" s="920"/>
      <c r="C62" s="923"/>
      <c r="D62" s="125" t="s">
        <v>630</v>
      </c>
      <c r="E62" s="129"/>
      <c r="F62" s="125"/>
      <c r="G62" s="268"/>
      <c r="H62" s="99"/>
    </row>
    <row r="63" spans="2:8" ht="15.6" x14ac:dyDescent="0.3">
      <c r="B63" s="921"/>
      <c r="C63" s="924"/>
      <c r="D63" s="127"/>
      <c r="E63" s="130"/>
      <c r="F63" s="127"/>
      <c r="G63" s="269"/>
      <c r="H63" s="170"/>
    </row>
    <row r="64" spans="2:8" ht="15.6" x14ac:dyDescent="0.3">
      <c r="B64" s="919">
        <v>5</v>
      </c>
      <c r="C64" s="916" t="s">
        <v>419</v>
      </c>
      <c r="D64" s="123" t="s">
        <v>328</v>
      </c>
      <c r="E64" s="123"/>
      <c r="F64" s="124"/>
      <c r="G64" s="271"/>
      <c r="H64" s="177"/>
    </row>
    <row r="65" spans="2:8" ht="15.6" x14ac:dyDescent="0.3">
      <c r="B65" s="920"/>
      <c r="C65" s="917"/>
      <c r="D65" s="125"/>
      <c r="E65" s="125" t="s">
        <v>308</v>
      </c>
      <c r="F65" s="126" t="s">
        <v>305</v>
      </c>
      <c r="G65" s="268"/>
      <c r="H65" s="99"/>
    </row>
    <row r="66" spans="2:8" ht="15.6" x14ac:dyDescent="0.3">
      <c r="B66" s="920"/>
      <c r="C66" s="917"/>
      <c r="D66" s="125"/>
      <c r="E66" s="125"/>
      <c r="F66" s="126" t="s">
        <v>310</v>
      </c>
      <c r="G66" s="268"/>
      <c r="H66" s="99"/>
    </row>
    <row r="67" spans="2:8" ht="15.6" x14ac:dyDescent="0.3">
      <c r="B67" s="920"/>
      <c r="C67" s="917"/>
      <c r="D67" s="125"/>
      <c r="E67" s="125" t="s">
        <v>309</v>
      </c>
      <c r="F67" s="131" t="s">
        <v>311</v>
      </c>
      <c r="G67" s="268"/>
      <c r="H67" s="99"/>
    </row>
    <row r="68" spans="2:8" ht="15.6" x14ac:dyDescent="0.3">
      <c r="B68" s="920"/>
      <c r="C68" s="917"/>
      <c r="D68" s="125"/>
      <c r="E68" s="125"/>
      <c r="F68" s="126" t="s">
        <v>260</v>
      </c>
      <c r="G68" s="268"/>
      <c r="H68" s="99"/>
    </row>
    <row r="69" spans="2:8" ht="15.6" x14ac:dyDescent="0.3">
      <c r="B69" s="920"/>
      <c r="C69" s="917"/>
      <c r="D69" s="125"/>
      <c r="E69" s="125" t="s">
        <v>334</v>
      </c>
      <c r="F69" s="126"/>
      <c r="G69" s="268"/>
      <c r="H69" s="99"/>
    </row>
    <row r="70" spans="2:8" ht="15.6" x14ac:dyDescent="0.3">
      <c r="B70" s="920"/>
      <c r="C70" s="917"/>
      <c r="D70" s="125" t="s">
        <v>417</v>
      </c>
      <c r="E70" s="125"/>
      <c r="F70" s="126"/>
      <c r="G70" s="268"/>
      <c r="H70" s="99"/>
    </row>
    <row r="71" spans="2:8" ht="15.6" x14ac:dyDescent="0.3">
      <c r="B71" s="920"/>
      <c r="C71" s="917"/>
      <c r="D71" s="125"/>
      <c r="E71" s="125" t="s">
        <v>291</v>
      </c>
      <c r="F71" s="126"/>
      <c r="G71" s="268"/>
      <c r="H71" s="99"/>
    </row>
    <row r="72" spans="2:8" ht="15.6" x14ac:dyDescent="0.3">
      <c r="B72" s="920"/>
      <c r="C72" s="917"/>
      <c r="D72" s="125" t="s">
        <v>392</v>
      </c>
      <c r="E72" s="125"/>
      <c r="F72" s="126"/>
      <c r="G72" s="268"/>
      <c r="H72" s="99"/>
    </row>
    <row r="73" spans="2:8" ht="15.6" x14ac:dyDescent="0.3">
      <c r="B73" s="920"/>
      <c r="C73" s="917"/>
      <c r="D73" s="125"/>
      <c r="E73" s="125" t="s">
        <v>393</v>
      </c>
      <c r="F73" s="126" t="s">
        <v>390</v>
      </c>
      <c r="G73" s="268"/>
      <c r="H73" s="99"/>
    </row>
    <row r="74" spans="2:8" ht="15.6" x14ac:dyDescent="0.3">
      <c r="B74" s="920"/>
      <c r="C74" s="917"/>
      <c r="D74" s="125"/>
      <c r="E74" s="125" t="s">
        <v>394</v>
      </c>
      <c r="F74" s="126" t="s">
        <v>395</v>
      </c>
      <c r="G74" s="268"/>
      <c r="H74" s="99"/>
    </row>
    <row r="75" spans="2:8" ht="15.6" x14ac:dyDescent="0.3">
      <c r="B75" s="920"/>
      <c r="C75" s="917"/>
      <c r="D75" s="125" t="s">
        <v>425</v>
      </c>
      <c r="E75" s="125"/>
      <c r="F75" s="126"/>
      <c r="G75" s="268"/>
      <c r="H75" s="99"/>
    </row>
    <row r="76" spans="2:8" ht="15.6" x14ac:dyDescent="0.3">
      <c r="B76" s="920"/>
      <c r="C76" s="917"/>
      <c r="D76" s="125"/>
      <c r="E76" s="125" t="s">
        <v>420</v>
      </c>
      <c r="F76" s="126"/>
      <c r="G76" s="268"/>
      <c r="H76" s="99"/>
    </row>
    <row r="77" spans="2:8" ht="15.6" x14ac:dyDescent="0.3">
      <c r="B77" s="920"/>
      <c r="C77" s="917"/>
      <c r="D77" s="125"/>
      <c r="E77" s="132"/>
      <c r="F77" s="126" t="s">
        <v>333</v>
      </c>
      <c r="G77" s="268"/>
      <c r="H77" s="99"/>
    </row>
    <row r="78" spans="2:8" ht="15.6" x14ac:dyDescent="0.3">
      <c r="B78" s="920"/>
      <c r="C78" s="917"/>
      <c r="D78" s="125"/>
      <c r="E78" s="132"/>
      <c r="F78" s="126" t="s">
        <v>432</v>
      </c>
      <c r="G78" s="268"/>
      <c r="H78" s="99"/>
    </row>
    <row r="79" spans="2:8" ht="15.6" x14ac:dyDescent="0.3">
      <c r="B79" s="920"/>
      <c r="C79" s="917"/>
      <c r="D79" s="125"/>
      <c r="E79" s="125" t="s">
        <v>421</v>
      </c>
      <c r="F79" s="126"/>
      <c r="G79" s="268"/>
      <c r="H79" s="99"/>
    </row>
    <row r="80" spans="2:8" ht="15.6" x14ac:dyDescent="0.3">
      <c r="B80" s="920"/>
      <c r="C80" s="917"/>
      <c r="D80" s="125"/>
      <c r="E80" s="125"/>
      <c r="F80" s="126"/>
      <c r="G80" s="268"/>
      <c r="H80" s="99"/>
    </row>
    <row r="81" spans="2:8" ht="15.6" x14ac:dyDescent="0.3">
      <c r="B81" s="920"/>
      <c r="C81" s="917"/>
      <c r="D81" s="125"/>
      <c r="E81" s="125"/>
      <c r="F81" s="126"/>
      <c r="G81" s="268"/>
      <c r="H81" s="99"/>
    </row>
    <row r="82" spans="2:8" ht="15.6" x14ac:dyDescent="0.3">
      <c r="B82" s="920"/>
      <c r="C82" s="917"/>
      <c r="D82" s="125"/>
      <c r="E82" s="125"/>
      <c r="F82" s="126"/>
      <c r="G82" s="268"/>
      <c r="H82" s="99"/>
    </row>
    <row r="83" spans="2:8" ht="15.6" x14ac:dyDescent="0.3">
      <c r="B83" s="921"/>
      <c r="C83" s="918"/>
      <c r="D83" s="127"/>
      <c r="E83" s="127"/>
      <c r="F83" s="133"/>
      <c r="G83" s="269"/>
      <c r="H83" s="170"/>
    </row>
    <row r="84" spans="2:8" ht="15.6" x14ac:dyDescent="0.3">
      <c r="B84" s="919">
        <v>6</v>
      </c>
      <c r="C84" s="776" t="s">
        <v>430</v>
      </c>
      <c r="D84" s="123" t="s">
        <v>326</v>
      </c>
      <c r="E84" s="123"/>
      <c r="F84" s="124"/>
      <c r="G84" s="271"/>
      <c r="H84" s="177"/>
    </row>
    <row r="85" spans="2:8" ht="15.6" x14ac:dyDescent="0.3">
      <c r="B85" s="920"/>
      <c r="C85" s="915"/>
      <c r="D85" s="125"/>
      <c r="E85" s="125" t="s">
        <v>320</v>
      </c>
      <c r="F85" s="126" t="s">
        <v>321</v>
      </c>
      <c r="G85" s="268"/>
      <c r="H85" s="99"/>
    </row>
    <row r="86" spans="2:8" ht="15.6" x14ac:dyDescent="0.3">
      <c r="B86" s="920"/>
      <c r="C86" s="915"/>
      <c r="D86" s="125"/>
      <c r="E86" s="125"/>
      <c r="F86" s="126" t="s">
        <v>325</v>
      </c>
      <c r="G86" s="268"/>
      <c r="H86" s="99"/>
    </row>
    <row r="87" spans="2:8" ht="15.6" x14ac:dyDescent="0.3">
      <c r="B87" s="920"/>
      <c r="C87" s="915"/>
      <c r="D87" s="125" t="s">
        <v>327</v>
      </c>
      <c r="E87" s="125"/>
      <c r="F87" s="126"/>
      <c r="G87" s="268"/>
      <c r="H87" s="99"/>
    </row>
    <row r="88" spans="2:8" ht="15.6" x14ac:dyDescent="0.3">
      <c r="B88" s="920"/>
      <c r="C88" s="915"/>
      <c r="D88" s="125"/>
      <c r="E88" s="125" t="s">
        <v>322</v>
      </c>
      <c r="F88" s="126"/>
      <c r="G88" s="268"/>
      <c r="H88" s="99"/>
    </row>
    <row r="89" spans="2:8" ht="15.6" x14ac:dyDescent="0.3">
      <c r="B89" s="920"/>
      <c r="C89" s="915"/>
      <c r="D89" s="125"/>
      <c r="E89" s="125" t="s">
        <v>329</v>
      </c>
      <c r="F89" s="126"/>
      <c r="G89" s="268"/>
      <c r="H89" s="99"/>
    </row>
    <row r="90" spans="2:8" ht="15.6" x14ac:dyDescent="0.3">
      <c r="B90" s="920"/>
      <c r="C90" s="915"/>
      <c r="D90" s="125"/>
      <c r="E90" s="125" t="s">
        <v>388</v>
      </c>
      <c r="F90" s="126"/>
      <c r="G90" s="268"/>
      <c r="H90" s="99"/>
    </row>
    <row r="91" spans="2:8" ht="15.6" x14ac:dyDescent="0.3">
      <c r="B91" s="920"/>
      <c r="C91" s="915"/>
      <c r="D91" s="125"/>
      <c r="E91" s="125"/>
      <c r="F91" s="126" t="s">
        <v>431</v>
      </c>
      <c r="G91" s="268"/>
      <c r="H91" s="99"/>
    </row>
    <row r="92" spans="2:8" ht="15.6" x14ac:dyDescent="0.3">
      <c r="B92" s="920"/>
      <c r="C92" s="915"/>
      <c r="D92" s="125" t="s">
        <v>360</v>
      </c>
      <c r="E92" s="125"/>
      <c r="F92" s="126"/>
      <c r="G92" s="268"/>
      <c r="H92" s="99"/>
    </row>
    <row r="93" spans="2:8" ht="15.6" x14ac:dyDescent="0.3">
      <c r="B93" s="920"/>
      <c r="C93" s="915"/>
      <c r="D93" s="125"/>
      <c r="E93" s="125" t="s">
        <v>361</v>
      </c>
      <c r="F93" s="126" t="s">
        <v>365</v>
      </c>
      <c r="G93" s="268"/>
      <c r="H93" s="99"/>
    </row>
    <row r="94" spans="2:8" ht="15.6" x14ac:dyDescent="0.3">
      <c r="B94" s="920"/>
      <c r="C94" s="915"/>
      <c r="D94" s="125"/>
      <c r="E94" s="125"/>
      <c r="F94" s="126" t="s">
        <v>366</v>
      </c>
      <c r="G94" s="268"/>
      <c r="H94" s="99"/>
    </row>
    <row r="95" spans="2:8" ht="15.6" x14ac:dyDescent="0.3">
      <c r="B95" s="920"/>
      <c r="C95" s="915"/>
      <c r="D95" s="125" t="s">
        <v>367</v>
      </c>
      <c r="E95" s="125"/>
      <c r="F95" s="126"/>
      <c r="G95" s="268"/>
      <c r="H95" s="99"/>
    </row>
    <row r="96" spans="2:8" ht="15.6" x14ac:dyDescent="0.3">
      <c r="B96" s="920"/>
      <c r="C96" s="915"/>
      <c r="D96" s="125"/>
      <c r="E96" s="125" t="s">
        <v>368</v>
      </c>
      <c r="F96" s="126" t="s">
        <v>370</v>
      </c>
      <c r="G96" s="268"/>
      <c r="H96" s="99"/>
    </row>
    <row r="97" spans="2:8" ht="15.6" x14ac:dyDescent="0.3">
      <c r="B97" s="920"/>
      <c r="C97" s="915"/>
      <c r="D97" s="125"/>
      <c r="E97" s="125" t="s">
        <v>369</v>
      </c>
      <c r="F97" s="126" t="s">
        <v>371</v>
      </c>
      <c r="G97" s="268"/>
      <c r="H97" s="99"/>
    </row>
    <row r="98" spans="2:8" ht="15.6" x14ac:dyDescent="0.3">
      <c r="B98" s="920"/>
      <c r="C98" s="915"/>
      <c r="D98" s="125"/>
      <c r="E98" s="125"/>
      <c r="F98" s="126" t="s">
        <v>372</v>
      </c>
      <c r="G98" s="268"/>
      <c r="H98" s="99"/>
    </row>
    <row r="99" spans="2:8" ht="15.6" x14ac:dyDescent="0.3">
      <c r="B99" s="921"/>
      <c r="C99" s="777"/>
      <c r="D99" s="127"/>
      <c r="E99" s="127" t="s">
        <v>373</v>
      </c>
      <c r="F99" s="133"/>
      <c r="G99" s="269"/>
      <c r="H99" s="170"/>
    </row>
    <row r="100" spans="2:8" ht="15.6" x14ac:dyDescent="0.3">
      <c r="B100" s="718">
        <v>7</v>
      </c>
      <c r="C100" s="915" t="s">
        <v>414</v>
      </c>
      <c r="D100" s="125"/>
      <c r="E100" s="125"/>
      <c r="F100" s="126"/>
      <c r="G100" s="268"/>
      <c r="H100" s="99"/>
    </row>
    <row r="101" spans="2:8" ht="15.6" x14ac:dyDescent="0.3">
      <c r="B101" s="891"/>
      <c r="C101" s="915"/>
      <c r="D101" s="125" t="s">
        <v>376</v>
      </c>
      <c r="E101" s="125" t="s">
        <v>377</v>
      </c>
      <c r="F101" s="126"/>
      <c r="G101" s="268"/>
      <c r="H101" s="99"/>
    </row>
    <row r="102" spans="2:8" ht="15.6" x14ac:dyDescent="0.3">
      <c r="B102" s="891"/>
      <c r="C102" s="915"/>
      <c r="D102" s="125"/>
      <c r="E102" s="125" t="s">
        <v>396</v>
      </c>
      <c r="F102" s="126" t="s">
        <v>380</v>
      </c>
      <c r="G102" s="268"/>
      <c r="H102" s="99"/>
    </row>
    <row r="103" spans="2:8" ht="15.6" x14ac:dyDescent="0.3">
      <c r="B103" s="891"/>
      <c r="C103" s="915"/>
      <c r="D103" s="125" t="s">
        <v>381</v>
      </c>
      <c r="E103" s="125"/>
      <c r="F103" s="126"/>
      <c r="G103" s="268"/>
      <c r="H103" s="99"/>
    </row>
    <row r="104" spans="2:8" ht="15.6" x14ac:dyDescent="0.3">
      <c r="B104" s="891"/>
      <c r="C104" s="915"/>
      <c r="D104" s="125"/>
      <c r="E104" s="125" t="s">
        <v>378</v>
      </c>
      <c r="F104" s="126" t="s">
        <v>415</v>
      </c>
      <c r="G104" s="268"/>
      <c r="H104" s="99"/>
    </row>
    <row r="105" spans="2:8" ht="15.6" x14ac:dyDescent="0.3">
      <c r="B105" s="891"/>
      <c r="C105" s="915"/>
      <c r="D105" s="125"/>
      <c r="E105" s="125" t="s">
        <v>382</v>
      </c>
      <c r="F105" s="126" t="s">
        <v>416</v>
      </c>
      <c r="G105" s="268"/>
      <c r="H105" s="99"/>
    </row>
    <row r="106" spans="2:8" ht="15.6" x14ac:dyDescent="0.3">
      <c r="B106" s="891"/>
      <c r="C106" s="915"/>
      <c r="D106" s="125"/>
      <c r="E106" s="125" t="s">
        <v>364</v>
      </c>
      <c r="F106" s="126"/>
      <c r="G106" s="268"/>
      <c r="H106" s="99"/>
    </row>
    <row r="107" spans="2:8" ht="15.6" x14ac:dyDescent="0.3">
      <c r="B107" s="891"/>
      <c r="C107" s="915"/>
      <c r="D107" s="125" t="s">
        <v>379</v>
      </c>
      <c r="E107" s="125"/>
      <c r="F107" s="126"/>
      <c r="G107" s="268"/>
      <c r="H107" s="99"/>
    </row>
    <row r="108" spans="2:8" ht="15.6" x14ac:dyDescent="0.3">
      <c r="B108" s="891"/>
      <c r="C108" s="915"/>
      <c r="D108" s="125"/>
      <c r="E108" s="125" t="s">
        <v>386</v>
      </c>
      <c r="F108" s="126"/>
      <c r="G108" s="268"/>
      <c r="H108" s="99"/>
    </row>
    <row r="109" spans="2:8" ht="15.6" x14ac:dyDescent="0.3">
      <c r="B109" s="891"/>
      <c r="C109" s="915"/>
      <c r="D109" s="125"/>
      <c r="E109" s="125" t="s">
        <v>398</v>
      </c>
      <c r="F109" s="126"/>
      <c r="G109" s="268"/>
      <c r="H109" s="99"/>
    </row>
    <row r="110" spans="2:8" ht="15.6" x14ac:dyDescent="0.3">
      <c r="B110" s="891"/>
      <c r="C110" s="915"/>
      <c r="D110" s="125" t="s">
        <v>384</v>
      </c>
      <c r="E110" s="132"/>
      <c r="F110" s="126"/>
      <c r="G110" s="268"/>
      <c r="H110" s="99"/>
    </row>
    <row r="111" spans="2:8" ht="15.6" x14ac:dyDescent="0.3">
      <c r="B111" s="891"/>
      <c r="C111" s="915"/>
      <c r="D111" s="125"/>
      <c r="E111" s="125" t="s">
        <v>383</v>
      </c>
      <c r="F111" s="126"/>
      <c r="G111" s="268"/>
      <c r="H111" s="99"/>
    </row>
    <row r="112" spans="2:8" ht="15.6" x14ac:dyDescent="0.3">
      <c r="B112" s="891"/>
      <c r="C112" s="915"/>
      <c r="D112" s="125"/>
      <c r="E112" s="125" t="s">
        <v>385</v>
      </c>
      <c r="F112" s="126"/>
      <c r="G112" s="268"/>
      <c r="H112" s="99"/>
    </row>
    <row r="113" spans="2:8" ht="15.6" x14ac:dyDescent="0.3">
      <c r="B113" s="721"/>
      <c r="C113" s="777"/>
      <c r="D113" s="127"/>
      <c r="E113" s="127" t="s">
        <v>387</v>
      </c>
      <c r="F113" s="133"/>
      <c r="G113" s="269"/>
      <c r="H113" s="170"/>
    </row>
    <row r="117" spans="2:8" x14ac:dyDescent="0.3">
      <c r="C117" t="s">
        <v>312</v>
      </c>
      <c r="D117" t="s">
        <v>463</v>
      </c>
      <c r="E117" s="218" t="s">
        <v>476</v>
      </c>
      <c r="F117" s="118" t="s">
        <v>315</v>
      </c>
      <c r="G117" s="96" t="s">
        <v>636</v>
      </c>
      <c r="H117" s="96" t="s">
        <v>637</v>
      </c>
    </row>
    <row r="118" spans="2:8" x14ac:dyDescent="0.3">
      <c r="C118" s="96" t="str">
        <f>+C6</f>
        <v>Oxidant Stream</v>
      </c>
      <c r="D118" s="96" t="s">
        <v>486</v>
      </c>
      <c r="E118" s="96" t="s">
        <v>477</v>
      </c>
      <c r="F118" s="273">
        <v>1995</v>
      </c>
      <c r="G118" s="96">
        <v>1</v>
      </c>
      <c r="H118" s="96">
        <v>1</v>
      </c>
    </row>
    <row r="119" spans="2:8" x14ac:dyDescent="0.3">
      <c r="C119" s="96" t="str">
        <f>+C13</f>
        <v>Primary Conversion</v>
      </c>
      <c r="D119" s="219" t="s">
        <v>455</v>
      </c>
      <c r="E119" s="96" t="s">
        <v>478</v>
      </c>
      <c r="F119" s="112">
        <v>1996</v>
      </c>
      <c r="G119" s="96">
        <v>2</v>
      </c>
      <c r="H119" s="96">
        <v>2</v>
      </c>
    </row>
    <row r="120" spans="2:8" x14ac:dyDescent="0.3">
      <c r="C120" s="96" t="str">
        <f>+C28</f>
        <v>Power Generation</v>
      </c>
      <c r="D120" s="96"/>
      <c r="E120" s="96" t="s">
        <v>479</v>
      </c>
      <c r="F120" s="112">
        <v>1997</v>
      </c>
      <c r="G120" s="96">
        <v>3</v>
      </c>
      <c r="H120" s="96">
        <v>3</v>
      </c>
    </row>
    <row r="121" spans="2:8" x14ac:dyDescent="0.3">
      <c r="C121" s="96" t="str">
        <f>+C64</f>
        <v>Secondary Conversion</v>
      </c>
      <c r="D121" s="96"/>
      <c r="E121" s="96" t="s">
        <v>480</v>
      </c>
      <c r="F121" s="112">
        <v>1998</v>
      </c>
      <c r="G121" s="96">
        <v>4</v>
      </c>
      <c r="H121" s="96">
        <v>4</v>
      </c>
    </row>
    <row r="122" spans="2:8" x14ac:dyDescent="0.3">
      <c r="C122" s="96" t="str">
        <f>+C84</f>
        <v>Contaminant Removal</v>
      </c>
      <c r="D122" s="96"/>
      <c r="E122" s="96" t="s">
        <v>481</v>
      </c>
      <c r="F122" s="112">
        <v>1999</v>
      </c>
      <c r="G122" s="96"/>
      <c r="H122" s="96">
        <v>5</v>
      </c>
    </row>
    <row r="123" spans="2:8" x14ac:dyDescent="0.3">
      <c r="C123" s="96" t="str">
        <f>+C100</f>
        <v>Energy Storage</v>
      </c>
      <c r="D123" s="96"/>
      <c r="E123" s="96" t="s">
        <v>487</v>
      </c>
      <c r="F123" s="112">
        <v>2000</v>
      </c>
      <c r="G123" s="96"/>
      <c r="H123" s="96">
        <v>6</v>
      </c>
    </row>
    <row r="124" spans="2:8" x14ac:dyDescent="0.3">
      <c r="C124" s="96" t="s">
        <v>434</v>
      </c>
      <c r="D124" s="96"/>
      <c r="E124" s="96" t="s">
        <v>599</v>
      </c>
      <c r="F124" s="112">
        <v>2001</v>
      </c>
      <c r="G124" s="96"/>
      <c r="H124" s="96">
        <v>7</v>
      </c>
    </row>
    <row r="125" spans="2:8" x14ac:dyDescent="0.3">
      <c r="C125" s="96"/>
      <c r="D125" s="96"/>
      <c r="E125" s="96" t="s">
        <v>482</v>
      </c>
      <c r="F125" s="112">
        <v>2002</v>
      </c>
      <c r="G125" s="96"/>
      <c r="H125" s="96">
        <v>8</v>
      </c>
    </row>
    <row r="126" spans="2:8" x14ac:dyDescent="0.3">
      <c r="C126" s="96"/>
      <c r="D126" s="96"/>
      <c r="E126" s="96" t="s">
        <v>601</v>
      </c>
      <c r="F126" s="112">
        <v>2003</v>
      </c>
      <c r="G126" s="96"/>
      <c r="H126" s="96">
        <v>9</v>
      </c>
    </row>
    <row r="127" spans="2:8" x14ac:dyDescent="0.3">
      <c r="C127" s="96"/>
      <c r="D127" s="96"/>
      <c r="E127" s="96" t="s">
        <v>483</v>
      </c>
      <c r="F127" s="112">
        <v>2004</v>
      </c>
      <c r="G127" s="96"/>
      <c r="H127" s="96">
        <v>10</v>
      </c>
    </row>
    <row r="128" spans="2:8" x14ac:dyDescent="0.3">
      <c r="E128" s="96" t="s">
        <v>600</v>
      </c>
      <c r="F128" s="112">
        <v>2005</v>
      </c>
      <c r="G128" s="96"/>
      <c r="H128" s="96">
        <v>11</v>
      </c>
    </row>
    <row r="129" spans="5:8" x14ac:dyDescent="0.3">
      <c r="E129" s="96" t="s">
        <v>624</v>
      </c>
      <c r="F129" s="112">
        <v>2006</v>
      </c>
      <c r="G129" s="96"/>
      <c r="H129" s="96">
        <v>12</v>
      </c>
    </row>
    <row r="130" spans="5:8" x14ac:dyDescent="0.3">
      <c r="E130" s="96" t="s">
        <v>596</v>
      </c>
      <c r="F130" s="112">
        <v>2007</v>
      </c>
      <c r="G130" s="96"/>
      <c r="H130" s="96">
        <v>13</v>
      </c>
    </row>
    <row r="131" spans="5:8" x14ac:dyDescent="0.3">
      <c r="E131" s="96" t="s">
        <v>597</v>
      </c>
      <c r="F131" s="112">
        <v>2008</v>
      </c>
      <c r="G131" s="96"/>
      <c r="H131" s="96">
        <v>14</v>
      </c>
    </row>
    <row r="132" spans="5:8" x14ac:dyDescent="0.3">
      <c r="E132" s="96" t="s">
        <v>598</v>
      </c>
      <c r="F132" s="112">
        <v>2009</v>
      </c>
      <c r="G132" s="96"/>
      <c r="H132" s="96">
        <v>15</v>
      </c>
    </row>
    <row r="133" spans="5:8" x14ac:dyDescent="0.3">
      <c r="F133" s="112">
        <v>2010</v>
      </c>
      <c r="G133" s="96"/>
      <c r="H133" s="96">
        <v>16</v>
      </c>
    </row>
    <row r="134" spans="5:8" x14ac:dyDescent="0.3">
      <c r="F134" s="112">
        <v>2011</v>
      </c>
      <c r="G134" s="96"/>
      <c r="H134" s="96">
        <v>17</v>
      </c>
    </row>
    <row r="135" spans="5:8" x14ac:dyDescent="0.3">
      <c r="F135" s="112">
        <v>2012</v>
      </c>
      <c r="G135" s="96"/>
      <c r="H135" s="96">
        <v>18</v>
      </c>
    </row>
    <row r="136" spans="5:8" x14ac:dyDescent="0.3">
      <c r="F136" s="112">
        <v>2013</v>
      </c>
      <c r="G136" s="96"/>
      <c r="H136" s="96">
        <v>19</v>
      </c>
    </row>
    <row r="137" spans="5:8" x14ac:dyDescent="0.3">
      <c r="F137" s="112">
        <v>2014</v>
      </c>
      <c r="G137" s="96"/>
      <c r="H137" s="96">
        <v>20</v>
      </c>
    </row>
    <row r="138" spans="5:8" x14ac:dyDescent="0.3">
      <c r="F138" s="112">
        <v>2015</v>
      </c>
      <c r="G138" s="96"/>
      <c r="H138" s="96">
        <v>21</v>
      </c>
    </row>
    <row r="139" spans="5:8" x14ac:dyDescent="0.3">
      <c r="F139" s="112">
        <v>2016</v>
      </c>
      <c r="G139" s="96"/>
      <c r="H139" s="96">
        <v>22</v>
      </c>
    </row>
    <row r="140" spans="5:8" x14ac:dyDescent="0.3">
      <c r="F140" s="112">
        <v>2017</v>
      </c>
      <c r="G140" s="96"/>
      <c r="H140" s="96">
        <v>23</v>
      </c>
    </row>
    <row r="141" spans="5:8" x14ac:dyDescent="0.3">
      <c r="F141" s="112">
        <v>2018</v>
      </c>
      <c r="G141" s="96"/>
      <c r="H141" s="96">
        <v>24</v>
      </c>
    </row>
    <row r="142" spans="5:8" x14ac:dyDescent="0.3">
      <c r="F142" s="112">
        <v>2019</v>
      </c>
      <c r="G142" s="96"/>
      <c r="H142" s="96">
        <v>25</v>
      </c>
    </row>
    <row r="143" spans="5:8" x14ac:dyDescent="0.3">
      <c r="F143" s="112">
        <v>2020</v>
      </c>
      <c r="G143" s="96"/>
      <c r="H143" s="96">
        <v>26</v>
      </c>
    </row>
    <row r="144" spans="5:8" x14ac:dyDescent="0.3">
      <c r="F144" s="112">
        <v>2021</v>
      </c>
      <c r="G144" s="96"/>
      <c r="H144" s="96">
        <v>27</v>
      </c>
    </row>
    <row r="145" spans="6:8" x14ac:dyDescent="0.3">
      <c r="F145" s="112">
        <v>2022</v>
      </c>
      <c r="G145" s="96"/>
      <c r="H145" s="96">
        <v>28</v>
      </c>
    </row>
    <row r="146" spans="6:8" x14ac:dyDescent="0.3">
      <c r="F146" s="112">
        <v>2023</v>
      </c>
      <c r="G146" s="96"/>
      <c r="H146" s="96">
        <v>29</v>
      </c>
    </row>
    <row r="147" spans="6:8" x14ac:dyDescent="0.3">
      <c r="F147" s="112">
        <v>2024</v>
      </c>
      <c r="G147" s="96"/>
      <c r="H147" s="96">
        <v>30</v>
      </c>
    </row>
    <row r="148" spans="6:8" x14ac:dyDescent="0.3">
      <c r="F148" s="112">
        <v>2025</v>
      </c>
      <c r="G148" s="96"/>
      <c r="H148" s="96">
        <v>31</v>
      </c>
    </row>
    <row r="149" spans="6:8" x14ac:dyDescent="0.3">
      <c r="F149" s="112">
        <v>2026</v>
      </c>
      <c r="G149" s="96"/>
      <c r="H149" s="96">
        <v>32</v>
      </c>
    </row>
    <row r="150" spans="6:8" x14ac:dyDescent="0.3">
      <c r="F150" s="112">
        <v>2027</v>
      </c>
      <c r="G150" s="96"/>
      <c r="H150" s="96">
        <v>33</v>
      </c>
    </row>
    <row r="151" spans="6:8" x14ac:dyDescent="0.3">
      <c r="F151" s="112">
        <v>2028</v>
      </c>
      <c r="G151" s="96"/>
      <c r="H151" s="96">
        <v>34</v>
      </c>
    </row>
    <row r="152" spans="6:8" x14ac:dyDescent="0.3">
      <c r="F152" s="112">
        <v>2029</v>
      </c>
      <c r="G152" s="96"/>
      <c r="H152" s="96">
        <v>35</v>
      </c>
    </row>
    <row r="153" spans="6:8" x14ac:dyDescent="0.3">
      <c r="F153" s="112">
        <v>2030</v>
      </c>
      <c r="G153" s="96"/>
      <c r="H153" s="96">
        <v>36</v>
      </c>
    </row>
    <row r="154" spans="6:8" x14ac:dyDescent="0.3">
      <c r="F154" s="112">
        <v>2031</v>
      </c>
      <c r="G154" s="96"/>
      <c r="H154" s="96">
        <v>37</v>
      </c>
    </row>
    <row r="155" spans="6:8" x14ac:dyDescent="0.3">
      <c r="F155" s="112">
        <v>2032</v>
      </c>
      <c r="G155" s="96"/>
      <c r="H155" s="96">
        <v>38</v>
      </c>
    </row>
    <row r="156" spans="6:8" x14ac:dyDescent="0.3">
      <c r="F156" s="112">
        <v>2033</v>
      </c>
      <c r="G156" s="96"/>
      <c r="H156" s="96">
        <v>39</v>
      </c>
    </row>
    <row r="157" spans="6:8" x14ac:dyDescent="0.3">
      <c r="F157" s="112">
        <v>2034</v>
      </c>
      <c r="G157" s="96"/>
      <c r="H157" s="96">
        <v>40</v>
      </c>
    </row>
    <row r="158" spans="6:8" x14ac:dyDescent="0.3">
      <c r="F158" s="112">
        <v>2035</v>
      </c>
    </row>
    <row r="159" spans="6:8" x14ac:dyDescent="0.3">
      <c r="F159" s="112">
        <v>2036</v>
      </c>
    </row>
    <row r="160" spans="6:8" x14ac:dyDescent="0.3">
      <c r="F160" s="112">
        <v>2037</v>
      </c>
    </row>
    <row r="161" spans="6:6" x14ac:dyDescent="0.3">
      <c r="F161" s="112">
        <v>2038</v>
      </c>
    </row>
    <row r="162" spans="6:6" x14ac:dyDescent="0.3">
      <c r="F162" s="112">
        <v>2039</v>
      </c>
    </row>
    <row r="163" spans="6:6" x14ac:dyDescent="0.3">
      <c r="F163" s="112">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197"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198">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198">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199">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00">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01">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66" t="s">
        <v>652</v>
      </c>
      <c r="C2" s="754"/>
      <c r="D2" s="887"/>
      <c r="E2" s="887"/>
      <c r="F2" s="887"/>
      <c r="G2" s="887"/>
      <c r="H2" s="887"/>
      <c r="I2" s="887"/>
      <c r="J2" s="887"/>
      <c r="K2" s="887"/>
      <c r="L2" s="887"/>
      <c r="M2" s="887"/>
      <c r="N2" s="887"/>
      <c r="O2" s="887"/>
      <c r="P2" s="887"/>
      <c r="Q2" s="887"/>
      <c r="R2" s="887"/>
      <c r="S2" s="887"/>
      <c r="T2" s="887"/>
      <c r="U2" s="755"/>
    </row>
    <row r="3" spans="2:21" ht="18" x14ac:dyDescent="0.3">
      <c r="B3" s="751" t="s">
        <v>641</v>
      </c>
      <c r="C3" s="752"/>
      <c r="D3" s="752"/>
      <c r="E3" s="752"/>
      <c r="F3" s="752"/>
      <c r="G3" s="752"/>
      <c r="H3" s="752"/>
      <c r="I3" s="753"/>
      <c r="J3" s="751" t="s">
        <v>642</v>
      </c>
      <c r="K3" s="752"/>
      <c r="L3" s="752"/>
      <c r="M3" s="752"/>
      <c r="N3" s="752"/>
      <c r="O3" s="752"/>
      <c r="P3" s="752"/>
      <c r="Q3" s="752"/>
      <c r="R3" s="753"/>
      <c r="S3" s="751" t="s">
        <v>643</v>
      </c>
      <c r="T3" s="752"/>
      <c r="U3" s="753"/>
    </row>
    <row r="4" spans="2:21" ht="18" x14ac:dyDescent="0.3">
      <c r="B4" s="88" t="s">
        <v>356</v>
      </c>
      <c r="C4" s="88" t="s">
        <v>645</v>
      </c>
      <c r="D4" s="88" t="s">
        <v>497</v>
      </c>
      <c r="E4" s="89" t="s">
        <v>463</v>
      </c>
      <c r="F4" s="89" t="s">
        <v>315</v>
      </c>
      <c r="G4" s="89" t="s">
        <v>508</v>
      </c>
      <c r="H4" s="88" t="s">
        <v>505</v>
      </c>
      <c r="I4" s="317" t="s">
        <v>235</v>
      </c>
      <c r="J4" s="225" t="s">
        <v>465</v>
      </c>
      <c r="K4" s="225" t="s">
        <v>466</v>
      </c>
      <c r="L4" s="224" t="s">
        <v>585</v>
      </c>
      <c r="M4" s="226" t="s">
        <v>468</v>
      </c>
      <c r="N4" s="227" t="s">
        <v>467</v>
      </c>
      <c r="O4" s="226" t="s">
        <v>649</v>
      </c>
      <c r="P4" s="226" t="s">
        <v>650</v>
      </c>
      <c r="Q4" s="226" t="s">
        <v>464</v>
      </c>
      <c r="R4" s="90" t="s">
        <v>638</v>
      </c>
      <c r="S4" s="318" t="s">
        <v>646</v>
      </c>
      <c r="T4" s="925" t="s">
        <v>644</v>
      </c>
      <c r="U4" s="926"/>
    </row>
    <row r="5" spans="2:21" x14ac:dyDescent="0.3">
      <c r="B5" s="271"/>
      <c r="C5" s="272"/>
      <c r="D5" s="272"/>
      <c r="E5" s="272"/>
      <c r="F5" s="272"/>
      <c r="G5" s="272"/>
      <c r="H5" s="272"/>
      <c r="I5" s="272"/>
      <c r="J5" s="271"/>
      <c r="K5" s="272"/>
      <c r="L5" s="272"/>
      <c r="M5" s="190"/>
      <c r="N5" s="190"/>
      <c r="O5" s="190"/>
      <c r="P5" s="190"/>
      <c r="Q5" s="272"/>
      <c r="R5" s="172" t="str" cm="1">
        <f t="array" aca="1" ref="R5" ca="1">+IF(N5&gt;0,N5*INDIRECT(ADDRESS(MATCH(F5,'Cost Conversion'!$B$3:$B$48,0)+2,4,1,1,"Cost conversion"))*INDIRECT(ADDRESS(MATCH(G5,'Cost Conversion'!$F$3:$F$22,0)+2,8,1,1,"Cost conversion"))/IF(E5="$",'Cost Conversion'!$L$2,1),"")</f>
        <v/>
      </c>
      <c r="S5" s="334"/>
      <c r="T5" s="276"/>
      <c r="U5" s="113"/>
    </row>
    <row r="6" spans="2:21" x14ac:dyDescent="0.3">
      <c r="B6" s="268"/>
      <c r="C6" s="96"/>
      <c r="D6" s="96"/>
      <c r="E6" s="96"/>
      <c r="F6" s="96"/>
      <c r="G6" s="96"/>
      <c r="H6" s="96"/>
      <c r="I6" s="96"/>
      <c r="J6" s="268"/>
      <c r="K6" s="96"/>
      <c r="L6" s="96"/>
      <c r="M6" s="156"/>
      <c r="N6" s="156"/>
      <c r="O6" s="96"/>
      <c r="P6" s="96"/>
      <c r="Q6" s="96"/>
      <c r="R6" s="172" t="str" cm="1">
        <f t="array" aca="1" ref="R6" ca="1">+IF(N6&gt;0,N6*INDIRECT(ADDRESS(MATCH(F6,'Cost Conversion'!$B$3:$B$48,0)+2,4,1,1,"Cost conversion"))*INDIRECT(ADDRESS(MATCH(G6,'Cost Conversion'!$F$3:$F$22,0)+2,8,1,1,"Cost conversion"))/IF(E6="$",'Cost Conversion'!$L$2,1),"")</f>
        <v/>
      </c>
      <c r="S6" s="268"/>
      <c r="U6" s="84"/>
    </row>
    <row r="7" spans="2:21" x14ac:dyDescent="0.3">
      <c r="B7" s="268"/>
      <c r="C7" s="96"/>
      <c r="D7" s="96"/>
      <c r="E7" s="96"/>
      <c r="F7" s="96"/>
      <c r="G7" s="96"/>
      <c r="H7" s="96"/>
      <c r="I7" s="96"/>
      <c r="J7" s="268"/>
      <c r="K7" s="96"/>
      <c r="L7" s="96"/>
      <c r="M7" s="156"/>
      <c r="N7" s="156"/>
      <c r="O7" s="156"/>
      <c r="P7" s="156"/>
      <c r="Q7" s="96"/>
      <c r="R7" s="172" t="str" cm="1">
        <f t="array" aca="1" ref="R7" ca="1">+IF(N7&gt;0,N7*INDIRECT(ADDRESS(MATCH(F7,'Cost Conversion'!$B$3:$B$48,0)+2,4,1,1,"Cost conversion"))*INDIRECT(ADDRESS(MATCH(G7,'Cost Conversion'!$F$3:$F$22,0)+2,8,1,1,"Cost conversion"))/IF(E7="$",'Cost Conversion'!$L$2,1),"")</f>
        <v/>
      </c>
      <c r="S7" s="268"/>
      <c r="U7" s="84"/>
    </row>
    <row r="8" spans="2:21" x14ac:dyDescent="0.3">
      <c r="B8" s="268"/>
      <c r="C8" s="96"/>
      <c r="D8" s="96"/>
      <c r="E8" s="96"/>
      <c r="F8" s="96"/>
      <c r="G8" s="96"/>
      <c r="H8" s="96"/>
      <c r="I8" s="338"/>
      <c r="J8" s="268"/>
      <c r="K8" s="96"/>
      <c r="L8" s="96"/>
      <c r="M8" s="156"/>
      <c r="N8" s="96"/>
      <c r="O8" s="96"/>
      <c r="P8" s="96"/>
      <c r="Q8" s="96"/>
      <c r="R8" s="172" t="str" cm="1">
        <f t="array" aca="1" ref="R8" ca="1">+IF(N8&gt;0,N8*INDIRECT(ADDRESS(MATCH(F8,'Cost Conversion'!$B$3:$B$48,0)+2,4,1,1,"Cost conversion"))*INDIRECT(ADDRESS(MATCH(G8,'Cost Conversion'!$F$3:$F$22,0)+2,8,1,1,"Cost conversion"))/IF(E8="$",'Cost Conversion'!$L$2,1),"")</f>
        <v/>
      </c>
      <c r="S8" s="268"/>
      <c r="U8" s="84"/>
    </row>
    <row r="9" spans="2:21" x14ac:dyDescent="0.3">
      <c r="B9" s="268"/>
      <c r="C9" s="96"/>
      <c r="D9" s="96"/>
      <c r="E9" s="96"/>
      <c r="F9" s="96"/>
      <c r="G9" s="96"/>
      <c r="H9" s="96"/>
      <c r="I9" s="96"/>
      <c r="J9" s="268"/>
      <c r="K9" s="96"/>
      <c r="L9" s="96"/>
      <c r="M9" s="96"/>
      <c r="N9" s="96"/>
      <c r="O9" s="96"/>
      <c r="P9" s="96"/>
      <c r="Q9" s="96"/>
      <c r="R9" s="172" t="str" cm="1">
        <f t="array" aca="1" ref="R9" ca="1">+IF(N9&gt;0,N9*INDIRECT(ADDRESS(MATCH(F9,'Cost Conversion'!$B$3:$B$48,0)+2,4,1,1,"Cost conversion"))*INDIRECT(ADDRESS(MATCH(G9,'Cost Conversion'!$F$3:$F$22,0)+2,8,1,1,"Cost conversion"))/IF(E9="$",'Cost Conversion'!$L$2,1),"")</f>
        <v/>
      </c>
      <c r="S9" s="268"/>
      <c r="U9" s="84"/>
    </row>
    <row r="10" spans="2:21" x14ac:dyDescent="0.3">
      <c r="B10" s="269"/>
      <c r="C10" s="270"/>
      <c r="D10" s="270"/>
      <c r="E10" s="270"/>
      <c r="F10" s="270"/>
      <c r="G10" s="270"/>
      <c r="H10" s="270"/>
      <c r="I10" s="270"/>
      <c r="J10" s="269"/>
      <c r="K10" s="270"/>
      <c r="L10" s="270"/>
      <c r="M10" s="270"/>
      <c r="N10" s="270"/>
      <c r="O10" s="270"/>
      <c r="P10" s="270"/>
      <c r="Q10" s="270"/>
      <c r="R10" s="172" t="str" cm="1">
        <f t="array" aca="1" ref="R10" ca="1">+IF(N10&gt;0,N10*INDIRECT(ADDRESS(MATCH(F10,'Cost Conversion'!$B$3:$B$48,0)+2,4,1,1,"Cost conversion"))*INDIRECT(ADDRESS(MATCH(G10,'Cost Conversion'!$F$3:$F$22,0)+2,8,1,1,"Cost conversion"))/IF(E10="$",'Cost Conversion'!$L$2,1),"")</f>
        <v/>
      </c>
      <c r="S10" s="269"/>
      <c r="T10" s="321"/>
      <c r="U10" s="323"/>
    </row>
    <row r="11" spans="2:21" x14ac:dyDescent="0.3">
      <c r="B11" s="271"/>
      <c r="C11" s="272"/>
      <c r="D11" s="272"/>
      <c r="E11" s="272"/>
      <c r="F11" s="272"/>
      <c r="G11" s="272"/>
      <c r="H11" s="272"/>
      <c r="I11" s="272"/>
      <c r="J11" s="272"/>
      <c r="K11" s="272"/>
      <c r="L11" s="272"/>
      <c r="M11" s="272"/>
      <c r="N11" s="272"/>
      <c r="O11" s="272"/>
      <c r="P11" s="272"/>
      <c r="Q11" s="272"/>
      <c r="R11" s="272"/>
      <c r="S11" s="272"/>
      <c r="T11" s="276"/>
      <c r="U11" s="113"/>
    </row>
    <row r="12" spans="2:21" x14ac:dyDescent="0.3">
      <c r="B12" s="268"/>
      <c r="C12" s="96"/>
      <c r="D12" s="96"/>
      <c r="E12" s="96"/>
      <c r="F12" s="96"/>
      <c r="G12" s="96"/>
      <c r="H12" s="96"/>
      <c r="I12" s="96"/>
      <c r="J12" s="96"/>
      <c r="K12" s="96"/>
      <c r="L12" s="96"/>
      <c r="M12" s="96"/>
      <c r="N12" s="96"/>
      <c r="O12" s="96"/>
      <c r="P12" s="96"/>
      <c r="Q12" s="96"/>
      <c r="R12" s="96"/>
      <c r="S12" s="96"/>
      <c r="U12" s="84"/>
    </row>
    <row r="13" spans="2:21" x14ac:dyDescent="0.3">
      <c r="B13" s="268"/>
      <c r="C13" s="96"/>
      <c r="D13" s="96"/>
      <c r="E13" s="96"/>
      <c r="F13" s="96"/>
      <c r="G13" s="96"/>
      <c r="H13" s="96"/>
      <c r="I13" s="96"/>
      <c r="J13" s="96"/>
      <c r="K13" s="96"/>
      <c r="L13" s="96"/>
      <c r="M13" s="96"/>
      <c r="N13" s="96"/>
      <c r="O13" s="96"/>
      <c r="P13" s="96"/>
      <c r="Q13" s="96"/>
      <c r="R13" s="96"/>
      <c r="S13" s="96"/>
      <c r="U13" s="84"/>
    </row>
    <row r="14" spans="2:21" x14ac:dyDescent="0.3">
      <c r="B14" s="268"/>
      <c r="C14" s="96"/>
      <c r="D14" s="96"/>
      <c r="E14" s="96"/>
      <c r="F14" s="96"/>
      <c r="G14" s="96"/>
      <c r="H14" s="96"/>
      <c r="I14" s="96"/>
      <c r="J14" s="829" t="str">
        <f>TEXT(C2,0)</f>
        <v>0</v>
      </c>
      <c r="K14" s="830"/>
      <c r="L14" s="830"/>
      <c r="M14" s="830"/>
      <c r="N14" s="830"/>
      <c r="O14" s="830"/>
      <c r="P14" s="830"/>
      <c r="Q14" s="830"/>
      <c r="R14" s="830"/>
      <c r="S14" s="830"/>
      <c r="T14" s="831"/>
      <c r="U14" s="84"/>
    </row>
    <row r="15" spans="2:21" x14ac:dyDescent="0.3">
      <c r="B15" s="268"/>
      <c r="C15" s="96"/>
      <c r="D15" s="96"/>
      <c r="E15" s="96"/>
      <c r="F15" s="96"/>
      <c r="G15" s="96"/>
      <c r="H15" s="96"/>
      <c r="I15" s="96"/>
      <c r="J15" s="341" t="s">
        <v>647</v>
      </c>
      <c r="K15" s="342">
        <v>1</v>
      </c>
      <c r="L15" s="342">
        <v>2</v>
      </c>
      <c r="M15" s="342">
        <v>3</v>
      </c>
      <c r="N15" s="342">
        <v>4</v>
      </c>
      <c r="O15" s="342">
        <v>5</v>
      </c>
      <c r="P15" s="342">
        <v>6</v>
      </c>
      <c r="Q15" s="342">
        <v>7</v>
      </c>
      <c r="R15" s="342">
        <v>8</v>
      </c>
      <c r="S15" s="342">
        <v>9</v>
      </c>
      <c r="T15" s="343">
        <v>10</v>
      </c>
      <c r="U15" s="84"/>
    </row>
    <row r="16" spans="2:21" x14ac:dyDescent="0.3">
      <c r="B16" s="268"/>
      <c r="C16" s="96"/>
      <c r="D16" s="96"/>
      <c r="E16" s="96"/>
      <c r="F16" s="96"/>
      <c r="G16" s="96"/>
      <c r="H16" s="96"/>
      <c r="I16" s="96"/>
      <c r="J16" s="86" t="str">
        <f>+TEXT(H5,0)&amp;" "&amp;"("&amp;TEXT(I5,0)&amp;")"</f>
        <v>0 (0)</v>
      </c>
      <c r="K16" s="364">
        <f>+P5</f>
        <v>0</v>
      </c>
      <c r="L16" s="344">
        <f>+K16+(O5-P5)/(T15-1)</f>
        <v>0</v>
      </c>
      <c r="M16" s="344">
        <f>+L16+(O5-P5)/(T15-1)</f>
        <v>0</v>
      </c>
      <c r="N16" s="344">
        <f>+M16+(O5-P5)/(T15-1)</f>
        <v>0</v>
      </c>
      <c r="O16" s="344">
        <f>+N16+(O5-P5)/(T15-1)</f>
        <v>0</v>
      </c>
      <c r="P16" s="344">
        <f>+O16+(O5-P5)/(T15-1)</f>
        <v>0</v>
      </c>
      <c r="Q16" s="344">
        <f>+P16+(O5-P5)/(T15-1)</f>
        <v>0</v>
      </c>
      <c r="R16" s="344">
        <f>+Q16+(O5-P5)/(T15-1)</f>
        <v>0</v>
      </c>
      <c r="S16" s="344">
        <f>+R16+(O5-P5)/(T15-1)</f>
        <v>0</v>
      </c>
      <c r="T16" s="345">
        <f>+S16+(O5-P5)/(T15-1)</f>
        <v>0</v>
      </c>
      <c r="U16" s="84"/>
    </row>
    <row r="17" spans="2:21" x14ac:dyDescent="0.3">
      <c r="B17" s="268"/>
      <c r="C17" s="96"/>
      <c r="D17" s="96"/>
      <c r="E17" s="96"/>
      <c r="F17" s="96"/>
      <c r="G17" s="96"/>
      <c r="H17" s="96"/>
      <c r="I17" s="96"/>
      <c r="J17" s="99" t="str">
        <f t="shared" ref="J17:J22" si="0">+TEXT(B5,0)&amp;" - Scaling"</f>
        <v>0 - Scaling</v>
      </c>
      <c r="K17" s="297" t="e">
        <f ca="1">+(Q5/L5)^J5*R5*((K16/Q5)/(M5/L5))^K5</f>
        <v>#DIV/0!</v>
      </c>
      <c r="L17" s="190" t="e">
        <f ca="1">+(Q5/L5)^J5*R5*((L16/Q5)/(M5/L5))^K5</f>
        <v>#DIV/0!</v>
      </c>
      <c r="M17" s="190" t="e">
        <f ca="1">+(Q5/L5)^J5*R5*((M16/Q5)/(M5/L5))^K5</f>
        <v>#DIV/0!</v>
      </c>
      <c r="N17" s="190" t="e">
        <f ca="1">+(Q5/L5)^J5*R5*((N16/Q5)/(M5/L5))^K5</f>
        <v>#DIV/0!</v>
      </c>
      <c r="O17" s="190" t="e">
        <f ca="1">+(Q5/L5)^J5*R5*((O16/Q5)/(M5/L5))^K5</f>
        <v>#DIV/0!</v>
      </c>
      <c r="P17" s="190" t="e">
        <f ca="1">+(Q5/L5)^J5*R5*((P16/Q5)/(M5/L5))^K5</f>
        <v>#DIV/0!</v>
      </c>
      <c r="Q17" s="190" t="e">
        <f ca="1">+(Q5/L5)^J5*R5*((Q16/Q5)/(M5/L5))^K5</f>
        <v>#DIV/0!</v>
      </c>
      <c r="R17" s="190" t="e">
        <f ca="1">+(Q5/L5)^J5*R5*((R16/Q5)/(M5/L5))^K5</f>
        <v>#DIV/0!</v>
      </c>
      <c r="S17" s="190" t="e">
        <f ca="1">+(Q5/L5)^J5*R5*((S16/Q5)/(M5/L5))^K5</f>
        <v>#DIV/0!</v>
      </c>
      <c r="T17" s="238" t="e">
        <f ca="1">+(Q5/L5)^J5*R5*((T16/Q5)/(M5/L5))^K5</f>
        <v>#DIV/0!</v>
      </c>
      <c r="U17" s="84"/>
    </row>
    <row r="18" spans="2:21" x14ac:dyDescent="0.3">
      <c r="B18" s="268"/>
      <c r="C18" s="96"/>
      <c r="D18" s="96"/>
      <c r="E18" s="96"/>
      <c r="F18" s="96"/>
      <c r="G18" s="96"/>
      <c r="H18" s="96"/>
      <c r="I18" s="96"/>
      <c r="J18" s="99" t="str">
        <f t="shared" si="0"/>
        <v>0 - Scaling</v>
      </c>
      <c r="K18" s="229" t="e">
        <f ca="1">+(Q6/L6)^J6*R6*((K16/Q6)/(M6/L6))^K6</f>
        <v>#DIV/0!</v>
      </c>
      <c r="L18" s="156" t="e">
        <f ca="1">+(Q6/L6)^J6*R6*((L16/Q6)/(M6/L6))^K6</f>
        <v>#DIV/0!</v>
      </c>
      <c r="M18" s="156" t="e">
        <f ca="1">+(Q6/L6)^J6*R6*((M16/Q6)/(M6/L6))^K6</f>
        <v>#DIV/0!</v>
      </c>
      <c r="N18" s="156" t="e">
        <f ca="1">+(Q6/L6)^J6*R6*((N16/Q6)/(M6/L6))^K6</f>
        <v>#DIV/0!</v>
      </c>
      <c r="O18" s="156" t="e">
        <f ca="1">+(Q6/L6)^J6*R6*((O16/Q6)/(M6/L6))^K6</f>
        <v>#DIV/0!</v>
      </c>
      <c r="P18" s="156" t="e">
        <f ca="1">+(Q6/L6)^J6*R6*((P16/Q6)/(M6/L6))^K6</f>
        <v>#DIV/0!</v>
      </c>
      <c r="Q18" s="156" t="e">
        <f ca="1">+(Q6/L6)^J6*R6*((Q16/Q6)/(M6/L6))^K6</f>
        <v>#DIV/0!</v>
      </c>
      <c r="R18" s="156" t="e">
        <f ca="1">+(Q6/L6)^J6*R6*((R16/Q6)/(M6/L6))^K6</f>
        <v>#DIV/0!</v>
      </c>
      <c r="S18" s="156" t="e">
        <f ca="1">+(Q6/L6)^J6*R6*((S16/Q6)/(M6/L6))^K6</f>
        <v>#DIV/0!</v>
      </c>
      <c r="T18" s="228" t="e">
        <f ca="1">+(Q6/L6)^J6*R6*((T16/Q6)/(M6/L6))^K6</f>
        <v>#DIV/0!</v>
      </c>
      <c r="U18" s="84"/>
    </row>
    <row r="19" spans="2:21" x14ac:dyDescent="0.3">
      <c r="B19" s="268"/>
      <c r="C19" s="96"/>
      <c r="D19" s="96"/>
      <c r="E19" s="96"/>
      <c r="F19" s="96"/>
      <c r="G19" s="96"/>
      <c r="H19" s="96"/>
      <c r="I19" s="96"/>
      <c r="J19" s="99" t="str">
        <f t="shared" si="0"/>
        <v>0 - Scaling</v>
      </c>
      <c r="K19" s="229" t="e">
        <f ca="1">+(Q7/L7)^J7*R7*((K16/Q7)/(M7/L7))^K7</f>
        <v>#DIV/0!</v>
      </c>
      <c r="L19" s="156" t="e">
        <f ca="1">+(Q7/L7)^J7*R7*((L16/Q7)/(M7/L7))^K7</f>
        <v>#DIV/0!</v>
      </c>
      <c r="M19" s="156" t="e">
        <f ca="1">+(Q7/L7)^J7*R7*((M16/Q7)/(M7/L7))^K7</f>
        <v>#DIV/0!</v>
      </c>
      <c r="N19" s="156" t="e">
        <f ca="1">+(Q7/L7)^J7*R7*((N16/Q7)/(M7/L7))^K7</f>
        <v>#DIV/0!</v>
      </c>
      <c r="O19" s="156" t="e">
        <f ca="1">+(Q7/L7)^J7*R7*((O16/Q7)/(M7/L7))^K7</f>
        <v>#DIV/0!</v>
      </c>
      <c r="P19" s="156" t="e">
        <f ca="1">+(Q7/L7)^J7*R7*((P16/Q7)/(M7/L7))^K7</f>
        <v>#DIV/0!</v>
      </c>
      <c r="Q19" s="156" t="e">
        <f ca="1">+(Q7/L7)^J7*R7*((Q16/Q7)/(M7/L7))^K7</f>
        <v>#DIV/0!</v>
      </c>
      <c r="R19" s="156" t="e">
        <f ca="1">+(Q7/L7)^J7*R7*((R16/Q7)/(M7/L7))^K7</f>
        <v>#DIV/0!</v>
      </c>
      <c r="S19" s="156" t="e">
        <f ca="1">+(Q7/L7)^J7*R7*((S16/Q7)/(M7/L7))^K7</f>
        <v>#DIV/0!</v>
      </c>
      <c r="T19" s="228" t="e">
        <f ca="1">+(Q7/L7)^J7*R7*((T16/Q7)/(M7/L7))^K7</f>
        <v>#DIV/0!</v>
      </c>
      <c r="U19" s="84"/>
    </row>
    <row r="20" spans="2:21" x14ac:dyDescent="0.3">
      <c r="B20" s="268"/>
      <c r="C20" s="96"/>
      <c r="D20" s="96"/>
      <c r="E20" s="96"/>
      <c r="F20" s="96"/>
      <c r="G20" s="96"/>
      <c r="H20" s="96"/>
      <c r="I20" s="96"/>
      <c r="J20" s="99" t="str">
        <f t="shared" si="0"/>
        <v>0 - Scaling</v>
      </c>
      <c r="K20" s="229" t="e">
        <f ca="1">+(Q8/L8)^J8*R8*((K16/Q8)/(M8/L8))^K8</f>
        <v>#DIV/0!</v>
      </c>
      <c r="L20" s="156" t="e">
        <f ca="1">+(Q8/L8)^J8*R8*((L16/Q8)/(M8/L8))^K8</f>
        <v>#DIV/0!</v>
      </c>
      <c r="M20" s="156" t="e">
        <f ca="1">+(Q8/L8)^J8*R8*((M16/Q8)/(M8/L8))^K8</f>
        <v>#DIV/0!</v>
      </c>
      <c r="N20" s="156" t="e">
        <f ca="1">+(Q8/L8)^J8*R8*((N16/Q8)/(M8/L8))^K8</f>
        <v>#DIV/0!</v>
      </c>
      <c r="O20" s="156" t="e">
        <f ca="1">+(Q8/L8)^J8*R8*((O16/Q8)/(M8/L8))^K8</f>
        <v>#DIV/0!</v>
      </c>
      <c r="P20" s="156" t="e">
        <f ca="1">+(Q8/L8)^J8*R8*((P16/Q8)/(M8/L8))^K8</f>
        <v>#DIV/0!</v>
      </c>
      <c r="Q20" s="156" t="e">
        <f ca="1">+(Q8/L8)^J8*R8*((Q16/Q8)/(M8/L8))^K8</f>
        <v>#DIV/0!</v>
      </c>
      <c r="R20" s="156" t="e">
        <f ca="1">+(Q8/L8)^J8*R8*((R16/Q8)/(M8/L8))^K8</f>
        <v>#DIV/0!</v>
      </c>
      <c r="S20" s="156" t="e">
        <f ca="1">+(Q8/L8)^J8*R8*((S16/Q8)/(M8/L8))^K8</f>
        <v>#DIV/0!</v>
      </c>
      <c r="T20" s="228" t="e">
        <f ca="1">+(Q8/L8)^J8*R8*((T16/Q8)/(M8/L8))^K8</f>
        <v>#DIV/0!</v>
      </c>
      <c r="U20" s="84"/>
    </row>
    <row r="21" spans="2:21" x14ac:dyDescent="0.3">
      <c r="B21" s="268"/>
      <c r="C21" s="96"/>
      <c r="D21" s="96"/>
      <c r="E21" s="96"/>
      <c r="F21" s="96"/>
      <c r="G21" s="96"/>
      <c r="H21" s="96"/>
      <c r="I21" s="96"/>
      <c r="J21" s="99" t="str">
        <f t="shared" si="0"/>
        <v>0 - Scaling</v>
      </c>
      <c r="K21" s="268" t="e">
        <f ca="1">+(Q9/L9)^J9*R9*((K17/Q9)/(M9/L9))^K9</f>
        <v>#DIV/0!</v>
      </c>
      <c r="L21" s="156" t="e">
        <f ca="1">+(Q9/L9)^J9*R9*((L16/Q9)/(M9/L9))^K9</f>
        <v>#DIV/0!</v>
      </c>
      <c r="M21" s="156" t="e">
        <f ca="1">+(Q9/L9)^J9*R9*((M16/Q9)/(M9/L9))^K9</f>
        <v>#DIV/0!</v>
      </c>
      <c r="N21" s="156" t="e">
        <f ca="1">+(Q9/L9)^J9*R9*((N16/Q9)/(M9/L9))^K9</f>
        <v>#DIV/0!</v>
      </c>
      <c r="O21" s="156" t="e">
        <f ca="1">+(Q9/L9)^J9*R9*((O16/Q9)/(M9/L9))^K9</f>
        <v>#DIV/0!</v>
      </c>
      <c r="P21" s="156" t="e">
        <f ca="1">+(Q9/L9)^J9*R9*((P16/Q9)/(M9/L9))^K9</f>
        <v>#DIV/0!</v>
      </c>
      <c r="Q21" s="156" t="e">
        <f ca="1">+(Q9/L9)^J9*R9*((Q16/Q9)/(M9/L9))^K9</f>
        <v>#DIV/0!</v>
      </c>
      <c r="R21" s="156" t="e">
        <f ca="1">+(Q9/L9)^J9*R9*((R16/Q9)/(M9/L9))^K9</f>
        <v>#DIV/0!</v>
      </c>
      <c r="S21" s="156" t="e">
        <f ca="1">+(Q9/L9)^J9*R9*((S16/Q9)/(M9/L9))^K9</f>
        <v>#DIV/0!</v>
      </c>
      <c r="T21" s="228" t="e">
        <f ca="1">+(Q9/L9)^J9*R9*((T16/Q9)/(M9/L9))^K9</f>
        <v>#DIV/0!</v>
      </c>
      <c r="U21" s="84"/>
    </row>
    <row r="22" spans="2:21" x14ac:dyDescent="0.3">
      <c r="B22" s="268"/>
      <c r="C22" s="96"/>
      <c r="D22" s="96"/>
      <c r="E22" s="96"/>
      <c r="F22" s="96"/>
      <c r="G22" s="96"/>
      <c r="H22" s="96"/>
      <c r="I22" s="96"/>
      <c r="J22" s="99" t="str">
        <f t="shared" si="0"/>
        <v>0 - Scaling</v>
      </c>
      <c r="K22" s="269" t="e">
        <f ca="1">+(Q10/L10)^J10*R10*((K16/Q10)/(M10/L10))^K10</f>
        <v>#DIV/0!</v>
      </c>
      <c r="L22" s="366" t="e">
        <f ca="1">+(Q10/L10)^J10*R10*((L16/Q10)/(M10/L10))^K10</f>
        <v>#DIV/0!</v>
      </c>
      <c r="M22" s="366" t="e">
        <f ca="1">+(Q10/L10)^J10*R10*((M16/Q10)/(M10/L10))^K10</f>
        <v>#DIV/0!</v>
      </c>
      <c r="N22" s="366" t="e">
        <f ca="1">+(Q10/L10)^J10*R10*((N16/Q10)/(M10/L10))^K10</f>
        <v>#DIV/0!</v>
      </c>
      <c r="O22" s="366" t="e">
        <f ca="1">+(Q10/L10)^J10*R10*((O16/Q10)/(M10/L10))^K10</f>
        <v>#DIV/0!</v>
      </c>
      <c r="P22" s="366" t="e" cm="1">
        <f t="array" aca="1" ref="P22" ca="1">+(Q10/L10)^J10*R10*((P16/Q10)/(M10/P26L17))^K10</f>
        <v>#DIV/0!</v>
      </c>
      <c r="Q22" s="366" t="e">
        <f ca="1">+(Q10/L10)^J10*R10*((Q16/Q10)/(M10/L10))^K10</f>
        <v>#DIV/0!</v>
      </c>
      <c r="R22" s="366" t="e">
        <f ca="1">+(Q10/L10)^J10*R10*((R16/Q10)/(M10/L10))^K10</f>
        <v>#DIV/0!</v>
      </c>
      <c r="S22" s="366" t="e">
        <f ca="1">+(Q10/L10)^J10*R10*((S16/Q10)/(M10/L10))^K10</f>
        <v>#DIV/0!</v>
      </c>
      <c r="T22" s="316" t="e">
        <f ca="1">+(Q10/L10)^J10*R10*((T16/Q10)/(M10/L10))^K10</f>
        <v>#DIV/0!</v>
      </c>
      <c r="U22" s="84"/>
    </row>
    <row r="23" spans="2:21" x14ac:dyDescent="0.3">
      <c r="B23" s="268"/>
      <c r="C23" s="96"/>
      <c r="D23" s="96"/>
      <c r="E23" s="96"/>
      <c r="F23" s="96"/>
      <c r="G23" s="96"/>
      <c r="H23" s="96"/>
      <c r="I23" s="96"/>
      <c r="J23" s="86" t="s">
        <v>575</v>
      </c>
      <c r="K23" s="86" t="s">
        <v>651</v>
      </c>
      <c r="L23" s="96"/>
      <c r="M23" s="96"/>
      <c r="N23" s="96"/>
      <c r="O23" s="96"/>
      <c r="P23" s="96"/>
      <c r="Q23" s="96"/>
      <c r="R23" s="96"/>
      <c r="S23" s="96"/>
      <c r="U23" s="84"/>
    </row>
    <row r="24" spans="2:21" x14ac:dyDescent="0.3">
      <c r="B24" s="268"/>
      <c r="C24" s="96"/>
      <c r="D24" s="96"/>
      <c r="E24" s="96"/>
      <c r="F24" s="96"/>
      <c r="G24" s="96"/>
      <c r="H24" s="96"/>
      <c r="I24" s="96"/>
      <c r="J24" s="177">
        <f>+B5</f>
        <v>0</v>
      </c>
      <c r="K24" s="326" t="e">
        <f ca="1">+R5/(M5/Q5)</f>
        <v>#VALUE!</v>
      </c>
      <c r="L24" s="96"/>
      <c r="M24" s="96"/>
      <c r="N24" s="96"/>
      <c r="O24" s="96"/>
      <c r="P24" s="96"/>
      <c r="Q24" s="96"/>
      <c r="R24" s="96"/>
      <c r="S24" s="96"/>
      <c r="U24" s="84"/>
    </row>
    <row r="25" spans="2:21" x14ac:dyDescent="0.3">
      <c r="B25" s="268"/>
      <c r="C25" s="96"/>
      <c r="D25" s="96"/>
      <c r="E25" s="96"/>
      <c r="F25" s="96"/>
      <c r="G25" s="96"/>
      <c r="H25" s="96"/>
      <c r="I25" s="96"/>
      <c r="J25" s="99">
        <f>+B6</f>
        <v>0</v>
      </c>
      <c r="K25" s="339" t="e">
        <f ca="1">+R6/(M6/Q6)</f>
        <v>#VALUE!</v>
      </c>
      <c r="L25" s="96"/>
      <c r="M25" s="96"/>
      <c r="N25" s="96"/>
      <c r="O25" s="96"/>
      <c r="P25" s="96"/>
      <c r="Q25" s="96"/>
      <c r="R25" s="96"/>
      <c r="S25" s="96"/>
      <c r="U25" s="84"/>
    </row>
    <row r="26" spans="2:21" x14ac:dyDescent="0.3">
      <c r="B26" s="91"/>
      <c r="F26" s="96"/>
      <c r="G26" s="96"/>
      <c r="J26" s="99">
        <f>+B7</f>
        <v>0</v>
      </c>
      <c r="K26" s="339" t="e">
        <f ca="1">+R7/(M7/Q7)</f>
        <v>#VALUE!</v>
      </c>
      <c r="U26" s="84"/>
    </row>
    <row r="27" spans="2:21" x14ac:dyDescent="0.3">
      <c r="B27" s="91"/>
      <c r="F27" s="96"/>
      <c r="G27" s="96"/>
      <c r="J27" s="170">
        <f>+B8</f>
        <v>0</v>
      </c>
      <c r="K27" s="346" t="e">
        <f ca="1">+R8/(M8/Q8)</f>
        <v>#VALUE!</v>
      </c>
      <c r="U27" s="84"/>
    </row>
    <row r="28" spans="2:21" x14ac:dyDescent="0.3">
      <c r="B28" s="91"/>
      <c r="F28" s="96"/>
      <c r="G28" s="96"/>
      <c r="J28" s="96"/>
      <c r="U28" s="84"/>
    </row>
    <row r="29" spans="2:21" x14ac:dyDescent="0.3">
      <c r="B29" s="91"/>
      <c r="F29" s="96"/>
      <c r="G29" s="96"/>
      <c r="U29" s="84"/>
    </row>
    <row r="30" spans="2:21" x14ac:dyDescent="0.3">
      <c r="B30" s="91"/>
      <c r="F30" s="96"/>
      <c r="G30" s="96"/>
      <c r="U30" s="84"/>
    </row>
    <row r="31" spans="2:21" x14ac:dyDescent="0.3">
      <c r="B31" s="91"/>
      <c r="F31" s="96"/>
      <c r="G31" s="96"/>
      <c r="U31" s="84"/>
    </row>
    <row r="32" spans="2:21" x14ac:dyDescent="0.3">
      <c r="B32" s="91"/>
      <c r="F32" s="96"/>
      <c r="G32" s="96"/>
      <c r="U32" s="84"/>
    </row>
    <row r="33" spans="2:21" x14ac:dyDescent="0.3">
      <c r="B33" s="91"/>
      <c r="F33" s="96"/>
      <c r="G33" s="96"/>
      <c r="U33" s="84"/>
    </row>
    <row r="34" spans="2:21" x14ac:dyDescent="0.3">
      <c r="B34" s="91"/>
      <c r="F34" s="96"/>
      <c r="G34" s="96"/>
      <c r="U34" s="84"/>
    </row>
    <row r="35" spans="2:21" x14ac:dyDescent="0.3">
      <c r="B35" s="91"/>
      <c r="F35" s="96"/>
      <c r="G35" s="96"/>
      <c r="U35" s="84"/>
    </row>
    <row r="36" spans="2:21" x14ac:dyDescent="0.3">
      <c r="B36" s="320"/>
      <c r="C36" s="321"/>
      <c r="D36" s="321"/>
      <c r="E36" s="321"/>
      <c r="F36" s="270"/>
      <c r="G36" s="270"/>
      <c r="H36" s="321"/>
      <c r="I36" s="321"/>
      <c r="J36" s="321"/>
      <c r="K36" s="321"/>
      <c r="L36" s="321"/>
      <c r="M36" s="321"/>
      <c r="N36" s="321"/>
      <c r="O36" s="321"/>
      <c r="P36" s="321"/>
      <c r="Q36" s="321"/>
      <c r="R36" s="321"/>
      <c r="S36" s="321"/>
      <c r="T36" s="321"/>
      <c r="U36" s="323"/>
    </row>
    <row r="37" spans="2:21" x14ac:dyDescent="0.3">
      <c r="B37" s="171">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269</vt:i4>
      </vt:variant>
    </vt:vector>
  </HeadingPairs>
  <TitlesOfParts>
    <vt:vector size="287" baseType="lpstr">
      <vt:lpstr>SEA Tool</vt:lpstr>
      <vt:lpstr>Plant Overview</vt:lpstr>
      <vt:lpstr>Unit-100</vt:lpstr>
      <vt:lpstr>Unit-200</vt:lpstr>
      <vt:lpstr>Unit-300</vt:lpstr>
      <vt:lpstr>Unit-400</vt:lpstr>
      <vt:lpstr>Plant CAPEX</vt:lpstr>
      <vt:lpstr>Plant OPEX</vt:lpstr>
      <vt:lpstr>Cash Flow Analysis</vt:lpstr>
      <vt:lpstr>Uncertainty Quantification</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'Uncertainty Quantification'!ExpRuns</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sel_i</vt:lpstr>
      <vt:lpstr>sel_p</vt:lpstr>
      <vt:lpstr>sel_t</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2023-03-21T10:37:22Z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