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1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harts/chart1.xml" ContentType="application/vnd.openxmlformats-officedocument.drawingml.chart+xml"/>
  <Override PartName="/xl/theme/themeOverride1.xml" ContentType="application/vnd.openxmlformats-officedocument.themeOverride+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13.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3.xml" ContentType="application/vnd.openxmlformats-officedocument.drawingml.chart+xml"/>
  <Override PartName="/xl/theme/themeOverride2.xml" ContentType="application/vnd.openxmlformats-officedocument.themeOverrid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14.xml" ContentType="application/vnd.ms-excel.controlproperties+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trlProps/ctrlProp15.xml" ContentType="application/vnd.ms-excel.controlproperties+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charts/chart9.xml" ContentType="application/vnd.openxmlformats-officedocument.drawingml.chart+xml"/>
  <Override PartName="/xl/drawings/drawing7.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harts/chart10.xml" ContentType="application/vnd.openxmlformats-officedocument.drawingml.chart+xml"/>
  <Override PartName="/xl/drawings/drawing8.xml" ContentType="application/vnd.openxmlformats-officedocument.drawing+xml"/>
  <Override PartName="/xl/ctrlProps/ctrlProp27.xml" ContentType="application/vnd.ms-excel.controlproperties+xml"/>
  <Override PartName="/xl/ctrlProps/ctrlProp28.xml" ContentType="application/vnd.ms-excel.controlproperties+xml"/>
  <Override PartName="/xl/tables/table15.xml" ContentType="application/vnd.openxmlformats-officedocument.spreadsheetml.table+xml"/>
  <Override PartName="/xl/comments3.xml" ContentType="application/vnd.openxmlformats-officedocument.spreadsheetml.comments+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tables/table16.xml" ContentType="application/vnd.openxmlformats-officedocument.spreadsheetml.table+xml"/>
  <Override PartName="/xl/drawings/drawing10.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1.xml" ContentType="application/vnd.openxmlformats-officedocument.drawing+xml"/>
  <Override PartName="/xl/ctrlProps/ctrlProp35.xml" ContentType="application/vnd.ms-excel.controlproperties+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comments4.xml" ContentType="application/vnd.openxmlformats-officedocument.spreadsheetml.comments+xml"/>
  <Override PartName="/xl/threadedComments/threadedComment1.xml" ContentType="application/vnd.ms-excel.threadedcomments+xml"/>
  <Override PartName="/xl/comments5.xml" ContentType="application/vnd.openxmlformats-officedocument.spreadsheetml.comments+xml"/>
  <Override PartName="/xl/threadedComments/threadedComment2.xml" ContentType="application/vnd.ms-excel.threadedcomments+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drawings/drawing12.xml" ContentType="application/vnd.openxmlformats-officedocument.drawing+xml"/>
  <Override PartName="/xl/drawings/drawing13.xml" ContentType="application/vnd.openxmlformats-officedocument.drawing+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updateLinks="always" codeName="ThisWorkbook" defaultThemeVersion="166925"/>
  <mc:AlternateContent xmlns:mc="http://schemas.openxmlformats.org/markup-compatibility/2006">
    <mc:Choice Requires="x15">
      <x15ac:absPath xmlns:x15ac="http://schemas.microsoft.com/office/spreadsheetml/2010/11/ac" url="C:\Users\carlo\OneDrive\Documentos\GitHub\Scale-Coupled-Open-Innovation-Network\Economics\"/>
    </mc:Choice>
  </mc:AlternateContent>
  <xr:revisionPtr revIDLastSave="0" documentId="13_ncr:1_{A1981D06-3046-4510-BD17-98CEC53D725D}" xr6:coauthVersionLast="47" xr6:coauthVersionMax="47" xr10:uidLastSave="{00000000-0000-0000-0000-000000000000}"/>
  <bookViews>
    <workbookView xWindow="-108" yWindow="-108" windowWidth="23256" windowHeight="13176" tabRatio="825" xr2:uid="{00000000-000D-0000-FFFF-FFFF00000000}"/>
  </bookViews>
  <sheets>
    <sheet name="SEA Tool" sheetId="94" r:id="rId1"/>
    <sheet name="Plant Overview" sheetId="81" r:id="rId2"/>
    <sheet name="Unit-100" sheetId="80" r:id="rId3"/>
    <sheet name="Unit-200" sheetId="93" r:id="rId4"/>
    <sheet name="Unit-300" sheetId="85" r:id="rId5"/>
    <sheet name="Unit-400" sheetId="92" r:id="rId6"/>
    <sheet name="Plant CAPEX" sheetId="5" r:id="rId7"/>
    <sheet name="Plant OPEX" sheetId="16" r:id="rId8"/>
    <sheet name="Cash Flow Analysis" sheetId="84" r:id="rId9"/>
    <sheet name="Input to SSM" sheetId="95" r:id="rId10"/>
    <sheet name="Estimate Benchmark" sheetId="83" r:id="rId11"/>
    <sheet name="Unit-X00 Equipment" sheetId="18" r:id="rId12"/>
    <sheet name="Bibliography" sheetId="4" r:id="rId13"/>
    <sheet name="Cost Conversion" sheetId="30" state="hidden" r:id="rId14"/>
    <sheet name="Technology Block Data" sheetId="3" state="hidden" r:id="rId15"/>
    <sheet name="Equipment Data" sheetId="28" state="hidden" r:id="rId16"/>
    <sheet name="Unit X00 - Benchmark" sheetId="32" state="hidden" r:id="rId17"/>
  </sheets>
  <definedNames>
    <definedName name="Axial" localSheetId="2">Tabla20[Turbine]</definedName>
    <definedName name="Axial" localSheetId="3">Tabla20[Turbine]</definedName>
    <definedName name="Axial" localSheetId="4">Tabla20[Turbine]</definedName>
    <definedName name="Axial" localSheetId="5">Tabla20[Turbine]</definedName>
    <definedName name="Blender" localSheetId="2">Tabla2[[Blender ]]</definedName>
    <definedName name="Blender" localSheetId="3">Tabla2[[Blender ]]</definedName>
    <definedName name="Blender" localSheetId="4">Tabla2[[Blender ]]</definedName>
    <definedName name="Blender" localSheetId="5">Tabla2[[Blender ]]</definedName>
    <definedName name="Blender_Material" localSheetId="2">Tabla31[Blender_Material]</definedName>
    <definedName name="Blender_Material" localSheetId="3">Tabla31[Blender_Material]</definedName>
    <definedName name="Blender_Material" localSheetId="4">Tabla31[Blender_Material]</definedName>
    <definedName name="Blender_Material" localSheetId="5">Tabla31[Blender_Material]</definedName>
    <definedName name="Case" localSheetId="8">Task[Task]</definedName>
    <definedName name="Case" localSheetId="10">Task[Task]</definedName>
    <definedName name="Case" localSheetId="1">Task[Task]</definedName>
    <definedName name="Case" localSheetId="2">Task[Task]</definedName>
    <definedName name="Case" localSheetId="3">Task[Task]</definedName>
    <definedName name="Case" localSheetId="4">Task[Task]</definedName>
    <definedName name="Case" localSheetId="5">Task[Task]</definedName>
    <definedName name="Centrifuge" localSheetId="2">Tabla3[[Centrifuge ]]</definedName>
    <definedName name="Centrifuge" localSheetId="3">Tabla3[[Centrifuge ]]</definedName>
    <definedName name="Centrifuge" localSheetId="4">Tabla3[[Centrifuge ]]</definedName>
    <definedName name="Centrifuge" localSheetId="5">Tabla3[[Centrifuge ]]</definedName>
    <definedName name="Centrifuge_Material" localSheetId="2">Tabla32[Centrifuge_Material]</definedName>
    <definedName name="Centrifuge_Material" localSheetId="3">Tabla32[Centrifuge_Material]</definedName>
    <definedName name="Centrifuge_Material" localSheetId="4">Tabla32[Centrifuge_Material]</definedName>
    <definedName name="Centrifuge_Material" localSheetId="5">Tabla32[Centrifuge_Material]</definedName>
    <definedName name="Compressor" localSheetId="2">Tabla4[Compressor]</definedName>
    <definedName name="Compressor" localSheetId="3">Tabla4[Compressor]</definedName>
    <definedName name="Compressor" localSheetId="4">Tabla4[Compressor]</definedName>
    <definedName name="Compressor" localSheetId="5">Tabla4[Compressor]</definedName>
    <definedName name="Compressor_Material" localSheetId="2">Tabla33[Compressor_Material]</definedName>
    <definedName name="Compressor_Material" localSheetId="3">Tabla33[Compressor_Material]</definedName>
    <definedName name="Compressor_Material" localSheetId="4">Tabla33[Compressor_Material]</definedName>
    <definedName name="Compressor_Material" localSheetId="5">Tabla33[Compressor_Material]</definedName>
    <definedName name="Construction" localSheetId="8">Tabla81[Construction]</definedName>
    <definedName name="Construction" localSheetId="10">Tabla81[Construction]</definedName>
    <definedName name="Construction" localSheetId="1">Tabla81[Construction]</definedName>
    <definedName name="Construction" localSheetId="2">Tabla81[Construction]</definedName>
    <definedName name="Construction" localSheetId="3">Tabla81[Construction]</definedName>
    <definedName name="Construction" localSheetId="4">Tabla81[Construction]</definedName>
    <definedName name="Construction" localSheetId="5">Tabla81[Construction]</definedName>
    <definedName name="Conveyor" localSheetId="2">Tabla5[Conveyor]</definedName>
    <definedName name="Conveyor" localSheetId="3">Tabla5[Conveyor]</definedName>
    <definedName name="Conveyor" localSheetId="4">Tabla5[Conveyor]</definedName>
    <definedName name="Conveyor" localSheetId="5">Tabla5[Conveyor]</definedName>
    <definedName name="Conveyor_Material" localSheetId="2">Tabla34[Conveyor_Material]</definedName>
    <definedName name="Conveyor_Material" localSheetId="3">Tabla34[Conveyor_Material]</definedName>
    <definedName name="Conveyor_Material" localSheetId="4">Tabla34[Conveyor_Material]</definedName>
    <definedName name="Conveyor_Material" localSheetId="5">Tabla34[Conveyor_Material]</definedName>
    <definedName name="Crystallizer" localSheetId="2">Tabla6[[Crystallizer ]]</definedName>
    <definedName name="Crystallizer" localSheetId="3">Tabla6[[Crystallizer ]]</definedName>
    <definedName name="Crystallizer" localSheetId="4">Tabla6[[Crystallizer ]]</definedName>
    <definedName name="Crystallizer" localSheetId="5">Tabla6[[Crystallizer ]]</definedName>
    <definedName name="Crystallizer_Material" localSheetId="2">Tabla35[Crystallizer_Material]</definedName>
    <definedName name="Crystallizer_Material" localSheetId="3">Tabla35[Crystallizer_Material]</definedName>
    <definedName name="Crystallizer_Material" localSheetId="4">Tabla35[Crystallizer_Material]</definedName>
    <definedName name="Crystallizer_Material" localSheetId="5">Tabla35[Crystallizer_Material]</definedName>
    <definedName name="Currency" localSheetId="8">Tabla56[Currency]</definedName>
    <definedName name="Currency" localSheetId="10">Tabla56[Currency]</definedName>
    <definedName name="Currency" localSheetId="1">Tabla56[Currency]</definedName>
    <definedName name="Currency" localSheetId="2">Tabla56[Currency]</definedName>
    <definedName name="Currency" localSheetId="3">Tabla56[Currency]</definedName>
    <definedName name="Currency" localSheetId="4">Tabla56[Currency]</definedName>
    <definedName name="Currency" localSheetId="5">Tabla56[Currency]</definedName>
    <definedName name="Dirve_Material" localSheetId="2">Tabla36[Drive_Material]</definedName>
    <definedName name="Dirve_Material" localSheetId="3">Tabla36[Drive_Material]</definedName>
    <definedName name="Dirve_Material" localSheetId="4">Tabla36[Drive_Material]</definedName>
    <definedName name="Dirve_Material" localSheetId="5">Tabla36[Drive_Material]</definedName>
    <definedName name="Drive" localSheetId="2">Tabla7[[Drive ]]</definedName>
    <definedName name="Drive" localSheetId="3">Tabla7[[Drive ]]</definedName>
    <definedName name="Drive" localSheetId="4">Tabla7[[Drive ]]</definedName>
    <definedName name="Drive" localSheetId="5">Tabla7[[Drive ]]</definedName>
    <definedName name="Drive_Material" localSheetId="2">Tabla36[Drive_Material]</definedName>
    <definedName name="Drive_Material" localSheetId="3">Tabla36[Drive_Material]</definedName>
    <definedName name="Drive_Material" localSheetId="4">Tabla36[Drive_Material]</definedName>
    <definedName name="Drive_Material" localSheetId="5">Tabla36[Drive_Material]</definedName>
    <definedName name="Dryer" localSheetId="2">Tabla8[Dryer]</definedName>
    <definedName name="Dryer" localSheetId="3">Tabla8[Dryer]</definedName>
    <definedName name="Dryer" localSheetId="4">Tabla8[Dryer]</definedName>
    <definedName name="Dryer" localSheetId="5">Tabla8[Dryer]</definedName>
    <definedName name="Dryer_Material" localSheetId="2">Tabla37[Dryer_Material]</definedName>
    <definedName name="Dryer_Material" localSheetId="3">Tabla37[Dryer_Material]</definedName>
    <definedName name="Dryer_Material" localSheetId="4">Tabla37[Dryer_Material]</definedName>
    <definedName name="Dryer_Material" localSheetId="5">Tabla37[Dryer_Material]</definedName>
    <definedName name="DustCollectors" localSheetId="2">Tabla9[[Dust Collectors ]]</definedName>
    <definedName name="DustCollectors" localSheetId="3">Tabla9[[Dust Collectors ]]</definedName>
    <definedName name="DustCollectors" localSheetId="4">Tabla9[[Dust Collectors ]]</definedName>
    <definedName name="DustCollectors" localSheetId="5">Tabla9[[Dust Collectors ]]</definedName>
    <definedName name="DustCollectors_Material" localSheetId="2">Tabla38[DustCollectors_Material]</definedName>
    <definedName name="DustCollectors_Material" localSheetId="3">Tabla38[DustCollectors_Material]</definedName>
    <definedName name="DustCollectors_Material" localSheetId="4">Tabla38[DustCollectors_Material]</definedName>
    <definedName name="DustCollectors_Material" localSheetId="5">Tabla38[DustCollectors_Material]</definedName>
    <definedName name="Equipment" localSheetId="2">Tabla1[Equipment]</definedName>
    <definedName name="Equipment" localSheetId="3">Tabla1[Equipment]</definedName>
    <definedName name="Equipment" localSheetId="4">Tabla1[Equipment]</definedName>
    <definedName name="Equipment" localSheetId="5">Tabla1[Equipment]</definedName>
    <definedName name="Evaporator" localSheetId="2">Tabla13[[Evaporator ]]</definedName>
    <definedName name="Evaporator" localSheetId="3">Tabla13[[Evaporator ]]</definedName>
    <definedName name="Evaporator" localSheetId="4">Tabla13[[Evaporator ]]</definedName>
    <definedName name="Evaporator" localSheetId="5">Tabla13[[Evaporator ]]</definedName>
    <definedName name="Evaporator_Material" localSheetId="2">Tabla42[Evaporator_Material]</definedName>
    <definedName name="Evaporator_Material" localSheetId="3">Tabla42[Evaporator_Material]</definedName>
    <definedName name="Evaporator_Material" localSheetId="4">Tabla42[Evaporator_Material]</definedName>
    <definedName name="Evaporator_Material" localSheetId="5">Tabla42[Evaporator_Material]</definedName>
    <definedName name="Fan" localSheetId="2">Tabla10[Fan]</definedName>
    <definedName name="Fan" localSheetId="3">Tabla10[Fan]</definedName>
    <definedName name="Fan" localSheetId="4">Tabla10[Fan]</definedName>
    <definedName name="Fan" localSheetId="5">Tabla10[Fan]</definedName>
    <definedName name="Fan_Material" localSheetId="2">Tabla39[Fan_Material]</definedName>
    <definedName name="Fan_Material" localSheetId="3">Tabla39[Fan_Material]</definedName>
    <definedName name="Fan_Material" localSheetId="4">Tabla39[Fan_Material]</definedName>
    <definedName name="Fan_Material" localSheetId="5">Tabla39[Fan_Material]</definedName>
    <definedName name="Filter" localSheetId="2">Tabla11[[Filter ]]</definedName>
    <definedName name="Filter" localSheetId="3">Tabla11[[Filter ]]</definedName>
    <definedName name="Filter" localSheetId="4">Tabla11[[Filter ]]</definedName>
    <definedName name="Filter" localSheetId="5">Tabla11[[Filter ]]</definedName>
    <definedName name="Filter_Material" localSheetId="2">Tabla40[Filter_Material]</definedName>
    <definedName name="Filter_Material" localSheetId="3">Tabla40[Filter_Material]</definedName>
    <definedName name="Filter_Material" localSheetId="4">Tabla40[Filter_Material]</definedName>
    <definedName name="Filter_Material" localSheetId="5">Tabla40[Filter_Material]</definedName>
    <definedName name="FiredHeater" localSheetId="2">Tabla12[[Fired Heater ]]</definedName>
    <definedName name="FiredHeater" localSheetId="3">Tabla12[[Fired Heater ]]</definedName>
    <definedName name="FiredHeater" localSheetId="4">Tabla12[[Fired Heater ]]</definedName>
    <definedName name="FiredHeater" localSheetId="5">Tabla12[[Fired Heater ]]</definedName>
    <definedName name="FiredHeater_Material" localSheetId="2">Tabla41[FiredHeater_Material]</definedName>
    <definedName name="FiredHeater_Material" localSheetId="3">Tabla41[FiredHeater_Material]</definedName>
    <definedName name="FiredHeater_Material" localSheetId="4">Tabla41[FiredHeater_Material]</definedName>
    <definedName name="FiredHeater_Material" localSheetId="5">Tabla41[FiredHeater_Material]</definedName>
    <definedName name="HeatExchanger" localSheetId="2">Tabla14[Heat Exchanger]</definedName>
    <definedName name="HeatExchanger" localSheetId="3">Tabla14[Heat Exchanger]</definedName>
    <definedName name="HeatExchanger" localSheetId="4">Tabla14[Heat Exchanger]</definedName>
    <definedName name="HeatExchanger" localSheetId="5">Tabla14[Heat Exchanger]</definedName>
    <definedName name="HeatExchanger_AirCooler_Material" localSheetId="2">Tabla79[HeatExchanger_AirCooler_Material]</definedName>
    <definedName name="HeatExchanger_AirCooler_Material" localSheetId="3">Tabla79[HeatExchanger_AirCooler_Material]</definedName>
    <definedName name="HeatExchanger_Bayonet_Material" localSheetId="2">Tabla70[HeatExchanger_Bayonet_Material]</definedName>
    <definedName name="HeatExchanger_Bayonet_Material" localSheetId="3">Tabla70[HeatExchanger_Bayonet_Material]</definedName>
    <definedName name="HeatExchanger_DoublePipe_Material" localSheetId="2">Tabla66[HeatExchanger_DoublePipe_Material]</definedName>
    <definedName name="HeatExchanger_DoublePipe_Material" localSheetId="3">Tabla66[HeatExchanger_DoublePipe_Material]</definedName>
    <definedName name="HeatExchanger_FixedtubesheetorUtube_Material" localSheetId="2">Tabla68[HeatExchanger_FixedtubesheetorUtube_Material]</definedName>
    <definedName name="HeatExchanger_FixedtubesheetorUtube_Material" localSheetId="3">Tabla68[HeatExchanger_FixedtubesheetorUtube_Material]</definedName>
    <definedName name="HeatExchanger_FlatPlate_Material" localSheetId="2">Tabla78[HeatExchanger_FlatPlate_Material]</definedName>
    <definedName name="HeatExchanger_FlatPlate_Material" localSheetId="3">Tabla78[HeatExchanger_FlatPlate_Material]</definedName>
    <definedName name="HeatExchanger_FloatingHead_Material" localSheetId="2">Tabla69[HeatExchanger_FloatingHead_Material]</definedName>
    <definedName name="HeatExchanger_FloatingHead_Material" localSheetId="3">Tabla69[HeatExchanger_FloatingHead_Material]</definedName>
    <definedName name="HeatExchanger_KettleReboiler_Material" localSheetId="2">Tabla73[HeatExchanger_KettleReboiler_Material]</definedName>
    <definedName name="HeatExchanger_KettleReboiler_Material" localSheetId="3">Tabla73[HeatExchanger_KettleReboiler_Material]</definedName>
    <definedName name="HeatExchanger_Material" localSheetId="2">Tabla43[HeatExchanger_Material]</definedName>
    <definedName name="HeatExchanger_Material" localSheetId="3">Tabla43[HeatExchanger_Material]</definedName>
    <definedName name="HeatExchanger_Material" localSheetId="4">Tabla43[HeatExchanger_Material]</definedName>
    <definedName name="HeatExchanger_Material" localSheetId="5">Tabla43[HeatExchanger_Material]</definedName>
    <definedName name="HeatExchanger_MultiplePipe_Material" localSheetId="2">Tabla67[HeatExchanger_MultiplePipe_Material]</definedName>
    <definedName name="HeatExchanger_MultiplePipe_Material" localSheetId="3">Tabla67[HeatExchanger_MultiplePipe_Material]</definedName>
    <definedName name="HeatExchanger_ScrapedWall_Material" localSheetId="2">Tabla74[HeatExchanger_ScrapedWall_Material]</definedName>
    <definedName name="HeatExchanger_ScrapedWall_Material" localSheetId="3">Tabla74[HeatExchanger_ScrapedWall_Material]</definedName>
    <definedName name="HeatExchanger_SpiralPlate_Material" localSheetId="2">Tabla77[HeatExchanger_SpiralPlate_Material]</definedName>
    <definedName name="HeatExchanger_SpiralPlate_Material" localSheetId="3">Tabla77[HeatExchanger_SpiralPlate_Material]</definedName>
    <definedName name="HeatExchanger_SpiralTube_Material" localSheetId="2">Tabla75[HeatExchanger_SpiralTube_Material]</definedName>
    <definedName name="HeatExchanger_SpiralTube_Material" localSheetId="3">Tabla75[HeatExchanger_SpiralTube_Material]</definedName>
    <definedName name="HeatExchanger_TeflonTubeExchanger_Material" localSheetId="2">Tabla76[HeatExchanger_TeflonTubeExchanger_Material]</definedName>
    <definedName name="HeatExchanger_TeflonTubeExchanger_Material" localSheetId="3">Tabla76[HeatExchanger_TeflonTubeExchanger_Material]</definedName>
    <definedName name="Indicator" localSheetId="8">Table25[Indicator]</definedName>
    <definedName name="Lifetime" localSheetId="8">Tabla82[Lifetime]</definedName>
    <definedName name="Lifetime" localSheetId="10">Tabla82[Lifetime]</definedName>
    <definedName name="Lifetime" localSheetId="1">Tabla82[Lifetime]</definedName>
    <definedName name="Lifetime" localSheetId="2">Tabla82[Lifetime]</definedName>
    <definedName name="Lifetime" localSheetId="3">Tabla82[Lifetime]</definedName>
    <definedName name="Lifetime" localSheetId="4">Tabla82[Lifetime]</definedName>
    <definedName name="Lifetime" localSheetId="5">Tabla82[Lifetime]</definedName>
    <definedName name="Location" localSheetId="8">Tabla55[Location]</definedName>
    <definedName name="Location" localSheetId="10">Tabla55[Location]</definedName>
    <definedName name="Location" localSheetId="1">Tabla55[Location]</definedName>
    <definedName name="Location" localSheetId="2">Tabla55[Location]</definedName>
    <definedName name="Location" localSheetId="3">Tabla55[Location]</definedName>
    <definedName name="Location" localSheetId="4">Tabla55[Location]</definedName>
    <definedName name="Location" localSheetId="5">Tabla55[Location]</definedName>
    <definedName name="Mixer" localSheetId="2">Tabla15[[Mixer ]]</definedName>
    <definedName name="Mixer" localSheetId="3">Tabla15[[Mixer ]]</definedName>
    <definedName name="Mixer" localSheetId="4">Tabla15[[Mixer ]]</definedName>
    <definedName name="Mixer" localSheetId="5">Tabla15[[Mixer ]]</definedName>
    <definedName name="Mixer_Material" localSheetId="2">Tabla44[Mixer_Material]</definedName>
    <definedName name="Mixer_Material" localSheetId="3">Tabla44[Mixer_Material]</definedName>
    <definedName name="Mixer_Material" localSheetId="4">Tabla44[Mixer_Material]</definedName>
    <definedName name="Mixer_Material" localSheetId="5">Tabla44[Mixer_Material]</definedName>
    <definedName name="Pump" localSheetId="2">Tabla16[[Pump ]]</definedName>
    <definedName name="Pump" localSheetId="3">Tabla16[[Pump ]]</definedName>
    <definedName name="Pump" localSheetId="4">Tabla16[[Pump ]]</definedName>
    <definedName name="Pump" localSheetId="5">Tabla16[[Pump ]]</definedName>
    <definedName name="Pump_Material" localSheetId="2">Tabla45[Pump_Material]</definedName>
    <definedName name="Pump_Material" localSheetId="3">Tabla45[Pump_Material]</definedName>
    <definedName name="Pump_Material" localSheetId="4">Tabla45[Pump_Material]</definedName>
    <definedName name="Pump_Material" localSheetId="5">Tabla45[Pump_Material]</definedName>
    <definedName name="Reactor" localSheetId="2">Tabla17[[Reactor ]]</definedName>
    <definedName name="Reactor" localSheetId="3">Tabla17[[Reactor ]]</definedName>
    <definedName name="Reactor" localSheetId="4">Tabla17[[Reactor ]]</definedName>
    <definedName name="Reactor" localSheetId="5">Tabla17[[Reactor ]]</definedName>
    <definedName name="Reactor_Material" localSheetId="2">Tabla46[Reactor_Material]</definedName>
    <definedName name="Reactor_Material" localSheetId="3">Tabla46[Reactor_Material]</definedName>
    <definedName name="Reactor_Material" localSheetId="4">Tabla46[Reactor_Material]</definedName>
    <definedName name="Reactor_Material" localSheetId="5">Tabla46[Reactor_Material]</definedName>
    <definedName name="Screen" localSheetId="2">Tabla18[[Screen ]]</definedName>
    <definedName name="Screen" localSheetId="3">Tabla18[[Screen ]]</definedName>
    <definedName name="Screen" localSheetId="4">Tabla18[[Screen ]]</definedName>
    <definedName name="Screen" localSheetId="5">Tabla18[[Screen ]]</definedName>
    <definedName name="Screen_Material" localSheetId="2">Tabla47[Screen_Material]</definedName>
    <definedName name="Screen_Material" localSheetId="3">Tabla47[Screen_Material]</definedName>
    <definedName name="Screen_Material" localSheetId="4">Tabla47[Screen_Material]</definedName>
    <definedName name="Screen_Material" localSheetId="5">Tabla47[Screen_Material]</definedName>
    <definedName name="Tank" localSheetId="2">Tabla19[Tank]</definedName>
    <definedName name="Tank" localSheetId="3">Tabla19[Tank]</definedName>
    <definedName name="Tank" localSheetId="4">Tabla19[Tank]</definedName>
    <definedName name="Tank" localSheetId="5">Tabla19[Tank]</definedName>
    <definedName name="Tank_Material" localSheetId="2">Tabla48[Tank_Material]</definedName>
    <definedName name="Tank_Material" localSheetId="3">Tabla48[Tank_Material]</definedName>
    <definedName name="Tank_Material" localSheetId="4">Tabla48[Tank_Material]</definedName>
    <definedName name="Tank_Material" localSheetId="5">Tabla48[Tank_Material]</definedName>
    <definedName name="test" localSheetId="2">Tabla20[Turbine]</definedName>
    <definedName name="test" localSheetId="3">Tabla20[Turbine]</definedName>
    <definedName name="TowerPacking" localSheetId="2">Tabla24[Tower Packing]</definedName>
    <definedName name="TowerPacking" localSheetId="3">Tabla24[Tower Packing]</definedName>
    <definedName name="TowerPacking" localSheetId="4">Tabla24[Tower Packing]</definedName>
    <definedName name="TowerPacking" localSheetId="5">Tabla24[Tower Packing]</definedName>
    <definedName name="TowerPacking_Material" localSheetId="2">Tabla53[TowerPacking_Material]</definedName>
    <definedName name="TowerPacking_Material" localSheetId="3">Tabla53[TowerPacking_Material]</definedName>
    <definedName name="TowerPacking_Material" localSheetId="4">Tabla53[TowerPacking_Material]</definedName>
    <definedName name="TowerPacking_Material" localSheetId="5">Tabla53[TowerPacking_Material]</definedName>
    <definedName name="TowerTrays" localSheetId="2">Tabla23[Tower Trays]</definedName>
    <definedName name="TowerTrays" localSheetId="3">Tabla23[Tower Trays]</definedName>
    <definedName name="TowerTrays" localSheetId="4">Tabla23[Tower Trays]</definedName>
    <definedName name="TowerTrays" localSheetId="5">Tabla23[Tower Trays]</definedName>
    <definedName name="TowerTrays_Material" localSheetId="2">Tabla52[TowerTrays_Material]</definedName>
    <definedName name="TowerTrays_Material" localSheetId="3">Tabla52[TowerTrays_Material]</definedName>
    <definedName name="TowerTrays_Material" localSheetId="4">Tabla52[TowerTrays_Material]</definedName>
    <definedName name="TowerTrays_Material" localSheetId="5">Tabla52[TowerTrays_Material]</definedName>
    <definedName name="Turbine" localSheetId="2">Tabla20[Turbine]</definedName>
    <definedName name="Turbine" localSheetId="3">Tabla20[Turbine]</definedName>
    <definedName name="Turbine" localSheetId="4">Tabla20[Turbine]</definedName>
    <definedName name="Turbine" localSheetId="5">Tabla20[Turbine]</definedName>
    <definedName name="Turbine_Material" localSheetId="2">Tabla49[Turbine_Material]</definedName>
    <definedName name="Turbine_Material" localSheetId="3">Tabla49[Turbine_Material]</definedName>
    <definedName name="Turbine_Material" localSheetId="4">Tabla49[Turbine_Material]</definedName>
    <definedName name="Turbine_Material" localSheetId="5">Tabla49[Turbine_Material]</definedName>
    <definedName name="Vaporizer" localSheetId="2">Tabla21[Vaporizer]</definedName>
    <definedName name="Vaporizer" localSheetId="3">Tabla21[Vaporizer]</definedName>
    <definedName name="Vaporizer" localSheetId="4">Tabla21[Vaporizer]</definedName>
    <definedName name="Vaporizer" localSheetId="5">Tabla21[Vaporizer]</definedName>
    <definedName name="Vaporizer_Material" localSheetId="2">Tabla50[Vaporizer_Material]</definedName>
    <definedName name="Vaporizer_Material" localSheetId="3">Tabla50[Vaporizer_Material]</definedName>
    <definedName name="Vaporizer_Material" localSheetId="4">Tabla50[Vaporizer_Material]</definedName>
    <definedName name="Vaporizer_Material" localSheetId="5">Tabla50[Vaporizer_Material]</definedName>
    <definedName name="Vessel" localSheetId="2">Tabla22[Vessel]</definedName>
    <definedName name="Vessel" localSheetId="3">Tabla22[Vessel]</definedName>
    <definedName name="Vessel" localSheetId="4">Tabla22[Vessel]</definedName>
    <definedName name="Vessel" localSheetId="5">Tabla22[Vessel]</definedName>
    <definedName name="Vessel_Material" localSheetId="2">Tabla51[Vessel_Material]</definedName>
    <definedName name="Vessel_Material" localSheetId="3">Tabla51[Vessel_Material]</definedName>
    <definedName name="Vessel_Material" localSheetId="4">Tabla51[Vessel_Material]</definedName>
    <definedName name="Vessel_Material" localSheetId="5">Tabla51[Vessel_Material]</definedName>
    <definedName name="Year" localSheetId="8">Tabla80[Year]</definedName>
    <definedName name="Year" localSheetId="10">Tabla80[Year]</definedName>
    <definedName name="Year" localSheetId="1">Tabla80[Year]</definedName>
    <definedName name="Year" localSheetId="2">Tabla80[Year]</definedName>
    <definedName name="Year" localSheetId="3">Tabla80[Year]</definedName>
    <definedName name="Year" localSheetId="4">Tabla80[Year]</definedName>
    <definedName name="Year" localSheetId="5">Tabla80[Year]</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10" i="16" l="1"/>
  <c r="G7" i="95"/>
  <c r="F7" i="95"/>
  <c r="G6" i="95"/>
  <c r="F6" i="95"/>
  <c r="G5" i="95"/>
  <c r="F5" i="95"/>
  <c r="F4" i="95"/>
  <c r="B2" i="95"/>
  <c r="J21" i="83"/>
  <c r="J35" i="83"/>
  <c r="J36" i="83"/>
  <c r="J32" i="83"/>
  <c r="J33" i="83"/>
  <c r="J34" i="83"/>
  <c r="J31" i="83"/>
  <c r="J25" i="83"/>
  <c r="J26" i="83"/>
  <c r="J27" i="83"/>
  <c r="J28" i="83"/>
  <c r="J29" i="83"/>
  <c r="J24" i="83"/>
  <c r="J6" i="84"/>
  <c r="I11" i="84"/>
  <c r="J11" i="84"/>
  <c r="J15" i="84"/>
  <c r="G17" i="16" l="1"/>
  <c r="C34" i="81"/>
  <c r="C12" i="81"/>
  <c r="Y62" i="81"/>
  <c r="Y66" i="81" s="1"/>
  <c r="W62" i="81"/>
  <c r="W66" i="81" s="1"/>
  <c r="S13" i="80"/>
  <c r="G16" i="84"/>
  <c r="H15" i="84"/>
  <c r="D40" i="84" l="1"/>
  <c r="E40" i="84"/>
  <c r="F40" i="84"/>
  <c r="G40" i="84"/>
  <c r="H40" i="84"/>
  <c r="I40" i="84"/>
  <c r="J40" i="84"/>
  <c r="K40" i="84"/>
  <c r="L40" i="84"/>
  <c r="M40" i="84"/>
  <c r="N40" i="84"/>
  <c r="O40" i="84"/>
  <c r="P40" i="84"/>
  <c r="Q40" i="84"/>
  <c r="R40" i="84"/>
  <c r="S40" i="84"/>
  <c r="T40" i="84"/>
  <c r="U40" i="84"/>
  <c r="V40" i="84"/>
  <c r="W40" i="84"/>
  <c r="X40" i="84"/>
  <c r="Y40" i="84"/>
  <c r="Z40" i="84"/>
  <c r="AA40" i="84"/>
  <c r="AB40" i="84"/>
  <c r="AC40" i="84"/>
  <c r="AD40" i="84"/>
  <c r="AE40" i="84"/>
  <c r="AF40" i="84"/>
  <c r="AG40" i="84"/>
  <c r="AH40" i="84"/>
  <c r="AI40" i="84"/>
  <c r="AJ40" i="84"/>
  <c r="AK40" i="84"/>
  <c r="AL40" i="84"/>
  <c r="AM40" i="84"/>
  <c r="AN40" i="84"/>
  <c r="AO40" i="84"/>
  <c r="AP40" i="84"/>
  <c r="AQ40" i="84"/>
  <c r="AR40" i="84"/>
  <c r="AS40" i="84"/>
  <c r="AT40" i="84"/>
  <c r="C40" i="84"/>
  <c r="J10" i="84"/>
  <c r="I6" i="84"/>
  <c r="J8" i="84"/>
  <c r="I8" i="84"/>
  <c r="J96" i="18"/>
  <c r="N76" i="18"/>
  <c r="N73" i="18"/>
  <c r="E4" i="84"/>
  <c r="E5" i="84"/>
  <c r="E9" i="84"/>
  <c r="E10" i="84"/>
  <c r="E11" i="84"/>
  <c r="E8" i="84"/>
  <c r="J7" i="84"/>
  <c r="E7" i="84" s="1"/>
  <c r="E22" i="84" s="1"/>
  <c r="J16" i="84"/>
  <c r="D5" i="84"/>
  <c r="D4" i="84"/>
  <c r="I17" i="16"/>
  <c r="W16" i="16" s="1"/>
  <c r="I16" i="16"/>
  <c r="W15" i="16" s="1"/>
  <c r="C54" i="81"/>
  <c r="W17" i="16"/>
  <c r="W14" i="16"/>
  <c r="E20" i="84" l="1"/>
  <c r="E6" i="84"/>
  <c r="D6" i="84"/>
  <c r="AE3" i="81"/>
  <c r="O3" i="81"/>
  <c r="E7" i="92"/>
  <c r="G5" i="5" s="1"/>
  <c r="E6" i="92"/>
  <c r="E7" i="85"/>
  <c r="F5" i="5" s="1"/>
  <c r="E6" i="85"/>
  <c r="E7" i="93"/>
  <c r="E5" i="5" s="1"/>
  <c r="E6" i="93"/>
  <c r="E7" i="80"/>
  <c r="E6" i="80"/>
  <c r="O34" i="81"/>
  <c r="S50" i="93" a="1"/>
  <c r="S50" i="93" s="1"/>
  <c r="R50" i="93"/>
  <c r="S49" i="93" a="1"/>
  <c r="S49" i="93" s="1"/>
  <c r="R49" i="93"/>
  <c r="S48" i="93" a="1"/>
  <c r="S48" i="93" s="1"/>
  <c r="R48" i="93"/>
  <c r="S47" i="93" a="1"/>
  <c r="S47" i="93" s="1"/>
  <c r="R47" i="93"/>
  <c r="S46" i="93" a="1"/>
  <c r="S46" i="93" s="1"/>
  <c r="R46" i="93"/>
  <c r="S43" i="93"/>
  <c r="H43" i="93"/>
  <c r="S42" i="93"/>
  <c r="H42" i="93"/>
  <c r="S41" i="93"/>
  <c r="H41" i="93"/>
  <c r="S40" i="93"/>
  <c r="H40" i="93"/>
  <c r="S39" i="93"/>
  <c r="H39" i="93"/>
  <c r="S38" i="93"/>
  <c r="H38" i="93"/>
  <c r="S37" i="93"/>
  <c r="H37" i="93"/>
  <c r="S36" i="93"/>
  <c r="H36" i="93"/>
  <c r="S35" i="93"/>
  <c r="H35" i="93"/>
  <c r="S34" i="93"/>
  <c r="H34" i="93"/>
  <c r="S33" i="93"/>
  <c r="H33" i="93"/>
  <c r="S32" i="93"/>
  <c r="H32" i="93"/>
  <c r="S31" i="93"/>
  <c r="H31" i="93"/>
  <c r="S30" i="93"/>
  <c r="H30" i="93"/>
  <c r="S29" i="93"/>
  <c r="H29" i="93"/>
  <c r="S28" i="93"/>
  <c r="H28" i="93"/>
  <c r="S27" i="93"/>
  <c r="H27" i="93"/>
  <c r="S26" i="93"/>
  <c r="H26" i="93"/>
  <c r="S25" i="93"/>
  <c r="H25" i="93"/>
  <c r="S24" i="93"/>
  <c r="H24" i="93"/>
  <c r="S23" i="93"/>
  <c r="H23" i="93"/>
  <c r="S22" i="93"/>
  <c r="H22" i="93"/>
  <c r="S21" i="93"/>
  <c r="H21" i="93"/>
  <c r="S20" i="93"/>
  <c r="H20" i="93"/>
  <c r="S19" i="93"/>
  <c r="H19" i="93"/>
  <c r="S18" i="93"/>
  <c r="H18" i="93"/>
  <c r="S17" i="93"/>
  <c r="H17" i="93"/>
  <c r="S16" i="93"/>
  <c r="H16" i="93"/>
  <c r="S15" i="93"/>
  <c r="H15" i="93"/>
  <c r="S14" i="93"/>
  <c r="H14" i="93"/>
  <c r="S13" i="93"/>
  <c r="H13" i="93"/>
  <c r="H4" i="5"/>
  <c r="K47" i="92"/>
  <c r="K41" i="92"/>
  <c r="R34" i="92"/>
  <c r="S34" i="92" s="1" a="1"/>
  <c r="S34" i="92" s="1"/>
  <c r="R33" i="92"/>
  <c r="S33" i="92" s="1" a="1"/>
  <c r="S33" i="92" s="1"/>
  <c r="R32" i="92"/>
  <c r="S32" i="92" s="1" a="1"/>
  <c r="S32" i="92" s="1"/>
  <c r="R31" i="92"/>
  <c r="S31" i="92" s="1" a="1"/>
  <c r="S31" i="92" s="1"/>
  <c r="R30" i="92"/>
  <c r="S30" i="92" s="1" a="1"/>
  <c r="S30" i="92" s="1"/>
  <c r="R29" i="92"/>
  <c r="S29" i="92" s="1" a="1"/>
  <c r="S29" i="92" s="1"/>
  <c r="R28" i="92"/>
  <c r="S28" i="92" s="1" a="1"/>
  <c r="S28" i="92" s="1"/>
  <c r="R27" i="92"/>
  <c r="S27" i="92" s="1" a="1"/>
  <c r="S27" i="92" s="1"/>
  <c r="R26" i="92"/>
  <c r="S26" i="92" s="1" a="1"/>
  <c r="S26" i="92" s="1"/>
  <c r="R25" i="92"/>
  <c r="S25" i="92" s="1" a="1"/>
  <c r="S25" i="92" s="1"/>
  <c r="R24" i="92"/>
  <c r="S24" i="92" s="1" a="1"/>
  <c r="S24" i="92" s="1"/>
  <c r="R23" i="92"/>
  <c r="S23" i="92" s="1" a="1"/>
  <c r="S23" i="92" s="1"/>
  <c r="R22" i="92"/>
  <c r="S22" i="92" s="1" a="1"/>
  <c r="S22" i="92" s="1"/>
  <c r="R21" i="92"/>
  <c r="S21" i="92" s="1" a="1"/>
  <c r="S21" i="92" s="1"/>
  <c r="R20" i="92"/>
  <c r="S20" i="92" s="1" a="1"/>
  <c r="S20" i="92" s="1"/>
  <c r="R19" i="92"/>
  <c r="S19" i="92" s="1" a="1"/>
  <c r="S19" i="92" s="1"/>
  <c r="R18" i="92"/>
  <c r="S18" i="92" s="1" a="1"/>
  <c r="S18" i="92" s="1"/>
  <c r="R17" i="92"/>
  <c r="S17" i="92" s="1" a="1"/>
  <c r="S17" i="92" s="1"/>
  <c r="R16" i="92"/>
  <c r="S16" i="92" s="1" a="1"/>
  <c r="S16" i="92" s="1"/>
  <c r="R15" i="92"/>
  <c r="S15" i="92" s="1" a="1"/>
  <c r="S15" i="92" s="1"/>
  <c r="R14" i="92"/>
  <c r="S14" i="92" s="1" a="1"/>
  <c r="S14" i="92" s="1"/>
  <c r="R13" i="92"/>
  <c r="S13" i="92" s="1" a="1"/>
  <c r="S13" i="92" s="1"/>
  <c r="Q9" i="16"/>
  <c r="H14" i="84"/>
  <c r="G16" i="16"/>
  <c r="P106" i="18"/>
  <c r="O106" i="18"/>
  <c r="P107" i="18"/>
  <c r="H14" i="80"/>
  <c r="M107" i="18"/>
  <c r="J103" i="18"/>
  <c r="H15" i="80"/>
  <c r="O104" i="18"/>
  <c r="H17" i="80"/>
  <c r="B34" i="84"/>
  <c r="G19" i="84" s="1"/>
  <c r="G20" i="84"/>
  <c r="G18" i="84"/>
  <c r="G17" i="84"/>
  <c r="O3" i="80" l="1"/>
  <c r="B56" i="80"/>
  <c r="H56" i="80"/>
  <c r="O3" i="92"/>
  <c r="G39" i="92"/>
  <c r="B39" i="92"/>
  <c r="O3" i="93"/>
  <c r="H56" i="93"/>
  <c r="B56" i="93"/>
  <c r="O3" i="85"/>
  <c r="G39" i="85"/>
  <c r="B39" i="85"/>
  <c r="F4" i="5"/>
  <c r="G4" i="5"/>
  <c r="D4" i="5"/>
  <c r="W3" i="80"/>
  <c r="W34" i="80"/>
  <c r="E4" i="5"/>
  <c r="W3" i="93"/>
  <c r="W34" i="93"/>
  <c r="W3" i="85"/>
  <c r="W3" i="92"/>
  <c r="R52" i="93"/>
  <c r="S52" i="93" s="1" a="1"/>
  <c r="S52" i="93" s="1"/>
  <c r="S53" i="93"/>
  <c r="S36" i="92"/>
  <c r="G6" i="5" s="1"/>
  <c r="S14" i="80"/>
  <c r="S15" i="80"/>
  <c r="S16" i="80"/>
  <c r="S17" i="80"/>
  <c r="T13" i="93" l="1"/>
  <c r="T16" i="93"/>
  <c r="T24" i="93"/>
  <c r="T32" i="93"/>
  <c r="T40" i="93"/>
  <c r="T35" i="93"/>
  <c r="T14" i="93"/>
  <c r="T39" i="93"/>
  <c r="T17" i="93"/>
  <c r="T25" i="93"/>
  <c r="T33" i="93"/>
  <c r="T41" i="93"/>
  <c r="T19" i="93"/>
  <c r="T43" i="93"/>
  <c r="T30" i="93"/>
  <c r="T23" i="93"/>
  <c r="T18" i="93"/>
  <c r="T26" i="93"/>
  <c r="T34" i="93"/>
  <c r="T42" i="93"/>
  <c r="T27" i="93"/>
  <c r="T38" i="93"/>
  <c r="T31" i="93"/>
  <c r="T20" i="93"/>
  <c r="T28" i="93"/>
  <c r="T36" i="93"/>
  <c r="T21" i="93"/>
  <c r="T29" i="93"/>
  <c r="T37" i="93"/>
  <c r="T22" i="93"/>
  <c r="T15" i="93"/>
  <c r="E6" i="5"/>
  <c r="E7" i="5" s="1"/>
  <c r="G7" i="5"/>
  <c r="G8" i="5"/>
  <c r="K47" i="85"/>
  <c r="K41" i="85"/>
  <c r="R34" i="85"/>
  <c r="S34" i="85" s="1" a="1"/>
  <c r="S34" i="85" s="1"/>
  <c r="R33" i="85"/>
  <c r="S33" i="85" s="1" a="1"/>
  <c r="S33" i="85" s="1"/>
  <c r="R32" i="85"/>
  <c r="S32" i="85" s="1" a="1"/>
  <c r="S32" i="85" s="1"/>
  <c r="R31" i="85"/>
  <c r="S31" i="85" s="1" a="1"/>
  <c r="S31" i="85" s="1"/>
  <c r="R30" i="85"/>
  <c r="S30" i="85" s="1" a="1"/>
  <c r="S30" i="85" s="1"/>
  <c r="R29" i="85"/>
  <c r="S29" i="85" s="1" a="1"/>
  <c r="S29" i="85" s="1"/>
  <c r="R28" i="85"/>
  <c r="S28" i="85" s="1" a="1"/>
  <c r="S28" i="85" s="1"/>
  <c r="R27" i="85"/>
  <c r="S27" i="85" s="1" a="1"/>
  <c r="S27" i="85" s="1"/>
  <c r="R26" i="85"/>
  <c r="S26" i="85" s="1" a="1"/>
  <c r="S26" i="85" s="1"/>
  <c r="R25" i="85"/>
  <c r="S25" i="85" s="1" a="1"/>
  <c r="S25" i="85" s="1"/>
  <c r="R24" i="85"/>
  <c r="S24" i="85" s="1" a="1"/>
  <c r="S24" i="85" s="1"/>
  <c r="R23" i="85"/>
  <c r="S23" i="85" s="1" a="1"/>
  <c r="S23" i="85" s="1"/>
  <c r="R22" i="85"/>
  <c r="S22" i="85" s="1" a="1"/>
  <c r="S22" i="85" s="1"/>
  <c r="R21" i="85"/>
  <c r="S21" i="85" s="1" a="1"/>
  <c r="S21" i="85" s="1"/>
  <c r="R20" i="85"/>
  <c r="S20" i="85" s="1" a="1"/>
  <c r="S20" i="85" s="1"/>
  <c r="R19" i="85"/>
  <c r="S19" i="85" s="1" a="1"/>
  <c r="S19" i="85" s="1"/>
  <c r="R18" i="85"/>
  <c r="S18" i="85" s="1" a="1"/>
  <c r="S18" i="85" s="1"/>
  <c r="R17" i="85"/>
  <c r="S17" i="85" s="1" a="1"/>
  <c r="S17" i="85" s="1"/>
  <c r="R16" i="85"/>
  <c r="S16" i="85" s="1" a="1"/>
  <c r="S16" i="85" s="1"/>
  <c r="R15" i="85"/>
  <c r="S15" i="85" s="1" a="1"/>
  <c r="S15" i="85" s="1"/>
  <c r="R14" i="85"/>
  <c r="S14" i="85" s="1" a="1"/>
  <c r="S14" i="85" s="1"/>
  <c r="R13" i="85"/>
  <c r="S13" i="85" s="1" a="1"/>
  <c r="S13" i="85" s="1"/>
  <c r="C30" i="5"/>
  <c r="C31" i="5"/>
  <c r="C29" i="5"/>
  <c r="AT39" i="84"/>
  <c r="AS39" i="84"/>
  <c r="AR39" i="84"/>
  <c r="AQ39" i="84"/>
  <c r="AP39" i="84"/>
  <c r="AO39" i="84"/>
  <c r="AN39" i="84"/>
  <c r="AM39" i="84"/>
  <c r="AL39" i="84"/>
  <c r="AK39" i="84"/>
  <c r="AJ39" i="84"/>
  <c r="AI39" i="84"/>
  <c r="AH39" i="84"/>
  <c r="AG39" i="84"/>
  <c r="AF39" i="84"/>
  <c r="AT38" i="84"/>
  <c r="AS38" i="84"/>
  <c r="AR38" i="84"/>
  <c r="AQ38" i="84"/>
  <c r="AP38" i="84"/>
  <c r="AO38" i="84"/>
  <c r="AN38" i="84"/>
  <c r="AM38" i="84"/>
  <c r="AL38" i="84"/>
  <c r="AK38" i="84"/>
  <c r="AJ38" i="84"/>
  <c r="AI38" i="84"/>
  <c r="AH38" i="84"/>
  <c r="AG38" i="84"/>
  <c r="AF38" i="84"/>
  <c r="AT36" i="84"/>
  <c r="AS36" i="84"/>
  <c r="AR36" i="84"/>
  <c r="AQ36" i="84"/>
  <c r="AP36" i="84"/>
  <c r="AO36" i="84"/>
  <c r="AN36" i="84"/>
  <c r="AM36" i="84"/>
  <c r="AL36" i="84"/>
  <c r="AK36" i="84"/>
  <c r="AJ36" i="84"/>
  <c r="AI36" i="84"/>
  <c r="AH36" i="84"/>
  <c r="AG36" i="84"/>
  <c r="AF36" i="84"/>
  <c r="D36" i="84"/>
  <c r="E36" i="84" s="1"/>
  <c r="F36" i="84" s="1"/>
  <c r="G36" i="84" s="1"/>
  <c r="H36" i="84" s="1"/>
  <c r="I36" i="84" s="1"/>
  <c r="J36" i="84" s="1"/>
  <c r="K36" i="84" s="1"/>
  <c r="L36" i="84" s="1"/>
  <c r="M36" i="84" s="1"/>
  <c r="N36" i="84" s="1"/>
  <c r="O36" i="84" s="1"/>
  <c r="P36" i="84" s="1"/>
  <c r="Q36" i="84" s="1"/>
  <c r="R36" i="84" s="1"/>
  <c r="S36" i="84" s="1"/>
  <c r="T36" i="84" s="1"/>
  <c r="U36" i="84" s="1"/>
  <c r="V36" i="84" s="1"/>
  <c r="W36" i="84" s="1"/>
  <c r="X36" i="84" s="1"/>
  <c r="Y36" i="84" s="1"/>
  <c r="Z36" i="84" s="1"/>
  <c r="AA36" i="84" s="1"/>
  <c r="AB36" i="84" s="1"/>
  <c r="AC36" i="84" s="1"/>
  <c r="AD36" i="84" s="1"/>
  <c r="AE36" i="84" s="1"/>
  <c r="AT30" i="84"/>
  <c r="AS30" i="84"/>
  <c r="AR30" i="84"/>
  <c r="AQ30" i="84"/>
  <c r="AP30" i="84"/>
  <c r="AO30" i="84"/>
  <c r="AN30" i="84"/>
  <c r="AM30" i="84"/>
  <c r="AL30" i="84"/>
  <c r="AK30" i="84"/>
  <c r="AJ30" i="84"/>
  <c r="AI30" i="84"/>
  <c r="AH30" i="84"/>
  <c r="AG30" i="84"/>
  <c r="AF30" i="84"/>
  <c r="AT25" i="84"/>
  <c r="AT27" i="84" s="1"/>
  <c r="AS25" i="84"/>
  <c r="AS27" i="84" s="1"/>
  <c r="AR25" i="84"/>
  <c r="AR27" i="84" s="1"/>
  <c r="AQ25" i="84"/>
  <c r="AQ27" i="84" s="1"/>
  <c r="AP25" i="84"/>
  <c r="AP27" i="84" s="1"/>
  <c r="AO25" i="84"/>
  <c r="AO27" i="84" s="1"/>
  <c r="AN25" i="84"/>
  <c r="AN27" i="84" s="1"/>
  <c r="AM25" i="84"/>
  <c r="AM27" i="84" s="1"/>
  <c r="AL25" i="84"/>
  <c r="AL27" i="84" s="1"/>
  <c r="AK25" i="84"/>
  <c r="AK27" i="84" s="1"/>
  <c r="AJ25" i="84"/>
  <c r="AJ27" i="84" s="1"/>
  <c r="AI25" i="84"/>
  <c r="AI27" i="84" s="1"/>
  <c r="AH25" i="84"/>
  <c r="AH27" i="84" s="1"/>
  <c r="AG25" i="84"/>
  <c r="AG27" i="84" s="1"/>
  <c r="AF25" i="84"/>
  <c r="AF27" i="84" s="1"/>
  <c r="AE25" i="84"/>
  <c r="AE27" i="84" s="1"/>
  <c r="AD25" i="84"/>
  <c r="AD27" i="84" s="1"/>
  <c r="AC25" i="84"/>
  <c r="AC27" i="84" s="1"/>
  <c r="AB25" i="84"/>
  <c r="AB27" i="84" s="1"/>
  <c r="AA25" i="84"/>
  <c r="AA27" i="84" s="1"/>
  <c r="Z25" i="84"/>
  <c r="Z27" i="84" s="1"/>
  <c r="Y25" i="84"/>
  <c r="Y27" i="84" s="1"/>
  <c r="X25" i="84"/>
  <c r="X27" i="84" s="1"/>
  <c r="W25" i="84"/>
  <c r="W27" i="84" s="1"/>
  <c r="V25" i="84"/>
  <c r="V27" i="84" s="1"/>
  <c r="U25" i="84"/>
  <c r="U27" i="84" s="1"/>
  <c r="T25" i="84"/>
  <c r="T27" i="84" s="1"/>
  <c r="S25" i="84"/>
  <c r="S27" i="84" s="1"/>
  <c r="R25" i="84"/>
  <c r="R27" i="84" s="1"/>
  <c r="Q25" i="84"/>
  <c r="Q27" i="84" s="1"/>
  <c r="P25" i="84"/>
  <c r="P27" i="84" s="1"/>
  <c r="O25" i="84"/>
  <c r="O27" i="84" s="1"/>
  <c r="N25" i="84"/>
  <c r="N27" i="84" s="1"/>
  <c r="M25" i="84"/>
  <c r="M27" i="84" s="1"/>
  <c r="L25" i="84"/>
  <c r="L27" i="84" s="1"/>
  <c r="K25" i="84"/>
  <c r="K27" i="84" s="1"/>
  <c r="J25" i="84"/>
  <c r="J27" i="84" s="1"/>
  <c r="I25" i="84"/>
  <c r="I27" i="84" s="1"/>
  <c r="H25" i="84"/>
  <c r="H27" i="84" s="1"/>
  <c r="G25" i="84"/>
  <c r="G27" i="84" s="1"/>
  <c r="B10" i="84"/>
  <c r="B32" i="84" s="1"/>
  <c r="G22" i="84" s="1"/>
  <c r="B9" i="84"/>
  <c r="B31" i="84" s="1"/>
  <c r="G21" i="84" s="1"/>
  <c r="K23" i="83"/>
  <c r="L23" i="83" s="1"/>
  <c r="M23" i="83" s="1"/>
  <c r="N23" i="83" s="1"/>
  <c r="O23" i="83" s="1"/>
  <c r="P23" i="83" s="1"/>
  <c r="Q23" i="83" s="1"/>
  <c r="R23" i="83" s="1"/>
  <c r="S23" i="83" s="1"/>
  <c r="T23" i="83" s="1"/>
  <c r="J23" i="83"/>
  <c r="R17" i="83" a="1"/>
  <c r="R17" i="83" s="1"/>
  <c r="K36" i="83" s="1"/>
  <c r="R16" i="83" a="1"/>
  <c r="R16" i="83" s="1"/>
  <c r="K35" i="83" s="1"/>
  <c r="R15" i="83" a="1"/>
  <c r="R15" i="83" s="1"/>
  <c r="R14" i="83" a="1"/>
  <c r="R14" i="83" s="1"/>
  <c r="R13" i="83" a="1"/>
  <c r="R13" i="83" s="1"/>
  <c r="R12" i="83" a="1"/>
  <c r="R12" i="83" s="1"/>
  <c r="S50" i="80" a="1"/>
  <c r="S50" i="80" s="1"/>
  <c r="T50" i="80" s="1"/>
  <c r="R50" i="80"/>
  <c r="S49" i="80" a="1"/>
  <c r="S49" i="80" s="1"/>
  <c r="T49" i="80" s="1"/>
  <c r="R49" i="80"/>
  <c r="S48" i="80" a="1"/>
  <c r="S48" i="80" s="1"/>
  <c r="T48" i="80" s="1"/>
  <c r="R48" i="80"/>
  <c r="S47" i="80" a="1"/>
  <c r="S47" i="80" s="1"/>
  <c r="T47" i="80" s="1"/>
  <c r="R47" i="80"/>
  <c r="S46" i="80" a="1"/>
  <c r="S46" i="80" s="1"/>
  <c r="T46" i="80" s="1"/>
  <c r="R46" i="80"/>
  <c r="S43" i="80"/>
  <c r="H43" i="80"/>
  <c r="S42" i="80"/>
  <c r="H42" i="80"/>
  <c r="S41" i="80"/>
  <c r="H41" i="80"/>
  <c r="S40" i="80"/>
  <c r="H40" i="80"/>
  <c r="S39" i="80"/>
  <c r="H39" i="80"/>
  <c r="S38" i="80"/>
  <c r="H38" i="80"/>
  <c r="S37" i="80"/>
  <c r="H37" i="80"/>
  <c r="S36" i="80"/>
  <c r="H36" i="80"/>
  <c r="S35" i="80"/>
  <c r="H35" i="80"/>
  <c r="S34" i="80"/>
  <c r="H34" i="80"/>
  <c r="S33" i="80"/>
  <c r="H33" i="80"/>
  <c r="S32" i="80"/>
  <c r="H32" i="80"/>
  <c r="S31" i="80"/>
  <c r="H31" i="80"/>
  <c r="S30" i="80"/>
  <c r="H30" i="80"/>
  <c r="S29" i="80"/>
  <c r="H29" i="80"/>
  <c r="S28" i="80"/>
  <c r="H28" i="80"/>
  <c r="S27" i="80"/>
  <c r="H27" i="80"/>
  <c r="S26" i="80"/>
  <c r="H26" i="80"/>
  <c r="S25" i="80"/>
  <c r="H25" i="80"/>
  <c r="S24" i="80"/>
  <c r="H24" i="80"/>
  <c r="S23" i="80"/>
  <c r="H23" i="80"/>
  <c r="S22" i="80"/>
  <c r="H22" i="80"/>
  <c r="S21" i="80"/>
  <c r="H21" i="80"/>
  <c r="S20" i="80"/>
  <c r="H20" i="80"/>
  <c r="S19" i="80"/>
  <c r="H19" i="80"/>
  <c r="S18" i="80"/>
  <c r="H18" i="80"/>
  <c r="H16" i="80"/>
  <c r="H13" i="80"/>
  <c r="H10" i="30" a="1"/>
  <c r="D36" i="30" a="1"/>
  <c r="D24" i="30" a="1"/>
  <c r="D16" i="30" a="1"/>
  <c r="H9" i="30" a="1"/>
  <c r="D3" i="30" a="1"/>
  <c r="D4" i="30" a="1"/>
  <c r="D41" i="30" a="1"/>
  <c r="H6" i="30" a="1"/>
  <c r="D34" i="30" a="1"/>
  <c r="D40" i="30" a="1"/>
  <c r="D44" i="30" a="1"/>
  <c r="D7" i="30" a="1"/>
  <c r="D10" i="30" a="1"/>
  <c r="D42" i="30" a="1"/>
  <c r="D22" i="30" a="1"/>
  <c r="D13" i="30" a="1"/>
  <c r="D38" i="30" a="1"/>
  <c r="D5" i="30" a="1"/>
  <c r="D25" i="30" a="1"/>
  <c r="D39" i="30" a="1"/>
  <c r="D28" i="30" a="1"/>
  <c r="D8" i="30" a="1"/>
  <c r="D21" i="30" a="1"/>
  <c r="D32" i="30" a="1"/>
  <c r="D23" i="30" a="1"/>
  <c r="D18" i="30" a="1"/>
  <c r="D19" i="30" a="1"/>
  <c r="D27" i="30" a="1"/>
  <c r="D43" i="30" a="1"/>
  <c r="D46" i="30" a="1"/>
  <c r="H11" i="30" a="1"/>
  <c r="H4" i="30" a="1"/>
  <c r="D11" i="30" a="1"/>
  <c r="D35" i="30" a="1"/>
  <c r="D14" i="30" a="1"/>
  <c r="D9" i="30" a="1"/>
  <c r="H17" i="30" a="1"/>
  <c r="D12" i="30" a="1"/>
  <c r="D29" i="30" a="1"/>
  <c r="D15" i="30" a="1"/>
  <c r="H7" i="30" a="1"/>
  <c r="H22" i="30" a="1"/>
  <c r="H16" i="30" a="1"/>
  <c r="D45" i="30" a="1"/>
  <c r="D17" i="30" a="1"/>
  <c r="D48" i="30" a="1"/>
  <c r="H13" i="30" a="1"/>
  <c r="D26" i="30" a="1"/>
  <c r="D31" i="30" a="1"/>
  <c r="H12" i="30" a="1"/>
  <c r="D6" i="30" a="1"/>
  <c r="H5" i="30" a="1"/>
  <c r="H21" i="30" a="1"/>
  <c r="H18" i="30" a="1"/>
  <c r="D30" i="30" a="1"/>
  <c r="H3" i="30" a="1"/>
  <c r="H19" i="30" a="1"/>
  <c r="H15" i="30" a="1"/>
  <c r="H14" i="30" a="1"/>
  <c r="D47" i="30" a="1"/>
  <c r="D20" i="30" a="1"/>
  <c r="D33" i="30" a="1"/>
  <c r="H8" i="30" a="1"/>
  <c r="D37" i="30" a="1"/>
  <c r="H20" i="30" a="1"/>
  <c r="C33" i="5" l="1"/>
  <c r="D33" i="5"/>
  <c r="E8" i="5"/>
  <c r="E9" i="5" s="1"/>
  <c r="E10" i="5" s="1"/>
  <c r="E11" i="5" s="1"/>
  <c r="G9" i="5"/>
  <c r="G10" i="5" s="1"/>
  <c r="G11" i="5" s="1"/>
  <c r="R52" i="80"/>
  <c r="S52" i="80" s="1" a="1"/>
  <c r="S52" i="80" s="1"/>
  <c r="D45" i="30"/>
  <c r="D33" i="30"/>
  <c r="D27" i="30"/>
  <c r="D21" i="30"/>
  <c r="D15" i="30"/>
  <c r="D9" i="30"/>
  <c r="D39" i="30"/>
  <c r="D38" i="30"/>
  <c r="D32" i="30"/>
  <c r="D20" i="30"/>
  <c r="D8" i="30"/>
  <c r="D44" i="30"/>
  <c r="D26" i="30"/>
  <c r="D14" i="30"/>
  <c r="D43" i="30"/>
  <c r="D31" i="30"/>
  <c r="D25" i="30"/>
  <c r="D19" i="30"/>
  <c r="D13" i="30"/>
  <c r="D7" i="30"/>
  <c r="D37" i="30"/>
  <c r="D48" i="30"/>
  <c r="D42" i="30"/>
  <c r="D30" i="30"/>
  <c r="D24" i="30"/>
  <c r="D18" i="30"/>
  <c r="D12" i="30"/>
  <c r="D6" i="30"/>
  <c r="D36" i="30"/>
  <c r="D47" i="30"/>
  <c r="D41" i="30"/>
  <c r="D29" i="30"/>
  <c r="D23" i="30"/>
  <c r="D17" i="30"/>
  <c r="D11" i="30"/>
  <c r="D5" i="30"/>
  <c r="D35" i="30"/>
  <c r="D46" i="30"/>
  <c r="D40" i="30"/>
  <c r="D34" i="30"/>
  <c r="D28" i="30"/>
  <c r="D22" i="30"/>
  <c r="D16" i="30"/>
  <c r="D10" i="30"/>
  <c r="D4" i="30"/>
  <c r="D3" i="30"/>
  <c r="H21" i="30"/>
  <c r="H15" i="30"/>
  <c r="H9" i="30"/>
  <c r="H20" i="30"/>
  <c r="H14" i="30"/>
  <c r="H8" i="30"/>
  <c r="H19" i="30"/>
  <c r="H7" i="30"/>
  <c r="H13" i="30"/>
  <c r="H12" i="30"/>
  <c r="H6" i="30"/>
  <c r="H18" i="30"/>
  <c r="H11" i="30"/>
  <c r="H5" i="30"/>
  <c r="H17" i="30"/>
  <c r="H22" i="30"/>
  <c r="H16" i="30"/>
  <c r="H10" i="30"/>
  <c r="H4" i="30"/>
  <c r="H3" i="30"/>
  <c r="T29" i="83"/>
  <c r="Q25" i="83"/>
  <c r="S36" i="85"/>
  <c r="F6" i="5" s="1"/>
  <c r="K34" i="83"/>
  <c r="L27" i="83"/>
  <c r="T27" i="83"/>
  <c r="T24" i="83"/>
  <c r="L24" i="83"/>
  <c r="S24" i="83"/>
  <c r="K24" i="83"/>
  <c r="K28" i="83" s="1"/>
  <c r="R24" i="83"/>
  <c r="Q24" i="83"/>
  <c r="P24" i="83"/>
  <c r="O24" i="83"/>
  <c r="K31" i="83"/>
  <c r="N24" i="83"/>
  <c r="M24" i="83"/>
  <c r="N26" i="83"/>
  <c r="M26" i="83"/>
  <c r="K33" i="83"/>
  <c r="T26" i="83"/>
  <c r="L26" i="83"/>
  <c r="S26" i="83"/>
  <c r="K26" i="83"/>
  <c r="R26" i="83"/>
  <c r="O26" i="83"/>
  <c r="Q26" i="83"/>
  <c r="P26" i="83"/>
  <c r="P28" i="83"/>
  <c r="O28" i="83"/>
  <c r="N28" i="83"/>
  <c r="M28" i="83"/>
  <c r="T28" i="83"/>
  <c r="L28" i="83"/>
  <c r="Q28" i="83"/>
  <c r="S28" i="83"/>
  <c r="R28" i="83"/>
  <c r="R25" i="83"/>
  <c r="N29" i="83"/>
  <c r="K25" i="83"/>
  <c r="S25" i="83"/>
  <c r="M27" i="83"/>
  <c r="O29" i="83"/>
  <c r="L25" i="83"/>
  <c r="T25" i="83"/>
  <c r="N27" i="83"/>
  <c r="P29" i="83" a="1"/>
  <c r="P29" i="83" s="1"/>
  <c r="M25" i="83"/>
  <c r="O27" i="83"/>
  <c r="K32" i="83"/>
  <c r="N25" i="83"/>
  <c r="P27" i="83"/>
  <c r="Q29" i="83"/>
  <c r="O25" i="83"/>
  <c r="Q27" i="83"/>
  <c r="K29" i="83"/>
  <c r="R29" i="83"/>
  <c r="R27" i="83"/>
  <c r="L29" i="83"/>
  <c r="S29" i="83"/>
  <c r="P25" i="83"/>
  <c r="K27" i="83"/>
  <c r="S27" i="83"/>
  <c r="M29" i="83"/>
  <c r="S53" i="80"/>
  <c r="T13" i="80" l="1"/>
  <c r="T16" i="80"/>
  <c r="T24" i="80"/>
  <c r="T32" i="80"/>
  <c r="T40" i="80"/>
  <c r="T17" i="80"/>
  <c r="T33" i="80"/>
  <c r="T41" i="80"/>
  <c r="T30" i="80"/>
  <c r="T23" i="80"/>
  <c r="T25" i="80"/>
  <c r="T18" i="80"/>
  <c r="T26" i="80"/>
  <c r="T34" i="80"/>
  <c r="T42" i="80"/>
  <c r="T19" i="80"/>
  <c r="T27" i="80"/>
  <c r="T35" i="80"/>
  <c r="T43" i="80"/>
  <c r="T15" i="80"/>
  <c r="T20" i="80"/>
  <c r="T28" i="80"/>
  <c r="T36" i="80"/>
  <c r="T21" i="80"/>
  <c r="T29" i="80"/>
  <c r="T37" i="80"/>
  <c r="T14" i="80"/>
  <c r="T22" i="80"/>
  <c r="T38" i="80"/>
  <c r="T31" i="80"/>
  <c r="T39" i="80"/>
  <c r="E12" i="5"/>
  <c r="E13" i="5" s="1"/>
  <c r="E14" i="5" s="1"/>
  <c r="G12" i="5"/>
  <c r="G13" i="5" s="1"/>
  <c r="G14" i="5" s="1"/>
  <c r="F8" i="5"/>
  <c r="F7" i="5"/>
  <c r="D6" i="5"/>
  <c r="R10" i="32" a="1"/>
  <c r="R10" i="32" s="1"/>
  <c r="R9" i="32" a="1"/>
  <c r="R9" i="32" s="1"/>
  <c r="R8" i="32" a="1"/>
  <c r="R8" i="32" s="1"/>
  <c r="R7" i="32" a="1"/>
  <c r="R7" i="32" s="1"/>
  <c r="R6" i="32" a="1"/>
  <c r="R6" i="32" s="1"/>
  <c r="R5" i="32" a="1"/>
  <c r="R5" i="32" s="1"/>
  <c r="J107" i="18"/>
  <c r="M106" i="18"/>
  <c r="J106" i="18"/>
  <c r="P105" i="18"/>
  <c r="M105" i="18"/>
  <c r="J105" i="18"/>
  <c r="P104" i="18"/>
  <c r="M104" i="18"/>
  <c r="J104" i="18"/>
  <c r="O103" i="18"/>
  <c r="M103" i="18"/>
  <c r="O102" i="18"/>
  <c r="M102" i="18"/>
  <c r="J102" i="18"/>
  <c r="P101" i="18"/>
  <c r="N101" i="18"/>
  <c r="M101" i="18"/>
  <c r="J101" i="18"/>
  <c r="P100" i="18"/>
  <c r="N100" i="18"/>
  <c r="M100" i="18"/>
  <c r="J100" i="18"/>
  <c r="P99" i="18"/>
  <c r="N99" i="18"/>
  <c r="M99" i="18"/>
  <c r="J99" i="18"/>
  <c r="P98" i="18"/>
  <c r="M98" i="18"/>
  <c r="J98" i="18"/>
  <c r="P97" i="18"/>
  <c r="M97" i="18"/>
  <c r="J97" i="18"/>
  <c r="M96" i="18"/>
  <c r="M95" i="18"/>
  <c r="J95" i="18"/>
  <c r="P94" i="18"/>
  <c r="J94" i="18"/>
  <c r="P93" i="18"/>
  <c r="M93" i="18"/>
  <c r="J93" i="18"/>
  <c r="P92" i="18"/>
  <c r="J92" i="18"/>
  <c r="P91" i="18"/>
  <c r="J91" i="18"/>
  <c r="P90" i="18"/>
  <c r="M90" i="18"/>
  <c r="J90" i="18"/>
  <c r="P89" i="18"/>
  <c r="M89" i="18"/>
  <c r="J89" i="18"/>
  <c r="P88" i="18"/>
  <c r="M88" i="18"/>
  <c r="J88" i="18"/>
  <c r="P87" i="18"/>
  <c r="M87" i="18"/>
  <c r="J87" i="18"/>
  <c r="P86" i="18"/>
  <c r="M86" i="18"/>
  <c r="J86" i="18"/>
  <c r="P85" i="18"/>
  <c r="M85" i="18"/>
  <c r="J85" i="18"/>
  <c r="O84" i="18"/>
  <c r="N84" i="18"/>
  <c r="M84" i="18"/>
  <c r="J84" i="18"/>
  <c r="O83" i="18"/>
  <c r="N83" i="18"/>
  <c r="M83" i="18"/>
  <c r="J83" i="18"/>
  <c r="O82" i="18"/>
  <c r="N82" i="18"/>
  <c r="M82" i="18"/>
  <c r="J82" i="18"/>
  <c r="P81" i="18"/>
  <c r="J81" i="18"/>
  <c r="P80" i="18"/>
  <c r="J80" i="18"/>
  <c r="P79" i="18"/>
  <c r="J79" i="18"/>
  <c r="O78" i="18"/>
  <c r="P78" i="18" s="1"/>
  <c r="M78" i="18"/>
  <c r="J78" i="18"/>
  <c r="O77" i="18"/>
  <c r="P77" i="18" s="1"/>
  <c r="M77" i="18"/>
  <c r="J77" i="18"/>
  <c r="O76" i="18"/>
  <c r="M76" i="18"/>
  <c r="J76" i="18"/>
  <c r="O75" i="18"/>
  <c r="N75" i="18"/>
  <c r="M75" i="18"/>
  <c r="J75" i="18"/>
  <c r="O74" i="18"/>
  <c r="P74" i="18" s="1"/>
  <c r="M74" i="18"/>
  <c r="J74" i="18"/>
  <c r="O73" i="18"/>
  <c r="M73" i="18"/>
  <c r="J73" i="18"/>
  <c r="O72" i="18"/>
  <c r="N72" i="18"/>
  <c r="M72" i="18"/>
  <c r="J72" i="18"/>
  <c r="O71" i="18"/>
  <c r="N71" i="18"/>
  <c r="M71" i="18"/>
  <c r="J71" i="18"/>
  <c r="O70" i="18"/>
  <c r="N70" i="18"/>
  <c r="M70" i="18"/>
  <c r="J70" i="18"/>
  <c r="O69" i="18"/>
  <c r="N69" i="18"/>
  <c r="M69" i="18"/>
  <c r="J69" i="18"/>
  <c r="O68" i="18"/>
  <c r="N68" i="18"/>
  <c r="M68" i="18"/>
  <c r="J68" i="18"/>
  <c r="O67" i="18"/>
  <c r="N67" i="18"/>
  <c r="M67" i="18"/>
  <c r="J67" i="18"/>
  <c r="P66" i="18"/>
  <c r="N66" i="18"/>
  <c r="M66" i="18"/>
  <c r="J66" i="18"/>
  <c r="P65" i="18"/>
  <c r="N65" i="18"/>
  <c r="M65" i="18"/>
  <c r="J65" i="18"/>
  <c r="P64" i="18"/>
  <c r="N64" i="18"/>
  <c r="M64" i="18"/>
  <c r="J64" i="18"/>
  <c r="P63" i="18"/>
  <c r="N63" i="18"/>
  <c r="M63" i="18"/>
  <c r="J63" i="18"/>
  <c r="P62" i="18"/>
  <c r="N62" i="18"/>
  <c r="M62" i="18"/>
  <c r="J62" i="18"/>
  <c r="P61" i="18"/>
  <c r="N61" i="18"/>
  <c r="M61" i="18"/>
  <c r="J61" i="18"/>
  <c r="P60" i="18"/>
  <c r="N60" i="18"/>
  <c r="M60" i="18"/>
  <c r="J60" i="18"/>
  <c r="P59" i="18"/>
  <c r="N59" i="18"/>
  <c r="M59" i="18"/>
  <c r="J59" i="18"/>
  <c r="P58" i="18"/>
  <c r="N58" i="18"/>
  <c r="M58" i="18"/>
  <c r="J58" i="18"/>
  <c r="P57" i="18"/>
  <c r="N57" i="18"/>
  <c r="M57" i="18"/>
  <c r="J57" i="18"/>
  <c r="P56" i="18"/>
  <c r="N56" i="18"/>
  <c r="M56" i="18"/>
  <c r="J56" i="18"/>
  <c r="P55" i="18"/>
  <c r="N55" i="18"/>
  <c r="M55" i="18"/>
  <c r="J55" i="18"/>
  <c r="P54" i="18"/>
  <c r="M54" i="18"/>
  <c r="J54" i="18"/>
  <c r="P53" i="18"/>
  <c r="M53" i="18"/>
  <c r="J53" i="18"/>
  <c r="P52" i="18"/>
  <c r="M52" i="18"/>
  <c r="J52" i="18"/>
  <c r="P51" i="18"/>
  <c r="M51" i="18"/>
  <c r="J51" i="18"/>
  <c r="P50" i="18"/>
  <c r="M50" i="18"/>
  <c r="J50" i="18"/>
  <c r="P49" i="18"/>
  <c r="M49" i="18"/>
  <c r="J49" i="18"/>
  <c r="P48" i="18"/>
  <c r="M48" i="18"/>
  <c r="J48" i="18"/>
  <c r="P47" i="18"/>
  <c r="M47" i="18"/>
  <c r="J47" i="18"/>
  <c r="P46" i="18"/>
  <c r="M46" i="18"/>
  <c r="J46" i="18"/>
  <c r="P45" i="18"/>
  <c r="N45" i="18"/>
  <c r="M45" i="18"/>
  <c r="J45" i="18"/>
  <c r="P44" i="18"/>
  <c r="N44" i="18"/>
  <c r="M44" i="18"/>
  <c r="J44" i="18"/>
  <c r="P43" i="18"/>
  <c r="N43" i="18"/>
  <c r="M43" i="18"/>
  <c r="J43" i="18"/>
  <c r="P42" i="18"/>
  <c r="N42" i="18"/>
  <c r="M42" i="18"/>
  <c r="J42" i="18"/>
  <c r="P41" i="18"/>
  <c r="M41" i="18"/>
  <c r="J41" i="18"/>
  <c r="P40" i="18"/>
  <c r="M40" i="18"/>
  <c r="J40" i="18"/>
  <c r="P39" i="18"/>
  <c r="J39" i="18"/>
  <c r="P38" i="18"/>
  <c r="M38" i="18"/>
  <c r="J38" i="18"/>
  <c r="P37" i="18"/>
  <c r="M37" i="18"/>
  <c r="J37" i="18"/>
  <c r="P36" i="18"/>
  <c r="M36" i="18"/>
  <c r="J36" i="18"/>
  <c r="P35" i="18"/>
  <c r="J35" i="18"/>
  <c r="P34" i="18"/>
  <c r="M34" i="18"/>
  <c r="J34" i="18"/>
  <c r="P33" i="18"/>
  <c r="M33" i="18"/>
  <c r="J33" i="18"/>
  <c r="P32" i="18"/>
  <c r="M32" i="18"/>
  <c r="J32" i="18"/>
  <c r="P31" i="18"/>
  <c r="M31" i="18"/>
  <c r="J31" i="18"/>
  <c r="P30" i="18"/>
  <c r="M30" i="18"/>
  <c r="J30" i="18"/>
  <c r="P29" i="18"/>
  <c r="M29" i="18"/>
  <c r="J29" i="18"/>
  <c r="P28" i="18"/>
  <c r="M28" i="18"/>
  <c r="J28" i="18"/>
  <c r="P27" i="18"/>
  <c r="M27" i="18"/>
  <c r="J27" i="18"/>
  <c r="P26" i="18"/>
  <c r="M26" i="18"/>
  <c r="J26" i="18"/>
  <c r="P25" i="18"/>
  <c r="M25" i="18"/>
  <c r="J25" i="18"/>
  <c r="P24" i="18"/>
  <c r="M24" i="18"/>
  <c r="J24" i="18"/>
  <c r="P23" i="18"/>
  <c r="M23" i="18"/>
  <c r="J23" i="18"/>
  <c r="P22" i="18"/>
  <c r="M22" i="18"/>
  <c r="J22" i="18"/>
  <c r="P21" i="18"/>
  <c r="M21" i="18"/>
  <c r="J21" i="18"/>
  <c r="P20" i="18"/>
  <c r="M20" i="18"/>
  <c r="J20" i="18"/>
  <c r="P19" i="18"/>
  <c r="M19" i="18"/>
  <c r="J19" i="18"/>
  <c r="P18" i="18"/>
  <c r="M18" i="18"/>
  <c r="J18" i="18"/>
  <c r="P17" i="18"/>
  <c r="M17" i="18"/>
  <c r="J17" i="18"/>
  <c r="P16" i="18"/>
  <c r="M16" i="18"/>
  <c r="J16" i="18"/>
  <c r="P15" i="18"/>
  <c r="M15" i="18"/>
  <c r="J15" i="18"/>
  <c r="P14" i="18"/>
  <c r="M14" i="18"/>
  <c r="J14" i="18"/>
  <c r="P13" i="18"/>
  <c r="M13" i="18"/>
  <c r="J13" i="18"/>
  <c r="F9" i="5" l="1"/>
  <c r="F10" i="5" s="1"/>
  <c r="F11" i="5" s="1"/>
  <c r="D8" i="5"/>
  <c r="D7" i="5"/>
  <c r="P82" i="18"/>
  <c r="P84" i="18"/>
  <c r="P76" i="18"/>
  <c r="P68" i="18"/>
  <c r="P72" i="18"/>
  <c r="P75" i="18"/>
  <c r="P71" i="18"/>
  <c r="P73" i="18"/>
  <c r="P83" i="18"/>
  <c r="P67" i="18"/>
  <c r="P69" i="18"/>
  <c r="P70" i="18"/>
  <c r="D9" i="5" l="1"/>
  <c r="D10" i="5" s="1"/>
  <c r="D11" i="5" s="1"/>
  <c r="F12" i="5"/>
  <c r="F13" i="5" s="1"/>
  <c r="F14" i="5" s="1"/>
  <c r="D12" i="5" l="1"/>
  <c r="D13" i="5" s="1"/>
  <c r="D14" i="5" s="1"/>
  <c r="U17" i="16" l="1"/>
  <c r="U16" i="16"/>
  <c r="N16" i="16"/>
  <c r="D9" i="84" s="1"/>
  <c r="G31" i="84" s="1"/>
  <c r="N17" i="16"/>
  <c r="D10" i="84" s="1"/>
  <c r="J27" i="32"/>
  <c r="J26" i="32"/>
  <c r="J25" i="32"/>
  <c r="J24" i="32"/>
  <c r="J22" i="32"/>
  <c r="J21" i="32"/>
  <c r="J20" i="32"/>
  <c r="J19" i="32"/>
  <c r="J18" i="32"/>
  <c r="J17" i="32"/>
  <c r="K16" i="32"/>
  <c r="L16" i="32" s="1"/>
  <c r="M16" i="32" s="1"/>
  <c r="N16" i="32" s="1"/>
  <c r="O16" i="32" s="1"/>
  <c r="P16" i="32" s="1"/>
  <c r="Q16" i="32" s="1"/>
  <c r="R16" i="32" s="1"/>
  <c r="S16" i="32" s="1"/>
  <c r="T16" i="32" s="1"/>
  <c r="J16" i="32"/>
  <c r="J14" i="32"/>
  <c r="U18" i="16" l="1"/>
  <c r="D11" i="84" s="1"/>
  <c r="U19" i="16"/>
  <c r="G33" i="84" s="1"/>
  <c r="AO32" i="84"/>
  <c r="J32" i="84"/>
  <c r="AH32" i="84"/>
  <c r="AP32" i="84"/>
  <c r="Z32" i="84"/>
  <c r="R32" i="84"/>
  <c r="AB32" i="84"/>
  <c r="N32" i="84"/>
  <c r="AE32" i="84"/>
  <c r="K32" i="84"/>
  <c r="AJ32" i="84"/>
  <c r="V32" i="84"/>
  <c r="AM32" i="84"/>
  <c r="H32" i="84"/>
  <c r="S32" i="84"/>
  <c r="AR32" i="84"/>
  <c r="AD32" i="84"/>
  <c r="P32" i="84"/>
  <c r="I32" i="84"/>
  <c r="AA32" i="84"/>
  <c r="M32" i="84"/>
  <c r="AL32" i="84"/>
  <c r="X32" i="84"/>
  <c r="Q32" i="84"/>
  <c r="AI32" i="84"/>
  <c r="U32" i="84"/>
  <c r="AT32" i="84"/>
  <c r="AF32" i="84"/>
  <c r="Y32" i="84"/>
  <c r="AQ32" i="84"/>
  <c r="AC32" i="84"/>
  <c r="G32" i="84"/>
  <c r="AN32" i="84"/>
  <c r="AG32" i="84"/>
  <c r="AS32" i="84"/>
  <c r="W32" i="84"/>
  <c r="L32" i="84"/>
  <c r="AK32" i="84"/>
  <c r="O32" i="84"/>
  <c r="T32" i="84"/>
  <c r="AO31" i="84"/>
  <c r="AQ31" i="84"/>
  <c r="R31" i="84"/>
  <c r="AC31" i="84"/>
  <c r="AN31" i="84"/>
  <c r="Y31" i="84"/>
  <c r="L31" i="84"/>
  <c r="O31" i="84"/>
  <c r="AK31" i="84"/>
  <c r="AG31" i="84"/>
  <c r="T31" i="84"/>
  <c r="AS31" i="84"/>
  <c r="W31" i="84"/>
  <c r="Z31" i="84"/>
  <c r="AB31" i="84"/>
  <c r="N31" i="84"/>
  <c r="AE31" i="84"/>
  <c r="AI31" i="84"/>
  <c r="AT31" i="84"/>
  <c r="K31" i="84"/>
  <c r="AJ31" i="84"/>
  <c r="V31" i="84"/>
  <c r="AM31" i="84"/>
  <c r="H31" i="84"/>
  <c r="AF31" i="84"/>
  <c r="S31" i="84"/>
  <c r="AR31" i="84"/>
  <c r="J31" i="84"/>
  <c r="AD31" i="84"/>
  <c r="P31" i="84"/>
  <c r="Q31" i="84"/>
  <c r="AA31" i="84"/>
  <c r="M31" i="84"/>
  <c r="AP31" i="84"/>
  <c r="AL31" i="84"/>
  <c r="X31" i="84"/>
  <c r="I31" i="84"/>
  <c r="U31" i="84"/>
  <c r="AH31" i="84"/>
  <c r="AH33" i="84"/>
  <c r="AP33" i="84"/>
  <c r="AB33" i="84"/>
  <c r="AE33" i="84"/>
  <c r="K33" i="84"/>
  <c r="S33" i="84"/>
  <c r="AO33" i="84"/>
  <c r="I33" i="84"/>
  <c r="AR33" i="84"/>
  <c r="AI33" i="84"/>
  <c r="AJ33" i="84"/>
  <c r="AS33" i="84"/>
  <c r="AT33" i="84"/>
  <c r="Q33" i="84"/>
  <c r="Y33" i="84"/>
  <c r="G18" i="16"/>
  <c r="D8" i="84" s="1"/>
  <c r="P21" i="32"/>
  <c r="L17" i="32"/>
  <c r="M17" i="32"/>
  <c r="K17" i="32"/>
  <c r="K21" i="32" s="1"/>
  <c r="Q17" i="32"/>
  <c r="P17" i="32"/>
  <c r="O17" i="32"/>
  <c r="K24" i="32"/>
  <c r="N17" i="32"/>
  <c r="Q18" i="32"/>
  <c r="Q21" i="32"/>
  <c r="T17" i="32"/>
  <c r="K27" i="32"/>
  <c r="K20" i="32"/>
  <c r="Q20" i="32"/>
  <c r="P20" i="32"/>
  <c r="O20" i="32"/>
  <c r="L20" i="32"/>
  <c r="N20" i="32"/>
  <c r="M20" i="32"/>
  <c r="N19" i="32"/>
  <c r="M19" i="32"/>
  <c r="K26" i="32"/>
  <c r="L19" i="32"/>
  <c r="K19" i="32"/>
  <c r="O19" i="32"/>
  <c r="Q19" i="32"/>
  <c r="P19" i="32"/>
  <c r="K18" i="32"/>
  <c r="O22" i="32"/>
  <c r="L18" i="32"/>
  <c r="P22" i="32" a="1"/>
  <c r="P22" i="32" s="1"/>
  <c r="M18" i="32"/>
  <c r="L21" i="32"/>
  <c r="K25" i="32"/>
  <c r="N18" i="32"/>
  <c r="M21" i="32"/>
  <c r="Q22" i="32"/>
  <c r="O18" i="32"/>
  <c r="N21" i="32"/>
  <c r="K22" i="32"/>
  <c r="P18" i="32"/>
  <c r="O21" i="32"/>
  <c r="L22" i="32"/>
  <c r="N22" i="32"/>
  <c r="M22" i="32"/>
  <c r="X33" i="84" l="1"/>
  <c r="AQ33" i="84"/>
  <c r="L33" i="84"/>
  <c r="AM33" i="84"/>
  <c r="AG33" i="84"/>
  <c r="O33" i="84"/>
  <c r="W33" i="84"/>
  <c r="AC33" i="84"/>
  <c r="AL33" i="84"/>
  <c r="J33" i="84"/>
  <c r="N33" i="84"/>
  <c r="H33" i="84"/>
  <c r="AA33" i="84"/>
  <c r="M33" i="84"/>
  <c r="R33" i="84"/>
  <c r="AF33" i="84"/>
  <c r="AK33" i="84"/>
  <c r="T33" i="84"/>
  <c r="AN33" i="84"/>
  <c r="Z33" i="84"/>
  <c r="P33" i="84"/>
  <c r="V33" i="84"/>
  <c r="U33" i="84"/>
  <c r="AD33" i="84"/>
  <c r="Y30" i="84"/>
  <c r="Z30" i="84"/>
  <c r="R30" i="84"/>
  <c r="J30" i="84"/>
  <c r="AB30" i="84"/>
  <c r="N30" i="84"/>
  <c r="K30" i="84"/>
  <c r="H30" i="84"/>
  <c r="V30" i="84"/>
  <c r="S30" i="84"/>
  <c r="AD30" i="84"/>
  <c r="P30" i="84"/>
  <c r="AA30" i="84"/>
  <c r="M30" i="84"/>
  <c r="X30" i="84"/>
  <c r="T30" i="84"/>
  <c r="AE30" i="84"/>
  <c r="U30" i="84"/>
  <c r="G30" i="84"/>
  <c r="I30" i="84"/>
  <c r="AC30" i="84"/>
  <c r="O30" i="84"/>
  <c r="Q30" i="84"/>
  <c r="L30" i="84"/>
  <c r="W30" i="84"/>
  <c r="AO34" i="84"/>
  <c r="AO35" i="84" s="1"/>
  <c r="AO37" i="84" s="1"/>
  <c r="R34" i="84"/>
  <c r="AP34" i="84"/>
  <c r="AP35" i="84" s="1"/>
  <c r="AP37" i="84" s="1"/>
  <c r="AH34" i="84"/>
  <c r="AH35" i="84" s="1"/>
  <c r="AH37" i="84" s="1"/>
  <c r="Z34" i="84"/>
  <c r="J34" i="84"/>
  <c r="AA34" i="84"/>
  <c r="M34" i="84"/>
  <c r="AD34" i="84"/>
  <c r="X34" i="84"/>
  <c r="Y34" i="84"/>
  <c r="U34" i="84"/>
  <c r="AL34" i="84"/>
  <c r="AG34" i="84"/>
  <c r="AI34" i="84"/>
  <c r="AI35" i="84" s="1"/>
  <c r="AI37" i="84" s="1"/>
  <c r="AQ34" i="84"/>
  <c r="AC34" i="84"/>
  <c r="AT34" i="84"/>
  <c r="AT35" i="84" s="1"/>
  <c r="AT37" i="84" s="1"/>
  <c r="G34" i="84"/>
  <c r="AN34" i="84"/>
  <c r="AN35" i="84" s="1"/>
  <c r="AN37" i="84" s="1"/>
  <c r="L34" i="84"/>
  <c r="AK34" i="84"/>
  <c r="O34" i="84"/>
  <c r="P34" i="84"/>
  <c r="T34" i="84"/>
  <c r="AS34" i="84"/>
  <c r="AS35" i="84" s="1"/>
  <c r="AS37" i="84" s="1"/>
  <c r="W34" i="84"/>
  <c r="AR34" i="84"/>
  <c r="AR35" i="84" s="1"/>
  <c r="AR37" i="84" s="1"/>
  <c r="V34" i="84"/>
  <c r="AF34" i="84"/>
  <c r="AB34" i="84"/>
  <c r="AE34" i="84"/>
  <c r="K34" i="84"/>
  <c r="AJ34" i="84"/>
  <c r="AJ35" i="84" s="1"/>
  <c r="AJ37" i="84" s="1"/>
  <c r="N34" i="84"/>
  <c r="AM34" i="84"/>
  <c r="AM35" i="84" s="1"/>
  <c r="AM37" i="84" s="1"/>
  <c r="H34" i="84"/>
  <c r="I34" i="84"/>
  <c r="S34" i="84"/>
  <c r="Q34" i="84"/>
  <c r="S22" i="32"/>
  <c r="R22" i="32"/>
  <c r="S18" i="32"/>
  <c r="T21" i="32"/>
  <c r="T18" i="32"/>
  <c r="S19" i="32"/>
  <c r="S17" i="32"/>
  <c r="T22" i="32"/>
  <c r="T20" i="32"/>
  <c r="S21" i="32"/>
  <c r="R18" i="32"/>
  <c r="T19" i="32"/>
  <c r="R17" i="32"/>
  <c r="R19" i="32"/>
  <c r="R20" i="32"/>
  <c r="R21" i="32"/>
  <c r="S20" i="32"/>
  <c r="AG35" i="84" l="1"/>
  <c r="AG37" i="84" s="1"/>
  <c r="AK35" i="84"/>
  <c r="AK37" i="84" s="1"/>
  <c r="AF35" i="84"/>
  <c r="AF37" i="84" s="1"/>
  <c r="AL35" i="84"/>
  <c r="AL37" i="84" s="1"/>
  <c r="AQ35" i="84"/>
  <c r="AQ37" i="84" s="1"/>
  <c r="H19" i="84"/>
  <c r="H18" i="84"/>
  <c r="T35" i="84"/>
  <c r="T37" i="84" s="1"/>
  <c r="X35" i="84"/>
  <c r="X37" i="84" s="1"/>
  <c r="L35" i="84"/>
  <c r="L37" i="84" s="1"/>
  <c r="H35" i="84"/>
  <c r="H37" i="84" s="1"/>
  <c r="Q35" i="84"/>
  <c r="Q37" i="84" s="1"/>
  <c r="K35" i="84"/>
  <c r="K37" i="84" s="1"/>
  <c r="O35" i="84"/>
  <c r="O37" i="84" s="1"/>
  <c r="M35" i="84"/>
  <c r="M37" i="84" s="1"/>
  <c r="N35" i="84"/>
  <c r="N37" i="84" s="1"/>
  <c r="AC35" i="84"/>
  <c r="AC37" i="84" s="1"/>
  <c r="AA35" i="84"/>
  <c r="AA37" i="84" s="1"/>
  <c r="AB35" i="84"/>
  <c r="AB37" i="84" s="1"/>
  <c r="I35" i="84"/>
  <c r="I37" i="84" s="1"/>
  <c r="P35" i="84"/>
  <c r="P37" i="84" s="1"/>
  <c r="J35" i="84"/>
  <c r="J37" i="84" s="1"/>
  <c r="G35" i="84"/>
  <c r="G37" i="84" s="1"/>
  <c r="AD35" i="84"/>
  <c r="AD37" i="84" s="1"/>
  <c r="R35" i="84"/>
  <c r="R37" i="84" s="1"/>
  <c r="U35" i="84"/>
  <c r="U37" i="84" s="1"/>
  <c r="S35" i="84"/>
  <c r="S37" i="84" s="1"/>
  <c r="Z35" i="84"/>
  <c r="Z37" i="84" s="1"/>
  <c r="W35" i="84"/>
  <c r="W37" i="84" s="1"/>
  <c r="AE35" i="84"/>
  <c r="AE37" i="84" s="1"/>
  <c r="V35" i="84"/>
  <c r="V37" i="84" s="1"/>
  <c r="Y35" i="84"/>
  <c r="Y37" i="84" s="1"/>
  <c r="O105" i="18"/>
  <c r="O61" i="18"/>
  <c r="Q61" i="18" s="1"/>
  <c r="N103" i="18"/>
  <c r="P103" i="18" s="1"/>
  <c r="N102" i="18"/>
  <c r="P102" i="18" s="1"/>
  <c r="J38" i="30" l="1"/>
  <c r="K38" i="30" s="1"/>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Q104" i="18" l="1"/>
  <c r="Q105" i="18"/>
  <c r="Q106" i="18"/>
  <c r="Q107" i="18"/>
  <c r="Q103" i="18" l="1"/>
  <c r="C278" i="28" l="1"/>
  <c r="C277" i="28"/>
  <c r="C276" i="28"/>
  <c r="C275" i="28"/>
  <c r="C274" i="28"/>
  <c r="C273" i="28"/>
  <c r="C272" i="28"/>
  <c r="C271" i="28"/>
  <c r="C270" i="28"/>
  <c r="D199" i="28"/>
  <c r="M94" i="18" s="1"/>
  <c r="D197" i="28"/>
  <c r="M92" i="18" s="1"/>
  <c r="D196" i="28"/>
  <c r="M91" i="18" s="1"/>
  <c r="D174" i="28"/>
  <c r="M81" i="18" s="1"/>
  <c r="D173" i="28"/>
  <c r="M80" i="18" s="1"/>
  <c r="D172" i="28"/>
  <c r="M79" i="18" s="1"/>
  <c r="D60" i="28"/>
  <c r="M39" i="18" s="1"/>
  <c r="D52" i="28"/>
  <c r="M35" i="18" s="1"/>
  <c r="AC3" i="18" l="1"/>
  <c r="AP9" i="18"/>
  <c r="AP3" i="18"/>
  <c r="AP4" i="18"/>
  <c r="Q77" i="18"/>
  <c r="Q75" i="18"/>
  <c r="Q67" i="18"/>
  <c r="Q72" i="18" l="1"/>
  <c r="Q69" i="18"/>
  <c r="Q76" i="18"/>
  <c r="Q73" i="18"/>
  <c r="Q66" i="18"/>
  <c r="Q74" i="18"/>
  <c r="Q68" i="18"/>
  <c r="Q70" i="18"/>
  <c r="Q78" i="18"/>
  <c r="Q71" i="18"/>
  <c r="Q102" i="18"/>
  <c r="BE3" i="18" l="1"/>
  <c r="BI3" i="18" s="1"/>
  <c r="BL3" i="18" s="1"/>
  <c r="C123" i="3"/>
  <c r="C122" i="3"/>
  <c r="C121" i="3"/>
  <c r="C120" i="3"/>
  <c r="C119" i="3"/>
  <c r="C118" i="3"/>
  <c r="AJ13" i="18"/>
  <c r="AS4" i="18"/>
  <c r="AS5" i="18"/>
  <c r="AS3" i="18"/>
  <c r="Q96" i="18"/>
  <c r="Q101" i="18" l="1"/>
  <c r="Q100" i="18"/>
  <c r="Q99" i="18"/>
  <c r="Q98" i="18"/>
  <c r="Q97" i="18"/>
  <c r="Q95" i="18" l="1"/>
  <c r="Q93" i="18"/>
  <c r="Q87" i="18"/>
  <c r="Q90" i="18"/>
  <c r="Q86" i="18"/>
  <c r="Q88" i="18"/>
  <c r="Q89" i="18"/>
  <c r="Q84" i="18"/>
  <c r="Q82" i="18"/>
  <c r="Q83" i="18" l="1"/>
  <c r="Q85" i="18"/>
  <c r="Q49" i="18"/>
  <c r="Q30" i="18"/>
  <c r="Q28" i="18"/>
  <c r="Q26" i="18"/>
  <c r="Q15" i="18"/>
  <c r="Q13" i="18"/>
  <c r="Q94" i="18"/>
  <c r="Q92" i="18"/>
  <c r="Q91" i="18"/>
  <c r="Q81" i="18"/>
  <c r="Q79" i="18"/>
  <c r="Q35" i="18"/>
  <c r="AR4" i="18"/>
  <c r="AR3" i="18"/>
  <c r="AJ14" i="18"/>
  <c r="AJ11" i="18"/>
  <c r="AJ10" i="18"/>
  <c r="AJ9" i="18"/>
  <c r="AH9" i="18"/>
  <c r="AM8" i="18"/>
  <c r="AJ8" i="18"/>
  <c r="AH8" i="18"/>
  <c r="AM7" i="18"/>
  <c r="AJ7" i="18"/>
  <c r="AI7" i="18"/>
  <c r="AH7" i="18"/>
  <c r="AN6" i="18"/>
  <c r="AM6" i="18"/>
  <c r="AJ6" i="18"/>
  <c r="AI6" i="18"/>
  <c r="AH6" i="18"/>
  <c r="AQ5" i="18"/>
  <c r="AN5" i="18"/>
  <c r="AM5" i="18"/>
  <c r="AL5" i="18"/>
  <c r="AK5" i="18"/>
  <c r="AJ5" i="18"/>
  <c r="AI5" i="18"/>
  <c r="AH5" i="18"/>
  <c r="AQ4" i="18"/>
  <c r="AO4" i="18"/>
  <c r="AN4" i="18"/>
  <c r="AM4" i="18"/>
  <c r="AL4" i="18"/>
  <c r="AK4" i="18"/>
  <c r="AJ4" i="18"/>
  <c r="AI4" i="18"/>
  <c r="AH4" i="18"/>
  <c r="AQ3" i="18"/>
  <c r="AO3" i="18"/>
  <c r="AN3" i="18"/>
  <c r="AM3" i="18"/>
  <c r="AL3" i="18"/>
  <c r="AK3" i="18"/>
  <c r="AJ3" i="18"/>
  <c r="AI3" i="18"/>
  <c r="AH3" i="18"/>
  <c r="AG11" i="18"/>
  <c r="AG10" i="18"/>
  <c r="AG9" i="18"/>
  <c r="AG8" i="18"/>
  <c r="AC8" i="18"/>
  <c r="AG7" i="18"/>
  <c r="AC7" i="18"/>
  <c r="AG6" i="18"/>
  <c r="AF6" i="18"/>
  <c r="AE6" i="18"/>
  <c r="AC6" i="18"/>
  <c r="AA6" i="18"/>
  <c r="Z6" i="18"/>
  <c r="Y6" i="18"/>
  <c r="AG5" i="18"/>
  <c r="AF5" i="18"/>
  <c r="AE5" i="18"/>
  <c r="AD5" i="18"/>
  <c r="AC5" i="18"/>
  <c r="AA5" i="18"/>
  <c r="Z5" i="18"/>
  <c r="Y5" i="18"/>
  <c r="X5" i="18"/>
  <c r="AG4" i="18"/>
  <c r="AF4" i="18"/>
  <c r="AD4" i="18"/>
  <c r="AC4" i="18"/>
  <c r="AA4" i="18"/>
  <c r="Z4" i="18"/>
  <c r="Y4" i="18"/>
  <c r="X4" i="18"/>
  <c r="AG3" i="18"/>
  <c r="AF3" i="18"/>
  <c r="AE3" i="18"/>
  <c r="AD3" i="18"/>
  <c r="AB3" i="18"/>
  <c r="AA3" i="18"/>
  <c r="Z3" i="18"/>
  <c r="Y3" i="18"/>
  <c r="X3" i="18"/>
  <c r="Q39" i="18" l="1"/>
  <c r="Q63" i="18"/>
  <c r="Q80" i="18"/>
  <c r="Q25" i="18"/>
  <c r="Q31" i="18"/>
  <c r="Q34" i="18"/>
  <c r="Q65" i="18"/>
  <c r="Q62" i="18"/>
  <c r="Q20" i="18"/>
  <c r="Q24" i="18"/>
  <c r="Q14" i="18"/>
  <c r="Q19" i="18"/>
  <c r="Q33" i="18"/>
  <c r="Q47" i="18"/>
  <c r="Q17" i="18"/>
  <c r="Q46" i="18"/>
  <c r="Q43" i="18"/>
  <c r="Q58" i="18"/>
  <c r="Q59" i="18"/>
  <c r="Q45" i="18"/>
  <c r="Q64" i="18"/>
  <c r="Q16" i="18"/>
  <c r="Q51" i="18"/>
  <c r="Q27" i="18"/>
  <c r="Q57" i="18"/>
  <c r="Q50" i="18"/>
  <c r="Q40" i="18"/>
  <c r="Q18" i="18"/>
  <c r="Q56" i="18"/>
  <c r="Q41" i="18"/>
  <c r="Q54" i="18"/>
  <c r="Q55" i="18"/>
  <c r="Q48" i="18"/>
  <c r="Q29" i="18"/>
  <c r="Q44" i="18"/>
  <c r="Q38" i="18"/>
  <c r="Q23" i="18"/>
  <c r="Q53" i="18"/>
  <c r="Q22" i="18"/>
  <c r="Q32" i="18"/>
  <c r="Q37" i="18"/>
  <c r="Q21" i="18"/>
  <c r="Q52" i="18"/>
  <c r="Q36" i="18"/>
  <c r="Q60" i="18"/>
  <c r="Q42" i="18"/>
  <c r="C35" i="5" l="1"/>
  <c r="D35" i="5" s="1"/>
  <c r="D7" i="84" l="1"/>
  <c r="F29" i="84" s="1"/>
  <c r="F35" i="84" s="1"/>
  <c r="C34" i="5"/>
  <c r="F37" i="84" l="1"/>
  <c r="E29" i="84"/>
  <c r="E35" i="84" s="1"/>
  <c r="E37" i="84" s="1"/>
  <c r="C29" i="84"/>
  <c r="D29" i="84"/>
  <c r="D35" i="84" s="1"/>
  <c r="H17" i="84" l="1"/>
  <c r="H16" i="84" s="1"/>
  <c r="D37" i="84"/>
  <c r="C35" i="84"/>
  <c r="C37" i="84" l="1"/>
  <c r="H21" i="84" l="1"/>
  <c r="H22" i="84"/>
  <c r="H20" i="84"/>
  <c r="C38" i="84"/>
  <c r="D34" i="5"/>
  <c r="C39" i="84" l="1"/>
  <c r="D39" i="84" s="1"/>
  <c r="E39" i="84" s="1"/>
  <c r="F39" i="84" s="1"/>
  <c r="G39" i="84" s="1"/>
  <c r="D38" i="84"/>
  <c r="E38" i="84" s="1"/>
  <c r="H39" i="84" l="1"/>
  <c r="I39" i="84" s="1"/>
  <c r="J39" i="84" s="1"/>
  <c r="K39" i="84" s="1"/>
  <c r="L39" i="84" s="1"/>
  <c r="M39" i="84" s="1"/>
  <c r="N39" i="84" s="1"/>
  <c r="O39" i="84" s="1"/>
  <c r="P39" i="84" s="1"/>
  <c r="Q39" i="84" s="1"/>
  <c r="R39" i="84" s="1"/>
  <c r="S39" i="84" s="1"/>
  <c r="T39" i="84" s="1"/>
  <c r="U39" i="84" s="1"/>
  <c r="V39" i="84" s="1"/>
  <c r="W39" i="84" s="1"/>
  <c r="X39" i="84" s="1"/>
  <c r="Y39" i="84" s="1"/>
  <c r="Z39" i="84" s="1"/>
  <c r="AA39" i="84" s="1"/>
  <c r="AB39" i="84" s="1"/>
  <c r="AC39" i="84" s="1"/>
  <c r="AD39" i="84" s="1"/>
  <c r="AE39" i="84" s="1"/>
  <c r="D22" i="84" s="1"/>
  <c r="F38" i="84"/>
  <c r="G38" i="84" s="1"/>
  <c r="H38" i="84" l="1"/>
  <c r="I38" i="84" s="1"/>
  <c r="J38" i="84" s="1"/>
  <c r="K38" i="84" s="1"/>
  <c r="L38" i="84" s="1"/>
  <c r="M38" i="84" s="1"/>
  <c r="N38" i="84" s="1"/>
  <c r="O38" i="84" s="1"/>
  <c r="P38" i="84" s="1"/>
  <c r="Q38" i="84" s="1"/>
  <c r="R38" i="84" s="1"/>
  <c r="S38" i="84" s="1"/>
  <c r="T38" i="84" s="1"/>
  <c r="U38" i="84" s="1"/>
  <c r="V38" i="84" s="1"/>
  <c r="W38" i="84" s="1"/>
  <c r="X38" i="84" s="1"/>
  <c r="Y38" i="84" s="1"/>
  <c r="Z38" i="84" s="1"/>
  <c r="AA38" i="84" s="1"/>
  <c r="AB38" i="84" s="1"/>
  <c r="AC38" i="84" s="1"/>
  <c r="AD38" i="84" s="1"/>
  <c r="AE38" i="84" s="1"/>
  <c r="I7" i="84"/>
  <c r="I10" i="84" a="1"/>
  <c r="I10" i="84" s="1"/>
  <c r="I9" i="84" l="1" a="1"/>
  <c r="I9" i="8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8" authorId="0" shapeId="0" xr:uid="{4D2EB3B9-8E4D-440E-9D8F-2077D034DA10}">
      <text>
        <r>
          <rPr>
            <b/>
            <sz val="9"/>
            <color indexed="81"/>
            <rFont val="Tahoma"/>
            <family val="2"/>
          </rPr>
          <t>Carlos Arnaiz del Pozo:</t>
        </r>
        <r>
          <rPr>
            <sz val="9"/>
            <color indexed="81"/>
            <rFont val="Tahoma"/>
            <family val="2"/>
          </rPr>
          <t xml:space="preserve">
Link to User Manual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V36" authorId="0" shapeId="0" xr:uid="{0E5BDB88-9A1B-44FF-9969-9E05CD09FF4F}">
      <text>
        <r>
          <rPr>
            <b/>
            <sz val="9"/>
            <color indexed="81"/>
            <rFont val="Tahoma"/>
            <family val="2"/>
          </rPr>
          <t>Carlos Arnaiz del Pozo:</t>
        </r>
        <r>
          <rPr>
            <sz val="9"/>
            <color indexed="81"/>
            <rFont val="Tahoma"/>
            <family val="2"/>
          </rPr>
          <t xml:space="preserve">
Names and Label lined to Estimates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G5" authorId="0" shapeId="0" xr:uid="{8E2B0553-1B16-4524-B7C6-325B31FCFEFF}">
      <text>
        <r>
          <rPr>
            <b/>
            <sz val="9"/>
            <color indexed="81"/>
            <rFont val="Tahoma"/>
            <family val="2"/>
          </rPr>
          <t>Carlos Arnaiz del Pozo:</t>
        </r>
        <r>
          <rPr>
            <sz val="9"/>
            <color indexed="81"/>
            <rFont val="Tahoma"/>
            <family val="2"/>
          </rPr>
          <t xml:space="preserve">
Select Economic Indicator and Run CFA macro</t>
        </r>
      </text>
    </comment>
    <comment ref="E6" authorId="0" shapeId="0" xr:uid="{556D6658-D7C3-405B-84E5-202B362BC6AF}">
      <text>
        <r>
          <rPr>
            <b/>
            <sz val="9"/>
            <color indexed="81"/>
            <rFont val="Tahoma"/>
            <family val="2"/>
          </rPr>
          <t>Carlos Arnaiz del Pozo:</t>
        </r>
        <r>
          <rPr>
            <sz val="9"/>
            <color indexed="81"/>
            <rFont val="Tahoma"/>
            <family val="2"/>
          </rPr>
          <t xml:space="preserve">
Check consistency of units</t>
        </r>
      </text>
    </comment>
    <comment ref="J6" authorId="0" shapeId="0" xr:uid="{05C9A9FD-359F-4FC4-B9E3-7637B9EA99D5}">
      <text>
        <r>
          <rPr>
            <b/>
            <sz val="9"/>
            <color indexed="81"/>
            <rFont val="Tahoma"/>
            <family val="2"/>
          </rPr>
          <t>Carlos Arnaiz del Pozo:</t>
        </r>
        <r>
          <rPr>
            <sz val="9"/>
            <color indexed="81"/>
            <rFont val="Tahoma"/>
            <family val="2"/>
          </rPr>
          <t xml:space="preserve">
Check axis units in figures</t>
        </r>
      </text>
    </comment>
    <comment ref="G15" authorId="0" shapeId="0" xr:uid="{01AE3B8C-DF25-4C68-826D-EFE6F87FF4BC}">
      <text>
        <r>
          <rPr>
            <b/>
            <sz val="9"/>
            <color indexed="81"/>
            <rFont val="Tahoma"/>
            <family val="2"/>
          </rPr>
          <t>Carlos Arnaiz del Pozo:</t>
        </r>
        <r>
          <rPr>
            <sz val="9"/>
            <color indexed="81"/>
            <rFont val="Tahoma"/>
            <family val="2"/>
          </rPr>
          <t xml:space="preserve">
Adjust emissions units adequately</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tc={16BF6486-501E-48AD-B3C8-D0E67B4B92F3}</author>
  </authors>
  <commentList>
    <comment ref="M11" authorId="0" shapeId="0" xr:uid="{B8318AF6-DD8A-46A0-8049-7A5616821A7A}">
      <text>
        <r>
          <rPr>
            <b/>
            <sz val="9"/>
            <color indexed="81"/>
            <rFont val="Tahoma"/>
            <family val="2"/>
          </rPr>
          <t>Schalk Cloete:</t>
        </r>
        <r>
          <rPr>
            <sz val="9"/>
            <color indexed="81"/>
            <rFont val="Tahoma"/>
            <family val="2"/>
          </rPr>
          <t xml:space="preserve">
To insert the cost correlation for a certain equipment type in your unit calculation, simply copy columns M-Q in the correct row from this sheet and paste it into your unit sheet </t>
        </r>
      </text>
    </comment>
    <comment ref="L12" authorId="1" shapeId="0" xr:uid="{800731B2-980B-4E7A-B424-A31E0CDE7205}">
      <text>
        <r>
          <rPr>
            <b/>
            <sz val="9"/>
            <color indexed="81"/>
            <rFont val="Tahoma"/>
            <family val="2"/>
          </rPr>
          <t>Carlos Arnaiz del Pozo:</t>
        </r>
        <r>
          <rPr>
            <sz val="9"/>
            <color indexed="81"/>
            <rFont val="Tahoma"/>
            <family val="2"/>
          </rPr>
          <t xml:space="preserve">
Some equipment require additional specifications for cost estimation</t>
        </r>
      </text>
    </comment>
    <comment ref="D42" authorId="2" shapeId="0" xr:uid="{16BF6486-501E-48AD-B3C8-D0E67B4B92F3}">
      <text>
        <t>[Threaded comment]
Your version of Excel allows you to read this threaded comment; however, any edits to it will get removed if the file is opened in a newer version of Excel. Learn more: https://go.microsoft.com/fwlink/?linkid=870924
Comment:
    deltaP in kPa</t>
      </text>
    </comment>
    <comment ref="L61" authorId="1" shapeId="0" xr:uid="{2C985589-F7E8-469D-8BC4-BCFAF22B1C47}">
      <text>
        <r>
          <rPr>
            <b/>
            <sz val="9"/>
            <color indexed="81"/>
            <rFont val="Tahoma"/>
            <family val="2"/>
          </rPr>
          <t>Carlos Arnaiz del Pozo:</t>
        </r>
        <r>
          <rPr>
            <sz val="9"/>
            <color indexed="81"/>
            <rFont val="Tahoma"/>
            <family val="2"/>
          </rPr>
          <t xml:space="preserve">
Specify steam superheat in ºC</t>
        </r>
      </text>
    </comment>
    <comment ref="L69" authorId="1" shapeId="0" xr:uid="{17C00AE2-4FB0-484A-870A-9BEDC9A6EBF8}">
      <text>
        <r>
          <rPr>
            <b/>
            <sz val="9"/>
            <color indexed="81"/>
            <rFont val="Tahoma"/>
            <family val="2"/>
          </rPr>
          <t>Carlos Arnaiz del Pozo:</t>
        </r>
        <r>
          <rPr>
            <sz val="9"/>
            <color indexed="81"/>
            <rFont val="Tahoma"/>
            <family val="2"/>
          </rPr>
          <t xml:space="preserve">
Specify "shell and tube" or "tube only"</t>
        </r>
      </text>
    </comment>
    <comment ref="L70" authorId="1" shapeId="0" xr:uid="{13D04A98-AC15-45B3-B9A4-B6DDC96C5CB3}">
      <text>
        <r>
          <rPr>
            <b/>
            <sz val="9"/>
            <color indexed="81"/>
            <rFont val="Tahoma"/>
            <family val="2"/>
          </rPr>
          <t>Carlos Arnaiz del Pozo:</t>
        </r>
        <r>
          <rPr>
            <sz val="9"/>
            <color indexed="81"/>
            <rFont val="Tahoma"/>
            <family val="2"/>
          </rPr>
          <t xml:space="preserve">
Specify "shell and tube" or "tube only"</t>
        </r>
      </text>
    </comment>
    <comment ref="L71" authorId="1" shapeId="0" xr:uid="{EB42EBBC-7927-44DA-B160-9E9468D56936}">
      <text>
        <r>
          <rPr>
            <b/>
            <sz val="9"/>
            <color indexed="81"/>
            <rFont val="Tahoma"/>
            <family val="2"/>
          </rPr>
          <t>Carlos Arnaiz del Pozo:</t>
        </r>
        <r>
          <rPr>
            <sz val="9"/>
            <color indexed="81"/>
            <rFont val="Tahoma"/>
            <family val="2"/>
          </rPr>
          <t xml:space="preserve">
Specify "shell and tube" or "tube only"</t>
        </r>
      </text>
    </comment>
    <comment ref="L72" authorId="1" shapeId="0" xr:uid="{7514D7E9-E743-41FC-B97E-7B0F48539D87}">
      <text>
        <r>
          <rPr>
            <b/>
            <sz val="9"/>
            <color indexed="81"/>
            <rFont val="Tahoma"/>
            <family val="2"/>
          </rPr>
          <t>Carlos Arnaiz del Pozo:</t>
        </r>
        <r>
          <rPr>
            <sz val="9"/>
            <color indexed="81"/>
            <rFont val="Tahoma"/>
            <family val="2"/>
          </rPr>
          <t xml:space="preserve">
Specify "shell and tube" or "tube only"</t>
        </r>
      </text>
    </comment>
    <comment ref="L76" authorId="1" shapeId="0" xr:uid="{50439408-B451-4477-A44E-49B5AA289AF3}">
      <text>
        <r>
          <rPr>
            <b/>
            <sz val="9"/>
            <color indexed="81"/>
            <rFont val="Tahoma"/>
            <family val="2"/>
          </rPr>
          <t>Carlos Arnaiz del Pozo:</t>
        </r>
        <r>
          <rPr>
            <sz val="9"/>
            <color indexed="81"/>
            <rFont val="Tahoma"/>
            <family val="2"/>
          </rPr>
          <t xml:space="preserve">
Specify "shell and tube" or "tube only"</t>
        </r>
      </text>
    </comment>
    <comment ref="L102" authorId="1" shapeId="0" xr:uid="{E0C0C431-8EC1-450E-80A4-B6752532264A}">
      <text>
        <r>
          <rPr>
            <b/>
            <sz val="9"/>
            <color indexed="81"/>
            <rFont val="Tahoma"/>
            <family val="2"/>
          </rPr>
          <t>Carlos Arnaiz del Pozo:</t>
        </r>
        <r>
          <rPr>
            <sz val="9"/>
            <color indexed="81"/>
            <rFont val="Tahoma"/>
            <family val="2"/>
          </rPr>
          <t xml:space="preserve">
Specify vessel diameter in m</t>
        </r>
      </text>
    </comment>
    <comment ref="L103" authorId="1" shapeId="0" xr:uid="{FE424A72-C539-4BF9-B792-76F304ED0F03}">
      <text>
        <r>
          <rPr>
            <b/>
            <sz val="9"/>
            <color indexed="81"/>
            <rFont val="Tahoma"/>
            <family val="2"/>
          </rPr>
          <t>Carlos Arnaiz del Pozo:</t>
        </r>
        <r>
          <rPr>
            <sz val="9"/>
            <color indexed="81"/>
            <rFont val="Tahoma"/>
            <family val="2"/>
          </rPr>
          <t xml:space="preserve">
Specify vessel diameter in m</t>
        </r>
      </text>
    </comment>
    <comment ref="L104" authorId="1" shapeId="0" xr:uid="{C763DB91-E594-49AE-BFEF-524148ABCD69}">
      <text>
        <r>
          <rPr>
            <b/>
            <sz val="9"/>
            <color indexed="81"/>
            <rFont val="Tahoma"/>
            <family val="2"/>
          </rPr>
          <t>Carlos Arnaiz del Pozo:</t>
        </r>
        <r>
          <rPr>
            <sz val="9"/>
            <color indexed="81"/>
            <rFont val="Tahoma"/>
            <family val="2"/>
          </rPr>
          <t xml:space="preserve">
Specify nº of trays</t>
        </r>
      </text>
    </comment>
    <comment ref="L105" authorId="1" shapeId="0" xr:uid="{5AC4F108-B00B-4148-9052-40FECD7A3ECD}">
      <text>
        <r>
          <rPr>
            <b/>
            <sz val="9"/>
            <color indexed="81"/>
            <rFont val="Tahoma"/>
            <family val="2"/>
          </rPr>
          <t>Carlos Arnaiz del Pozo:</t>
        </r>
        <r>
          <rPr>
            <sz val="9"/>
            <color indexed="81"/>
            <rFont val="Tahoma"/>
            <family val="2"/>
          </rPr>
          <t xml:space="preserve">
Specify nº of trays</t>
        </r>
      </text>
    </comment>
    <comment ref="L106" authorId="1" shapeId="0" xr:uid="{9C551EFF-13B9-4E05-B5E1-7A070B764E27}">
      <text>
        <r>
          <rPr>
            <b/>
            <sz val="9"/>
            <color indexed="81"/>
            <rFont val="Tahoma"/>
            <family val="2"/>
          </rPr>
          <t>Carlos Arnaiz del Pozo:</t>
        </r>
        <r>
          <rPr>
            <sz val="9"/>
            <color indexed="81"/>
            <rFont val="Tahoma"/>
            <family val="2"/>
          </rPr>
          <t xml:space="preserve">
Specify nº of trays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tc={01A113E8-9F45-4F0C-A8E4-5E8A0F619E48}</author>
  </authors>
  <commentList>
    <comment ref="C27" authorId="0" shapeId="0" xr:uid="{01A113E8-9F45-4F0C-A8E4-5E8A0F619E48}">
      <text>
        <t>[Threaded comment]
Your version of Excel allows you to read this threaded comment; however, any edits to it will get removed if the file is opened in a newer version of Excel. Learn more: https://go.microsoft.com/fwlink/?linkid=870924
Comment:
    https://www.reddit.com/r/ChemicalEngineering/comments/fu94v2/does_anyone_have_access_to_the_chemical/</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tc={B325F225-0A9C-4421-AB25-90D1BF09A142}</author>
  </authors>
  <commentList>
    <comment ref="F5" authorId="0" shapeId="0" xr:uid="{B325F225-0A9C-4421-AB25-90D1BF09A142}">
      <text>
        <t>[Threaded comment]
Your version of Excel allows you to read this threaded comment; however, any edits to it will get removed if the file is opened in a newer version of Excel. Learn more: https://go.microsoft.com/fwlink/?linkid=870924
Comment:
    These can be added as a checklist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<sst xmlns="http://schemas.openxmlformats.org/spreadsheetml/2006/main" count="2291" uniqueCount="776">
  <si>
    <t>Blender Type</t>
  </si>
  <si>
    <r>
      <t>K</t>
    </r>
    <r>
      <rPr>
        <vertAlign val="subscript"/>
        <sz val="10"/>
        <rFont val="Arial"/>
        <family val="2"/>
      </rPr>
      <t>1</t>
    </r>
  </si>
  <si>
    <r>
      <t>K</t>
    </r>
    <r>
      <rPr>
        <vertAlign val="subscript"/>
        <sz val="10"/>
        <rFont val="Arial"/>
        <family val="2"/>
      </rPr>
      <t>2</t>
    </r>
  </si>
  <si>
    <r>
      <t>K</t>
    </r>
    <r>
      <rPr>
        <vertAlign val="subscript"/>
        <sz val="10"/>
        <rFont val="Arial"/>
        <family val="2"/>
      </rPr>
      <t>3</t>
    </r>
  </si>
  <si>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</si>
  <si>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t>
    </r>
  </si>
  <si>
    <r>
      <t>F</t>
    </r>
    <r>
      <rPr>
        <vertAlign val="subscript"/>
        <sz val="10"/>
        <rFont val="Arial"/>
        <family val="2"/>
      </rPr>
      <t>BM</t>
    </r>
  </si>
  <si>
    <t>Kneader</t>
  </si>
  <si>
    <t>Ribbon</t>
  </si>
  <si>
    <t>Rotary</t>
  </si>
  <si>
    <t>Centrifuge Type</t>
  </si>
  <si>
    <r>
      <t>D</t>
    </r>
    <r>
      <rPr>
        <vertAlign val="subscript"/>
        <sz val="10"/>
        <rFont val="Arial"/>
        <family val="2"/>
      </rPr>
      <t>min</t>
    </r>
    <r>
      <rPr>
        <sz val="11"/>
        <color theme="1"/>
        <rFont val="Calibri"/>
        <family val="2"/>
        <scheme val="minor"/>
      </rPr>
      <t>(m)</t>
    </r>
  </si>
  <si>
    <r>
      <t>D</t>
    </r>
    <r>
      <rPr>
        <vertAlign val="subscript"/>
        <sz val="10"/>
        <rFont val="Arial"/>
        <family val="2"/>
      </rPr>
      <t>max</t>
    </r>
    <r>
      <rPr>
        <sz val="11"/>
        <color theme="1"/>
        <rFont val="Calibri"/>
        <family val="2"/>
        <scheme val="minor"/>
      </rPr>
      <t>(m)</t>
    </r>
  </si>
  <si>
    <t>Auto Batch Seperator</t>
  </si>
  <si>
    <t>Centrifugal Seperator</t>
  </si>
  <si>
    <t>Oscillating Screen</t>
  </si>
  <si>
    <t>Solid Bowl w/o Motor</t>
  </si>
  <si>
    <t>Compressor Type</t>
  </si>
  <si>
    <r>
      <t>F</t>
    </r>
    <r>
      <rPr>
        <vertAlign val="subscript"/>
        <sz val="10"/>
        <rFont val="Arial"/>
        <family val="2"/>
      </rPr>
      <t>BMCS</t>
    </r>
  </si>
  <si>
    <r>
      <t>F</t>
    </r>
    <r>
      <rPr>
        <vertAlign val="subscript"/>
        <sz val="10"/>
        <rFont val="Arial"/>
        <family val="2"/>
      </rPr>
      <t>BMSS</t>
    </r>
  </si>
  <si>
    <r>
      <t>F</t>
    </r>
    <r>
      <rPr>
        <vertAlign val="subscript"/>
        <sz val="10"/>
        <rFont val="Arial"/>
        <family val="2"/>
      </rPr>
      <t>BMNi</t>
    </r>
  </si>
  <si>
    <r>
      <t>W</t>
    </r>
    <r>
      <rPr>
        <vertAlign val="subscript"/>
        <sz val="10"/>
        <rFont val="Arial"/>
        <family val="2"/>
      </rPr>
      <t>min</t>
    </r>
    <r>
      <rPr>
        <sz val="11"/>
        <color theme="1"/>
        <rFont val="Calibri"/>
        <family val="2"/>
        <scheme val="minor"/>
      </rPr>
      <t>(kW)</t>
    </r>
  </si>
  <si>
    <r>
      <t>W</t>
    </r>
    <r>
      <rPr>
        <vertAlign val="subscript"/>
        <sz val="10"/>
        <rFont val="Arial"/>
        <family val="2"/>
      </rPr>
      <t>max</t>
    </r>
    <r>
      <rPr>
        <sz val="11"/>
        <color theme="1"/>
        <rFont val="Calibri"/>
        <family val="2"/>
        <scheme val="minor"/>
      </rPr>
      <t>(kW)</t>
    </r>
  </si>
  <si>
    <t>Centrifugal</t>
  </si>
  <si>
    <t>Axial</t>
  </si>
  <si>
    <t>Reciprocating</t>
  </si>
  <si>
    <t>Conveyor Type</t>
  </si>
  <si>
    <r>
      <t>A</t>
    </r>
    <r>
      <rPr>
        <vertAlign val="subscript"/>
        <sz val="10"/>
        <rFont val="Arial"/>
        <family val="2"/>
      </rPr>
      <t>min</t>
    </r>
    <r>
      <rPr>
        <sz val="11"/>
        <color theme="1"/>
        <rFont val="Calibri"/>
        <family val="2"/>
        <scheme val="minor"/>
      </rPr>
      <t>(m</t>
    </r>
    <r>
      <rPr>
        <vertAlign val="superscript"/>
        <sz val="10"/>
        <rFont val="Arial"/>
        <family val="2"/>
      </rPr>
      <t>2</t>
    </r>
    <r>
      <rPr>
        <sz val="11"/>
        <color theme="1"/>
        <rFont val="Calibri"/>
        <family val="2"/>
        <scheme val="minor"/>
      </rPr>
      <t>)</t>
    </r>
  </si>
  <si>
    <r>
      <t>A</t>
    </r>
    <r>
      <rPr>
        <vertAlign val="subscript"/>
        <sz val="10"/>
        <rFont val="Arial"/>
        <family val="2"/>
      </rPr>
      <t>max</t>
    </r>
    <r>
      <rPr>
        <sz val="11"/>
        <color theme="1"/>
        <rFont val="Calibri"/>
        <family val="2"/>
        <scheme val="minor"/>
      </rPr>
      <t>(m</t>
    </r>
    <r>
      <rPr>
        <vertAlign val="superscript"/>
        <sz val="10"/>
        <rFont val="Arial"/>
        <family val="2"/>
      </rPr>
      <t>2</t>
    </r>
    <r>
      <rPr>
        <sz val="11"/>
        <color theme="1"/>
        <rFont val="Calibri"/>
        <family val="2"/>
        <scheme val="minor"/>
      </rPr>
      <t>)</t>
    </r>
  </si>
  <si>
    <t>Apron</t>
  </si>
  <si>
    <t>Belt</t>
  </si>
  <si>
    <t>Pneumatic</t>
  </si>
  <si>
    <t>Screw</t>
  </si>
  <si>
    <t>Crystallizer Type</t>
  </si>
  <si>
    <t>Batch</t>
  </si>
  <si>
    <t>Electric Drives</t>
  </si>
  <si>
    <t>Explosion Proof</t>
  </si>
  <si>
    <t>Totally Enclosed</t>
  </si>
  <si>
    <t>Open/Drip Proof</t>
  </si>
  <si>
    <t>Non-Electric Drives</t>
  </si>
  <si>
    <t>Gas Turbine</t>
  </si>
  <si>
    <t>Steam Turbine</t>
  </si>
  <si>
    <t>Internal Combustion</t>
  </si>
  <si>
    <t>Dryer Type</t>
  </si>
  <si>
    <t>Drum</t>
  </si>
  <si>
    <t>Rotary, Gas Fired</t>
  </si>
  <si>
    <t>Tray</t>
  </si>
  <si>
    <t>Collector Type</t>
  </si>
  <si>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/s)</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</si>
  <si>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/s)</t>
    </r>
  </si>
  <si>
    <t>Baghouse</t>
  </si>
  <si>
    <t>Cyclone Scrubbers</t>
  </si>
  <si>
    <t xml:space="preserve">     ( Centrifugal, Gravity</t>
  </si>
  <si>
    <t xml:space="preserve">     Spray, Impingement, </t>
  </si>
  <si>
    <t xml:space="preserve">     and Wet Dynamic)</t>
  </si>
  <si>
    <t>Electrostatic Precipitator</t>
  </si>
  <si>
    <t>Venturi</t>
  </si>
  <si>
    <t>Fan Type</t>
  </si>
  <si>
    <r>
      <t>F</t>
    </r>
    <r>
      <rPr>
        <vertAlign val="subscript"/>
        <sz val="10"/>
        <rFont val="Arial"/>
        <family val="2"/>
      </rPr>
      <t>BMfiberglass</t>
    </r>
  </si>
  <si>
    <t>Threshold</t>
  </si>
  <si>
    <r>
      <t>C</t>
    </r>
    <r>
      <rPr>
        <vertAlign val="subscript"/>
        <sz val="10"/>
        <rFont val="Arial"/>
        <family val="2"/>
      </rPr>
      <t>1</t>
    </r>
  </si>
  <si>
    <r>
      <t>C</t>
    </r>
    <r>
      <rPr>
        <vertAlign val="subscript"/>
        <sz val="10"/>
        <rFont val="Arial"/>
        <family val="2"/>
      </rPr>
      <t>2</t>
    </r>
  </si>
  <si>
    <r>
      <t>C</t>
    </r>
    <r>
      <rPr>
        <vertAlign val="subscript"/>
        <sz val="10"/>
        <rFont val="Arial"/>
        <family val="2"/>
      </rPr>
      <t>3</t>
    </r>
  </si>
  <si>
    <r>
      <t>V</t>
    </r>
    <r>
      <rPr>
        <vertAlign val="subscript"/>
        <sz val="10"/>
        <rFont val="Arial"/>
        <family val="2"/>
      </rPr>
      <t>min(m3/s)</t>
    </r>
  </si>
  <si>
    <r>
      <t>V</t>
    </r>
    <r>
      <rPr>
        <vertAlign val="subscript"/>
        <sz val="10"/>
        <rFont val="Arial"/>
        <family val="2"/>
      </rPr>
      <t>max(m3/s)</t>
    </r>
  </si>
  <si>
    <r>
      <t>P</t>
    </r>
    <r>
      <rPr>
        <vertAlign val="subscript"/>
        <sz val="10"/>
        <rFont val="Arial"/>
        <family val="2"/>
      </rPr>
      <t>max(barg)</t>
    </r>
  </si>
  <si>
    <t>Centrifugal Radial Fan</t>
  </si>
  <si>
    <t>Centrifugal Backward curved fan</t>
  </si>
  <si>
    <t>Axial Tube Fan</t>
  </si>
  <si>
    <t>Axial Vane Fan</t>
  </si>
  <si>
    <t>Filter Type</t>
  </si>
  <si>
    <t>Bent</t>
  </si>
  <si>
    <t>Cartridge</t>
  </si>
  <si>
    <t>Disc and Drum</t>
  </si>
  <si>
    <t>Gravity</t>
  </si>
  <si>
    <t>Leaf</t>
  </si>
  <si>
    <t>Pan</t>
  </si>
  <si>
    <t>Plate and Frame</t>
  </si>
  <si>
    <t>Table</t>
  </si>
  <si>
    <t>Tube</t>
  </si>
  <si>
    <t>Bare Module Factor</t>
  </si>
  <si>
    <t>Reactive Heaters</t>
  </si>
  <si>
    <r>
      <t>Q</t>
    </r>
    <r>
      <rPr>
        <vertAlign val="subscript"/>
        <sz val="10"/>
        <rFont val="Arial"/>
        <family val="2"/>
      </rPr>
      <t>min</t>
    </r>
    <r>
      <rPr>
        <sz val="11"/>
        <color theme="1"/>
        <rFont val="Calibri"/>
        <family val="2"/>
        <scheme val="minor"/>
      </rPr>
      <t>(kW)</t>
    </r>
  </si>
  <si>
    <r>
      <t>Q</t>
    </r>
    <r>
      <rPr>
        <vertAlign val="subscript"/>
        <sz val="10"/>
        <rFont val="Arial"/>
        <family val="2"/>
      </rPr>
      <t>max</t>
    </r>
    <r>
      <rPr>
        <sz val="11"/>
        <color theme="1"/>
        <rFont val="Calibri"/>
        <family val="2"/>
        <scheme val="minor"/>
      </rPr>
      <t>(kW)</t>
    </r>
  </si>
  <si>
    <r>
      <t>P</t>
    </r>
    <r>
      <rPr>
        <vertAlign val="subscript"/>
        <sz val="10"/>
        <rFont val="Arial"/>
        <family val="2"/>
      </rPr>
      <t>max</t>
    </r>
    <r>
      <rPr>
        <sz val="11"/>
        <color theme="1"/>
        <rFont val="Calibri"/>
        <family val="2"/>
        <scheme val="minor"/>
      </rPr>
      <t>(barg)</t>
    </r>
  </si>
  <si>
    <t>CS</t>
  </si>
  <si>
    <t>Alloy Steel</t>
  </si>
  <si>
    <t>SS</t>
  </si>
  <si>
    <t>Reformer Furnace</t>
  </si>
  <si>
    <t>Pyrolysis Furnace</t>
  </si>
  <si>
    <t>Non-reactive Heaters</t>
  </si>
  <si>
    <t>Process Heater</t>
  </si>
  <si>
    <t>Steam Supreheat Factor</t>
  </si>
  <si>
    <t>Thermal Fluid Heaters</t>
  </si>
  <si>
    <t>Fbm</t>
  </si>
  <si>
    <r>
      <t>F</t>
    </r>
    <r>
      <rPr>
        <vertAlign val="subscript"/>
        <sz val="10"/>
        <rFont val="Arial"/>
        <family val="2"/>
      </rPr>
      <t>T1</t>
    </r>
  </si>
  <si>
    <r>
      <t>F</t>
    </r>
    <r>
      <rPr>
        <vertAlign val="subscript"/>
        <sz val="10"/>
        <rFont val="Arial"/>
        <family val="2"/>
      </rPr>
      <t>T2</t>
    </r>
  </si>
  <si>
    <r>
      <t>F</t>
    </r>
    <r>
      <rPr>
        <vertAlign val="subscript"/>
        <sz val="10"/>
        <rFont val="Arial"/>
        <family val="2"/>
      </rPr>
      <t>T3</t>
    </r>
  </si>
  <si>
    <t>Hot Water</t>
  </si>
  <si>
    <t>Molten Salt, Mineral Oil,</t>
  </si>
  <si>
    <t>Diphenyl Based Oils</t>
  </si>
  <si>
    <t>Packaged Steam Boilers</t>
  </si>
  <si>
    <t>Evaporator Types</t>
  </si>
  <si>
    <r>
      <t>A</t>
    </r>
    <r>
      <rPr>
        <vertAlign val="subscript"/>
        <sz val="10"/>
        <rFont val="Arial"/>
        <family val="2"/>
      </rPr>
      <t>min(m2)</t>
    </r>
  </si>
  <si>
    <r>
      <t>A</t>
    </r>
    <r>
      <rPr>
        <vertAlign val="subscript"/>
        <sz val="10"/>
        <rFont val="Arial"/>
        <family val="2"/>
      </rPr>
      <t>max(m2)</t>
    </r>
  </si>
  <si>
    <t>Forced Circulation</t>
  </si>
  <si>
    <t>Falling Film</t>
  </si>
  <si>
    <t>Agitated (Scraped Wall)</t>
  </si>
  <si>
    <t>Short Tube</t>
  </si>
  <si>
    <t>Long Tube</t>
  </si>
  <si>
    <t>Exchager Type</t>
  </si>
  <si>
    <r>
      <t>B</t>
    </r>
    <r>
      <rPr>
        <vertAlign val="subscript"/>
        <sz val="10"/>
        <rFont val="Arial"/>
        <family val="2"/>
      </rPr>
      <t>1</t>
    </r>
  </si>
  <si>
    <r>
      <t>B</t>
    </r>
    <r>
      <rPr>
        <vertAlign val="subscript"/>
        <sz val="10"/>
        <rFont val="Arial"/>
        <family val="2"/>
      </rPr>
      <t>2</t>
    </r>
  </si>
  <si>
    <t>Double Pipe</t>
  </si>
  <si>
    <t>40 barg  &lt; P &lt; 100 barg</t>
  </si>
  <si>
    <t>P &lt; 40 barg</t>
  </si>
  <si>
    <t>Multiple Pipe</t>
  </si>
  <si>
    <t>Fixed tube, sheet, or U tube</t>
  </si>
  <si>
    <t>tubes only &gt; 5 barg</t>
  </si>
  <si>
    <t>Floating Head</t>
  </si>
  <si>
    <t>tubes only &gt; 5barg</t>
  </si>
  <si>
    <t>Bayonet</t>
  </si>
  <si>
    <t>Kettle Reboiler</t>
  </si>
  <si>
    <t>Scraped Wall</t>
  </si>
  <si>
    <t>Teflon Tube</t>
  </si>
  <si>
    <t>Air Cooler</t>
  </si>
  <si>
    <t>Spiral Tube - shell and tube</t>
  </si>
  <si>
    <t>tube only</t>
  </si>
  <si>
    <t>Spiral Plate</t>
  </si>
  <si>
    <t>Flat Plate</t>
  </si>
  <si>
    <r>
      <t>Materail Factors, F</t>
    </r>
    <r>
      <rPr>
        <vertAlign val="subscript"/>
        <sz val="10"/>
        <rFont val="Arial"/>
        <family val="2"/>
      </rPr>
      <t>M</t>
    </r>
  </si>
  <si>
    <t>Shell - CS</t>
  </si>
  <si>
    <t>Cu</t>
  </si>
  <si>
    <t>Ni</t>
  </si>
  <si>
    <t>Ti</t>
  </si>
  <si>
    <t>Exchanger Type</t>
  </si>
  <si>
    <t>Tube - CS</t>
  </si>
  <si>
    <t>Spiral Tube</t>
  </si>
  <si>
    <t>Shell Materail</t>
  </si>
  <si>
    <t>Teflon Tube Exchanger</t>
  </si>
  <si>
    <t>Material In Contact with Process Fluid</t>
  </si>
  <si>
    <t>Tube Material</t>
  </si>
  <si>
    <t>Al</t>
  </si>
  <si>
    <t>Mixer Type</t>
  </si>
  <si>
    <r>
      <t>P</t>
    </r>
    <r>
      <rPr>
        <vertAlign val="subscript"/>
        <sz val="10"/>
        <rFont val="Arial"/>
        <family val="2"/>
      </rPr>
      <t>min</t>
    </r>
    <r>
      <rPr>
        <sz val="11"/>
        <color theme="1"/>
        <rFont val="Calibri"/>
        <family val="2"/>
        <scheme val="minor"/>
      </rPr>
      <t>(kW)</t>
    </r>
  </si>
  <si>
    <r>
      <t>P</t>
    </r>
    <r>
      <rPr>
        <vertAlign val="subscript"/>
        <sz val="10"/>
        <rFont val="Arial"/>
        <family val="2"/>
      </rPr>
      <t>max</t>
    </r>
    <r>
      <rPr>
        <sz val="11"/>
        <color theme="1"/>
        <rFont val="Calibri"/>
        <family val="2"/>
        <scheme val="minor"/>
      </rPr>
      <t>(kW)</t>
    </r>
  </si>
  <si>
    <t>Impeller</t>
  </si>
  <si>
    <t>Propeller</t>
  </si>
  <si>
    <t>Turbine</t>
  </si>
  <si>
    <t>Pump Type</t>
  </si>
  <si>
    <r>
      <t>F</t>
    </r>
    <r>
      <rPr>
        <vertAlign val="subscript"/>
        <sz val="10"/>
        <rFont val="Arial"/>
        <family val="2"/>
      </rPr>
      <t>mCI</t>
    </r>
  </si>
  <si>
    <r>
      <t>F</t>
    </r>
    <r>
      <rPr>
        <vertAlign val="subscript"/>
        <sz val="10"/>
        <rFont val="Arial"/>
        <family val="2"/>
      </rPr>
      <t>mCS</t>
    </r>
  </si>
  <si>
    <r>
      <t>F</t>
    </r>
    <r>
      <rPr>
        <vertAlign val="subscript"/>
        <sz val="10"/>
        <rFont val="Arial"/>
        <family val="2"/>
      </rPr>
      <t>mCu</t>
    </r>
  </si>
  <si>
    <r>
      <t>F</t>
    </r>
    <r>
      <rPr>
        <vertAlign val="subscript"/>
        <sz val="10"/>
        <rFont val="Arial"/>
        <family val="2"/>
      </rPr>
      <t>mSS</t>
    </r>
  </si>
  <si>
    <r>
      <t>F</t>
    </r>
    <r>
      <rPr>
        <vertAlign val="subscript"/>
        <sz val="10"/>
        <rFont val="Arial"/>
        <family val="2"/>
      </rPr>
      <t>mNi</t>
    </r>
  </si>
  <si>
    <r>
      <t>F</t>
    </r>
    <r>
      <rPr>
        <vertAlign val="subscript"/>
        <sz val="10"/>
        <rFont val="Arial"/>
        <family val="2"/>
      </rPr>
      <t>mTi</t>
    </r>
  </si>
  <si>
    <t>Centrifugal pump</t>
  </si>
  <si>
    <t>NA</t>
  </si>
  <si>
    <t>Positive Displacement</t>
  </si>
  <si>
    <t>Reciprocating pump</t>
  </si>
  <si>
    <t>Reactor Type</t>
  </si>
  <si>
    <t>Autoclave</t>
  </si>
  <si>
    <t>Fermenter</t>
  </si>
  <si>
    <t>Inoculum Tank</t>
  </si>
  <si>
    <t>Jacketed Agitated</t>
  </si>
  <si>
    <t>Jacketed Non-Agitated</t>
  </si>
  <si>
    <t>Mixer/Settler</t>
  </si>
  <si>
    <t>Screen Type</t>
  </si>
  <si>
    <t>DSM</t>
  </si>
  <si>
    <t>Stationary</t>
  </si>
  <si>
    <t>Vibrating</t>
  </si>
  <si>
    <t>Tank Type</t>
  </si>
  <si>
    <t>Fixed Roof</t>
  </si>
  <si>
    <t>Floating Roof</t>
  </si>
  <si>
    <t>Turbine Type</t>
  </si>
  <si>
    <r>
      <t>F</t>
    </r>
    <r>
      <rPr>
        <vertAlign val="subscript"/>
        <sz val="10"/>
        <rFont val="Arial"/>
        <family val="2"/>
      </rPr>
      <t>BMCI</t>
    </r>
  </si>
  <si>
    <r>
      <t>F</t>
    </r>
    <r>
      <rPr>
        <vertAlign val="subscript"/>
        <sz val="10"/>
        <rFont val="Arial"/>
        <family val="2"/>
      </rPr>
      <t>BMCu</t>
    </r>
  </si>
  <si>
    <r>
      <t>F</t>
    </r>
    <r>
      <rPr>
        <vertAlign val="subscript"/>
        <sz val="10"/>
        <rFont val="Arial"/>
        <family val="2"/>
      </rPr>
      <t>BMTi</t>
    </r>
  </si>
  <si>
    <t>Radial</t>
  </si>
  <si>
    <t>Vaporizer Types</t>
  </si>
  <si>
    <r>
      <t>V</t>
    </r>
    <r>
      <rPr>
        <vertAlign val="subscript"/>
        <sz val="10"/>
        <rFont val="Arial"/>
        <family val="2"/>
      </rPr>
      <t>min(m3)</t>
    </r>
  </si>
  <si>
    <r>
      <t>V</t>
    </r>
    <r>
      <rPr>
        <vertAlign val="subscript"/>
        <sz val="10"/>
        <rFont val="Arial"/>
        <family val="2"/>
      </rPr>
      <t>max(m3)</t>
    </r>
  </si>
  <si>
    <t>Jacketed Vessel</t>
  </si>
  <si>
    <t>Internal Coil</t>
  </si>
  <si>
    <t>Jacketed Vessel w/ Coil</t>
  </si>
  <si>
    <r>
      <t>Bare Module Factors, F</t>
    </r>
    <r>
      <rPr>
        <vertAlign val="subscript"/>
        <sz val="10"/>
        <rFont val="Arial"/>
        <family val="2"/>
      </rPr>
      <t>BM</t>
    </r>
  </si>
  <si>
    <t>GL SS Coils</t>
  </si>
  <si>
    <t>Glass Lined Ni Coils</t>
  </si>
  <si>
    <t>SS Clad</t>
  </si>
  <si>
    <t>Ni Alloy</t>
  </si>
  <si>
    <t>Ni Alloy Clad</t>
  </si>
  <si>
    <t>Ti Clad</t>
  </si>
  <si>
    <t>Cu Alloy</t>
  </si>
  <si>
    <t>Vertical Vessels</t>
  </si>
  <si>
    <t>Horizontal Vessels</t>
  </si>
  <si>
    <r>
      <t>V</t>
    </r>
    <r>
      <rPr>
        <vertAlign val="subscript"/>
        <sz val="10"/>
        <rFont val="Arial"/>
        <family val="2"/>
      </rPr>
      <t>min</t>
    </r>
  </si>
  <si>
    <r>
      <t>V</t>
    </r>
    <r>
      <rPr>
        <vertAlign val="subscript"/>
        <sz val="10"/>
        <rFont val="Arial"/>
        <family val="2"/>
      </rPr>
      <t>max</t>
    </r>
  </si>
  <si>
    <t>Vessel Type</t>
  </si>
  <si>
    <t>B1</t>
  </si>
  <si>
    <t>B2</t>
  </si>
  <si>
    <t>Horizontal</t>
  </si>
  <si>
    <t>Vertical</t>
  </si>
  <si>
    <t>Materials of Construction</t>
  </si>
  <si>
    <r>
      <t>F</t>
    </r>
    <r>
      <rPr>
        <vertAlign val="subscript"/>
        <sz val="10"/>
        <rFont val="Arial"/>
        <family val="2"/>
      </rPr>
      <t>M CS</t>
    </r>
  </si>
  <si>
    <r>
      <t>F</t>
    </r>
    <r>
      <rPr>
        <vertAlign val="subscript"/>
        <sz val="10"/>
        <rFont val="Arial"/>
        <family val="2"/>
      </rPr>
      <t>M SS clad</t>
    </r>
  </si>
  <si>
    <r>
      <t>F</t>
    </r>
    <r>
      <rPr>
        <vertAlign val="subscript"/>
        <sz val="10"/>
        <rFont val="Arial"/>
        <family val="2"/>
      </rPr>
      <t>M SS</t>
    </r>
  </si>
  <si>
    <r>
      <t>F</t>
    </r>
    <r>
      <rPr>
        <vertAlign val="subscript"/>
        <sz val="10"/>
        <rFont val="Arial"/>
        <family val="2"/>
      </rPr>
      <t>M Ni clad</t>
    </r>
  </si>
  <si>
    <r>
      <t>F</t>
    </r>
    <r>
      <rPr>
        <vertAlign val="subscript"/>
        <sz val="10"/>
        <rFont val="Arial"/>
        <family val="2"/>
      </rPr>
      <t>M Ni</t>
    </r>
  </si>
  <si>
    <r>
      <t>F</t>
    </r>
    <r>
      <rPr>
        <vertAlign val="subscript"/>
        <sz val="10"/>
        <rFont val="Arial"/>
        <family val="2"/>
      </rPr>
      <t>M Ti clad</t>
    </r>
  </si>
  <si>
    <r>
      <t>F</t>
    </r>
    <r>
      <rPr>
        <vertAlign val="subscript"/>
        <sz val="10"/>
        <rFont val="Arial"/>
        <family val="2"/>
      </rPr>
      <t>M Ti</t>
    </r>
  </si>
  <si>
    <t>Tower Trays</t>
  </si>
  <si>
    <t>Tray Type</t>
  </si>
  <si>
    <r>
      <t>A</t>
    </r>
    <r>
      <rPr>
        <vertAlign val="subscript"/>
        <sz val="10"/>
        <rFont val="Arial"/>
        <family val="2"/>
      </rPr>
      <t>min</t>
    </r>
    <r>
      <rPr>
        <sz val="10"/>
        <rFont val="Arial"/>
        <family val="2"/>
      </rPr>
      <t>(m</t>
    </r>
    <r>
      <rPr>
        <vertAlign val="superscript"/>
        <sz val="10"/>
        <rFont val="Arial"/>
        <family val="2"/>
      </rPr>
      <t>2</t>
    </r>
    <r>
      <rPr>
        <sz val="10"/>
        <rFont val="Arial"/>
        <family val="2"/>
      </rPr>
      <t>)</t>
    </r>
  </si>
  <si>
    <r>
      <t>A</t>
    </r>
    <r>
      <rPr>
        <vertAlign val="subscript"/>
        <sz val="10"/>
        <rFont val="Arial"/>
        <family val="2"/>
      </rPr>
      <t>max</t>
    </r>
    <r>
      <rPr>
        <sz val="10"/>
        <rFont val="Arial"/>
        <family val="2"/>
      </rPr>
      <t>(m</t>
    </r>
    <r>
      <rPr>
        <vertAlign val="superscript"/>
        <sz val="10"/>
        <rFont val="Arial"/>
        <family val="2"/>
      </rPr>
      <t>2</t>
    </r>
    <r>
      <rPr>
        <sz val="10"/>
        <rFont val="Arial"/>
        <family val="2"/>
      </rPr>
      <t>)</t>
    </r>
  </si>
  <si>
    <t>Sieve</t>
  </si>
  <si>
    <t>Valve</t>
  </si>
  <si>
    <t>Demister</t>
  </si>
  <si>
    <t>MOC</t>
  </si>
  <si>
    <t>Fluorocarbon</t>
  </si>
  <si>
    <t>Ni-alloy</t>
  </si>
  <si>
    <t>Fq = 10^{0.4771+0.08516 Log N -0.3473 [Log N]^2}</t>
  </si>
  <si>
    <t>N</t>
  </si>
  <si>
    <t>Fq</t>
  </si>
  <si>
    <r>
      <t>V</t>
    </r>
    <r>
      <rPr>
        <vertAlign val="subscript"/>
        <sz val="10"/>
        <rFont val="Arial"/>
        <family val="2"/>
      </rPr>
      <t>min</t>
    </r>
    <r>
      <rPr>
        <sz val="10"/>
        <rFont val="Arial"/>
        <family val="2"/>
      </rPr>
      <t>(m</t>
    </r>
    <r>
      <rPr>
        <vertAlign val="superscript"/>
        <sz val="10"/>
        <rFont val="Arial"/>
        <family val="2"/>
      </rPr>
      <t>3</t>
    </r>
    <r>
      <rPr>
        <sz val="10"/>
        <rFont val="Arial"/>
        <family val="2"/>
      </rPr>
      <t>)</t>
    </r>
  </si>
  <si>
    <r>
      <t>V</t>
    </r>
    <r>
      <rPr>
        <vertAlign val="subscript"/>
        <sz val="10"/>
        <rFont val="Arial"/>
        <family val="2"/>
      </rPr>
      <t>max</t>
    </r>
    <r>
      <rPr>
        <sz val="10"/>
        <rFont val="Arial"/>
        <family val="2"/>
      </rPr>
      <t>(m</t>
    </r>
    <r>
      <rPr>
        <vertAlign val="superscript"/>
        <sz val="10"/>
        <rFont val="Arial"/>
        <family val="2"/>
      </rPr>
      <t>3</t>
    </r>
    <r>
      <rPr>
        <sz val="10"/>
        <rFont val="Arial"/>
        <family val="2"/>
      </rPr>
      <t>)</t>
    </r>
  </si>
  <si>
    <t>FBM</t>
  </si>
  <si>
    <t>Ceramic</t>
  </si>
  <si>
    <t>304 SS</t>
  </si>
  <si>
    <t>Plastic Saddle</t>
  </si>
  <si>
    <t>Equipment</t>
  </si>
  <si>
    <t>CB0</t>
  </si>
  <si>
    <t>FP</t>
  </si>
  <si>
    <t>FM</t>
  </si>
  <si>
    <t>CMB</t>
  </si>
  <si>
    <t>Capacity</t>
  </si>
  <si>
    <t>Units</t>
  </si>
  <si>
    <t>Material</t>
  </si>
  <si>
    <t>BEC in M</t>
  </si>
  <si>
    <t>Air Separation Unit</t>
  </si>
  <si>
    <t>Unit Code</t>
  </si>
  <si>
    <t>U-100</t>
  </si>
  <si>
    <t xml:space="preserve">Blender </t>
  </si>
  <si>
    <t xml:space="preserve">Centrifuge </t>
  </si>
  <si>
    <t>Conveyor</t>
  </si>
  <si>
    <t xml:space="preserve">Crystallizer </t>
  </si>
  <si>
    <t xml:space="preserve">Drive </t>
  </si>
  <si>
    <t>Dryer</t>
  </si>
  <si>
    <t xml:space="preserve">Dust Collectors </t>
  </si>
  <si>
    <t>Fan</t>
  </si>
  <si>
    <t xml:space="preserve">Filter </t>
  </si>
  <si>
    <t xml:space="preserve">Fired Heater </t>
  </si>
  <si>
    <t xml:space="preserve">Evaporator </t>
  </si>
  <si>
    <t>Heat Exchanger</t>
  </si>
  <si>
    <t xml:space="preserve">Mixer </t>
  </si>
  <si>
    <t xml:space="preserve">Pump </t>
  </si>
  <si>
    <t xml:space="preserve">Reactor </t>
  </si>
  <si>
    <t xml:space="preserve">Screen </t>
  </si>
  <si>
    <t>Tank</t>
  </si>
  <si>
    <t xml:space="preserve">Turbine </t>
  </si>
  <si>
    <t>Vaporizer</t>
  </si>
  <si>
    <t>Vessel</t>
  </si>
  <si>
    <t>Compressor</t>
  </si>
  <si>
    <t>Fill In</t>
  </si>
  <si>
    <t>Select</t>
  </si>
  <si>
    <t>Calculated</t>
  </si>
  <si>
    <t>Plant Unit Details</t>
  </si>
  <si>
    <t>nº units</t>
  </si>
  <si>
    <t>Color Coding</t>
  </si>
  <si>
    <t>Notes</t>
  </si>
  <si>
    <t>Pump</t>
  </si>
  <si>
    <t>Cost Esimtation Type</t>
  </si>
  <si>
    <t>Bare Erected Cost (BEC)</t>
  </si>
  <si>
    <t>Total Installed Cost</t>
  </si>
  <si>
    <t>Engineering Procurement &amp; Construction (EPCC)</t>
  </si>
  <si>
    <t>Process Contingency (PC)</t>
  </si>
  <si>
    <t>Project Contingency (PT)</t>
  </si>
  <si>
    <t>Total Contingency (TC)</t>
  </si>
  <si>
    <t>PC + PT</t>
  </si>
  <si>
    <t>Total Plant Costs (TPC)</t>
  </si>
  <si>
    <t>BEC + EPCC + TC</t>
  </si>
  <si>
    <t>Owners's Cost (OC)</t>
  </si>
  <si>
    <t>Total Overnight Costs (TOC)</t>
  </si>
  <si>
    <t>TPC + OC</t>
  </si>
  <si>
    <t>Total Capital Requirement (TCR)</t>
  </si>
  <si>
    <t>111% of TOC</t>
  </si>
  <si>
    <t>Gasification</t>
  </si>
  <si>
    <t>Technology</t>
  </si>
  <si>
    <t>Oxygen Compressors</t>
  </si>
  <si>
    <t>N2 Compressors</t>
  </si>
  <si>
    <t>O2 pump</t>
  </si>
  <si>
    <t>Cryogenic Distillation</t>
  </si>
  <si>
    <t>Pressure Swing Adsorption</t>
  </si>
  <si>
    <t xml:space="preserve">Shell </t>
  </si>
  <si>
    <t>E-gas</t>
  </si>
  <si>
    <t>HP ASU</t>
  </si>
  <si>
    <t>Syngas Coolers</t>
  </si>
  <si>
    <t>Full Quench</t>
  </si>
  <si>
    <t>MHI</t>
  </si>
  <si>
    <t>Industrial F-class</t>
  </si>
  <si>
    <t>Industrial H-class</t>
  </si>
  <si>
    <t>Aero-Derivative</t>
  </si>
  <si>
    <t>Intercooler</t>
  </si>
  <si>
    <t>Recuperator</t>
  </si>
  <si>
    <t>Flexible start-up</t>
  </si>
  <si>
    <t>Drying</t>
  </si>
  <si>
    <t>Stages</t>
  </si>
  <si>
    <t>Purification Unit</t>
  </si>
  <si>
    <t>Intercooled Compressor</t>
  </si>
  <si>
    <t>Intercooled Adiabatic</t>
  </si>
  <si>
    <t>Membrane Reactor</t>
  </si>
  <si>
    <t>Staurator</t>
  </si>
  <si>
    <t>Surface Membrane</t>
  </si>
  <si>
    <t>Task</t>
  </si>
  <si>
    <t>Oxidant Stream</t>
  </si>
  <si>
    <t>CEPCI</t>
  </si>
  <si>
    <t>Year</t>
  </si>
  <si>
    <t>Power Generation</t>
  </si>
  <si>
    <t>Reformer</t>
  </si>
  <si>
    <t>Fired Tube Heater</t>
  </si>
  <si>
    <t>Authothermal</t>
  </si>
  <si>
    <t>Selexol Plant</t>
  </si>
  <si>
    <t>Slective H2S/CO2</t>
  </si>
  <si>
    <t>MDEA Plant</t>
  </si>
  <si>
    <t>Scrubber</t>
  </si>
  <si>
    <t>Water Treating</t>
  </si>
  <si>
    <t>CO2 only</t>
  </si>
  <si>
    <t>Pre-combustion Capture</t>
  </si>
  <si>
    <t>Post-combustion Capture</t>
  </si>
  <si>
    <t>Water Gas Shift</t>
  </si>
  <si>
    <t>MEA Plant</t>
  </si>
  <si>
    <t>Either Create a template with Turton or Scaling Law from Literature</t>
  </si>
  <si>
    <t>Boiler</t>
  </si>
  <si>
    <t>Condenser</t>
  </si>
  <si>
    <t>Syngas Purification</t>
  </si>
  <si>
    <t>SEWGS</t>
  </si>
  <si>
    <t>Winkler</t>
  </si>
  <si>
    <t>Quench</t>
  </si>
  <si>
    <t>Radiant Syngas Cooler</t>
  </si>
  <si>
    <t>GE</t>
  </si>
  <si>
    <t>Siemens</t>
  </si>
  <si>
    <t>Exp.</t>
  </si>
  <si>
    <t>Scaling</t>
  </si>
  <si>
    <t>nº</t>
  </si>
  <si>
    <t>H2 Compression</t>
  </si>
  <si>
    <t>CO2 Compression</t>
  </si>
  <si>
    <t>Ash Handling</t>
  </si>
  <si>
    <t>Coal Milling &amp; Drying</t>
  </si>
  <si>
    <t>Slurry Preparation</t>
  </si>
  <si>
    <t>Subtype</t>
  </si>
  <si>
    <t>Cooling Water Tower</t>
  </si>
  <si>
    <t>Unit</t>
  </si>
  <si>
    <t>m3/s</t>
  </si>
  <si>
    <t>m2</t>
  </si>
  <si>
    <t>m</t>
  </si>
  <si>
    <t>-</t>
  </si>
  <si>
    <t>Fuel Cell</t>
  </si>
  <si>
    <t>Label</t>
  </si>
  <si>
    <t>Desccription</t>
  </si>
  <si>
    <t>Bibiliography</t>
  </si>
  <si>
    <t>Reference</t>
  </si>
  <si>
    <t>Name</t>
  </si>
  <si>
    <t>HGCU</t>
  </si>
  <si>
    <t>Fludized ZnO</t>
  </si>
  <si>
    <t>Humid Air Turbine</t>
  </si>
  <si>
    <t>SOFC</t>
  </si>
  <si>
    <t>H2</t>
  </si>
  <si>
    <t>Scrubber &amp; Recycle</t>
  </si>
  <si>
    <t>N2 from ASU</t>
  </si>
  <si>
    <t>LTGCU</t>
  </si>
  <si>
    <t>Selexol</t>
  </si>
  <si>
    <t>Amine</t>
  </si>
  <si>
    <t>LTHR</t>
  </si>
  <si>
    <t>Saturator</t>
  </si>
  <si>
    <t>COS Hydrolizer</t>
  </si>
  <si>
    <t>Claus Unit</t>
  </si>
  <si>
    <t>Wind Farm</t>
  </si>
  <si>
    <t>Features</t>
  </si>
  <si>
    <t>Electrolyzers</t>
  </si>
  <si>
    <t>PEM</t>
  </si>
  <si>
    <t>O2,N2, Air</t>
  </si>
  <si>
    <t>Thermal Storage</t>
  </si>
  <si>
    <t>O2 storage</t>
  </si>
  <si>
    <t>Liquefaction</t>
  </si>
  <si>
    <t>Natural Gas</t>
  </si>
  <si>
    <t>Metal Oxides</t>
  </si>
  <si>
    <t>Chemical Storage</t>
  </si>
  <si>
    <t>Adsorption</t>
  </si>
  <si>
    <t>Molten Salts</t>
  </si>
  <si>
    <t>Synthesis Loops</t>
  </si>
  <si>
    <t xml:space="preserve">Adsorption </t>
  </si>
  <si>
    <t>Chemical Looping Reforming</t>
  </si>
  <si>
    <t>Gas Switching</t>
  </si>
  <si>
    <t>Thermal mass</t>
  </si>
  <si>
    <t>Chemical Looping</t>
  </si>
  <si>
    <t>Combustion</t>
  </si>
  <si>
    <t>Oxygen Production</t>
  </si>
  <si>
    <t>IFB</t>
  </si>
  <si>
    <t>SOEC</t>
  </si>
  <si>
    <t>Ion Transport Membrane</t>
  </si>
  <si>
    <t>Thermal Mass</t>
  </si>
  <si>
    <t>Fresnel</t>
  </si>
  <si>
    <t>Molten Carbonate</t>
  </si>
  <si>
    <t>PV Field</t>
  </si>
  <si>
    <t>Solar Thermal</t>
  </si>
  <si>
    <t>sCO2 Recuperated</t>
  </si>
  <si>
    <t>Rankine Cycle</t>
  </si>
  <si>
    <t>HSRGs</t>
  </si>
  <si>
    <t>Other Fluids (He)</t>
  </si>
  <si>
    <t>Nuclear Reactor</t>
  </si>
  <si>
    <t>1,2,3 press. Reheat</t>
  </si>
  <si>
    <t>Supercritical</t>
  </si>
  <si>
    <t>Subcritical</t>
  </si>
  <si>
    <t>Parabollic Trough</t>
  </si>
  <si>
    <t>Polymeric</t>
  </si>
  <si>
    <t>Heat Rejection</t>
  </si>
  <si>
    <t>Energy Storage</t>
  </si>
  <si>
    <t>Claude</t>
  </si>
  <si>
    <t>C3MR</t>
  </si>
  <si>
    <t xml:space="preserve"> Purification</t>
  </si>
  <si>
    <t>Primary Conversion</t>
  </si>
  <si>
    <t>Secondary Conversion</t>
  </si>
  <si>
    <t>Haber Bosch</t>
  </si>
  <si>
    <t xml:space="preserve">Methanol </t>
  </si>
  <si>
    <t>Pressurized</t>
  </si>
  <si>
    <t>Cryogenic</t>
  </si>
  <si>
    <t>Ambient</t>
  </si>
  <si>
    <t>Chemical Synthesis</t>
  </si>
  <si>
    <t xml:space="preserve">Vertical </t>
  </si>
  <si>
    <t>Sphere</t>
  </si>
  <si>
    <t>Supercritical Pump</t>
  </si>
  <si>
    <t>Storage Tanks</t>
  </si>
  <si>
    <t>Contaminant Removal</t>
  </si>
  <si>
    <t>SARC</t>
  </si>
  <si>
    <t>Membrane Purge</t>
  </si>
  <si>
    <t>MA-ATR</t>
  </si>
  <si>
    <t>Product Conditioning &amp; Storage</t>
  </si>
  <si>
    <t>Nuclear specific</t>
  </si>
  <si>
    <t>Other</t>
  </si>
  <si>
    <t>Capital</t>
  </si>
  <si>
    <t>Construction period</t>
  </si>
  <si>
    <t xml:space="preserve">Discount rate </t>
  </si>
  <si>
    <t>Total</t>
  </si>
  <si>
    <t>Revenue</t>
  </si>
  <si>
    <t>Capacity factor</t>
  </si>
  <si>
    <t>Costs</t>
  </si>
  <si>
    <t>Discount factor</t>
  </si>
  <si>
    <t>Discounted total</t>
  </si>
  <si>
    <t>Cash flow</t>
  </si>
  <si>
    <t>Discounted cash flow</t>
  </si>
  <si>
    <t>Fixed Operating and Maintenance Costs (FOM)</t>
  </si>
  <si>
    <t>Total FOM</t>
  </si>
  <si>
    <t>Variable Operation and Maintenance Costs (VOM)</t>
  </si>
  <si>
    <t>years</t>
  </si>
  <si>
    <t>U-200</t>
  </si>
  <si>
    <t>U-300</t>
  </si>
  <si>
    <t>U-400</t>
  </si>
  <si>
    <t>€</t>
  </si>
  <si>
    <t>%</t>
  </si>
  <si>
    <t>FOM</t>
  </si>
  <si>
    <t>VOM</t>
  </si>
  <si>
    <t>Capacity Factor 1st year</t>
  </si>
  <si>
    <t>Capacity Factor (remaining)</t>
  </si>
  <si>
    <t>Item</t>
  </si>
  <si>
    <t>Detail</t>
  </si>
  <si>
    <t>Currency</t>
  </si>
  <si>
    <t>n</t>
  </si>
  <si>
    <t>e</t>
  </si>
  <si>
    <t>f</t>
  </si>
  <si>
    <t>C0</t>
  </si>
  <si>
    <t>S0</t>
  </si>
  <si>
    <t>C</t>
  </si>
  <si>
    <t>S</t>
  </si>
  <si>
    <t>m3</t>
  </si>
  <si>
    <t>Evaporator</t>
  </si>
  <si>
    <t>kW</t>
  </si>
  <si>
    <t>CS/SS</t>
  </si>
  <si>
    <t xml:space="preserve">Pressure </t>
  </si>
  <si>
    <t>Location</t>
  </si>
  <si>
    <t>US Gulf Coast</t>
  </si>
  <si>
    <t>US Southwest</t>
  </si>
  <si>
    <t>US Northwest</t>
  </si>
  <si>
    <t>US Midwest</t>
  </si>
  <si>
    <t>US West Coast</t>
  </si>
  <si>
    <t>Mexico</t>
  </si>
  <si>
    <t>Japan</t>
  </si>
  <si>
    <t>India</t>
  </si>
  <si>
    <t>CS/Ni</t>
  </si>
  <si>
    <t>$</t>
  </si>
  <si>
    <t>Western Europe</t>
  </si>
  <si>
    <t>Turton</t>
  </si>
  <si>
    <t>YEAR</t>
  </si>
  <si>
    <t>Index -2018</t>
  </si>
  <si>
    <t>Index-L</t>
  </si>
  <si>
    <r>
      <t>$/</t>
    </r>
    <r>
      <rPr>
        <b/>
        <sz val="11"/>
        <color theme="1"/>
        <rFont val="Calibri"/>
        <family val="2"/>
      </rPr>
      <t>€</t>
    </r>
  </si>
  <si>
    <t>CO2 tax</t>
  </si>
  <si>
    <t xml:space="preserve">Overview </t>
  </si>
  <si>
    <t>Overview</t>
  </si>
  <si>
    <t>BEC</t>
  </si>
  <si>
    <t>Source</t>
  </si>
  <si>
    <t>Unit Description</t>
  </si>
  <si>
    <t>Scaling Cost Law</t>
  </si>
  <si>
    <t>train exponent</t>
  </si>
  <si>
    <t>unit exponent</t>
  </si>
  <si>
    <t>nº of trains</t>
  </si>
  <si>
    <t>capacity</t>
  </si>
  <si>
    <t>cost</t>
  </si>
  <si>
    <t>Scaling Parameter</t>
  </si>
  <si>
    <t>Reference  Scaling Parameters</t>
  </si>
  <si>
    <t>Reference Details</t>
  </si>
  <si>
    <t xml:space="preserve">Location </t>
  </si>
  <si>
    <t>Unit Scaling</t>
  </si>
  <si>
    <t>Correlation Input</t>
  </si>
  <si>
    <t>Correlation Output</t>
  </si>
  <si>
    <t>Blender</t>
  </si>
  <si>
    <t>Rotatory</t>
  </si>
  <si>
    <t>Centrifuge</t>
  </si>
  <si>
    <t>Auto Batch Separator</t>
  </si>
  <si>
    <t>Centrifugal Separator</t>
  </si>
  <si>
    <t>Crystallizer</t>
  </si>
  <si>
    <t>Drive</t>
  </si>
  <si>
    <t>Rotatory, Gas Fired</t>
  </si>
  <si>
    <t>Cyclone Scrubber</t>
  </si>
  <si>
    <t>Dust Collectors</t>
  </si>
  <si>
    <t>Filter</t>
  </si>
  <si>
    <t>Fired Heater</t>
  </si>
  <si>
    <t>Pyrolisis Furnace</t>
  </si>
  <si>
    <t>Mixer</t>
  </si>
  <si>
    <t>Reactor</t>
  </si>
  <si>
    <t>Screen</t>
  </si>
  <si>
    <t>fiberglass</t>
  </si>
  <si>
    <t>shell and tube</t>
  </si>
  <si>
    <t>CS/CS</t>
  </si>
  <si>
    <t>Ti/Ti</t>
  </si>
  <si>
    <t>Cu/Cu</t>
  </si>
  <si>
    <t>FM/T/q</t>
  </si>
  <si>
    <t>Other Spec.</t>
  </si>
  <si>
    <t>Tower Packing</t>
  </si>
  <si>
    <t>Miscellaneous Items</t>
  </si>
  <si>
    <t>Blender_Material</t>
  </si>
  <si>
    <t>Centrifuge_Material</t>
  </si>
  <si>
    <t>Compressor_Material</t>
  </si>
  <si>
    <t>Conveyor_Material</t>
  </si>
  <si>
    <t>Crystallizer_Material</t>
  </si>
  <si>
    <t>Drive_Material</t>
  </si>
  <si>
    <t>Dryer_Material</t>
  </si>
  <si>
    <t>DustCollectors_Material</t>
  </si>
  <si>
    <t>Fan_Material</t>
  </si>
  <si>
    <t>Filter_Material</t>
  </si>
  <si>
    <t>FiredHeater_Material</t>
  </si>
  <si>
    <t>Evaporator_Material</t>
  </si>
  <si>
    <t>HeatExchanger_Material</t>
  </si>
  <si>
    <t>Mixer_Material</t>
  </si>
  <si>
    <t>Pump_Material</t>
  </si>
  <si>
    <t>Reactor_Material</t>
  </si>
  <si>
    <t>Screen_Material</t>
  </si>
  <si>
    <t>Tank_Material</t>
  </si>
  <si>
    <t>Turbine_Material</t>
  </si>
  <si>
    <t>Vaporizer_Material</t>
  </si>
  <si>
    <t>Vessel_Material</t>
  </si>
  <si>
    <t>TowerTrays_Material</t>
  </si>
  <si>
    <t>TowerPacking_Material</t>
  </si>
  <si>
    <t>SS/SS</t>
  </si>
  <si>
    <t>Ni/Ni</t>
  </si>
  <si>
    <t>CS/Cu</t>
  </si>
  <si>
    <t>CS/Ti</t>
  </si>
  <si>
    <t>Cl</t>
  </si>
  <si>
    <t>Ni Clad</t>
  </si>
  <si>
    <t xml:space="preserve">Ti </t>
  </si>
  <si>
    <t>Flourocarbon</t>
  </si>
  <si>
    <t>NI Alloy</t>
  </si>
  <si>
    <t>N/A</t>
  </si>
  <si>
    <t>Total VOM (exl. Fuel &amp; CO2 tax)</t>
  </si>
  <si>
    <t>Input</t>
  </si>
  <si>
    <t xml:space="preserve"> Currency</t>
  </si>
  <si>
    <t>PLANT CAPEX</t>
  </si>
  <si>
    <t>PLANT OPEX</t>
  </si>
  <si>
    <t>Specific Cost</t>
  </si>
  <si>
    <t>Fuel</t>
  </si>
  <si>
    <t>ADD</t>
  </si>
  <si>
    <t>REMOVE</t>
  </si>
  <si>
    <t>Description</t>
  </si>
  <si>
    <t xml:space="preserve"> Output</t>
  </si>
  <si>
    <t>Item Code</t>
  </si>
  <si>
    <t>Cost Basis (year)</t>
  </si>
  <si>
    <t>Cash Flow Analysis</t>
  </si>
  <si>
    <t>Basis</t>
  </si>
  <si>
    <t>n0</t>
  </si>
  <si>
    <t>Bare Erected Cost (BEC) - Estimate</t>
  </si>
  <si>
    <t>Adjusted to  year, currency &amp; location of Estimate</t>
  </si>
  <si>
    <t>Code</t>
  </si>
  <si>
    <t>All</t>
  </si>
  <si>
    <t>TOC</t>
  </si>
  <si>
    <t>TCR</t>
  </si>
  <si>
    <t xml:space="preserve">Cost Summary </t>
  </si>
  <si>
    <t>Cost Estimate Details</t>
  </si>
  <si>
    <t>Add Item</t>
  </si>
  <si>
    <t>Remove Item</t>
  </si>
  <si>
    <t>China</t>
  </si>
  <si>
    <t>South East Asia</t>
  </si>
  <si>
    <t>Middle East</t>
  </si>
  <si>
    <t>Eastern Europe</t>
  </si>
  <si>
    <t>Australasia</t>
  </si>
  <si>
    <t>South America</t>
  </si>
  <si>
    <t>Factor</t>
  </si>
  <si>
    <t>Gulf coast</t>
  </si>
  <si>
    <t>Mid West</t>
  </si>
  <si>
    <t>Australia</t>
  </si>
  <si>
    <t>Canada</t>
  </si>
  <si>
    <t xml:space="preserve">Euro </t>
  </si>
  <si>
    <t>South Africa</t>
  </si>
  <si>
    <t>Labour weight</t>
  </si>
  <si>
    <t>IEAGHG 2018 numbers</t>
  </si>
  <si>
    <t>Weighted location factor</t>
  </si>
  <si>
    <t>HeatExchanger_DoublePipe_Material</t>
  </si>
  <si>
    <t>HeatExchanger_MultiplePipe_Material</t>
  </si>
  <si>
    <t>HeatExchanger_FloatingHead_Material</t>
  </si>
  <si>
    <t>HeatExchanger_Bayonet_Material</t>
  </si>
  <si>
    <t>HeatExchanger_KettleReboiler_Material</t>
  </si>
  <si>
    <t>HeatExchanger_ScrapedWall_Material</t>
  </si>
  <si>
    <t>HeatExchanger_SpiralTube_Material</t>
  </si>
  <si>
    <t>HeatExchanger_TeflonTubeExchanger_Material</t>
  </si>
  <si>
    <t>HeatExchanger_SpiralPlate_Material</t>
  </si>
  <si>
    <t>HeatExchanger_FlatPlate_Material</t>
  </si>
  <si>
    <t>HeatExchanger_AirCooler_Material</t>
  </si>
  <si>
    <t>HeatExchanger_FixedtubesheetorUtube_Material</t>
  </si>
  <si>
    <t xml:space="preserve">India </t>
  </si>
  <si>
    <t>Labour Compound</t>
  </si>
  <si>
    <t>Estimate Type</t>
  </si>
  <si>
    <t>Available</t>
  </si>
  <si>
    <t>Available in Database</t>
  </si>
  <si>
    <t>Not Available</t>
  </si>
  <si>
    <t>Regasification of LNG</t>
  </si>
  <si>
    <t xml:space="preserve">Cost Basis of Estimate </t>
  </si>
  <si>
    <t>Cost Concept</t>
  </si>
  <si>
    <t>Reference Breakdown</t>
  </si>
  <si>
    <t>Plant Lifetime</t>
  </si>
  <si>
    <t>Economic Analysis Assumptions</t>
  </si>
  <si>
    <t>Construction</t>
  </si>
  <si>
    <t>Lifetime</t>
  </si>
  <si>
    <t>BEC - Target</t>
  </si>
  <si>
    <t>BEC - Source</t>
  </si>
  <si>
    <t>Miscillaneous</t>
  </si>
  <si>
    <t>Reference/ Estimate Information</t>
  </si>
  <si>
    <t>Benchmark Parameters</t>
  </si>
  <si>
    <t>Bibliography</t>
  </si>
  <si>
    <t>DOI/website</t>
  </si>
  <si>
    <t xml:space="preserve"> Description</t>
  </si>
  <si>
    <t>Ref. nº</t>
  </si>
  <si>
    <t>Point</t>
  </si>
  <si>
    <t>ESTIMATE BENCHMARK</t>
  </si>
  <si>
    <t>Smax</t>
  </si>
  <si>
    <t>Smin</t>
  </si>
  <si>
    <t>BEC/Capacity</t>
  </si>
  <si>
    <t xml:space="preserve">BENCHMARK </t>
  </si>
  <si>
    <t>BENCHMARK ITEMS</t>
  </si>
  <si>
    <t>% of TPC</t>
  </si>
  <si>
    <t>% of TOC</t>
  </si>
  <si>
    <t>% of BEC</t>
  </si>
  <si>
    <t>% of (BEC+EPCC+PC)</t>
  </si>
  <si>
    <t>Cost Estimation</t>
  </si>
  <si>
    <t xml:space="preserve">BEC </t>
  </si>
  <si>
    <t>Fuel 1</t>
  </si>
  <si>
    <t>Fuel 2</t>
  </si>
  <si>
    <t>Item 1</t>
  </si>
  <si>
    <t>Item 2</t>
  </si>
  <si>
    <t>LCOP</t>
  </si>
  <si>
    <t>Sales</t>
  </si>
  <si>
    <t>Value</t>
  </si>
  <si>
    <t>Output</t>
  </si>
  <si>
    <t>Efficiency</t>
  </si>
  <si>
    <t>Emissions 1</t>
  </si>
  <si>
    <t>Product 1</t>
  </si>
  <si>
    <t>Scaling Cost Law (Misc. Items)</t>
  </si>
  <si>
    <t>CORRELATION FORMULATION</t>
  </si>
  <si>
    <t>Packing</t>
  </si>
  <si>
    <t>Unit Name</t>
  </si>
  <si>
    <t>unit/year</t>
  </si>
  <si>
    <t>cost/unit</t>
  </si>
  <si>
    <t>Concept</t>
  </si>
  <si>
    <t>Unit 1</t>
  </si>
  <si>
    <t>Unit 2</t>
  </si>
  <si>
    <t>Unit 3</t>
  </si>
  <si>
    <t>Unit 4</t>
  </si>
  <si>
    <t>Plant Name</t>
  </si>
  <si>
    <t>Plant A</t>
  </si>
  <si>
    <t>COCA</t>
  </si>
  <si>
    <t xml:space="preserve"> Code</t>
  </si>
  <si>
    <t xml:space="preserve"> Name</t>
  </si>
  <si>
    <t>Sp. Emissions</t>
  </si>
  <si>
    <t>unit R</t>
  </si>
  <si>
    <t>unit P</t>
  </si>
  <si>
    <r>
      <t>Exchange ($/</t>
    </r>
    <r>
      <rPr>
        <b/>
        <sz val="12"/>
        <color theme="1"/>
        <rFont val="Calibri"/>
        <family val="2"/>
      </rPr>
      <t>€)</t>
    </r>
  </si>
  <si>
    <t>Item 3</t>
  </si>
  <si>
    <t>Item 4</t>
  </si>
  <si>
    <t>Reference / Estimate Information</t>
  </si>
  <si>
    <t>Scaling  Parameters</t>
  </si>
  <si>
    <t>Unit Definition</t>
  </si>
  <si>
    <t>Benchmark</t>
  </si>
  <si>
    <t>Benchmark Unit Details</t>
  </si>
  <si>
    <t>Ref nº</t>
  </si>
  <si>
    <t>Other (DOI, webpage)</t>
  </si>
  <si>
    <t>Schalk Cloete</t>
  </si>
  <si>
    <t>Ángel Jiménez Álvaro</t>
  </si>
  <si>
    <t>SINTEF Industry, Flow Technology Group</t>
  </si>
  <si>
    <t xml:space="preserve">Standardized Economic Assessement (SEA) Tool </t>
  </si>
  <si>
    <t>Link</t>
  </si>
  <si>
    <t>Correlation Database</t>
  </si>
  <si>
    <t>Instructions for Users</t>
  </si>
  <si>
    <t>Fuel &amp; Raw Material Costs</t>
  </si>
  <si>
    <t xml:space="preserve">Carlos Arnaiz del Pozo </t>
  </si>
  <si>
    <t>SEA Tool</t>
  </si>
  <si>
    <t>NOTES</t>
  </si>
  <si>
    <t xml:space="preserve">   Name</t>
  </si>
  <si>
    <t xml:space="preserve">   Version</t>
  </si>
  <si>
    <t xml:space="preserve">   Release Date</t>
  </si>
  <si>
    <t xml:space="preserve">   License</t>
  </si>
  <si>
    <t>correspondence: cr.arnaiz@upm.es; schalk.cloete@sintef.no</t>
  </si>
  <si>
    <t>cost/year</t>
  </si>
  <si>
    <r>
      <t>cost</t>
    </r>
    <r>
      <rPr>
        <sz val="12"/>
        <color theme="1" tint="4.9989318521683403E-2"/>
        <rFont val="Calibri"/>
        <family val="2"/>
      </rPr>
      <t>/year</t>
    </r>
  </si>
  <si>
    <t xml:space="preserve">Attribution: </t>
  </si>
  <si>
    <t>Turton (2018)</t>
  </si>
  <si>
    <t>Mastersheet with Turton cost estimations per equipment type. To use these formulas in the cost estimate of a plant Unit, simply copy the correct row (columns D-Q) and paste it into your unit sheet. Following this operation, you only need to fill in the capacity, pressure, scaling exponent, and other specifications columns and select the construction material to get the equipment bare erected cost.</t>
  </si>
  <si>
    <t>NPV</t>
  </si>
  <si>
    <t>IRR</t>
  </si>
  <si>
    <t>Indicator</t>
  </si>
  <si>
    <t>Price of Product</t>
  </si>
  <si>
    <t>Discounted Cash Flow</t>
  </si>
  <si>
    <t>Economic Analysis Input/Output</t>
  </si>
  <si>
    <t>Plant &amp; Economic Summary</t>
  </si>
  <si>
    <t>SPP</t>
  </si>
  <si>
    <t>DPP</t>
  </si>
  <si>
    <t>Benchmarking (LCOP)</t>
  </si>
  <si>
    <t>Economic Indicator</t>
  </si>
  <si>
    <t>Sheet Shortcuts</t>
  </si>
  <si>
    <t xml:space="preserve">Stream </t>
  </si>
  <si>
    <t>Component</t>
  </si>
  <si>
    <t>Property</t>
  </si>
  <si>
    <t>Property 1</t>
  </si>
  <si>
    <t>Component 1</t>
  </si>
  <si>
    <t>Stream</t>
  </si>
  <si>
    <t>Stream, Property and Component must contain at least 1 item each</t>
  </si>
  <si>
    <t>Stream Summary Configuration</t>
  </si>
  <si>
    <t>Lists must contain a minimum of 2 Items</t>
  </si>
  <si>
    <t>Other contributors</t>
  </si>
  <si>
    <t>Email</t>
  </si>
  <si>
    <t>Issue #</t>
  </si>
  <si>
    <t>Universidad Politécnica de Madrid</t>
  </si>
  <si>
    <r>
      <rPr>
        <b/>
        <sz val="14"/>
        <color theme="1"/>
        <rFont val="Calibri"/>
        <family val="2"/>
        <scheme val="minor"/>
      </rPr>
      <t>4.</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Plant CAPEX: </t>
    </r>
    <r>
      <rPr>
        <sz val="12"/>
        <color theme="1"/>
        <rFont val="Calibri"/>
        <family val="2"/>
        <scheme val="minor"/>
      </rPr>
      <t>Determine Total Overnight Cost (TOC) by applying appropriate contingencies and other costs</t>
    </r>
  </si>
  <si>
    <t>Useful best practices:</t>
  </si>
  <si>
    <t xml:space="preserve">1. Carefully plan out the different units in the plant and determine which approach (Equipment or Scaling) will be used for each. If more than two units of either approach will be used, duplicate the appropriate sheet (Unit-200 for Equipment and Unit-400 for Scaling). Hide any sheets that will not be used. </t>
  </si>
  <si>
    <t xml:space="preserve">2. Describe each unit in the Plant Overview sheet, cells V36:Z53. Make sure the correct unit name is linked in each Unit sheet, cells E6:E7, and rename the sheets appropriately. </t>
  </si>
  <si>
    <r>
      <rPr>
        <b/>
        <sz val="14"/>
        <color theme="1"/>
        <rFont val="Calibri"/>
        <family val="2"/>
        <scheme val="minor"/>
      </rPr>
      <t>1.</t>
    </r>
    <r>
      <rPr>
        <b/>
        <sz val="12"/>
        <color theme="1"/>
        <rFont val="Calibri"/>
        <family val="2"/>
        <scheme val="minor"/>
      </rPr>
      <t xml:space="preserve">  Plant Overview: </t>
    </r>
    <r>
      <rPr>
        <sz val="12"/>
        <color theme="1"/>
        <rFont val="Calibri"/>
        <family val="2"/>
        <scheme val="minor"/>
      </rPr>
      <t>Specify the plant units, main product, raw materials/fuels and emissions. Set the target cost estimation basis.</t>
    </r>
  </si>
  <si>
    <r>
      <rPr>
        <b/>
        <sz val="14"/>
        <color theme="1"/>
        <rFont val="Calibri"/>
        <family val="2"/>
        <scheme val="minor"/>
      </rPr>
      <t>2.</t>
    </r>
    <r>
      <rPr>
        <sz val="14"/>
        <color theme="1"/>
        <rFont val="Calibri"/>
        <family val="2"/>
        <scheme val="minor"/>
      </rPr>
      <t xml:space="preserve">  </t>
    </r>
    <r>
      <rPr>
        <b/>
        <sz val="12"/>
        <color theme="1"/>
        <rFont val="Calibri"/>
        <family val="2"/>
        <scheme val="minor"/>
      </rPr>
      <t xml:space="preserve">Unit-X00: </t>
    </r>
    <r>
      <rPr>
        <sz val="12"/>
        <color theme="1"/>
        <rFont val="Calibri"/>
        <family val="2"/>
        <scheme val="minor"/>
      </rPr>
      <t>Estimate each plant unit Bare Erected Cost (BEC) with either of two approaches:</t>
    </r>
  </si>
  <si>
    <r>
      <rPr>
        <b/>
        <sz val="12"/>
        <color theme="1"/>
        <rFont val="Calibri"/>
        <family val="2"/>
        <scheme val="minor"/>
      </rPr>
      <t xml:space="preserve">a)   </t>
    </r>
    <r>
      <rPr>
        <sz val="12"/>
        <color theme="1"/>
        <rFont val="Calibri"/>
        <family val="2"/>
        <scheme val="minor"/>
      </rPr>
      <t>Equipment (default Unit-100 and Unit-200)</t>
    </r>
  </si>
  <si>
    <r>
      <rPr>
        <b/>
        <sz val="12"/>
        <color theme="1"/>
        <rFont val="Calibri"/>
        <family val="2"/>
        <scheme val="minor"/>
      </rPr>
      <t xml:space="preserve">b)  </t>
    </r>
    <r>
      <rPr>
        <sz val="12"/>
        <color theme="1"/>
        <rFont val="Calibri"/>
        <family val="2"/>
        <scheme val="minor"/>
      </rPr>
      <t xml:space="preserve"> Scaling (default Unit-300 and Unit-400)</t>
    </r>
  </si>
  <si>
    <r>
      <rPr>
        <b/>
        <sz val="14"/>
        <color theme="1"/>
        <rFont val="Calibri"/>
        <family val="2"/>
        <scheme val="minor"/>
      </rPr>
      <t>3.</t>
    </r>
    <r>
      <rPr>
        <sz val="14"/>
        <color theme="1"/>
        <rFont val="Calibri"/>
        <family val="2"/>
        <scheme val="minor"/>
      </rPr>
      <t xml:space="preserve"> </t>
    </r>
    <r>
      <rPr>
        <sz val="12"/>
        <color theme="1"/>
        <rFont val="Calibri"/>
        <family val="2"/>
        <scheme val="minor"/>
      </rPr>
      <t xml:space="preserve">   (Optional) </t>
    </r>
    <r>
      <rPr>
        <b/>
        <sz val="12"/>
        <color theme="1"/>
        <rFont val="Calibri"/>
        <family val="2"/>
        <scheme val="minor"/>
      </rPr>
      <t>Estimate Benchmark</t>
    </r>
    <r>
      <rPr>
        <sz val="12"/>
        <color theme="1"/>
        <rFont val="Calibri"/>
        <family val="2"/>
        <scheme val="minor"/>
      </rPr>
      <t>: Benchmark the unit estimates with available literature references selected by the user</t>
    </r>
  </si>
  <si>
    <r>
      <rPr>
        <b/>
        <sz val="14"/>
        <color theme="1"/>
        <rFont val="Calibri"/>
        <family val="2"/>
        <scheme val="minor"/>
      </rPr>
      <t>5.</t>
    </r>
    <r>
      <rPr>
        <sz val="14"/>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 Plant OPEX: </t>
    </r>
    <r>
      <rPr>
        <sz val="12"/>
        <color theme="1"/>
        <rFont val="Calibri"/>
        <family val="2"/>
        <scheme val="minor"/>
      </rPr>
      <t>Calculate fixed/variable operation &amp; maintenance costs and fuel/raw material costs</t>
    </r>
  </si>
  <si>
    <r>
      <rPr>
        <b/>
        <sz val="14"/>
        <color theme="1"/>
        <rFont val="Calibri"/>
        <family val="2"/>
        <scheme val="minor"/>
      </rPr>
      <t>6.</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Cash Flow Analysis: </t>
    </r>
    <r>
      <rPr>
        <sz val="12"/>
        <color theme="1"/>
        <rFont val="Calibri"/>
        <family val="2"/>
        <scheme val="minor"/>
      </rPr>
      <t>Define economic assumptions and run a cash flow analysis to calculate the Levelized Cost of Product (LCOP)</t>
    </r>
  </si>
  <si>
    <t>GPL v3</t>
  </si>
  <si>
    <t>4. When doing an analysis with the Equipment unit sheets, it is highly convenient to copy over the appropriate row from the Unit-X00 Equipment sheet for each equipment item. Then, fill in the appropriate capacity and pressure, and select the material.</t>
  </si>
  <si>
    <t xml:space="preserve">3. In the Plant Overview sheet, make sure the main product (I32:J32), emissions (I52:J52), and fuel input (I71:I72) are correctly specified. These values are automatically transferred to other sheets. </t>
  </si>
  <si>
    <t>June 2021</t>
  </si>
  <si>
    <t xml:space="preserve">Carlos Arnaiz del Pozo, Schalk Cloete, and Ángel Jiménez Álvaro. Standard Economic Assessment (SEA) Tool. Available from: https://bit.ly/3vbzypB </t>
  </si>
  <si>
    <r>
      <t xml:space="preserve">* Change series with estimated rows of column </t>
    </r>
    <r>
      <rPr>
        <b/>
        <sz val="11"/>
        <color rgb="FFFF0000"/>
        <rFont val="Calibri"/>
        <family val="2"/>
        <scheme val="minor"/>
      </rPr>
      <t>T</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</si>
  <si>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t>unit E</t>
  </si>
  <si>
    <r>
      <t xml:space="preserve">* Change series with estimated rows of column </t>
    </r>
    <r>
      <rPr>
        <b/>
        <sz val="11"/>
        <color rgb="FFFF0000"/>
        <rFont val="Calibri"/>
        <family val="2"/>
        <scheme val="minor"/>
      </rPr>
      <t>S</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</si>
  <si>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t xml:space="preserve">SSM </t>
  </si>
  <si>
    <t>Capital Cost Estimation</t>
  </si>
  <si>
    <t>Fixed &amp; Variable O&amp;M Costs</t>
  </si>
  <si>
    <t xml:space="preserve">Cash Flow Analysis </t>
  </si>
  <si>
    <t>Estimate Benchmark</t>
  </si>
  <si>
    <t xml:space="preserve"> Input to SSM</t>
  </si>
  <si>
    <t>1.2</t>
  </si>
  <si>
    <t>SEA Tool v1.2
Licensed under GPL v3 - a copyleft license that allows free use and modification as long as any derivatives are shared under the same license.</t>
  </si>
  <si>
    <r>
      <t>Factor (h/</t>
    </r>
    <r>
      <rPr>
        <b/>
        <sz val="12"/>
        <color theme="1"/>
        <rFont val="Calibri"/>
        <family val="2"/>
      </rPr>
      <t>y)</t>
    </r>
  </si>
  <si>
    <t>Update manually or click below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</si>
</sst>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0.00_);_(* \(#,##0.00\);_(* &quot;-&quot;??_);_(@_)"/>
    <numFmt numFmtId="165" formatCode="0.0000"/>
    <numFmt numFmtId="166" formatCode="0.0"/>
    <numFmt numFmtId="167" formatCode="_(* #,##0_);_(* \(#,##0\);_(* &quot;-&quot;??_);_(@_)"/>
    <numFmt numFmtId="168" formatCode="0.000"/>
    <numFmt numFmtId="169" formatCode="0.00000"/>
    <numFmt numFmtId="170" formatCode="0.0E+00"/>
    <numFmt numFmtId="171" formatCode="0.0%"/>
    <numFmt numFmtId="172" formatCode="0.0000000"/>
    <numFmt numFmtId="173" formatCode="0.000E+00"/>
  </numFmts>
  <fonts count="77" x14ac:knownFonts="1">
    <font>
      <sz val="11"/>
      <color theme="1"/>
      <name val="Calibri"/>
      <family val="2"/>
      <scheme val="minor"/>
    </font>
    <font>
      <b/>
      <sz val="11"/>
      <color theme="1"/>
      <name val="Calibri"/>
      <family val="2"/>
      <scheme val="minor"/>
    </font>
    <font>
      <sz val="10"/>
      <name val="Arial"/>
      <family val="2"/>
    </font>
    <font>
      <b/>
      <sz val="10"/>
      <name val="Arial"/>
      <family val="2"/>
    </font>
    <font>
      <u/>
      <sz val="10"/>
      <name val="Arial"/>
      <family val="2"/>
    </font>
    <font>
      <vertAlign val="subscript"/>
      <sz val="10"/>
      <name val="Arial"/>
      <family val="2"/>
    </font>
    <font>
      <vertAlign val="superscript"/>
      <sz val="10"/>
      <name val="Arial"/>
      <family val="2"/>
    </font>
    <font>
      <i/>
      <sz val="10"/>
      <name val="Arial"/>
      <family val="2"/>
    </font>
    <font>
      <sz val="10"/>
      <color indexed="10"/>
      <name val="Arial"/>
      <family val="2"/>
    </font>
    <font>
      <sz val="11"/>
      <color theme="8" tint="0.79998168889431442"/>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4"/>
      <color theme="1"/>
      <name val="Calibri"/>
      <family val="2"/>
      <scheme val="minor"/>
    </font>
    <font>
      <sz val="8"/>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i/>
      <sz val="11"/>
      <color theme="1"/>
      <name val="Calibri"/>
      <family val="2"/>
      <scheme val="minor"/>
    </font>
    <font>
      <sz val="11"/>
      <color theme="1"/>
      <name val="Calibri"/>
      <family val="2"/>
    </font>
    <font>
      <sz val="11"/>
      <color theme="0"/>
      <name val="Calibri"/>
      <family val="2"/>
      <scheme val="minor"/>
    </font>
    <font>
      <sz val="10"/>
      <color theme="0"/>
      <name val="Arial"/>
      <family val="2"/>
    </font>
    <font>
      <sz val="11"/>
      <name val="Calibri"/>
      <family val="2"/>
      <scheme val="minor"/>
    </font>
    <font>
      <sz val="10"/>
      <color theme="1"/>
      <name val="Arial"/>
      <family val="2"/>
    </font>
    <font>
      <b/>
      <sz val="16"/>
      <color theme="1"/>
      <name val="Calibri"/>
      <family val="2"/>
      <scheme val="minor"/>
    </font>
    <font>
      <b/>
      <sz val="11"/>
      <color theme="1"/>
      <name val="Calibri"/>
      <family val="2"/>
    </font>
    <font>
      <b/>
      <sz val="11"/>
      <color rgb="FFC00000"/>
      <name val="Calibri"/>
      <family val="2"/>
      <scheme val="minor"/>
    </font>
    <font>
      <b/>
      <sz val="12"/>
      <color rgb="FFC00000"/>
      <name val="Calibri"/>
      <family val="2"/>
      <scheme val="minor"/>
    </font>
    <font>
      <b/>
      <sz val="14"/>
      <color rgb="FF000000"/>
      <name val="Calibri"/>
      <family val="2"/>
    </font>
    <font>
      <b/>
      <sz val="20"/>
      <color rgb="FF000000"/>
      <name val="Calibri"/>
      <family val="2"/>
    </font>
    <font>
      <b/>
      <sz val="12"/>
      <color rgb="FF000000"/>
      <name val="Calibri"/>
      <family val="2"/>
    </font>
    <font>
      <b/>
      <sz val="11"/>
      <color theme="8" tint="0.79998168889431442"/>
      <name val="Calibri"/>
      <family val="2"/>
      <scheme val="minor"/>
    </font>
    <font>
      <sz val="11"/>
      <color rgb="FFC00000"/>
      <name val="Calibri"/>
      <family val="2"/>
      <scheme val="minor"/>
    </font>
    <font>
      <sz val="12"/>
      <color theme="1"/>
      <name val="Calibri"/>
      <family val="2"/>
    </font>
    <font>
      <b/>
      <i/>
      <sz val="14"/>
      <color theme="1"/>
      <name val="Calibri"/>
      <family val="2"/>
      <scheme val="minor"/>
    </font>
    <font>
      <i/>
      <sz val="10"/>
      <color theme="1"/>
      <name val="Calibri"/>
      <family val="2"/>
      <scheme val="minor"/>
    </font>
    <font>
      <b/>
      <sz val="11"/>
      <color rgb="FF00B050"/>
      <name val="Calibri"/>
      <family val="2"/>
      <scheme val="minor"/>
    </font>
    <font>
      <b/>
      <sz val="11"/>
      <color rgb="FFFF0000"/>
      <name val="Calibri"/>
      <family val="2"/>
      <scheme val="minor"/>
    </font>
    <font>
      <b/>
      <sz val="18"/>
      <color rgb="FF000000"/>
      <name val="Calibri"/>
      <family val="2"/>
    </font>
    <font>
      <b/>
      <sz val="11"/>
      <name val="Calibri"/>
      <family val="2"/>
      <scheme val="minor"/>
    </font>
    <font>
      <b/>
      <sz val="14"/>
      <color rgb="FFC00000"/>
      <name val="Calibri"/>
      <family val="2"/>
      <scheme val="minor"/>
    </font>
    <font>
      <b/>
      <sz val="16"/>
      <color rgb="FFC00000"/>
      <name val="Calibri"/>
      <family val="2"/>
      <scheme val="minor"/>
    </font>
    <font>
      <b/>
      <sz val="9"/>
      <color indexed="81"/>
      <name val="Tahoma"/>
      <family val="2"/>
    </font>
    <font>
      <sz val="9"/>
      <color indexed="81"/>
      <name val="Tahoma"/>
      <family val="2"/>
    </font>
    <font>
      <sz val="11"/>
      <color rgb="FF9C5700"/>
      <name val="Calibri"/>
      <family val="2"/>
      <scheme val="minor"/>
    </font>
    <font>
      <b/>
      <sz val="11"/>
      <color rgb="FF9C5700"/>
      <name val="Calibri"/>
      <family val="2"/>
      <scheme val="minor"/>
    </font>
    <font>
      <sz val="12"/>
      <name val="Calibri"/>
      <family val="2"/>
      <scheme val="minor"/>
    </font>
    <font>
      <b/>
      <i/>
      <sz val="11"/>
      <color rgb="FFC00000"/>
      <name val="Calibri"/>
      <family val="2"/>
      <scheme val="minor"/>
    </font>
    <font>
      <sz val="11"/>
      <color rgb="FFFF0000"/>
      <name val="Calibri"/>
      <family val="2"/>
      <scheme val="minor"/>
    </font>
    <font>
      <b/>
      <sz val="14"/>
      <color rgb="FF00B050"/>
      <name val="Calibri"/>
      <family val="2"/>
      <scheme val="minor"/>
    </font>
    <font>
      <b/>
      <sz val="16"/>
      <color rgb="FF00B050"/>
      <name val="Calibri"/>
      <family val="2"/>
      <scheme val="minor"/>
    </font>
    <font>
      <b/>
      <sz val="16"/>
      <color rgb="FFFF0000"/>
      <name val="Calibri"/>
      <family val="2"/>
      <scheme val="minor"/>
    </font>
    <font>
      <b/>
      <sz val="24"/>
      <color rgb="FF000000"/>
      <name val="Calibri"/>
      <family val="2"/>
    </font>
    <font>
      <sz val="10"/>
      <color rgb="FFC00000"/>
      <name val="Arial"/>
      <family val="2"/>
    </font>
    <font>
      <b/>
      <sz val="12"/>
      <name val="Calibri"/>
      <family val="2"/>
      <scheme val="minor"/>
    </font>
    <font>
      <sz val="12"/>
      <color theme="1" tint="0.14999847407452621"/>
      <name val="Calibri"/>
      <family val="2"/>
    </font>
    <font>
      <sz val="12"/>
      <color theme="1" tint="4.9989318521683403E-2"/>
      <name val="Calibri"/>
      <family val="2"/>
    </font>
    <font>
      <b/>
      <sz val="11"/>
      <color rgb="FF002060"/>
      <name val="Calibri"/>
      <family val="2"/>
      <scheme val="minor"/>
    </font>
    <font>
      <b/>
      <sz val="14"/>
      <color theme="1" tint="4.9989318521683403E-2"/>
      <name val="Calibri"/>
      <family val="2"/>
      <scheme val="minor"/>
    </font>
    <font>
      <sz val="14"/>
      <name val="Calibri"/>
      <family val="2"/>
    </font>
    <font>
      <sz val="14"/>
      <name val="Calibri"/>
      <family val="2"/>
      <scheme val="minor"/>
    </font>
    <font>
      <b/>
      <sz val="14"/>
      <name val="Calibri"/>
      <family val="2"/>
      <scheme val="minor"/>
    </font>
    <font>
      <b/>
      <sz val="12"/>
      <color theme="1"/>
      <name val="Calibri"/>
      <family val="2"/>
    </font>
    <font>
      <b/>
      <sz val="12"/>
      <color theme="1" tint="0.14999847407452621"/>
      <name val="Calibri"/>
      <family val="2"/>
      <scheme val="minor"/>
    </font>
    <font>
      <sz val="12"/>
      <color theme="1" tint="0.14999847407452621"/>
      <name val="Calibri"/>
      <family val="2"/>
      <scheme val="minor"/>
    </font>
    <font>
      <b/>
      <sz val="28"/>
      <color theme="1"/>
      <name val="Calibri"/>
      <family val="2"/>
      <scheme val="minor"/>
    </font>
    <font>
      <sz val="16"/>
      <color theme="1"/>
      <name val="Calibri"/>
      <family val="2"/>
      <scheme val="minor"/>
    </font>
    <font>
      <sz val="18"/>
      <color theme="1"/>
      <name val="Calibri"/>
      <family val="2"/>
      <scheme val="minor"/>
    </font>
    <font>
      <u/>
      <sz val="11"/>
      <color theme="10"/>
      <name val="Calibri"/>
      <family val="2"/>
      <scheme val="minor"/>
    </font>
    <font>
      <u/>
      <sz val="12"/>
      <color theme="10"/>
      <name val="Calibri"/>
      <family val="2"/>
      <scheme val="minor"/>
    </font>
    <font>
      <b/>
      <sz val="14"/>
      <color rgb="FF002060"/>
      <name val="Calibri"/>
      <family val="2"/>
      <scheme val="minor"/>
    </font>
    <font>
      <b/>
      <sz val="22"/>
      <color theme="1"/>
      <name val="Calibri"/>
      <family val="2"/>
      <scheme val="minor"/>
    </font>
    <font>
      <b/>
      <sz val="24"/>
      <color theme="1"/>
      <name val="Calibri"/>
      <family val="2"/>
      <scheme val="minor"/>
    </font>
    <font>
      <sz val="11"/>
      <color theme="1" tint="4.9989318521683403E-2"/>
      <name val="Calibri"/>
      <family val="2"/>
      <scheme val="minor"/>
    </font>
    <font>
      <b/>
      <sz val="16"/>
      <color rgb="FF000000"/>
      <name val="Calibri"/>
      <family val="2"/>
    </font>
    <font>
      <b/>
      <sz val="10"/>
      <color rgb="FF000000"/>
      <name val="Calibri"/>
      <family val="2"/>
    </font>
  </fonts>
  <fills count="20">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FFFCC"/>
      </patternFill>
    </fill>
    <fill>
      <patternFill patternType="solid">
        <fgColor theme="4"/>
        <bgColor indexed="64"/>
      </patternFill>
    </fill>
    <fill>
      <patternFill patternType="solid">
        <fgColor theme="2" tint="-9.9978637043366805E-2"/>
        <bgColor indexed="64"/>
      </patternFill>
    </fill>
    <fill>
      <patternFill patternType="solid">
        <fgColor theme="8"/>
        <bgColor indexed="64"/>
      </patternFill>
    </fill>
    <fill>
      <patternFill patternType="solid">
        <fgColor rgb="FFFFEB9C"/>
      </patternFill>
    </fill>
    <fill>
      <patternFill patternType="solid">
        <fgColor theme="9" tint="0.59999389629810485"/>
        <bgColor indexed="64"/>
      </patternFill>
    </fill>
    <fill>
      <patternFill patternType="solid">
        <fgColor theme="5" tint="0.59999389629810485"/>
        <bgColor indexed="64"/>
      </patternFill>
    </fill>
    <fill>
      <patternFill patternType="solid">
        <fgColor theme="4" tint="0.79998168889431442"/>
        <bgColor indexed="64"/>
      </patternFill>
    </fill>
  </fills>
  <borders count="3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thin">
        <color rgb="FF000000"/>
      </right>
      <top/>
      <bottom style="double">
        <color indexed="64"/>
      </bottom>
      <diagonal/>
    </border>
    <border>
      <left style="thin">
        <color rgb="FF000000"/>
      </left>
      <right/>
      <top/>
      <bottom style="double">
        <color indexed="64"/>
      </bottom>
      <diagonal/>
    </border>
    <border>
      <left style="thin">
        <color rgb="FF000000"/>
      </left>
      <right style="thin">
        <color rgb="FF000000"/>
      </right>
      <top style="thin">
        <color rgb="FF000000"/>
      </top>
      <bottom style="double">
        <color indexed="64"/>
      </bottom>
      <diagonal/>
    </border>
    <border>
      <left style="thin">
        <color rgb="FF000000"/>
      </left>
      <right/>
      <top style="thin">
        <color rgb="FF000000"/>
      </top>
      <bottom style="double">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rgb="FF000000"/>
      </right>
      <top style="double">
        <color indexed="64"/>
      </top>
      <bottom style="thin">
        <color rgb="FF000000"/>
      </bottom>
      <diagonal/>
    </border>
    <border>
      <left style="thin">
        <color indexed="64"/>
      </left>
      <right style="thin">
        <color rgb="FF000000"/>
      </right>
      <top/>
      <bottom style="thin">
        <color indexed="64"/>
      </bottom>
      <diagonal/>
    </border>
    <border>
      <left style="thin">
        <color rgb="FF000000"/>
      </left>
      <right/>
      <top/>
      <bottom style="thin">
        <color indexed="64"/>
      </bottom>
      <diagonal/>
    </border>
    <border>
      <left/>
      <right style="hair">
        <color indexed="64"/>
      </right>
      <top style="hair">
        <color indexed="64"/>
      </top>
      <bottom style="hair">
        <color indexed="64"/>
      </bottom>
      <diagonal/>
    </border>
    <border>
      <left/>
      <right/>
      <top/>
      <bottom style="hair">
        <color indexed="64"/>
      </bottom>
      <diagonal/>
    </border>
    <border>
      <left style="thin">
        <color indexed="64"/>
      </left>
      <right style="hair">
        <color indexed="64"/>
      </right>
      <top style="thin">
        <color indexed="64"/>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indexed="64"/>
      </left>
      <right style="hair">
        <color indexed="64"/>
      </right>
      <top style="thin">
        <color indexed="64"/>
      </top>
      <bottom/>
      <diagonal/>
    </border>
    <border>
      <left style="hair">
        <color indexed="64"/>
      </left>
      <right style="hair">
        <color indexed="64"/>
      </right>
      <top/>
      <bottom/>
      <diagonal/>
    </border>
    <border>
      <left style="hair">
        <color indexed="64"/>
      </left>
      <right style="hair">
        <color indexed="64"/>
      </right>
      <top/>
      <bottom style="thin">
        <color indexed="64"/>
      </bottom>
      <diagonal/>
    </border>
  </borders>
  <cellStyleXfs count="12">
    <xf numFmtId="0" fontId="0" fillId="0" borderId="0"/>
    <xf numFmtId="0" fontId="2" fillId="0" borderId="0"/>
    <xf numFmtId="164" fontId="2" fillId="0" borderId="0" applyFont="0" applyFill="0" applyBorder="0" applyAlignment="0" applyProtection="0"/>
    <xf numFmtId="0" fontId="16" fillId="9" borderId="0" applyNumberFormat="0" applyBorder="0" applyAlignment="0" applyProtection="0"/>
    <xf numFmtId="0" fontId="17" fillId="10" borderId="0" applyNumberFormat="0" applyBorder="0" applyAlignment="0" applyProtection="0"/>
    <xf numFmtId="0" fontId="18" fillId="11" borderId="18" applyNumberFormat="0" applyAlignment="0" applyProtection="0"/>
    <xf numFmtId="0" fontId="15" fillId="0" borderId="0"/>
    <xf numFmtId="0" fontId="17" fillId="10" borderId="0" applyNumberFormat="0" applyBorder="0" applyAlignment="0" applyProtection="0"/>
    <xf numFmtId="9" fontId="15" fillId="0" borderId="0" applyFont="0" applyFill="0" applyBorder="0" applyAlignment="0" applyProtection="0"/>
    <xf numFmtId="0" fontId="15" fillId="12" borderId="25" applyNumberFormat="0" applyFont="0" applyAlignment="0" applyProtection="0"/>
    <xf numFmtId="0" fontId="45" fillId="16" borderId="0" applyNumberFormat="0" applyBorder="0" applyAlignment="0" applyProtection="0"/>
    <xf numFmtId="0" fontId="69" fillId="0" borderId="0" applyNumberFormat="0" applyFill="0" applyBorder="0" applyAlignment="0" applyProtection="0"/>
  </cellStyleXfs>
  <cellXfs count="1051">
    <xf numFmtId="0" fontId="0" fillId="0" borderId="0" xfId="0"/>
    <xf numFmtId="0" fontId="2" fillId="2" borderId="0" xfId="1" applyFill="1"/>
    <xf numFmtId="0" fontId="3" fillId="2" borderId="0" xfId="1" applyFont="1" applyFill="1"/>
    <xf numFmtId="0" fontId="4" fillId="2" borderId="1" xfId="1" applyFont="1" applyFill="1" applyBorder="1" applyAlignment="1">
      <alignment horizontal="center"/>
    </xf>
    <xf numFmtId="0" fontId="2" fillId="2" borderId="2" xfId="1" applyFill="1" applyBorder="1" applyAlignment="1">
      <alignment horizontal="center"/>
    </xf>
    <xf numFmtId="2" fontId="2" fillId="2" borderId="3" xfId="1" applyNumberFormat="1" applyFill="1" applyBorder="1" applyAlignment="1">
      <alignment horizontal="center"/>
    </xf>
    <xf numFmtId="0" fontId="2" fillId="2" borderId="4" xfId="1" applyFill="1" applyBorder="1" applyAlignment="1">
      <alignment horizontal="center"/>
    </xf>
    <xf numFmtId="0" fontId="2" fillId="2" borderId="5" xfId="1" applyFill="1" applyBorder="1"/>
    <xf numFmtId="0" fontId="2" fillId="2" borderId="6" xfId="1" applyFill="1" applyBorder="1" applyAlignment="1">
      <alignment horizontal="center"/>
    </xf>
    <xf numFmtId="0" fontId="2" fillId="2" borderId="7" xfId="1" applyFill="1" applyBorder="1" applyAlignment="1">
      <alignment horizontal="center"/>
    </xf>
    <xf numFmtId="0" fontId="2" fillId="2" borderId="8" xfId="1" applyFill="1" applyBorder="1"/>
    <xf numFmtId="164" fontId="0" fillId="2" borderId="0" xfId="2" applyFont="1" applyFill="1"/>
    <xf numFmtId="0" fontId="2" fillId="2" borderId="9" xfId="1" applyFill="1" applyBorder="1"/>
    <xf numFmtId="0" fontId="2" fillId="2" borderId="0" xfId="1" applyFill="1" applyAlignment="1">
      <alignment horizontal="center"/>
    </xf>
    <xf numFmtId="165" fontId="2" fillId="2" borderId="0" xfId="1" applyNumberFormat="1" applyFill="1" applyAlignment="1">
      <alignment horizontal="center"/>
    </xf>
    <xf numFmtId="2" fontId="2" fillId="2" borderId="0" xfId="1" applyNumberFormat="1" applyFill="1" applyAlignment="1">
      <alignment horizontal="center"/>
    </xf>
    <xf numFmtId="0" fontId="2" fillId="2" borderId="10" xfId="1" applyFill="1" applyBorder="1" applyAlignment="1">
      <alignment horizontal="center"/>
    </xf>
    <xf numFmtId="0" fontId="2" fillId="2" borderId="11" xfId="1" applyFill="1" applyBorder="1"/>
    <xf numFmtId="0" fontId="2" fillId="2" borderId="12" xfId="1" applyFill="1" applyBorder="1" applyAlignment="1">
      <alignment horizontal="center"/>
    </xf>
    <xf numFmtId="165" fontId="2" fillId="2" borderId="12" xfId="1" applyNumberFormat="1" applyFill="1" applyBorder="1" applyAlignment="1">
      <alignment horizontal="center"/>
    </xf>
    <xf numFmtId="2" fontId="2" fillId="2" borderId="12" xfId="1" applyNumberFormat="1" applyFill="1" applyBorder="1" applyAlignment="1">
      <alignment horizontal="center"/>
    </xf>
    <xf numFmtId="0" fontId="2" fillId="2" borderId="13" xfId="1" applyFill="1" applyBorder="1" applyAlignment="1">
      <alignment horizontal="center"/>
    </xf>
    <xf numFmtId="0" fontId="2" fillId="2" borderId="14" xfId="1" applyFill="1" applyBorder="1"/>
    <xf numFmtId="0" fontId="4" fillId="2" borderId="5" xfId="1" applyFont="1" applyFill="1" applyBorder="1" applyAlignment="1">
      <alignment horizontal="center"/>
    </xf>
    <xf numFmtId="2" fontId="2" fillId="2" borderId="7" xfId="1" applyNumberFormat="1" applyFill="1" applyBorder="1" applyAlignment="1">
      <alignment horizontal="center"/>
    </xf>
    <xf numFmtId="165" fontId="2" fillId="2" borderId="6" xfId="1" applyNumberFormat="1" applyFill="1" applyBorder="1" applyAlignment="1">
      <alignment horizontal="center"/>
    </xf>
    <xf numFmtId="2" fontId="2" fillId="2" borderId="6" xfId="1" applyNumberFormat="1" applyFill="1" applyBorder="1" applyAlignment="1">
      <alignment horizontal="center"/>
    </xf>
    <xf numFmtId="0" fontId="2" fillId="2" borderId="15" xfId="1" applyFill="1" applyBorder="1"/>
    <xf numFmtId="2" fontId="2" fillId="2" borderId="10" xfId="1" applyNumberFormat="1" applyFill="1" applyBorder="1" applyAlignment="1">
      <alignment horizontal="center"/>
    </xf>
    <xf numFmtId="2" fontId="2" fillId="2" borderId="13" xfId="1" applyNumberFormat="1" applyFill="1" applyBorder="1" applyAlignment="1">
      <alignment horizontal="center"/>
    </xf>
    <xf numFmtId="166" fontId="2" fillId="2" borderId="6" xfId="1" applyNumberFormat="1" applyFill="1" applyBorder="1" applyAlignment="1">
      <alignment horizontal="center"/>
    </xf>
    <xf numFmtId="166" fontId="2" fillId="2" borderId="0" xfId="1" applyNumberFormat="1" applyFill="1" applyAlignment="1">
      <alignment horizontal="center"/>
    </xf>
    <xf numFmtId="166" fontId="2" fillId="2" borderId="12" xfId="1" applyNumberFormat="1" applyFill="1" applyBorder="1" applyAlignment="1">
      <alignment horizontal="center"/>
    </xf>
    <xf numFmtId="0" fontId="2" fillId="2" borderId="1" xfId="1" applyFill="1" applyBorder="1"/>
    <xf numFmtId="165" fontId="2" fillId="2" borderId="2" xfId="1" applyNumberFormat="1" applyFill="1" applyBorder="1" applyAlignment="1">
      <alignment horizontal="center"/>
    </xf>
    <xf numFmtId="2" fontId="2" fillId="2" borderId="2" xfId="1" applyNumberFormat="1" applyFill="1" applyBorder="1" applyAlignment="1">
      <alignment horizontal="center"/>
    </xf>
    <xf numFmtId="0" fontId="2" fillId="2" borderId="4" xfId="1" applyFill="1" applyBorder="1"/>
    <xf numFmtId="0" fontId="2" fillId="2" borderId="3" xfId="1" applyFill="1" applyBorder="1" applyAlignment="1">
      <alignment horizontal="center"/>
    </xf>
    <xf numFmtId="167" fontId="0" fillId="2" borderId="0" xfId="2" applyNumberFormat="1" applyFont="1" applyFill="1"/>
    <xf numFmtId="0" fontId="7" fillId="2" borderId="9" xfId="1" applyFont="1" applyFill="1" applyBorder="1"/>
    <xf numFmtId="168" fontId="2" fillId="2" borderId="6" xfId="1" applyNumberFormat="1" applyFill="1" applyBorder="1" applyAlignment="1">
      <alignment horizontal="center"/>
    </xf>
    <xf numFmtId="168" fontId="2" fillId="2" borderId="0" xfId="1" applyNumberFormat="1" applyFill="1" applyAlignment="1">
      <alignment horizontal="center"/>
    </xf>
    <xf numFmtId="168" fontId="2" fillId="2" borderId="12" xfId="1" applyNumberFormat="1" applyFill="1" applyBorder="1" applyAlignment="1">
      <alignment horizontal="center"/>
    </xf>
    <xf numFmtId="0" fontId="8" fillId="2" borderId="13" xfId="1" applyFont="1" applyFill="1" applyBorder="1" applyAlignment="1">
      <alignment horizontal="center"/>
    </xf>
    <xf numFmtId="167" fontId="0" fillId="2" borderId="0" xfId="2" applyNumberFormat="1" applyFont="1" applyFill="1" applyBorder="1" applyAlignment="1">
      <alignment horizontal="center"/>
    </xf>
    <xf numFmtId="2" fontId="2" fillId="2" borderId="8" xfId="1" applyNumberFormat="1" applyFill="1" applyBorder="1"/>
    <xf numFmtId="2" fontId="2" fillId="2" borderId="8" xfId="1" applyNumberFormat="1" applyFill="1" applyBorder="1" applyAlignment="1">
      <alignment horizontal="right"/>
    </xf>
    <xf numFmtId="2" fontId="2" fillId="2" borderId="14" xfId="1" applyNumberFormat="1" applyFill="1" applyBorder="1" applyAlignment="1">
      <alignment horizontal="right"/>
    </xf>
    <xf numFmtId="0" fontId="3" fillId="2" borderId="0" xfId="1" applyFont="1" applyFill="1" applyAlignment="1">
      <alignment horizontal="left"/>
    </xf>
    <xf numFmtId="0" fontId="2" fillId="2" borderId="6" xfId="1" applyFill="1" applyBorder="1"/>
    <xf numFmtId="0" fontId="4" fillId="2" borderId="6" xfId="1" applyFont="1" applyFill="1" applyBorder="1" applyAlignment="1">
      <alignment horizontal="left"/>
    </xf>
    <xf numFmtId="0" fontId="2" fillId="2" borderId="7" xfId="1" applyFill="1" applyBorder="1"/>
    <xf numFmtId="0" fontId="8" fillId="2" borderId="0" xfId="1" applyFont="1" applyFill="1"/>
    <xf numFmtId="0" fontId="4" fillId="2" borderId="11" xfId="1" applyFont="1" applyFill="1" applyBorder="1" applyAlignment="1">
      <alignment horizontal="center"/>
    </xf>
    <xf numFmtId="0" fontId="2" fillId="2" borderId="11" xfId="1" applyFill="1" applyBorder="1" applyAlignment="1">
      <alignment horizontal="left"/>
    </xf>
    <xf numFmtId="0" fontId="2" fillId="2" borderId="0" xfId="1" applyFill="1" applyAlignment="1">
      <alignment horizontal="left"/>
    </xf>
    <xf numFmtId="0" fontId="2" fillId="2" borderId="5" xfId="1" applyFill="1" applyBorder="1" applyAlignment="1">
      <alignment horizontal="left"/>
    </xf>
    <xf numFmtId="0" fontId="2" fillId="2" borderId="5" xfId="1" applyFill="1" applyBorder="1" applyAlignment="1">
      <alignment horizontal="center"/>
    </xf>
    <xf numFmtId="0" fontId="2" fillId="2" borderId="9" xfId="1" applyFill="1" applyBorder="1" applyAlignment="1">
      <alignment horizontal="center"/>
    </xf>
    <xf numFmtId="169" fontId="2" fillId="2" borderId="12" xfId="1" applyNumberFormat="1" applyFill="1" applyBorder="1" applyAlignment="1">
      <alignment horizontal="center"/>
    </xf>
    <xf numFmtId="11" fontId="2" fillId="2" borderId="13" xfId="1" applyNumberFormat="1" applyFill="1" applyBorder="1" applyAlignment="1">
      <alignment horizontal="center"/>
    </xf>
    <xf numFmtId="169" fontId="2" fillId="2" borderId="0" xfId="1" applyNumberFormat="1" applyFill="1" applyAlignment="1">
      <alignment horizontal="center"/>
    </xf>
    <xf numFmtId="11" fontId="2" fillId="2" borderId="0" xfId="1" applyNumberFormat="1" applyFill="1" applyAlignment="1">
      <alignment horizontal="center"/>
    </xf>
    <xf numFmtId="2" fontId="2" fillId="2" borderId="0" xfId="1" applyNumberFormat="1" applyFill="1"/>
    <xf numFmtId="0" fontId="2" fillId="2" borderId="9" xfId="1" applyFill="1" applyBorder="1" applyAlignment="1">
      <alignment horizontal="right"/>
    </xf>
    <xf numFmtId="0" fontId="8" fillId="2" borderId="9" xfId="1" applyFont="1" applyFill="1" applyBorder="1"/>
    <xf numFmtId="0" fontId="4" fillId="2" borderId="9" xfId="1" applyFont="1" applyFill="1" applyBorder="1" applyAlignment="1">
      <alignment horizontal="center"/>
    </xf>
    <xf numFmtId="0" fontId="2" fillId="2" borderId="6" xfId="1" applyFill="1" applyBorder="1" applyAlignment="1">
      <alignment horizontal="left"/>
    </xf>
    <xf numFmtId="166" fontId="2" fillId="2" borderId="8" xfId="1" applyNumberFormat="1" applyFill="1" applyBorder="1"/>
    <xf numFmtId="166" fontId="2" fillId="2" borderId="14" xfId="1" applyNumberFormat="1" applyFill="1" applyBorder="1"/>
    <xf numFmtId="166" fontId="2" fillId="2" borderId="10" xfId="1" applyNumberFormat="1" applyFill="1" applyBorder="1" applyAlignment="1">
      <alignment horizontal="center"/>
    </xf>
    <xf numFmtId="166" fontId="2" fillId="2" borderId="13" xfId="1" applyNumberFormat="1" applyFill="1" applyBorder="1" applyAlignment="1">
      <alignment horizontal="center"/>
    </xf>
    <xf numFmtId="0" fontId="4" fillId="2" borderId="6" xfId="1" applyFont="1" applyFill="1" applyBorder="1" applyAlignment="1">
      <alignment horizontal="center"/>
    </xf>
    <xf numFmtId="0" fontId="2" fillId="2" borderId="11" xfId="1" applyFill="1" applyBorder="1" applyAlignment="1">
      <alignment horizontal="center"/>
    </xf>
    <xf numFmtId="165" fontId="2" fillId="2" borderId="1" xfId="1" applyNumberFormat="1" applyFill="1" applyBorder="1" applyAlignment="1">
      <alignment horizontal="center"/>
    </xf>
    <xf numFmtId="166" fontId="2" fillId="2" borderId="2" xfId="1" applyNumberFormat="1" applyFill="1" applyBorder="1" applyAlignment="1">
      <alignment horizontal="center"/>
    </xf>
    <xf numFmtId="166" fontId="2" fillId="2" borderId="7" xfId="1" applyNumberFormat="1" applyFill="1" applyBorder="1"/>
    <xf numFmtId="166" fontId="2" fillId="2" borderId="10" xfId="1" applyNumberFormat="1" applyFill="1" applyBorder="1"/>
    <xf numFmtId="166" fontId="2" fillId="2" borderId="13" xfId="1" applyNumberFormat="1" applyFill="1" applyBorder="1"/>
    <xf numFmtId="0" fontId="2" fillId="2" borderId="12" xfId="1" applyFill="1" applyBorder="1"/>
    <xf numFmtId="0" fontId="4" fillId="2" borderId="0" xfId="1" applyFont="1" applyFill="1" applyAlignment="1">
      <alignment horizontal="center"/>
    </xf>
    <xf numFmtId="0" fontId="2" fillId="2" borderId="10" xfId="1" applyFill="1" applyBorder="1"/>
    <xf numFmtId="0" fontId="2" fillId="2" borderId="13" xfId="1" applyFill="1" applyBorder="1"/>
    <xf numFmtId="0" fontId="0" fillId="2" borderId="0" xfId="0" applyFill="1"/>
    <xf numFmtId="0" fontId="0" fillId="0" borderId="10" xfId="0" applyBorder="1"/>
    <xf numFmtId="0" fontId="0" fillId="3" borderId="4" xfId="0" applyFill="1" applyBorder="1"/>
    <xf numFmtId="0" fontId="0" fillId="0" borderId="4" xfId="0" applyBorder="1" applyAlignment="1">
      <alignment horizontal="center" vertical="center"/>
    </xf>
    <xf numFmtId="0" fontId="1" fillId="0" borderId="4" xfId="0" applyFont="1" applyBorder="1" applyAlignment="1">
      <alignment horizontal="center" vertical="center"/>
    </xf>
    <xf numFmtId="0" fontId="11" fillId="3"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5" borderId="4" xfId="0" applyFont="1" applyFill="1" applyBorder="1" applyAlignment="1">
      <alignment horizontal="center" vertical="center"/>
    </xf>
    <xf numFmtId="0" fontId="0" fillId="0" borderId="9" xfId="0" applyBorder="1"/>
    <xf numFmtId="0" fontId="0" fillId="0" borderId="0" xfId="0" applyBorder="1"/>
    <xf numFmtId="0" fontId="0" fillId="0" borderId="8" xfId="0" applyBorder="1"/>
    <xf numFmtId="0" fontId="10" fillId="0" borderId="4" xfId="0" applyFont="1" applyBorder="1" applyAlignment="1">
      <alignment horizontal="center"/>
    </xf>
    <xf numFmtId="0" fontId="0" fillId="5" borderId="14" xfId="0" applyFill="1" applyBorder="1"/>
    <xf numFmtId="0" fontId="9" fillId="4" borderId="4" xfId="0" applyFont="1" applyFill="1" applyBorder="1"/>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8" xfId="0" applyBorder="1" applyAlignment="1">
      <alignment horizontal="center" vertical="center"/>
    </xf>
    <xf numFmtId="0" fontId="0" fillId="2" borderId="5" xfId="0" applyFill="1" applyBorder="1"/>
    <xf numFmtId="0" fontId="0" fillId="2" borderId="6" xfId="0" applyFill="1" applyBorder="1"/>
    <xf numFmtId="0" fontId="0" fillId="2" borderId="7" xfId="0" applyFill="1" applyBorder="1"/>
    <xf numFmtId="0" fontId="0" fillId="2" borderId="9" xfId="0" applyFill="1" applyBorder="1"/>
    <xf numFmtId="0" fontId="0" fillId="2" borderId="0"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0" fillId="6" borderId="4" xfId="0" applyFill="1" applyBorder="1"/>
    <xf numFmtId="0" fontId="0" fillId="2" borderId="3" xfId="0" applyFill="1" applyBorder="1" applyAlignment="1">
      <alignment horizontal="center"/>
    </xf>
    <xf numFmtId="0" fontId="0" fillId="2" borderId="0" xfId="0" applyFill="1" applyBorder="1" applyAlignment="1"/>
    <xf numFmtId="0" fontId="0" fillId="2" borderId="10" xfId="0" applyFill="1" applyBorder="1" applyAlignment="1"/>
    <xf numFmtId="0" fontId="0" fillId="0" borderId="3" xfId="0" applyBorder="1" applyAlignment="1">
      <alignment horizontal="center"/>
    </xf>
    <xf numFmtId="0" fontId="0" fillId="0" borderId="13" xfId="0" applyBorder="1" applyAlignment="1">
      <alignment horizontal="center"/>
    </xf>
    <xf numFmtId="0" fontId="0" fillId="2" borderId="9" xfId="0" applyFill="1" applyBorder="1" applyAlignment="1">
      <alignment horizontal="center"/>
    </xf>
    <xf numFmtId="0" fontId="0" fillId="2" borderId="5" xfId="0" applyFill="1" applyBorder="1" applyAlignment="1"/>
    <xf numFmtId="0" fontId="0" fillId="2" borderId="6" xfId="0" applyFill="1" applyBorder="1" applyAlignment="1"/>
    <xf numFmtId="0" fontId="0" fillId="2" borderId="7" xfId="0" applyFill="1" applyBorder="1" applyAlignment="1"/>
    <xf numFmtId="0" fontId="0" fillId="2" borderId="9" xfId="0" applyFill="1" applyBorder="1" applyAlignment="1"/>
    <xf numFmtId="0" fontId="0" fillId="2" borderId="11" xfId="0" applyFill="1" applyBorder="1" applyAlignment="1"/>
    <xf numFmtId="0" fontId="0" fillId="2" borderId="12" xfId="0" applyFill="1" applyBorder="1" applyAlignment="1"/>
    <xf numFmtId="0" fontId="0" fillId="2" borderId="13" xfId="0" applyFill="1" applyBorder="1" applyAlignment="1"/>
    <xf numFmtId="0" fontId="0" fillId="0" borderId="7" xfId="0" applyBorder="1"/>
    <xf numFmtId="0" fontId="0" fillId="0" borderId="0" xfId="0" applyBorder="1" applyAlignment="1">
      <alignment vertical="top" wrapText="1"/>
    </xf>
    <xf numFmtId="0" fontId="10" fillId="0" borderId="0" xfId="0" applyFont="1" applyBorder="1" applyAlignment="1"/>
    <xf numFmtId="0" fontId="1" fillId="3" borderId="4" xfId="0" applyFont="1" applyFill="1" applyBorder="1" applyAlignment="1">
      <alignment horizontal="center" vertical="center"/>
    </xf>
    <xf numFmtId="0" fontId="1" fillId="3" borderId="3" xfId="0" applyFont="1" applyFill="1" applyBorder="1" applyAlignment="1">
      <alignment horizontal="center" vertical="center"/>
    </xf>
    <xf numFmtId="0" fontId="0" fillId="0" borderId="0" xfId="0" applyBorder="1" applyAlignment="1">
      <alignment horizontal="center"/>
    </xf>
    <xf numFmtId="0" fontId="11" fillId="0" borderId="2" xfId="0" applyFont="1" applyBorder="1" applyAlignment="1">
      <alignment horizontal="center" vertical="center"/>
    </xf>
    <xf numFmtId="0" fontId="11" fillId="0" borderId="4" xfId="0" applyFont="1" applyBorder="1" applyAlignment="1">
      <alignment horizontal="center" vertical="center"/>
    </xf>
    <xf numFmtId="0" fontId="11" fillId="0" borderId="3" xfId="0" applyFont="1" applyBorder="1" applyAlignment="1">
      <alignment horizontal="center" vertical="center"/>
    </xf>
    <xf numFmtId="0" fontId="11" fillId="0" borderId="1" xfId="0" applyFont="1" applyFill="1" applyBorder="1" applyAlignment="1">
      <alignment horizontal="center" vertical="center"/>
    </xf>
    <xf numFmtId="0" fontId="11" fillId="0" borderId="4" xfId="0" applyFont="1" applyFill="1" applyBorder="1" applyAlignment="1">
      <alignment horizontal="center" vertical="center"/>
    </xf>
    <xf numFmtId="0" fontId="12" fillId="0" borderId="15" xfId="0" applyFont="1" applyBorder="1" applyAlignment="1">
      <alignment horizontal="center" vertical="center"/>
    </xf>
    <xf numFmtId="0" fontId="12" fillId="0" borderId="7" xfId="0" applyFont="1" applyBorder="1" applyAlignment="1">
      <alignment horizontal="center" vertical="center"/>
    </xf>
    <xf numFmtId="0" fontId="12" fillId="0" borderId="8" xfId="0" applyFont="1" applyBorder="1" applyAlignment="1">
      <alignment horizontal="center" vertical="center"/>
    </xf>
    <xf numFmtId="0" fontId="12" fillId="0" borderId="10" xfId="0" applyFont="1" applyBorder="1" applyAlignment="1">
      <alignment horizontal="center" vertical="center"/>
    </xf>
    <xf numFmtId="0" fontId="12" fillId="0" borderId="14" xfId="0" applyFont="1" applyBorder="1" applyAlignment="1">
      <alignment horizontal="center" vertical="center"/>
    </xf>
    <xf numFmtId="0" fontId="12" fillId="0" borderId="5" xfId="0" applyFont="1" applyBorder="1" applyAlignment="1">
      <alignment horizontal="center" vertical="center"/>
    </xf>
    <xf numFmtId="0" fontId="12" fillId="0" borderId="9" xfId="0" applyFont="1" applyBorder="1" applyAlignment="1">
      <alignment horizontal="center" vertical="center"/>
    </xf>
    <xf numFmtId="0" fontId="12" fillId="0" borderId="11" xfId="0" applyFont="1" applyBorder="1" applyAlignment="1">
      <alignment horizontal="center" vertical="center"/>
    </xf>
    <xf numFmtId="0" fontId="12" fillId="0" borderId="0" xfId="0" applyFont="1" applyBorder="1" applyAlignment="1">
      <alignment horizontal="center" vertical="center"/>
    </xf>
    <xf numFmtId="0" fontId="12" fillId="0" borderId="8" xfId="0" applyFont="1" applyBorder="1"/>
    <xf numFmtId="0" fontId="12" fillId="0" borderId="13" xfId="0" applyFont="1" applyBorder="1" applyAlignment="1">
      <alignment horizontal="center" vertical="center"/>
    </xf>
    <xf numFmtId="0" fontId="12" fillId="0" borderId="8" xfId="0" applyFont="1" applyFill="1" applyBorder="1" applyAlignment="1">
      <alignment horizontal="center" vertical="center"/>
    </xf>
    <xf numFmtId="0" fontId="1" fillId="0" borderId="0" xfId="0" applyFont="1" applyBorder="1" applyAlignment="1">
      <alignment horizontal="center"/>
    </xf>
    <xf numFmtId="0" fontId="1" fillId="2" borderId="5" xfId="0" applyFont="1" applyFill="1" applyBorder="1" applyAlignment="1">
      <alignment vertical="center"/>
    </xf>
    <xf numFmtId="0" fontId="1" fillId="2" borderId="9" xfId="0" applyFont="1" applyFill="1" applyBorder="1" applyAlignment="1">
      <alignment horizontal="center"/>
    </xf>
    <xf numFmtId="0" fontId="1" fillId="2" borderId="11" xfId="0" applyFont="1" applyFill="1" applyBorder="1" applyAlignment="1">
      <alignment horizontal="center"/>
    </xf>
    <xf numFmtId="0" fontId="1" fillId="2" borderId="10" xfId="0" applyFont="1" applyFill="1" applyBorder="1" applyAlignment="1">
      <alignment horizontal="center"/>
    </xf>
    <xf numFmtId="0" fontId="1" fillId="2" borderId="12" xfId="0" applyFont="1" applyFill="1" applyBorder="1" applyAlignment="1">
      <alignment horizontal="center"/>
    </xf>
    <xf numFmtId="0" fontId="1" fillId="2" borderId="13" xfId="0" applyFont="1" applyFill="1" applyBorder="1" applyAlignment="1">
      <alignment horizontal="center"/>
    </xf>
    <xf numFmtId="0" fontId="1" fillId="2" borderId="6" xfId="0" applyFont="1" applyFill="1" applyBorder="1" applyAlignment="1">
      <alignment vertical="center"/>
    </xf>
    <xf numFmtId="0" fontId="1" fillId="2" borderId="7" xfId="0" applyFont="1" applyFill="1" applyBorder="1" applyAlignment="1">
      <alignment vertical="center"/>
    </xf>
    <xf numFmtId="0" fontId="1" fillId="2" borderId="5" xfId="0" applyFont="1" applyFill="1" applyBorder="1" applyAlignment="1">
      <alignment horizontal="center"/>
    </xf>
    <xf numFmtId="0" fontId="1" fillId="2" borderId="6" xfId="0" applyFont="1" applyFill="1" applyBorder="1" applyAlignment="1">
      <alignment horizont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20" xfId="0" applyBorder="1" applyAlignment="1">
      <alignment horizontal="center" vertical="center"/>
    </xf>
    <xf numFmtId="9" fontId="0" fillId="0" borderId="17" xfId="0" applyNumberFormat="1" applyBorder="1" applyAlignment="1">
      <alignment horizontal="center" vertical="center"/>
    </xf>
    <xf numFmtId="2" fontId="1" fillId="2" borderId="0" xfId="0" applyNumberFormat="1" applyFont="1" applyFill="1" applyAlignment="1">
      <alignment horizontal="center" vertical="center"/>
    </xf>
    <xf numFmtId="0" fontId="0" fillId="2" borderId="8" xfId="0" applyFill="1" applyBorder="1" applyAlignment="1">
      <alignment horizontal="center" vertical="center"/>
    </xf>
    <xf numFmtId="0" fontId="0" fillId="0" borderId="7" xfId="0" applyBorder="1" applyAlignment="1">
      <alignment horizontal="center" vertical="center"/>
    </xf>
    <xf numFmtId="0" fontId="0" fillId="0" borderId="0" xfId="0" applyFill="1" applyBorder="1" applyAlignment="1">
      <alignment horizontal="center" vertical="center"/>
    </xf>
    <xf numFmtId="2" fontId="0" fillId="0" borderId="0" xfId="0" applyNumberFormat="1" applyBorder="1" applyAlignment="1">
      <alignment horizontal="center" vertical="center"/>
    </xf>
    <xf numFmtId="1" fontId="0" fillId="0" borderId="0" xfId="0" applyNumberFormat="1" applyBorder="1" applyAlignment="1">
      <alignment horizontal="center" vertical="center"/>
    </xf>
    <xf numFmtId="2" fontId="0" fillId="0" borderId="8" xfId="0" applyNumberFormat="1" applyBorder="1" applyAlignment="1">
      <alignment horizontal="center" vertical="center"/>
    </xf>
    <xf numFmtId="168" fontId="0" fillId="0" borderId="0" xfId="0" applyNumberFormat="1" applyBorder="1" applyAlignment="1">
      <alignment horizontal="center" vertical="center"/>
    </xf>
    <xf numFmtId="1" fontId="0" fillId="0" borderId="9" xfId="0" applyNumberFormat="1" applyBorder="1" applyAlignment="1">
      <alignment horizontal="center" vertical="center"/>
    </xf>
    <xf numFmtId="166" fontId="0" fillId="2" borderId="0" xfId="0" applyNumberFormat="1" applyFont="1" applyFill="1" applyBorder="1" applyAlignment="1">
      <alignment horizontal="center"/>
    </xf>
    <xf numFmtId="0" fontId="21" fillId="2" borderId="0" xfId="0" applyFont="1" applyFill="1" applyBorder="1"/>
    <xf numFmtId="166" fontId="0" fillId="0" borderId="0" xfId="0" applyNumberFormat="1" applyFont="1" applyBorder="1" applyAlignment="1">
      <alignment horizontal="center" vertical="center"/>
    </xf>
    <xf numFmtId="166" fontId="0" fillId="0" borderId="0" xfId="0" applyNumberFormat="1" applyFont="1" applyFill="1" applyBorder="1" applyAlignment="1">
      <alignment horizontal="center" vertical="center"/>
    </xf>
    <xf numFmtId="166" fontId="0" fillId="0" borderId="0" xfId="0" applyNumberFormat="1" applyFont="1" applyFill="1" applyBorder="1" applyAlignment="1">
      <alignment horizontal="center"/>
    </xf>
    <xf numFmtId="0" fontId="23" fillId="2" borderId="0" xfId="0" applyFont="1" applyFill="1"/>
    <xf numFmtId="0" fontId="23" fillId="2" borderId="0" xfId="0" applyFont="1" applyFill="1" applyBorder="1"/>
    <xf numFmtId="0" fontId="21" fillId="2" borderId="0" xfId="0" applyFont="1" applyFill="1"/>
    <xf numFmtId="0" fontId="0" fillId="0" borderId="0" xfId="0" applyFill="1" applyBorder="1" applyAlignment="1"/>
    <xf numFmtId="0" fontId="24" fillId="2" borderId="0" xfId="1" applyFont="1" applyFill="1" applyBorder="1" applyAlignment="1">
      <alignment horizontal="center"/>
    </xf>
    <xf numFmtId="0" fontId="24" fillId="2" borderId="0" xfId="1" applyFont="1" applyFill="1" applyBorder="1"/>
    <xf numFmtId="165" fontId="24" fillId="2" borderId="0" xfId="1" applyNumberFormat="1" applyFont="1" applyFill="1" applyBorder="1" applyAlignment="1">
      <alignment horizontal="center"/>
    </xf>
    <xf numFmtId="166" fontId="24" fillId="2" borderId="0" xfId="1" applyNumberFormat="1" applyFont="1" applyFill="1" applyBorder="1" applyAlignment="1">
      <alignment horizontal="center"/>
    </xf>
    <xf numFmtId="166" fontId="24" fillId="2" borderId="0" xfId="1" applyNumberFormat="1" applyFont="1" applyFill="1" applyBorder="1"/>
    <xf numFmtId="0" fontId="0" fillId="2" borderId="15" xfId="0" applyFill="1" applyBorder="1" applyAlignment="1">
      <alignment horizontal="center" vertical="center"/>
    </xf>
    <xf numFmtId="0" fontId="1" fillId="2" borderId="4" xfId="0" applyFont="1" applyFill="1" applyBorder="1" applyAlignment="1">
      <alignment horizontal="center"/>
    </xf>
    <xf numFmtId="0" fontId="0" fillId="0" borderId="22" xfId="0" applyBorder="1" applyAlignment="1">
      <alignment horizontal="center" vertical="center" wrapText="1"/>
    </xf>
    <xf numFmtId="0" fontId="10" fillId="0" borderId="4" xfId="0" applyFont="1"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1" fillId="0" borderId="19" xfId="0" applyFont="1" applyBorder="1" applyAlignment="1">
      <alignment horizontal="center" vertical="center"/>
    </xf>
    <xf numFmtId="0" fontId="0" fillId="0" borderId="8" xfId="0" applyFill="1" applyBorder="1" applyAlignment="1">
      <alignment horizontal="center" vertical="center"/>
    </xf>
    <xf numFmtId="0" fontId="0" fillId="0" borderId="14" xfId="0" applyFill="1" applyBorder="1" applyAlignment="1">
      <alignment horizontal="center" vertical="center"/>
    </xf>
    <xf numFmtId="0" fontId="21" fillId="0" borderId="0" xfId="0" applyFont="1"/>
    <xf numFmtId="166" fontId="0" fillId="0" borderId="8" xfId="0" applyNumberFormat="1" applyBorder="1" applyAlignment="1">
      <alignment horizontal="center" vertical="center"/>
    </xf>
    <xf numFmtId="0" fontId="0" fillId="2" borderId="14" xfId="0" applyFill="1" applyBorder="1"/>
    <xf numFmtId="0" fontId="0" fillId="2" borderId="0" xfId="0" applyFont="1" applyFill="1"/>
    <xf numFmtId="0" fontId="0" fillId="2" borderId="0" xfId="0" applyFont="1" applyFill="1" applyBorder="1"/>
    <xf numFmtId="171" fontId="0" fillId="0" borderId="0" xfId="8" applyNumberFormat="1" applyFont="1" applyFill="1" applyBorder="1" applyAlignment="1">
      <alignment horizontal="center"/>
    </xf>
    <xf numFmtId="171" fontId="0" fillId="0" borderId="0" xfId="8" applyNumberFormat="1" applyFont="1" applyBorder="1" applyAlignment="1">
      <alignment horizont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10" fillId="2" borderId="0" xfId="0" applyFont="1" applyFill="1" applyBorder="1" applyAlignment="1">
      <alignment horizontal="center" vertic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0" fillId="0" borderId="15" xfId="0" applyFill="1" applyBorder="1" applyAlignment="1">
      <alignment horizontal="center" vertical="center"/>
    </xf>
    <xf numFmtId="0" fontId="11" fillId="2" borderId="0" xfId="0" applyFont="1" applyFill="1" applyBorder="1" applyAlignment="1">
      <alignment vertical="center"/>
    </xf>
    <xf numFmtId="0" fontId="32" fillId="4" borderId="4" xfId="0" applyFont="1" applyFill="1" applyBorder="1" applyAlignment="1">
      <alignment horizontal="center" vertical="center"/>
    </xf>
    <xf numFmtId="0" fontId="1" fillId="2" borderId="0" xfId="0" applyFont="1" applyFill="1" applyBorder="1" applyAlignment="1"/>
    <xf numFmtId="0" fontId="11" fillId="0" borderId="0" xfId="0" applyFont="1" applyFill="1" applyBorder="1" applyAlignment="1">
      <alignment vertical="center"/>
    </xf>
    <xf numFmtId="0" fontId="11" fillId="0" borderId="0" xfId="0" applyFont="1" applyBorder="1" applyAlignment="1">
      <alignment horizontal="center"/>
    </xf>
    <xf numFmtId="0" fontId="12" fillId="2" borderId="0" xfId="0" applyFont="1" applyFill="1" applyBorder="1" applyAlignment="1">
      <alignment horizontal="center"/>
    </xf>
    <xf numFmtId="0" fontId="12" fillId="2" borderId="0" xfId="0" applyFont="1" applyFill="1" applyBorder="1" applyAlignment="1">
      <alignment horizontal="center" vertical="center"/>
    </xf>
    <xf numFmtId="0" fontId="10" fillId="2" borderId="4" xfId="0" applyFont="1" applyFill="1" applyBorder="1" applyAlignment="1">
      <alignment horizontal="center" vertical="center" wrapText="1"/>
    </xf>
    <xf numFmtId="0" fontId="0" fillId="2" borderId="4" xfId="0" applyFont="1" applyFill="1" applyBorder="1" applyAlignment="1">
      <alignment horizontal="center" vertical="center" wrapText="1"/>
    </xf>
    <xf numFmtId="0" fontId="1" fillId="0" borderId="9" xfId="0" applyFont="1" applyBorder="1" applyAlignment="1">
      <alignment horizontal="center" vertical="center"/>
    </xf>
    <xf numFmtId="2" fontId="0" fillId="0" borderId="10" xfId="0" applyNumberFormat="1" applyBorder="1" applyAlignment="1">
      <alignment horizontal="center" vertical="center"/>
    </xf>
    <xf numFmtId="0" fontId="1" fillId="0" borderId="5" xfId="0" applyFont="1" applyBorder="1" applyAlignment="1">
      <alignment horizontal="center" vertical="center"/>
    </xf>
    <xf numFmtId="166" fontId="0" fillId="0" borderId="6" xfId="0" applyNumberFormat="1" applyBorder="1" applyAlignment="1">
      <alignment horizontal="center" vertical="center"/>
    </xf>
    <xf numFmtId="0" fontId="0" fillId="0" borderId="0" xfId="0" applyBorder="1" applyAlignment="1">
      <alignment vertical="center"/>
    </xf>
    <xf numFmtId="1" fontId="0" fillId="0" borderId="5" xfId="0" applyNumberFormat="1" applyBorder="1" applyAlignment="1">
      <alignment horizontal="center" vertical="center"/>
    </xf>
    <xf numFmtId="2" fontId="0" fillId="0" borderId="6" xfId="0" applyNumberFormat="1" applyBorder="1" applyAlignment="1">
      <alignment horizontal="center" vertical="center"/>
    </xf>
    <xf numFmtId="2" fontId="0" fillId="0" borderId="7" xfId="0" applyNumberFormat="1" applyBorder="1" applyAlignment="1">
      <alignment horizontal="center" vertical="center"/>
    </xf>
    <xf numFmtId="0" fontId="1" fillId="0" borderId="11" xfId="0" applyFont="1" applyBorder="1" applyAlignment="1">
      <alignment horizontal="center" vertical="center"/>
    </xf>
    <xf numFmtId="2" fontId="0" fillId="0" borderId="13" xfId="0" applyNumberFormat="1" applyBorder="1" applyAlignment="1">
      <alignment horizontal="center" vertical="center"/>
    </xf>
    <xf numFmtId="0" fontId="2" fillId="0" borderId="3" xfId="1" applyBorder="1" applyAlignment="1">
      <alignment horizontal="center"/>
    </xf>
    <xf numFmtId="0" fontId="2" fillId="0" borderId="10" xfId="1" applyBorder="1" applyAlignment="1">
      <alignment horizontal="center"/>
    </xf>
    <xf numFmtId="0" fontId="2" fillId="0" borderId="13" xfId="1" applyBorder="1" applyAlignment="1">
      <alignment horizontal="center"/>
    </xf>
    <xf numFmtId="172" fontId="2" fillId="2" borderId="6" xfId="1" applyNumberFormat="1" applyFill="1" applyBorder="1" applyAlignment="1">
      <alignment horizontal="center"/>
    </xf>
    <xf numFmtId="172" fontId="2" fillId="2" borderId="12" xfId="1" applyNumberFormat="1" applyFill="1" applyBorder="1" applyAlignment="1">
      <alignment horizontal="center"/>
    </xf>
    <xf numFmtId="0" fontId="0" fillId="0" borderId="0" xfId="0" applyFill="1"/>
    <xf numFmtId="0" fontId="22" fillId="0" borderId="0" xfId="1" applyFont="1" applyFill="1"/>
    <xf numFmtId="49" fontId="0" fillId="0" borderId="0" xfId="0" applyNumberFormat="1" applyFill="1" applyBorder="1" applyAlignment="1">
      <alignment horizontal="center" vertical="center"/>
    </xf>
    <xf numFmtId="49" fontId="0" fillId="0" borderId="0" xfId="0" applyNumberFormat="1" applyFill="1" applyBorder="1"/>
    <xf numFmtId="0" fontId="2" fillId="2" borderId="0" xfId="1" applyFill="1" applyBorder="1" applyAlignment="1">
      <alignment horizontal="center"/>
    </xf>
    <xf numFmtId="0" fontId="0" fillId="2" borderId="0" xfId="0" applyFill="1" applyAlignment="1">
      <alignment vertical="center"/>
    </xf>
    <xf numFmtId="0" fontId="21" fillId="13" borderId="0" xfId="0" applyFont="1" applyFill="1"/>
    <xf numFmtId="0" fontId="22" fillId="13" borderId="0" xfId="1" applyFont="1" applyFill="1"/>
    <xf numFmtId="0" fontId="21" fillId="13" borderId="0" xfId="0" applyFont="1" applyFill="1" applyAlignment="1">
      <alignment horizontal="center" vertical="center"/>
    </xf>
    <xf numFmtId="1" fontId="0" fillId="0" borderId="0" xfId="0" applyNumberFormat="1" applyBorder="1" applyAlignment="1">
      <alignment horizontal="center"/>
    </xf>
    <xf numFmtId="0" fontId="33" fillId="2" borderId="0" xfId="0" applyFont="1" applyFill="1"/>
    <xf numFmtId="0" fontId="33" fillId="2" borderId="0" xfId="0" applyFont="1" applyFill="1" applyBorder="1"/>
    <xf numFmtId="2" fontId="0" fillId="2" borderId="0" xfId="0" applyNumberFormat="1" applyFill="1" applyAlignment="1">
      <alignment horizontal="center" vertical="center"/>
    </xf>
    <xf numFmtId="0" fontId="28" fillId="2" borderId="0" xfId="0" applyFont="1" applyFill="1" applyBorder="1" applyAlignment="1"/>
    <xf numFmtId="0" fontId="23" fillId="2" borderId="0" xfId="0" applyFont="1" applyFill="1" applyBorder="1" applyAlignment="1">
      <alignment horizontal="center"/>
    </xf>
    <xf numFmtId="0" fontId="23" fillId="0" borderId="0" xfId="0" applyFont="1"/>
    <xf numFmtId="2" fontId="0" fillId="2" borderId="0" xfId="0" applyNumberFormat="1" applyFill="1" applyBorder="1" applyAlignment="1">
      <alignment horizontal="center" vertical="center"/>
    </xf>
    <xf numFmtId="2" fontId="1" fillId="2" borderId="0" xfId="9" applyNumberFormat="1" applyFont="1" applyFill="1" applyBorder="1" applyAlignment="1">
      <alignment horizontal="center" vertical="center"/>
    </xf>
    <xf numFmtId="0" fontId="35" fillId="2" borderId="0" xfId="0" applyFont="1" applyFill="1" applyBorder="1" applyAlignment="1"/>
    <xf numFmtId="0" fontId="0" fillId="0" borderId="0" xfId="0" applyAlignment="1">
      <alignment horizontal="center" vertical="center"/>
    </xf>
    <xf numFmtId="0" fontId="28" fillId="2" borderId="0" xfId="0" applyFont="1" applyFill="1" applyBorder="1" applyAlignment="1">
      <alignment horizontal="center" vertical="center"/>
    </xf>
    <xf numFmtId="0" fontId="1" fillId="15" borderId="12" xfId="0" applyFont="1" applyFill="1" applyBorder="1" applyAlignment="1">
      <alignment horizontal="center" vertical="center"/>
    </xf>
    <xf numFmtId="0" fontId="20" fillId="0" borderId="0" xfId="0" applyFont="1" applyAlignment="1">
      <alignment horizontal="center" vertical="center"/>
    </xf>
    <xf numFmtId="0" fontId="2" fillId="2" borderId="0" xfId="1" applyFill="1" applyBorder="1"/>
    <xf numFmtId="0" fontId="0" fillId="0" borderId="0" xfId="0" applyFont="1" applyBorder="1" applyAlignment="1">
      <alignment horizontal="center" vertical="center"/>
    </xf>
    <xf numFmtId="0" fontId="0" fillId="0" borderId="8" xfId="0" applyFont="1" applyBorder="1" applyAlignment="1">
      <alignment horizontal="center" vertical="center"/>
    </xf>
    <xf numFmtId="0" fontId="0" fillId="0" borderId="0" xfId="0" applyFont="1" applyBorder="1" applyAlignment="1">
      <alignment horizontal="center"/>
    </xf>
    <xf numFmtId="0" fontId="0" fillId="2" borderId="4" xfId="0" applyFill="1" applyBorder="1"/>
    <xf numFmtId="0" fontId="10" fillId="2" borderId="4" xfId="0" applyFont="1" applyFill="1" applyBorder="1" applyAlignment="1">
      <alignment horizontal="center" vertical="center"/>
    </xf>
    <xf numFmtId="0" fontId="37" fillId="2" borderId="4" xfId="0" applyFont="1" applyFill="1" applyBorder="1" applyAlignment="1">
      <alignment horizontal="center" vertical="center"/>
    </xf>
    <xf numFmtId="0" fontId="38" fillId="2" borderId="4" xfId="0" applyFont="1" applyFill="1" applyBorder="1" applyAlignment="1">
      <alignment horizontal="center" vertical="center"/>
    </xf>
    <xf numFmtId="0" fontId="11" fillId="5" borderId="7" xfId="0" applyFont="1" applyFill="1" applyBorder="1" applyAlignment="1">
      <alignment horizontal="center" vertical="center"/>
    </xf>
    <xf numFmtId="0" fontId="11" fillId="3" borderId="15" xfId="0" applyFont="1" applyFill="1" applyBorder="1" applyAlignment="1">
      <alignment horizontal="center" vertical="center"/>
    </xf>
    <xf numFmtId="0" fontId="11" fillId="5" borderId="5" xfId="0" applyFont="1" applyFill="1" applyBorder="1" applyAlignment="1">
      <alignment horizontal="center" vertical="center"/>
    </xf>
    <xf numFmtId="0" fontId="11" fillId="5" borderId="15" xfId="0" applyFont="1" applyFill="1" applyBorder="1" applyAlignment="1">
      <alignment horizontal="center" vertical="center"/>
    </xf>
    <xf numFmtId="166" fontId="0" fillId="0" borderId="10" xfId="0" applyNumberFormat="1" applyBorder="1" applyAlignment="1">
      <alignment horizontal="center" vertical="center"/>
    </xf>
    <xf numFmtId="0" fontId="0" fillId="0" borderId="0" xfId="0" applyNumberFormat="1" applyBorder="1" applyAlignment="1">
      <alignment horizontal="center" vertical="center"/>
    </xf>
    <xf numFmtId="49" fontId="0" fillId="0" borderId="0" xfId="0" applyNumberFormat="1" applyBorder="1" applyAlignment="1">
      <alignment horizontal="center" vertical="center"/>
    </xf>
    <xf numFmtId="166" fontId="0" fillId="0" borderId="9" xfId="0" applyNumberFormat="1" applyBorder="1" applyAlignment="1">
      <alignment horizontal="center" vertical="center"/>
    </xf>
    <xf numFmtId="1" fontId="0" fillId="0" borderId="9" xfId="0" applyNumberFormat="1" applyBorder="1"/>
    <xf numFmtId="1" fontId="0" fillId="0" borderId="0" xfId="0" applyNumberFormat="1" applyBorder="1"/>
    <xf numFmtId="2" fontId="0" fillId="2" borderId="15" xfId="0" applyNumberFormat="1" applyFill="1" applyBorder="1" applyAlignment="1">
      <alignment horizontal="center"/>
    </xf>
    <xf numFmtId="2" fontId="0" fillId="2" borderId="8" xfId="0" applyNumberFormat="1" applyFill="1" applyBorder="1" applyAlignment="1">
      <alignment horizontal="center"/>
    </xf>
    <xf numFmtId="2" fontId="0" fillId="2" borderId="14" xfId="0" applyNumberFormat="1" applyFill="1" applyBorder="1" applyAlignment="1">
      <alignment horizontal="center"/>
    </xf>
    <xf numFmtId="2" fontId="0" fillId="2" borderId="8" xfId="0" applyNumberFormat="1" applyFill="1" applyBorder="1" applyAlignment="1">
      <alignment horizontal="center" vertical="center"/>
    </xf>
    <xf numFmtId="0" fontId="1" fillId="0" borderId="21" xfId="0" applyFont="1" applyBorder="1" applyAlignment="1">
      <alignment horizontal="center" vertical="center" wrapText="1"/>
    </xf>
    <xf numFmtId="0" fontId="1" fillId="5" borderId="4" xfId="0" applyFont="1" applyFill="1" applyBorder="1" applyAlignment="1">
      <alignment horizontal="center" vertical="center"/>
    </xf>
    <xf numFmtId="166" fontId="0" fillId="0" borderId="7" xfId="0" applyNumberFormat="1" applyBorder="1" applyAlignment="1">
      <alignment horizontal="center" vertical="center"/>
    </xf>
    <xf numFmtId="0" fontId="0" fillId="0" borderId="6" xfId="0" applyFill="1" applyBorder="1" applyAlignment="1">
      <alignment horizontal="center"/>
    </xf>
    <xf numFmtId="0" fontId="0" fillId="2" borderId="0" xfId="0" applyFont="1" applyFill="1" applyBorder="1" applyAlignment="1"/>
    <xf numFmtId="1" fontId="0" fillId="2" borderId="0" xfId="0" applyNumberFormat="1" applyFill="1" applyBorder="1"/>
    <xf numFmtId="0" fontId="20" fillId="2" borderId="0" xfId="0" applyFont="1" applyFill="1" applyBorder="1"/>
    <xf numFmtId="2" fontId="0" fillId="2" borderId="0" xfId="0" applyNumberFormat="1" applyFill="1" applyBorder="1"/>
    <xf numFmtId="169" fontId="0" fillId="2" borderId="0" xfId="0" applyNumberFormat="1" applyFill="1" applyBorder="1"/>
    <xf numFmtId="2" fontId="0" fillId="0" borderId="4" xfId="0" applyNumberFormat="1" applyFont="1" applyBorder="1" applyAlignment="1">
      <alignment horizontal="center" vertical="center"/>
    </xf>
    <xf numFmtId="0" fontId="0" fillId="0" borderId="17" xfId="0" applyBorder="1" applyAlignment="1">
      <alignment horizontal="center" vertical="center" wrapText="1"/>
    </xf>
    <xf numFmtId="0" fontId="42" fillId="2" borderId="0" xfId="0" applyFont="1" applyFill="1" applyBorder="1" applyAlignment="1">
      <alignment vertical="center"/>
    </xf>
    <xf numFmtId="0" fontId="25" fillId="2" borderId="12" xfId="0" applyFont="1" applyFill="1" applyBorder="1" applyAlignment="1">
      <alignment vertical="center" wrapText="1"/>
    </xf>
    <xf numFmtId="0" fontId="42" fillId="2" borderId="0" xfId="0" applyFont="1" applyFill="1" applyBorder="1" applyAlignment="1">
      <alignment horizontal="center" vertical="center"/>
    </xf>
    <xf numFmtId="0" fontId="0" fillId="0" borderId="26" xfId="0" applyBorder="1" applyAlignment="1">
      <alignment horizontal="center" vertical="center" wrapText="1"/>
    </xf>
    <xf numFmtId="0" fontId="41" fillId="2" borderId="4" xfId="0" applyFont="1" applyFill="1" applyBorder="1" applyAlignment="1">
      <alignment horizontal="center" vertical="center"/>
    </xf>
    <xf numFmtId="0" fontId="1" fillId="2" borderId="7" xfId="0" applyFont="1" applyFill="1"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166" fontId="0" fillId="0" borderId="0" xfId="0" applyNumberFormat="1" applyBorder="1" applyAlignment="1">
      <alignment horizontal="center" vertical="center"/>
    </xf>
    <xf numFmtId="0" fontId="0" fillId="0" borderId="7" xfId="0" applyBorder="1" applyAlignment="1">
      <alignment horizontal="center" vertical="center"/>
    </xf>
    <xf numFmtId="169" fontId="0" fillId="0" borderId="0" xfId="0" applyNumberFormat="1" applyBorder="1"/>
    <xf numFmtId="0" fontId="11" fillId="4" borderId="15" xfId="0" applyFont="1" applyFill="1" applyBorder="1" applyAlignment="1">
      <alignment horizontal="center" vertical="center"/>
    </xf>
    <xf numFmtId="0" fontId="1" fillId="14" borderId="5" xfId="0" applyFont="1" applyFill="1" applyBorder="1" applyAlignment="1">
      <alignment horizontal="center" vertical="center"/>
    </xf>
    <xf numFmtId="0" fontId="1" fillId="14" borderId="9" xfId="0" applyFont="1" applyFill="1" applyBorder="1" applyAlignment="1">
      <alignment horizontal="center" vertical="center"/>
    </xf>
    <xf numFmtId="0" fontId="1" fillId="14" borderId="11" xfId="0" applyFont="1" applyFill="1" applyBorder="1" applyAlignment="1">
      <alignment horizontal="center" vertical="center"/>
    </xf>
    <xf numFmtId="0" fontId="1" fillId="14" borderId="1" xfId="0" applyFont="1" applyFill="1" applyBorder="1" applyAlignment="1">
      <alignment horizontal="center" vertical="center"/>
    </xf>
    <xf numFmtId="0" fontId="0" fillId="14" borderId="7" xfId="0" applyFill="1" applyBorder="1" applyAlignment="1">
      <alignment horizontal="center" vertical="center"/>
    </xf>
    <xf numFmtId="2" fontId="0" fillId="14" borderId="7" xfId="0" applyNumberFormat="1" applyFill="1" applyBorder="1" applyAlignment="1">
      <alignment horizontal="center" vertical="center"/>
    </xf>
    <xf numFmtId="0" fontId="0" fillId="14" borderId="10" xfId="0" applyFill="1" applyBorder="1" applyAlignment="1">
      <alignment horizontal="center" vertical="center"/>
    </xf>
    <xf numFmtId="2" fontId="0" fillId="14" borderId="10" xfId="0" applyNumberFormat="1" applyFill="1" applyBorder="1" applyAlignment="1">
      <alignment horizontal="center" vertical="center"/>
    </xf>
    <xf numFmtId="0" fontId="0" fillId="14" borderId="13" xfId="0" applyFill="1" applyBorder="1" applyAlignment="1">
      <alignment horizontal="center" vertical="center"/>
    </xf>
    <xf numFmtId="2" fontId="0" fillId="14" borderId="13" xfId="0" applyNumberFormat="1" applyFill="1" applyBorder="1" applyAlignment="1">
      <alignment horizontal="center" vertical="center"/>
    </xf>
    <xf numFmtId="2" fontId="0" fillId="14" borderId="15" xfId="0" applyNumberFormat="1" applyFill="1" applyBorder="1" applyAlignment="1">
      <alignment horizontal="center" vertical="center"/>
    </xf>
    <xf numFmtId="2" fontId="0" fillId="14" borderId="8" xfId="0" applyNumberFormat="1" applyFill="1" applyBorder="1" applyAlignment="1">
      <alignment horizontal="center" vertical="center"/>
    </xf>
    <xf numFmtId="0" fontId="0" fillId="14" borderId="3" xfId="0" applyFill="1" applyBorder="1" applyAlignment="1">
      <alignment horizontal="center" vertical="center"/>
    </xf>
    <xf numFmtId="2" fontId="0" fillId="14" borderId="4" xfId="0" applyNumberFormat="1" applyFill="1" applyBorder="1" applyAlignment="1">
      <alignment horizontal="center" vertical="center"/>
    </xf>
    <xf numFmtId="0" fontId="0" fillId="0" borderId="0" xfId="0" applyBorder="1" applyAlignment="1">
      <alignment horizontal="center" vertical="center"/>
    </xf>
    <xf numFmtId="166" fontId="0" fillId="0" borderId="0" xfId="0" applyNumberFormat="1" applyBorder="1" applyAlignment="1">
      <alignment horizontal="center" vertical="center"/>
    </xf>
    <xf numFmtId="0" fontId="0" fillId="0" borderId="10" xfId="0" applyBorder="1" applyAlignment="1">
      <alignment horizontal="center" vertical="center"/>
    </xf>
    <xf numFmtId="0" fontId="0" fillId="0" borderId="9"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2" borderId="5" xfId="0" applyFill="1" applyBorder="1" applyAlignment="1">
      <alignment horizontal="center"/>
    </xf>
    <xf numFmtId="0" fontId="0" fillId="0" borderId="15" xfId="0" applyBorder="1" applyAlignment="1">
      <alignment horizontal="center" vertical="center"/>
    </xf>
    <xf numFmtId="0" fontId="0" fillId="0" borderId="14" xfId="0" applyBorder="1" applyAlignment="1">
      <alignment horizontal="center" vertical="center"/>
    </xf>
    <xf numFmtId="0" fontId="17" fillId="10" borderId="9" xfId="4" applyBorder="1" applyAlignment="1">
      <alignment horizontal="center"/>
    </xf>
    <xf numFmtId="0" fontId="17" fillId="10" borderId="11" xfId="4" applyBorder="1" applyAlignment="1">
      <alignment horizontal="center"/>
    </xf>
    <xf numFmtId="0" fontId="0" fillId="0" borderId="6" xfId="0" applyBorder="1"/>
    <xf numFmtId="0" fontId="0" fillId="13" borderId="0" xfId="0" applyFill="1"/>
    <xf numFmtId="1" fontId="0" fillId="0" borderId="11" xfId="0" applyNumberFormat="1" applyFill="1" applyBorder="1" applyAlignment="1">
      <alignment horizontal="center" vertical="center"/>
    </xf>
    <xf numFmtId="1" fontId="0" fillId="0" borderId="12" xfId="0" applyNumberFormat="1" applyBorder="1" applyAlignment="1">
      <alignment horizontal="center" vertical="center"/>
    </xf>
    <xf numFmtId="0" fontId="0" fillId="0" borderId="0" xfId="0" applyFill="1" applyAlignment="1">
      <alignment horizontal="center" vertical="center"/>
    </xf>
    <xf numFmtId="2" fontId="0" fillId="2" borderId="12" xfId="0" applyNumberFormat="1" applyFill="1" applyBorder="1" applyAlignment="1">
      <alignment horizontal="center" vertical="center"/>
    </xf>
    <xf numFmtId="2" fontId="0" fillId="2" borderId="14" xfId="0" applyNumberFormat="1" applyFill="1" applyBorder="1" applyAlignment="1">
      <alignment horizontal="center" vertical="center"/>
    </xf>
    <xf numFmtId="2" fontId="17" fillId="10" borderId="9" xfId="4" applyNumberFormat="1" applyBorder="1" applyAlignment="1">
      <alignment horizontal="center" vertical="center"/>
    </xf>
    <xf numFmtId="2" fontId="0" fillId="2" borderId="11" xfId="0" applyNumberFormat="1" applyFill="1" applyBorder="1" applyAlignment="1">
      <alignment horizontal="center"/>
    </xf>
    <xf numFmtId="0" fontId="0" fillId="0" borderId="0" xfId="0" applyAlignment="1">
      <alignment horizontal="center"/>
    </xf>
    <xf numFmtId="9" fontId="46" fillId="16" borderId="4" xfId="10" applyNumberFormat="1" applyFont="1" applyBorder="1" applyAlignment="1">
      <alignment horizontal="center" vertical="center"/>
    </xf>
    <xf numFmtId="0" fontId="12" fillId="0" borderId="12" xfId="0" applyFont="1" applyBorder="1" applyAlignment="1">
      <alignment horizontal="center" vertical="center"/>
    </xf>
    <xf numFmtId="0" fontId="12" fillId="0" borderId="0" xfId="0" applyFont="1" applyBorder="1"/>
    <xf numFmtId="0" fontId="0" fillId="17" borderId="4" xfId="0" applyFill="1" applyBorder="1"/>
    <xf numFmtId="0" fontId="0" fillId="18" borderId="4" xfId="0" applyFill="1" applyBorder="1"/>
    <xf numFmtId="0" fontId="0" fillId="17" borderId="9" xfId="0" applyFill="1" applyBorder="1" applyAlignment="1">
      <alignment horizontal="center" vertical="center"/>
    </xf>
    <xf numFmtId="0" fontId="0" fillId="17" borderId="0" xfId="0" applyFill="1" applyBorder="1" applyAlignment="1">
      <alignment horizontal="center" vertical="center"/>
    </xf>
    <xf numFmtId="0" fontId="23" fillId="2" borderId="6" xfId="0" applyFont="1" applyFill="1" applyBorder="1"/>
    <xf numFmtId="0" fontId="23" fillId="2" borderId="10" xfId="0" applyFont="1" applyFill="1" applyBorder="1"/>
    <xf numFmtId="0" fontId="23" fillId="2" borderId="13" xfId="0" applyFont="1" applyFill="1" applyBorder="1"/>
    <xf numFmtId="0" fontId="23" fillId="2" borderId="5" xfId="0" applyFont="1" applyFill="1" applyBorder="1"/>
    <xf numFmtId="0" fontId="23" fillId="2" borderId="7" xfId="0" applyFont="1" applyFill="1" applyBorder="1"/>
    <xf numFmtId="0" fontId="23" fillId="2" borderId="9" xfId="0" applyFont="1" applyFill="1" applyBorder="1"/>
    <xf numFmtId="0" fontId="0" fillId="2" borderId="5" xfId="0" applyFont="1" applyFill="1" applyBorder="1" applyAlignment="1"/>
    <xf numFmtId="0" fontId="0" fillId="2" borderId="6" xfId="0" applyFont="1" applyFill="1" applyBorder="1" applyAlignment="1"/>
    <xf numFmtId="0" fontId="0" fillId="2" borderId="7" xfId="0" applyFont="1" applyFill="1" applyBorder="1" applyAlignment="1"/>
    <xf numFmtId="0" fontId="0" fillId="2" borderId="9" xfId="0" applyFont="1" applyFill="1" applyBorder="1" applyAlignment="1"/>
    <xf numFmtId="0" fontId="0" fillId="2" borderId="10" xfId="0" applyFont="1" applyFill="1" applyBorder="1" applyAlignment="1"/>
    <xf numFmtId="166" fontId="0" fillId="0" borderId="5" xfId="0" applyNumberFormat="1" applyBorder="1" applyAlignment="1">
      <alignment horizontal="center" vertical="center"/>
    </xf>
    <xf numFmtId="2" fontId="0" fillId="2" borderId="9" xfId="0" applyNumberFormat="1" applyFill="1" applyBorder="1" applyAlignment="1">
      <alignment horizontal="center" vertical="center"/>
    </xf>
    <xf numFmtId="2" fontId="0" fillId="2" borderId="10" xfId="0" applyNumberFormat="1" applyFill="1" applyBorder="1" applyAlignment="1">
      <alignment horizontal="center" vertical="center"/>
    </xf>
    <xf numFmtId="2" fontId="0" fillId="2" borderId="11" xfId="0" applyNumberFormat="1" applyFill="1" applyBorder="1" applyAlignment="1">
      <alignment horizontal="center" vertical="center"/>
    </xf>
    <xf numFmtId="2" fontId="0" fillId="2" borderId="13" xfId="0" applyNumberFormat="1" applyFill="1" applyBorder="1" applyAlignment="1">
      <alignment horizontal="center" vertical="center"/>
    </xf>
    <xf numFmtId="0" fontId="1" fillId="2" borderId="2" xfId="0" applyFont="1" applyFill="1" applyBorder="1" applyAlignment="1">
      <alignment horizontal="center" vertical="center"/>
    </xf>
    <xf numFmtId="2" fontId="0" fillId="2" borderId="5" xfId="0" applyNumberFormat="1"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1" fillId="2" borderId="1" xfId="0" applyFont="1" applyFill="1" applyBorder="1" applyAlignment="1">
      <alignment horizontal="center"/>
    </xf>
    <xf numFmtId="0" fontId="0" fillId="2" borderId="2" xfId="0" applyFill="1" applyBorder="1" applyAlignment="1">
      <alignment horizontal="center" vertical="center"/>
    </xf>
    <xf numFmtId="0" fontId="1" fillId="2" borderId="7" xfId="0" applyFont="1" applyFill="1" applyBorder="1" applyAlignment="1">
      <alignment horizontal="center"/>
    </xf>
    <xf numFmtId="0" fontId="0" fillId="2" borderId="4" xfId="0" applyFill="1" applyBorder="1" applyAlignment="1">
      <alignment horizontal="center" vertical="center"/>
    </xf>
    <xf numFmtId="0" fontId="0" fillId="2" borderId="5" xfId="0" applyFill="1" applyBorder="1" applyAlignment="1">
      <alignment horizontal="center"/>
    </xf>
    <xf numFmtId="0" fontId="0" fillId="2" borderId="11" xfId="0" applyFill="1" applyBorder="1" applyAlignment="1">
      <alignment horizontal="center"/>
    </xf>
    <xf numFmtId="0" fontId="1" fillId="2" borderId="4" xfId="0"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4" xfId="0" applyFont="1" applyBorder="1" applyAlignment="1">
      <alignment horizontal="center" vertical="center"/>
    </xf>
    <xf numFmtId="0" fontId="11" fillId="0" borderId="10" xfId="0" applyFont="1" applyFill="1" applyBorder="1" applyAlignment="1">
      <alignment vertical="center"/>
    </xf>
    <xf numFmtId="0" fontId="23" fillId="2" borderId="0" xfId="0" applyFont="1" applyFill="1" applyBorder="1" applyAlignment="1">
      <alignment horizontal="center" vertical="center"/>
    </xf>
    <xf numFmtId="0" fontId="0" fillId="0" borderId="6" xfId="0" applyFont="1" applyBorder="1" applyAlignment="1">
      <alignment horizontal="center" vertical="center"/>
    </xf>
    <xf numFmtId="0" fontId="0" fillId="0" borderId="9" xfId="0" applyFont="1" applyBorder="1" applyAlignment="1">
      <alignment horizontal="center" vertical="center"/>
    </xf>
    <xf numFmtId="1" fontId="0" fillId="2" borderId="0" xfId="0" applyNumberFormat="1" applyFill="1" applyBorder="1" applyAlignment="1">
      <alignment horizontal="center" vertical="center"/>
    </xf>
    <xf numFmtId="0" fontId="19" fillId="2" borderId="0" xfId="0" applyFont="1" applyFill="1" applyBorder="1" applyAlignment="1">
      <alignment horizontal="center" vertical="center"/>
    </xf>
    <xf numFmtId="166" fontId="0" fillId="0" borderId="13" xfId="0" applyNumberFormat="1" applyBorder="1" applyAlignment="1">
      <alignment horizontal="center" vertical="center"/>
    </xf>
    <xf numFmtId="0" fontId="11" fillId="3" borderId="1" xfId="0" applyFont="1" applyFill="1"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0" xfId="0" applyBorder="1" applyAlignment="1">
      <alignment horizontal="center" vertical="center"/>
    </xf>
    <xf numFmtId="166" fontId="0" fillId="0" borderId="0" xfId="0" applyNumberFormat="1" applyBorder="1" applyAlignment="1">
      <alignment horizontal="center" vertical="center"/>
    </xf>
    <xf numFmtId="0" fontId="0" fillId="0" borderId="0" xfId="0" applyFill="1" applyBorder="1" applyAlignment="1">
      <alignment horizontal="center"/>
    </xf>
    <xf numFmtId="0" fontId="11" fillId="6" borderId="5" xfId="0" applyFont="1" applyFill="1" applyBorder="1" applyAlignment="1">
      <alignment horizontal="center" vertical="center"/>
    </xf>
    <xf numFmtId="0" fontId="0" fillId="0" borderId="3" xfId="0" applyBorder="1" applyAlignment="1">
      <alignment horizontal="center" vertical="center"/>
    </xf>
    <xf numFmtId="0" fontId="0" fillId="0" borderId="11" xfId="0" applyBorder="1"/>
    <xf numFmtId="0" fontId="0" fillId="0" borderId="12" xfId="0" applyBorder="1"/>
    <xf numFmtId="0" fontId="11" fillId="0" borderId="9" xfId="0" applyFont="1" applyFill="1" applyBorder="1" applyAlignment="1">
      <alignment vertical="center"/>
    </xf>
    <xf numFmtId="0" fontId="0" fillId="0" borderId="13" xfId="0" applyBorder="1"/>
    <xf numFmtId="0" fontId="0" fillId="0" borderId="9" xfId="0" applyBorder="1" applyAlignment="1">
      <alignment vertical="center"/>
    </xf>
    <xf numFmtId="0" fontId="23" fillId="0" borderId="0" xfId="0" applyFont="1" applyFill="1" applyBorder="1" applyAlignment="1">
      <alignment horizontal="center" vertical="center"/>
    </xf>
    <xf numFmtId="0" fontId="0" fillId="0" borderId="9" xfId="0" applyFill="1" applyBorder="1" applyAlignment="1">
      <alignment horizontal="center" vertical="center"/>
    </xf>
    <xf numFmtId="168" fontId="0" fillId="0" borderId="7" xfId="0" applyNumberFormat="1" applyBorder="1" applyAlignment="1">
      <alignment horizontal="center" vertical="center"/>
    </xf>
    <xf numFmtId="0" fontId="11" fillId="0" borderId="5" xfId="0" applyFont="1" applyBorder="1" applyAlignment="1">
      <alignment vertical="center"/>
    </xf>
    <xf numFmtId="0" fontId="11" fillId="0" borderId="6" xfId="0" applyFont="1" applyBorder="1" applyAlignment="1">
      <alignment vertical="center"/>
    </xf>
    <xf numFmtId="0" fontId="11" fillId="0" borderId="7" xfId="0" applyFont="1" applyBorder="1" applyAlignment="1">
      <alignment vertical="center"/>
    </xf>
    <xf numFmtId="0" fontId="11" fillId="0" borderId="11" xfId="0" applyFont="1" applyBorder="1" applyAlignment="1">
      <alignment vertical="center"/>
    </xf>
    <xf numFmtId="0" fontId="11" fillId="0" borderId="12" xfId="0" applyFont="1" applyBorder="1" applyAlignment="1">
      <alignment vertical="center"/>
    </xf>
    <xf numFmtId="0" fontId="11" fillId="0" borderId="13" xfId="0" applyFont="1" applyBorder="1" applyAlignment="1">
      <alignment vertical="center"/>
    </xf>
    <xf numFmtId="0" fontId="11" fillId="0" borderId="8" xfId="0" applyFont="1" applyFill="1" applyBorder="1" applyAlignment="1">
      <alignment vertical="center"/>
    </xf>
    <xf numFmtId="0" fontId="0" fillId="2" borderId="0" xfId="0" applyNumberFormat="1" applyFont="1" applyFill="1" applyBorder="1"/>
    <xf numFmtId="0" fontId="0" fillId="0" borderId="5" xfId="0" applyBorder="1" applyAlignment="1">
      <alignment vertical="center"/>
    </xf>
    <xf numFmtId="0" fontId="12" fillId="2"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10" fillId="0" borderId="0" xfId="0" applyFont="1" applyFill="1" applyBorder="1" applyAlignment="1">
      <alignment vertical="center" wrapText="1"/>
    </xf>
    <xf numFmtId="0" fontId="0" fillId="0" borderId="0" xfId="0" quotePrefix="1" applyBorder="1" applyAlignment="1">
      <alignment horizontal="center" vertical="center"/>
    </xf>
    <xf numFmtId="168" fontId="0" fillId="0" borderId="10" xfId="0" applyNumberFormat="1" applyBorder="1" applyAlignment="1">
      <alignment horizontal="center" vertical="center"/>
    </xf>
    <xf numFmtId="0" fontId="12" fillId="0" borderId="0" xfId="0" applyFont="1" applyFill="1" applyBorder="1" applyAlignment="1">
      <alignment horizontal="center" vertical="center" wrapText="1"/>
    </xf>
    <xf numFmtId="0" fontId="0" fillId="8" borderId="4" xfId="0" applyFill="1" applyBorder="1" applyAlignment="1">
      <alignment horizontal="center" vertical="center"/>
    </xf>
    <xf numFmtId="0" fontId="0" fillId="8" borderId="2" xfId="0" applyFill="1" applyBorder="1" applyAlignment="1">
      <alignment horizontal="center" vertical="center"/>
    </xf>
    <xf numFmtId="0" fontId="0" fillId="8" borderId="3" xfId="0" applyFill="1" applyBorder="1" applyAlignment="1">
      <alignment horizontal="center" vertical="center"/>
    </xf>
    <xf numFmtId="1" fontId="0" fillId="0" borderId="2" xfId="0" applyNumberFormat="1" applyBorder="1" applyAlignment="1">
      <alignment horizontal="center" vertical="center"/>
    </xf>
    <xf numFmtId="1" fontId="0" fillId="0" borderId="3" xfId="0" applyNumberFormat="1" applyBorder="1" applyAlignment="1">
      <alignment horizontal="center" vertical="center"/>
    </xf>
    <xf numFmtId="168" fontId="0" fillId="0" borderId="13" xfId="0" applyNumberFormat="1" applyBorder="1" applyAlignment="1">
      <alignment horizontal="center" vertical="center"/>
    </xf>
    <xf numFmtId="0" fontId="41" fillId="2" borderId="14" xfId="0" applyFont="1" applyFill="1" applyBorder="1" applyAlignment="1">
      <alignment horizontal="center" vertical="center"/>
    </xf>
    <xf numFmtId="0" fontId="12" fillId="2" borderId="4" xfId="0" applyFont="1" applyFill="1" applyBorder="1" applyAlignment="1">
      <alignment horizontal="center" vertical="center" wrapText="1"/>
    </xf>
    <xf numFmtId="0" fontId="51" fillId="2" borderId="4" xfId="0" applyFont="1" applyFill="1" applyBorder="1" applyAlignment="1">
      <alignment horizontal="center" vertical="center" wrapText="1"/>
    </xf>
    <xf numFmtId="0" fontId="52" fillId="2" borderId="4" xfId="0" applyFont="1" applyFill="1" applyBorder="1" applyAlignment="1">
      <alignment horizontal="center" vertical="center" wrapText="1"/>
    </xf>
    <xf numFmtId="0" fontId="12" fillId="0" borderId="6" xfId="0" applyFont="1" applyFill="1" applyBorder="1" applyAlignment="1">
      <alignment horizontal="center" vertical="center" wrapText="1"/>
    </xf>
    <xf numFmtId="0" fontId="12" fillId="0" borderId="7" xfId="0" applyFont="1" applyFill="1" applyBorder="1" applyAlignment="1">
      <alignment horizontal="center" vertical="center" wrapText="1"/>
    </xf>
    <xf numFmtId="0" fontId="12" fillId="0" borderId="10" xfId="0" applyFont="1" applyFill="1" applyBorder="1" applyAlignment="1">
      <alignment horizontal="center" vertical="center" wrapText="1"/>
    </xf>
    <xf numFmtId="0" fontId="12" fillId="0" borderId="12" xfId="0" applyFont="1" applyFill="1" applyBorder="1" applyAlignment="1">
      <alignment horizontal="center" vertical="center" wrapText="1"/>
    </xf>
    <xf numFmtId="0" fontId="12" fillId="0" borderId="13" xfId="0" applyFont="1" applyFill="1" applyBorder="1" applyAlignment="1">
      <alignment horizontal="center" vertical="center" wrapText="1"/>
    </xf>
    <xf numFmtId="0" fontId="49" fillId="2" borderId="0" xfId="0" applyFont="1" applyFill="1"/>
    <xf numFmtId="0" fontId="49" fillId="2" borderId="0" xfId="0" applyFont="1" applyFill="1" applyBorder="1"/>
    <xf numFmtId="0" fontId="50" fillId="2" borderId="4" xfId="0" applyFont="1" applyFill="1"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1" fillId="0" borderId="15" xfId="0" applyFont="1" applyBorder="1" applyAlignment="1">
      <alignment horizontal="center" vertical="center"/>
    </xf>
    <xf numFmtId="0" fontId="1" fillId="0" borderId="8" xfId="0" applyFont="1" applyBorder="1" applyAlignment="1">
      <alignment horizontal="center" vertical="center"/>
    </xf>
    <xf numFmtId="0" fontId="1" fillId="0" borderId="14" xfId="0" applyFont="1" applyBorder="1" applyAlignment="1">
      <alignment horizontal="center" vertical="center"/>
    </xf>
    <xf numFmtId="0" fontId="11" fillId="0" borderId="0" xfId="0" applyFont="1" applyFill="1" applyBorder="1" applyAlignment="1">
      <alignment horizontal="center" vertical="center"/>
    </xf>
    <xf numFmtId="2" fontId="0" fillId="0" borderId="14" xfId="0" applyNumberFormat="1"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10" fillId="2" borderId="0" xfId="0" applyFont="1" applyFill="1" applyBorder="1" applyAlignment="1">
      <alignment vertical="center" wrapText="1"/>
    </xf>
    <xf numFmtId="0" fontId="10" fillId="2" borderId="0" xfId="0" applyFont="1" applyFill="1" applyBorder="1" applyAlignment="1">
      <alignment vertical="center"/>
    </xf>
    <xf numFmtId="173" fontId="0" fillId="2" borderId="0" xfId="0" applyNumberFormat="1" applyFill="1" applyBorder="1" applyAlignment="1">
      <alignment horizontal="center" vertical="center"/>
    </xf>
    <xf numFmtId="0" fontId="0" fillId="3" borderId="4" xfId="0" applyFill="1" applyBorder="1" applyAlignment="1">
      <alignment horizontal="center" vertical="center"/>
    </xf>
    <xf numFmtId="1" fontId="0" fillId="0" borderId="1" xfId="0" applyNumberFormat="1" applyBorder="1" applyAlignment="1">
      <alignment horizontal="center" vertical="center"/>
    </xf>
    <xf numFmtId="0" fontId="25" fillId="2" borderId="0" xfId="0" applyFont="1" applyFill="1" applyBorder="1" applyAlignment="1">
      <alignment vertical="center" wrapText="1"/>
    </xf>
    <xf numFmtId="166" fontId="0" fillId="0" borderId="12" xfId="0" applyNumberFormat="1" applyBorder="1" applyAlignment="1">
      <alignment horizontal="center" vertical="center"/>
    </xf>
    <xf numFmtId="0" fontId="54" fillId="2" borderId="0" xfId="1" applyFont="1" applyFill="1"/>
    <xf numFmtId="0" fontId="33" fillId="0" borderId="0" xfId="0" applyFont="1"/>
    <xf numFmtId="165" fontId="54" fillId="2" borderId="0" xfId="1" applyNumberFormat="1" applyFont="1" applyFill="1" applyBorder="1" applyAlignment="1">
      <alignment horizontal="center"/>
    </xf>
    <xf numFmtId="2" fontId="54" fillId="2" borderId="0" xfId="1" applyNumberFormat="1" applyFont="1" applyFill="1" applyBorder="1" applyAlignment="1">
      <alignment horizontal="center"/>
    </xf>
    <xf numFmtId="0" fontId="18" fillId="2" borderId="0" xfId="5" applyFill="1" applyBorder="1" applyAlignment="1">
      <alignment horizontal="center" vertical="center"/>
    </xf>
    <xf numFmtId="0" fontId="54" fillId="2" borderId="0" xfId="1" applyFont="1" applyFill="1" applyBorder="1" applyAlignment="1">
      <alignment horizontal="center"/>
    </xf>
    <xf numFmtId="166" fontId="54" fillId="2" borderId="0" xfId="1" applyNumberFormat="1" applyFont="1" applyFill="1" applyBorder="1" applyAlignment="1">
      <alignment horizontal="center"/>
    </xf>
    <xf numFmtId="0" fontId="54" fillId="2" borderId="0" xfId="1" applyFont="1" applyFill="1" applyBorder="1"/>
    <xf numFmtId="0" fontId="48" fillId="2" borderId="0" xfId="0" applyFont="1" applyFill="1" applyBorder="1" applyAlignment="1">
      <alignment horizontal="left" vertical="center"/>
    </xf>
    <xf numFmtId="0" fontId="10" fillId="2" borderId="0" xfId="0" applyFont="1" applyFill="1" applyBorder="1" applyAlignment="1">
      <alignment horizontal="left" vertical="center"/>
    </xf>
    <xf numFmtId="0" fontId="0" fillId="2" borderId="0" xfId="0" applyFill="1" applyAlignment="1">
      <alignment horizontal="left"/>
    </xf>
    <xf numFmtId="0" fontId="36" fillId="2" borderId="0" xfId="0" applyFont="1" applyFill="1" applyBorder="1" applyAlignment="1">
      <alignment vertical="top"/>
    </xf>
    <xf numFmtId="0" fontId="12" fillId="2" borderId="5" xfId="0" applyFont="1" applyFill="1" applyBorder="1" applyAlignment="1">
      <alignment horizontal="center" vertical="center" wrapText="1"/>
    </xf>
    <xf numFmtId="0" fontId="12" fillId="2" borderId="9" xfId="0" applyFont="1" applyFill="1" applyBorder="1" applyAlignment="1">
      <alignment horizontal="center" vertical="center" wrapText="1"/>
    </xf>
    <xf numFmtId="0" fontId="12" fillId="2" borderId="11" xfId="0" applyFont="1" applyFill="1" applyBorder="1" applyAlignment="1">
      <alignment horizontal="center" vertical="center" wrapText="1"/>
    </xf>
    <xf numFmtId="166" fontId="0" fillId="2" borderId="0" xfId="0" applyNumberFormat="1" applyFont="1" applyFill="1" applyBorder="1" applyAlignment="1">
      <alignment horizontal="center" vertical="center"/>
    </xf>
    <xf numFmtId="0" fontId="21" fillId="0" borderId="0" xfId="0" applyFont="1" applyBorder="1"/>
    <xf numFmtId="166" fontId="27" fillId="2" borderId="0" xfId="0" applyNumberFormat="1" applyFont="1" applyFill="1" applyBorder="1" applyAlignment="1">
      <alignment horizontal="center" vertical="center" wrapText="1"/>
    </xf>
    <xf numFmtId="0" fontId="0" fillId="0" borderId="0" xfId="0" applyFont="1" applyFill="1" applyBorder="1" applyAlignment="1">
      <alignment horizontal="center"/>
    </xf>
    <xf numFmtId="0" fontId="0" fillId="0" borderId="5" xfId="0"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xf numFmtId="0" fontId="1" fillId="0" borderId="0" xfId="0" applyFont="1" applyBorder="1" applyAlignment="1"/>
    <xf numFmtId="0" fontId="1" fillId="0" borderId="0" xfId="0" applyFont="1" applyFill="1" applyBorder="1" applyAlignment="1"/>
    <xf numFmtId="0" fontId="0" fillId="2" borderId="0" xfId="0" applyFill="1" applyBorder="1" applyAlignment="1">
      <alignment horizontal="center" vertical="center"/>
    </xf>
    <xf numFmtId="0" fontId="0" fillId="0" borderId="0" xfId="0"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0" xfId="0" applyFont="1" applyFill="1" applyBorder="1" applyAlignment="1">
      <alignment horizontal="center"/>
    </xf>
    <xf numFmtId="0" fontId="15" fillId="0" borderId="0" xfId="6" applyBorder="1" applyAlignment="1">
      <alignment horizontal="center"/>
    </xf>
    <xf numFmtId="166" fontId="0" fillId="0" borderId="15" xfId="0" applyNumberFormat="1" applyBorder="1" applyAlignment="1">
      <alignment horizontal="center" vertical="center"/>
    </xf>
    <xf numFmtId="168" fontId="23" fillId="0" borderId="7" xfId="0" applyNumberFormat="1" applyFont="1" applyFill="1" applyBorder="1" applyAlignment="1">
      <alignment horizontal="center" vertical="center"/>
    </xf>
    <xf numFmtId="168" fontId="23" fillId="0" borderId="10" xfId="0" applyNumberFormat="1" applyFont="1" applyFill="1" applyBorder="1" applyAlignment="1">
      <alignment horizontal="center" vertical="center"/>
    </xf>
    <xf numFmtId="166" fontId="40" fillId="0" borderId="0" xfId="0" applyNumberFormat="1" applyFont="1" applyBorder="1" applyAlignment="1">
      <alignment horizontal="center" vertical="center"/>
    </xf>
    <xf numFmtId="166" fontId="23" fillId="2" borderId="0" xfId="0" applyNumberFormat="1" applyFont="1" applyFill="1" applyBorder="1" applyAlignment="1">
      <alignment horizontal="center" vertical="center"/>
    </xf>
    <xf numFmtId="0" fontId="23" fillId="2" borderId="15" xfId="0" applyFont="1" applyFill="1" applyBorder="1"/>
    <xf numFmtId="0" fontId="23" fillId="2" borderId="14" xfId="0" applyFont="1" applyFill="1" applyBorder="1"/>
    <xf numFmtId="166" fontId="0" fillId="0" borderId="5" xfId="0" applyNumberFormat="1" applyFont="1" applyBorder="1" applyAlignment="1">
      <alignment horizontal="center" vertical="center"/>
    </xf>
    <xf numFmtId="166" fontId="0" fillId="0" borderId="6" xfId="0" applyNumberFormat="1" applyFont="1" applyBorder="1" applyAlignment="1">
      <alignment horizontal="center" vertical="center"/>
    </xf>
    <xf numFmtId="166" fontId="0" fillId="0" borderId="7" xfId="0" applyNumberFormat="1" applyFont="1" applyBorder="1" applyAlignment="1">
      <alignment horizontal="center" vertical="center"/>
    </xf>
    <xf numFmtId="166" fontId="0" fillId="0" borderId="9" xfId="0" applyNumberFormat="1" applyFont="1" applyBorder="1" applyAlignment="1">
      <alignment horizontal="center" vertical="center"/>
    </xf>
    <xf numFmtId="166" fontId="0" fillId="0" borderId="10" xfId="0" applyNumberFormat="1" applyFont="1" applyBorder="1" applyAlignment="1">
      <alignment horizontal="center" vertical="center"/>
    </xf>
    <xf numFmtId="0" fontId="0" fillId="0" borderId="11" xfId="0" applyFont="1" applyBorder="1" applyAlignment="1">
      <alignment horizontal="center" vertical="center"/>
    </xf>
    <xf numFmtId="166" fontId="0" fillId="0" borderId="12" xfId="0" applyNumberFormat="1" applyFont="1" applyBorder="1" applyAlignment="1">
      <alignment horizontal="center" vertical="center"/>
    </xf>
    <xf numFmtId="166" fontId="0" fillId="0" borderId="13" xfId="0" applyNumberFormat="1" applyFont="1" applyBorder="1" applyAlignment="1">
      <alignment horizontal="center" vertical="center"/>
    </xf>
    <xf numFmtId="0" fontId="0" fillId="0" borderId="0" xfId="0" applyFont="1" applyBorder="1"/>
    <xf numFmtId="0" fontId="0" fillId="0" borderId="15" xfId="0" applyFont="1" applyBorder="1" applyAlignment="1">
      <alignment horizontal="center" vertical="center"/>
    </xf>
    <xf numFmtId="0" fontId="0" fillId="2" borderId="9" xfId="0"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0" fillId="2" borderId="4" xfId="0" applyFill="1" applyBorder="1" applyAlignment="1">
      <alignment horizontal="center" vertical="center" wrapText="1"/>
    </xf>
    <xf numFmtId="0" fontId="0" fillId="0" borderId="0" xfId="0" applyFill="1" applyBorder="1" applyAlignment="1">
      <alignment vertical="center" wrapText="1"/>
    </xf>
    <xf numFmtId="0" fontId="0" fillId="0" borderId="7" xfId="0" applyNumberFormat="1" applyBorder="1" applyAlignment="1">
      <alignment horizontal="center" vertical="center"/>
    </xf>
    <xf numFmtId="0" fontId="0" fillId="0" borderId="10" xfId="0" applyNumberFormat="1" applyBorder="1" applyAlignment="1">
      <alignment horizontal="center" vertical="center"/>
    </xf>
    <xf numFmtId="0" fontId="0" fillId="0" borderId="10" xfId="0" applyNumberFormat="1" applyBorder="1"/>
    <xf numFmtId="0" fontId="0" fillId="0" borderId="13" xfId="0" applyNumberFormat="1" applyBorder="1" applyAlignment="1">
      <alignment horizontal="center" vertical="center"/>
    </xf>
    <xf numFmtId="166" fontId="0" fillId="2" borderId="0" xfId="0" applyNumberFormat="1" applyFill="1" applyBorder="1" applyAlignment="1">
      <alignment horizontal="center" vertical="center"/>
    </xf>
    <xf numFmtId="0" fontId="0" fillId="2" borderId="0" xfId="0" applyFill="1" applyBorder="1" applyAlignment="1">
      <alignment vertical="center"/>
    </xf>
    <xf numFmtId="0" fontId="0" fillId="2" borderId="0" xfId="0" applyFill="1" applyAlignment="1">
      <alignment horizontal="center" vertical="center"/>
    </xf>
    <xf numFmtId="0" fontId="0" fillId="2" borderId="0" xfId="0" applyFill="1" applyBorder="1" applyAlignment="1">
      <alignment horizontal="center" vertical="center"/>
    </xf>
    <xf numFmtId="0" fontId="1" fillId="2" borderId="0" xfId="0" applyFont="1" applyFill="1" applyBorder="1" applyAlignment="1">
      <alignment horizontal="center" vertical="center"/>
    </xf>
    <xf numFmtId="0" fontId="0" fillId="2" borderId="3" xfId="0" applyFill="1" applyBorder="1" applyAlignment="1">
      <alignment horizontal="center" vertical="center"/>
    </xf>
    <xf numFmtId="0" fontId="0" fillId="0" borderId="0" xfId="0" applyBorder="1" applyAlignment="1">
      <alignment horizontal="center" vertical="center"/>
    </xf>
    <xf numFmtId="0" fontId="0" fillId="2" borderId="0" xfId="0" applyFont="1" applyFill="1" applyBorder="1" applyAlignment="1">
      <alignment horizontal="center" vertical="center"/>
    </xf>
    <xf numFmtId="0" fontId="11" fillId="2" borderId="5" xfId="0" applyFont="1" applyFill="1" applyBorder="1" applyAlignment="1">
      <alignment horizontal="center" vertical="center"/>
    </xf>
    <xf numFmtId="0" fontId="0" fillId="2" borderId="0" xfId="0" applyFont="1" applyFill="1" applyBorder="1" applyAlignment="1">
      <alignment vertical="center"/>
    </xf>
    <xf numFmtId="10" fontId="0" fillId="2" borderId="0" xfId="0" applyNumberFormat="1" applyFill="1" applyBorder="1" applyAlignment="1">
      <alignment vertical="center"/>
    </xf>
    <xf numFmtId="9" fontId="0" fillId="2" borderId="0" xfId="8" applyFont="1" applyFill="1" applyBorder="1" applyAlignment="1">
      <alignment vertical="center"/>
    </xf>
    <xf numFmtId="0" fontId="0" fillId="2" borderId="10" xfId="0" applyFill="1" applyBorder="1" applyAlignment="1">
      <alignment vertical="center"/>
    </xf>
    <xf numFmtId="2" fontId="1" fillId="0" borderId="4" xfId="9" applyNumberFormat="1" applyFont="1" applyFill="1" applyBorder="1" applyAlignment="1">
      <alignment horizontal="center" vertical="center"/>
    </xf>
    <xf numFmtId="2" fontId="1" fillId="0" borderId="14" xfId="9" applyNumberFormat="1" applyFont="1" applyFill="1" applyBorder="1" applyAlignment="1">
      <alignment horizontal="center" vertical="center"/>
    </xf>
    <xf numFmtId="2" fontId="0" fillId="0" borderId="4" xfId="9" applyNumberFormat="1" applyFont="1" applyFill="1" applyBorder="1" applyAlignment="1">
      <alignment horizontal="center" vertical="center"/>
    </xf>
    <xf numFmtId="0" fontId="9" fillId="4" borderId="4" xfId="0" applyFont="1" applyFill="1" applyBorder="1" applyAlignment="1">
      <alignment horizontal="center" vertical="center"/>
    </xf>
    <xf numFmtId="0" fontId="0" fillId="5" borderId="14" xfId="0" applyFill="1" applyBorder="1" applyAlignment="1">
      <alignment horizontal="center" vertical="center"/>
    </xf>
    <xf numFmtId="0" fontId="0" fillId="6" borderId="4" xfId="0" applyFill="1" applyBorder="1" applyAlignment="1">
      <alignment horizontal="center" vertical="center"/>
    </xf>
    <xf numFmtId="0" fontId="10" fillId="6" borderId="4" xfId="0" applyFont="1" applyFill="1" applyBorder="1" applyAlignment="1">
      <alignment horizontal="center" vertical="center"/>
    </xf>
    <xf numFmtId="0" fontId="23" fillId="0" borderId="0" xfId="0" applyFont="1" applyBorder="1" applyAlignment="1">
      <alignment horizontal="center" vertical="center"/>
    </xf>
    <xf numFmtId="9" fontId="23" fillId="2" borderId="0" xfId="0" applyNumberFormat="1" applyFont="1" applyFill="1" applyBorder="1" applyAlignment="1">
      <alignment horizontal="center" vertical="center"/>
    </xf>
    <xf numFmtId="9" fontId="23" fillId="2" borderId="0" xfId="8" applyFont="1" applyFill="1" applyBorder="1" applyAlignment="1">
      <alignment horizontal="center" vertical="center"/>
    </xf>
    <xf numFmtId="0" fontId="1" fillId="0" borderId="27" xfId="0" applyFont="1" applyBorder="1" applyAlignment="1">
      <alignment horizontal="center" vertical="center"/>
    </xf>
    <xf numFmtId="0" fontId="0" fillId="0" borderId="28" xfId="0" applyBorder="1" applyAlignment="1">
      <alignment horizontal="center" vertical="center" wrapText="1"/>
    </xf>
    <xf numFmtId="166" fontId="58" fillId="2" borderId="0" xfId="0" applyNumberFormat="1" applyFont="1" applyFill="1" applyBorder="1" applyAlignment="1">
      <alignment horizontal="center" vertical="center"/>
    </xf>
    <xf numFmtId="0" fontId="12" fillId="0" borderId="4" xfId="0" applyFont="1" applyBorder="1" applyAlignment="1">
      <alignment horizontal="center" vertical="center"/>
    </xf>
    <xf numFmtId="0" fontId="10" fillId="7" borderId="4" xfId="0" applyFont="1" applyFill="1" applyBorder="1" applyAlignment="1">
      <alignment horizontal="center" vertical="center"/>
    </xf>
    <xf numFmtId="0" fontId="55" fillId="7" borderId="4" xfId="0" applyFont="1" applyFill="1" applyBorder="1" applyAlignment="1">
      <alignment horizontal="center" vertical="center"/>
    </xf>
    <xf numFmtId="166" fontId="55" fillId="7" borderId="4" xfId="0" applyNumberFormat="1" applyFont="1" applyFill="1" applyBorder="1" applyAlignment="1">
      <alignment horizontal="center" vertical="center"/>
    </xf>
    <xf numFmtId="0" fontId="0" fillId="0" borderId="4" xfId="0" applyFill="1" applyBorder="1" applyAlignment="1">
      <alignment horizontal="center" vertical="center"/>
    </xf>
    <xf numFmtId="168" fontId="23" fillId="0" borderId="3" xfId="0" applyNumberFormat="1" applyFont="1" applyFill="1" applyBorder="1" applyAlignment="1">
      <alignment horizontal="center" vertical="center"/>
    </xf>
    <xf numFmtId="0" fontId="20" fillId="0" borderId="4" xfId="0" applyFont="1" applyFill="1" applyBorder="1" applyAlignment="1">
      <alignment horizontal="center" vertical="center"/>
    </xf>
    <xf numFmtId="0" fontId="10" fillId="3" borderId="15"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14" xfId="0" applyFont="1" applyFill="1" applyBorder="1" applyAlignment="1">
      <alignment horizontal="center" vertical="center"/>
    </xf>
    <xf numFmtId="0" fontId="10" fillId="5" borderId="14" xfId="0" applyFont="1" applyFill="1" applyBorder="1" applyAlignment="1">
      <alignment horizontal="center" vertical="center"/>
    </xf>
    <xf numFmtId="0" fontId="10" fillId="5" borderId="15" xfId="0" applyFont="1" applyFill="1" applyBorder="1" applyAlignment="1">
      <alignment horizontal="center" vertical="center"/>
    </xf>
    <xf numFmtId="0" fontId="10" fillId="5" borderId="4" xfId="0" applyFont="1" applyFill="1" applyBorder="1" applyAlignment="1">
      <alignment horizontal="center" vertical="center"/>
    </xf>
    <xf numFmtId="0" fontId="10" fillId="3" borderId="11" xfId="0" applyFont="1" applyFill="1" applyBorder="1" applyAlignment="1">
      <alignment horizontal="center" vertical="center"/>
    </xf>
    <xf numFmtId="0" fontId="10" fillId="5" borderId="7" xfId="0" applyFont="1" applyFill="1" applyBorder="1" applyAlignment="1">
      <alignment horizontal="center" vertical="center"/>
    </xf>
    <xf numFmtId="0" fontId="10" fillId="5" borderId="5" xfId="0" applyFont="1" applyFill="1" applyBorder="1" applyAlignment="1">
      <alignment horizontal="center" vertical="center"/>
    </xf>
    <xf numFmtId="0" fontId="10" fillId="3" borderId="4" xfId="0" applyFont="1" applyFill="1" applyBorder="1" applyAlignment="1">
      <alignment horizontal="center" vertical="center"/>
    </xf>
    <xf numFmtId="0" fontId="12" fillId="0" borderId="4" xfId="0" applyFont="1" applyFill="1" applyBorder="1" applyAlignment="1">
      <alignment horizontal="center" vertical="center"/>
    </xf>
    <xf numFmtId="0" fontId="10" fillId="6" borderId="12" xfId="0" applyFont="1" applyFill="1" applyBorder="1" applyAlignment="1">
      <alignment horizontal="center" vertical="center"/>
    </xf>
    <xf numFmtId="0" fontId="10" fillId="5" borderId="3" xfId="0" applyFont="1" applyFill="1" applyBorder="1" applyAlignment="1">
      <alignment horizontal="center" vertical="center"/>
    </xf>
    <xf numFmtId="166" fontId="12" fillId="0" borderId="4" xfId="0" applyNumberFormat="1" applyFont="1" applyBorder="1" applyAlignment="1">
      <alignment horizontal="center" vertical="center"/>
    </xf>
    <xf numFmtId="2" fontId="12" fillId="0" borderId="4" xfId="0" applyNumberFormat="1" applyFont="1" applyBorder="1" applyAlignment="1">
      <alignment horizontal="center" vertical="center"/>
    </xf>
    <xf numFmtId="0" fontId="10" fillId="4" borderId="4" xfId="0" applyFont="1" applyFill="1" applyBorder="1" applyAlignment="1">
      <alignment horizontal="center" vertical="center"/>
    </xf>
    <xf numFmtId="0" fontId="59" fillId="5" borderId="4" xfId="0" applyFont="1" applyFill="1" applyBorder="1" applyAlignment="1">
      <alignment horizontal="center" vertical="center" wrapText="1"/>
    </xf>
    <xf numFmtId="0" fontId="11" fillId="6" borderId="15" xfId="0" applyFont="1" applyFill="1" applyBorder="1" applyAlignment="1">
      <alignment horizontal="center" vertical="center"/>
    </xf>
    <xf numFmtId="0" fontId="11" fillId="6" borderId="4" xfId="0" applyFont="1" applyFill="1" applyBorder="1" applyAlignment="1">
      <alignment horizontal="center" vertical="center"/>
    </xf>
    <xf numFmtId="0" fontId="23" fillId="0" borderId="6" xfId="6" applyFont="1" applyBorder="1" applyAlignment="1">
      <alignment horizontal="center" vertical="center"/>
    </xf>
    <xf numFmtId="0" fontId="23" fillId="0" borderId="9" xfId="6" applyFont="1" applyBorder="1" applyAlignment="1">
      <alignment horizontal="center" vertical="center"/>
    </xf>
    <xf numFmtId="0" fontId="23" fillId="0" borderId="0" xfId="6" applyFont="1" applyBorder="1" applyAlignment="1">
      <alignment horizontal="center" vertical="center"/>
    </xf>
    <xf numFmtId="0" fontId="23" fillId="0" borderId="10" xfId="6" applyFont="1" applyBorder="1" applyAlignment="1">
      <alignment horizontal="center" vertical="center"/>
    </xf>
    <xf numFmtId="0" fontId="23" fillId="2" borderId="0" xfId="0" applyFont="1" applyFill="1" applyBorder="1" applyAlignment="1">
      <alignment vertical="center"/>
    </xf>
    <xf numFmtId="0" fontId="23" fillId="0" borderId="0" xfId="0" applyFont="1" applyBorder="1" applyAlignment="1">
      <alignment vertical="center"/>
    </xf>
    <xf numFmtId="0" fontId="23" fillId="0" borderId="10" xfId="0" applyFont="1" applyBorder="1" applyAlignment="1">
      <alignment vertical="center"/>
    </xf>
    <xf numFmtId="0" fontId="23" fillId="0" borderId="11" xfId="6" applyFont="1" applyBorder="1" applyAlignment="1">
      <alignment horizontal="center" vertical="center"/>
    </xf>
    <xf numFmtId="0" fontId="23" fillId="0" borderId="12" xfId="6" applyFont="1" applyBorder="1" applyAlignment="1">
      <alignment horizontal="center" vertical="center"/>
    </xf>
    <xf numFmtId="0" fontId="23" fillId="0" borderId="13" xfId="6" applyFont="1" applyBorder="1" applyAlignment="1">
      <alignment horizontal="center" vertical="center"/>
    </xf>
    <xf numFmtId="0" fontId="10" fillId="7" borderId="4" xfId="6" applyFont="1" applyFill="1" applyBorder="1" applyAlignment="1">
      <alignment horizontal="center" vertical="center"/>
    </xf>
    <xf numFmtId="0" fontId="60" fillId="0" borderId="15" xfId="0" applyFont="1" applyFill="1" applyBorder="1" applyAlignment="1">
      <alignment horizontal="center" vertical="center" wrapText="1"/>
    </xf>
    <xf numFmtId="0" fontId="11" fillId="2" borderId="15" xfId="0" applyFont="1" applyFill="1" applyBorder="1" applyAlignment="1">
      <alignment horizontal="center" vertical="center"/>
    </xf>
    <xf numFmtId="0" fontId="61" fillId="0" borderId="7" xfId="0" applyFont="1" applyFill="1" applyBorder="1" applyAlignment="1">
      <alignment horizontal="center" vertical="center"/>
    </xf>
    <xf numFmtId="0" fontId="11" fillId="2" borderId="4" xfId="0" applyFont="1" applyFill="1" applyBorder="1" applyAlignment="1">
      <alignment horizontal="center" vertical="center"/>
    </xf>
    <xf numFmtId="0" fontId="61" fillId="0" borderId="3" xfId="0" applyFont="1" applyFill="1" applyBorder="1" applyAlignment="1">
      <alignment horizontal="center" vertical="center"/>
    </xf>
    <xf numFmtId="0" fontId="62" fillId="2" borderId="4" xfId="0" applyFont="1" applyFill="1" applyBorder="1" applyAlignment="1">
      <alignment horizontal="center" vertical="center"/>
    </xf>
    <xf numFmtId="166" fontId="61" fillId="0" borderId="4" xfId="0" applyNumberFormat="1" applyFont="1" applyBorder="1" applyAlignment="1">
      <alignment horizontal="center" vertical="center"/>
    </xf>
    <xf numFmtId="166" fontId="61" fillId="0" borderId="14" xfId="0" applyNumberFormat="1" applyFont="1" applyBorder="1" applyAlignment="1">
      <alignment horizontal="center" vertical="center"/>
    </xf>
    <xf numFmtId="0" fontId="59" fillId="3" borderId="4" xfId="0" applyFont="1" applyFill="1" applyBorder="1" applyAlignment="1">
      <alignment horizontal="center" vertical="center" wrapText="1"/>
    </xf>
    <xf numFmtId="0" fontId="0" fillId="2" borderId="3" xfId="0" applyFont="1" applyFill="1" applyBorder="1" applyAlignment="1">
      <alignment horizontal="center" vertical="center"/>
    </xf>
    <xf numFmtId="0" fontId="64" fillId="6" borderId="4" xfId="0" applyFont="1" applyFill="1" applyBorder="1" applyAlignment="1">
      <alignment horizontal="center" vertical="center"/>
    </xf>
    <xf numFmtId="0" fontId="64" fillId="3" borderId="4" xfId="0" applyFont="1" applyFill="1" applyBorder="1" applyAlignment="1">
      <alignment horizontal="center" vertical="center"/>
    </xf>
    <xf numFmtId="0" fontId="65" fillId="5" borderId="4" xfId="0" applyFont="1" applyFill="1" applyBorder="1" applyAlignment="1">
      <alignment horizontal="center" vertical="center"/>
    </xf>
    <xf numFmtId="0" fontId="64" fillId="6" borderId="13" xfId="0" applyFont="1" applyFill="1" applyBorder="1" applyAlignment="1">
      <alignment horizontal="center" vertical="center"/>
    </xf>
    <xf numFmtId="0" fontId="64" fillId="3" borderId="14" xfId="0" applyFont="1" applyFill="1" applyBorder="1" applyAlignment="1">
      <alignment horizontal="center" vertical="center"/>
    </xf>
    <xf numFmtId="0" fontId="64" fillId="6" borderId="14" xfId="0" applyFont="1" applyFill="1" applyBorder="1" applyAlignment="1">
      <alignment horizontal="center" vertical="center"/>
    </xf>
    <xf numFmtId="0" fontId="65" fillId="5" borderId="11" xfId="0" applyFont="1" applyFill="1" applyBorder="1" applyAlignment="1">
      <alignment horizontal="center" vertical="center"/>
    </xf>
    <xf numFmtId="0" fontId="1" fillId="3" borderId="5" xfId="0" applyFont="1" applyFill="1" applyBorder="1" applyAlignment="1">
      <alignment horizontal="center" vertical="center"/>
    </xf>
    <xf numFmtId="0" fontId="47" fillId="0" borderId="4" xfId="0" applyFont="1" applyFill="1" applyBorder="1" applyAlignment="1">
      <alignment horizontal="center" vertical="center"/>
    </xf>
    <xf numFmtId="0" fontId="23" fillId="0" borderId="4" xfId="0" applyFont="1" applyFill="1" applyBorder="1" applyAlignment="1">
      <alignment horizontal="center" vertical="center"/>
    </xf>
    <xf numFmtId="0" fontId="34" fillId="0" borderId="13" xfId="0" applyFont="1" applyFill="1" applyBorder="1" applyAlignment="1">
      <alignment horizontal="center" vertical="center"/>
    </xf>
    <xf numFmtId="0" fontId="0" fillId="2" borderId="9" xfId="0" applyFill="1" applyBorder="1" applyAlignment="1">
      <alignment horizontal="center" vertical="center"/>
    </xf>
    <xf numFmtId="0" fontId="0" fillId="2" borderId="0" xfId="0" applyFill="1" applyBorder="1" applyAlignment="1">
      <alignment horizontal="center" vertical="center"/>
    </xf>
    <xf numFmtId="0" fontId="0" fillId="0" borderId="0" xfId="0" applyBorder="1" applyAlignment="1">
      <alignment horizontal="center" vertical="center"/>
    </xf>
    <xf numFmtId="0" fontId="0" fillId="2" borderId="3" xfId="0" applyFill="1" applyBorder="1" applyAlignment="1">
      <alignment horizontal="center" vertical="center"/>
    </xf>
    <xf numFmtId="0" fontId="1" fillId="2" borderId="0" xfId="0" applyFont="1"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10" fillId="6" borderId="3" xfId="0" applyFont="1" applyFill="1" applyBorder="1" applyAlignment="1">
      <alignment horizontal="center" vertical="center"/>
    </xf>
    <xf numFmtId="166" fontId="0" fillId="0" borderId="15" xfId="0" applyNumberFormat="1" applyBorder="1" applyAlignment="1">
      <alignment horizontal="center" vertical="center"/>
    </xf>
    <xf numFmtId="0" fontId="10" fillId="19" borderId="4" xfId="0" applyFont="1" applyFill="1" applyBorder="1" applyAlignment="1">
      <alignment horizontal="center" vertical="center"/>
    </xf>
    <xf numFmtId="0" fontId="12" fillId="0" borderId="4" xfId="0" applyFont="1" applyFill="1" applyBorder="1" applyAlignment="1">
      <alignment horizontal="center" vertical="center" wrapText="1"/>
    </xf>
    <xf numFmtId="0" fontId="10" fillId="5" borderId="4" xfId="0" applyFont="1" applyFill="1" applyBorder="1" applyAlignment="1">
      <alignment horizontal="center" vertical="center"/>
    </xf>
    <xf numFmtId="9" fontId="0" fillId="0" borderId="4" xfId="0" applyNumberFormat="1" applyFont="1" applyFill="1" applyBorder="1" applyAlignment="1">
      <alignment horizontal="center" vertical="center"/>
    </xf>
    <xf numFmtId="1" fontId="0" fillId="0" borderId="4" xfId="0" applyNumberFormat="1" applyFont="1" applyFill="1" applyBorder="1" applyAlignment="1">
      <alignment horizontal="center" vertical="center"/>
    </xf>
    <xf numFmtId="0" fontId="0" fillId="0" borderId="4" xfId="0" applyFont="1" applyFill="1" applyBorder="1" applyAlignment="1">
      <alignment horizontal="center" vertical="center"/>
    </xf>
    <xf numFmtId="9" fontId="0" fillId="0" borderId="4" xfId="8" applyFont="1" applyFill="1" applyBorder="1" applyAlignment="1">
      <alignment horizontal="center" vertical="center"/>
    </xf>
    <xf numFmtId="0" fontId="0" fillId="0" borderId="4" xfId="0" applyFill="1" applyBorder="1"/>
    <xf numFmtId="0" fontId="0" fillId="0" borderId="15" xfId="0" applyFill="1" applyBorder="1"/>
    <xf numFmtId="0" fontId="0" fillId="0" borderId="8" xfId="0" applyFill="1" applyBorder="1"/>
    <xf numFmtId="0" fontId="0" fillId="0" borderId="5" xfId="0" applyBorder="1"/>
    <xf numFmtId="0" fontId="0" fillId="0" borderId="4" xfId="0" applyBorder="1" applyAlignment="1">
      <alignment horizontal="center" vertical="center" wrapText="1"/>
    </xf>
    <xf numFmtId="0" fontId="1" fillId="0" borderId="5" xfId="0" applyFont="1" applyBorder="1" applyAlignment="1">
      <alignment vertical="center"/>
    </xf>
    <xf numFmtId="0" fontId="1" fillId="0" borderId="9" xfId="0" applyFont="1" applyBorder="1" applyAlignment="1">
      <alignment vertical="center"/>
    </xf>
    <xf numFmtId="0" fontId="23" fillId="2" borderId="9" xfId="0" applyFont="1" applyFill="1" applyBorder="1" applyAlignment="1">
      <alignment horizontal="center" vertical="center"/>
    </xf>
    <xf numFmtId="0" fontId="23" fillId="2" borderId="11" xfId="0" applyFont="1" applyFill="1" applyBorder="1" applyAlignment="1">
      <alignment horizontal="center" vertical="center"/>
    </xf>
    <xf numFmtId="0" fontId="23" fillId="2" borderId="12" xfId="0" applyFont="1" applyFill="1" applyBorder="1" applyAlignment="1">
      <alignment horizontal="center" vertical="center"/>
    </xf>
    <xf numFmtId="0" fontId="12" fillId="0" borderId="3" xfId="0" applyFont="1" applyFill="1" applyBorder="1" applyAlignment="1">
      <alignment horizontal="center" vertical="center"/>
    </xf>
    <xf numFmtId="0" fontId="15" fillId="0" borderId="8" xfId="6" applyBorder="1" applyAlignment="1">
      <alignment horizontal="center" vertical="center"/>
    </xf>
    <xf numFmtId="0" fontId="0" fillId="0" borderId="8" xfId="6" applyFont="1" applyBorder="1" applyAlignment="1">
      <alignment horizontal="center" vertical="center"/>
    </xf>
    <xf numFmtId="0" fontId="15" fillId="0" borderId="14" xfId="6" applyBorder="1" applyAlignment="1">
      <alignment horizontal="center" vertical="center"/>
    </xf>
    <xf numFmtId="0" fontId="15" fillId="0" borderId="4" xfId="6" applyBorder="1" applyAlignment="1">
      <alignment horizontal="center" vertical="center"/>
    </xf>
    <xf numFmtId="0" fontId="23" fillId="0" borderId="2" xfId="6" applyFont="1" applyBorder="1" applyAlignment="1">
      <alignment horizontal="center" vertical="center"/>
    </xf>
    <xf numFmtId="0" fontId="40" fillId="0" borderId="6" xfId="6" applyFont="1" applyBorder="1" applyAlignment="1">
      <alignment horizontal="center" vertical="center"/>
    </xf>
    <xf numFmtId="0" fontId="10" fillId="0" borderId="1" xfId="6" applyFont="1" applyBorder="1" applyAlignment="1">
      <alignment horizontal="center" vertical="center"/>
    </xf>
    <xf numFmtId="0" fontId="10" fillId="0" borderId="2" xfId="6" applyFont="1" applyBorder="1" applyAlignment="1">
      <alignment horizontal="center" vertical="center"/>
    </xf>
    <xf numFmtId="0" fontId="10" fillId="0" borderId="3" xfId="6" applyFont="1" applyBorder="1" applyAlignment="1">
      <alignment horizontal="center" vertical="center"/>
    </xf>
    <xf numFmtId="2" fontId="23" fillId="0" borderId="0" xfId="6" applyNumberFormat="1" applyFont="1" applyBorder="1" applyAlignment="1">
      <alignment horizontal="center" vertical="center"/>
    </xf>
    <xf numFmtId="2" fontId="23" fillId="0" borderId="9" xfId="6" applyNumberFormat="1" applyFont="1" applyBorder="1" applyAlignment="1">
      <alignment horizontal="center" vertical="center"/>
    </xf>
    <xf numFmtId="2" fontId="23" fillId="0" borderId="10" xfId="6" applyNumberFormat="1" applyFont="1" applyBorder="1" applyAlignment="1">
      <alignment horizontal="center" vertical="center"/>
    </xf>
    <xf numFmtId="0" fontId="0" fillId="0" borderId="9" xfId="0" applyFill="1" applyBorder="1" applyAlignment="1">
      <alignment vertical="center" wrapText="1"/>
    </xf>
    <xf numFmtId="0" fontId="0" fillId="0" borderId="10" xfId="0" applyFill="1" applyBorder="1" applyAlignment="1">
      <alignment vertical="center" wrapText="1"/>
    </xf>
    <xf numFmtId="0" fontId="0" fillId="0" borderId="11" xfId="0" applyFill="1" applyBorder="1" applyAlignment="1">
      <alignment vertical="center" wrapText="1"/>
    </xf>
    <xf numFmtId="0" fontId="0" fillId="0" borderId="12" xfId="0" applyFill="1" applyBorder="1" applyAlignment="1">
      <alignment vertical="center" wrapText="1"/>
    </xf>
    <xf numFmtId="0" fontId="0" fillId="0" borderId="13" xfId="0" applyFill="1" applyBorder="1" applyAlignment="1">
      <alignment vertical="center" wrapText="1"/>
    </xf>
    <xf numFmtId="0" fontId="0" fillId="0" borderId="5" xfId="0" applyFill="1" applyBorder="1" applyAlignment="1">
      <alignment vertical="center" wrapText="1"/>
    </xf>
    <xf numFmtId="0" fontId="0" fillId="0" borderId="15" xfId="0" applyFill="1" applyBorder="1" applyAlignment="1">
      <alignment vertical="center" wrapText="1"/>
    </xf>
    <xf numFmtId="0" fontId="0" fillId="0" borderId="6" xfId="0" applyFill="1" applyBorder="1" applyAlignment="1">
      <alignment vertical="center" wrapText="1"/>
    </xf>
    <xf numFmtId="0" fontId="0" fillId="0" borderId="7" xfId="0" applyFill="1" applyBorder="1" applyAlignment="1">
      <alignment vertical="center" wrapText="1"/>
    </xf>
    <xf numFmtId="0" fontId="0" fillId="0" borderId="8" xfId="0" applyFill="1" applyBorder="1" applyAlignment="1">
      <alignment vertical="center" wrapText="1"/>
    </xf>
    <xf numFmtId="0" fontId="0" fillId="0" borderId="14" xfId="0" applyFill="1" applyBorder="1" applyAlignment="1">
      <alignment vertical="center" wrapText="1"/>
    </xf>
    <xf numFmtId="0" fontId="0" fillId="0" borderId="4" xfId="0" applyFont="1" applyFill="1" applyBorder="1" applyAlignment="1">
      <alignment horizontal="center"/>
    </xf>
    <xf numFmtId="0" fontId="0" fillId="0" borderId="3" xfId="0" applyFont="1" applyFill="1" applyBorder="1" applyAlignment="1">
      <alignment horizontal="center"/>
    </xf>
    <xf numFmtId="0" fontId="13" fillId="0" borderId="14" xfId="0" applyFont="1" applyFill="1" applyBorder="1" applyAlignment="1">
      <alignment horizontal="center" vertical="center"/>
    </xf>
    <xf numFmtId="0" fontId="1" fillId="3" borderId="15" xfId="0" applyFont="1" applyFill="1" applyBorder="1" applyAlignment="1">
      <alignment horizontal="center" vertical="center"/>
    </xf>
    <xf numFmtId="0" fontId="0" fillId="0" borderId="10" xfId="0" applyFill="1" applyBorder="1" applyAlignment="1">
      <alignment horizontal="center" vertical="center" wrapText="1"/>
    </xf>
    <xf numFmtId="0" fontId="10" fillId="3" borderId="5" xfId="0" applyFont="1" applyFill="1" applyBorder="1" applyAlignment="1">
      <alignment horizontal="center" vertical="center"/>
    </xf>
    <xf numFmtId="0" fontId="0" fillId="0" borderId="8" xfId="0" applyFill="1" applyBorder="1" applyAlignment="1">
      <alignment horizontal="center" vertical="center" wrapText="1"/>
    </xf>
    <xf numFmtId="0" fontId="0" fillId="0" borderId="13" xfId="0" applyFill="1" applyBorder="1" applyAlignment="1">
      <alignment horizontal="center" vertical="center"/>
    </xf>
    <xf numFmtId="0" fontId="10" fillId="3" borderId="4" xfId="0" applyFont="1" applyFill="1" applyBorder="1" applyAlignment="1">
      <alignment horizontal="center" vertical="center" wrapText="1"/>
    </xf>
    <xf numFmtId="0" fontId="10" fillId="6" borderId="4" xfId="0" applyFont="1" applyFill="1" applyBorder="1" applyAlignment="1">
      <alignment horizontal="center" vertical="center" wrapText="1"/>
    </xf>
    <xf numFmtId="0" fontId="10" fillId="6" borderId="3" xfId="0" applyFont="1" applyFill="1" applyBorder="1" applyAlignment="1">
      <alignment horizontal="center" vertical="center" wrapText="1"/>
    </xf>
    <xf numFmtId="0" fontId="0" fillId="0" borderId="0" xfId="0" applyBorder="1" applyAlignment="1">
      <alignment horizontal="center" vertical="center"/>
    </xf>
    <xf numFmtId="0" fontId="12" fillId="0" borderId="1"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10" xfId="0" applyBorder="1" applyAlignment="1">
      <alignment vertical="center"/>
    </xf>
    <xf numFmtId="0" fontId="0" fillId="0" borderId="11" xfId="0" applyBorder="1" applyAlignment="1">
      <alignment vertical="center"/>
    </xf>
    <xf numFmtId="0" fontId="0" fillId="0" borderId="12" xfId="0" applyBorder="1" applyAlignment="1">
      <alignment vertical="center"/>
    </xf>
    <xf numFmtId="0" fontId="0" fillId="0" borderId="13" xfId="0" applyBorder="1" applyAlignment="1">
      <alignment vertical="center"/>
    </xf>
    <xf numFmtId="0" fontId="10" fillId="0" borderId="9" xfId="0" applyFont="1" applyBorder="1" applyAlignment="1">
      <alignment vertical="center"/>
    </xf>
    <xf numFmtId="0" fontId="10" fillId="0" borderId="10" xfId="0" applyFont="1" applyBorder="1" applyAlignment="1">
      <alignment vertical="center"/>
    </xf>
    <xf numFmtId="0" fontId="10" fillId="0" borderId="11" xfId="0" applyFont="1" applyBorder="1" applyAlignment="1">
      <alignment vertical="center"/>
    </xf>
    <xf numFmtId="0" fontId="10" fillId="0" borderId="13" xfId="0" applyFont="1" applyBorder="1" applyAlignment="1">
      <alignment vertical="center"/>
    </xf>
    <xf numFmtId="0" fontId="70" fillId="0" borderId="4" xfId="11" applyFont="1" applyBorder="1" applyAlignment="1">
      <alignment horizontal="center" vertical="center"/>
    </xf>
    <xf numFmtId="0" fontId="66" fillId="0" borderId="10" xfId="0" applyFont="1" applyBorder="1" applyAlignment="1">
      <alignment horizontal="center" vertical="center"/>
    </xf>
    <xf numFmtId="0" fontId="13" fillId="0" borderId="0" xfId="0" applyFont="1"/>
    <xf numFmtId="0" fontId="12" fillId="0" borderId="0" xfId="0" applyFont="1"/>
    <xf numFmtId="0" fontId="11" fillId="0" borderId="0" xfId="0" applyFont="1"/>
    <xf numFmtId="0" fontId="71" fillId="0" borderId="0" xfId="0" applyFont="1"/>
    <xf numFmtId="0" fontId="73" fillId="2" borderId="4" xfId="0" applyFont="1" applyFill="1" applyBorder="1" applyAlignment="1">
      <alignment horizontal="center" vertical="center"/>
    </xf>
    <xf numFmtId="0" fontId="10" fillId="0" borderId="15" xfId="6" applyFont="1" applyBorder="1" applyAlignment="1">
      <alignment horizontal="center" vertical="center"/>
    </xf>
    <xf numFmtId="0" fontId="10" fillId="0" borderId="14" xfId="6" applyFont="1" applyBorder="1" applyAlignment="1">
      <alignment horizontal="center" vertical="center"/>
    </xf>
    <xf numFmtId="0" fontId="56" fillId="5" borderId="4" xfId="0" applyFont="1" applyFill="1" applyBorder="1" applyAlignment="1">
      <alignment horizontal="center" vertical="center"/>
    </xf>
    <xf numFmtId="2" fontId="23" fillId="0" borderId="11" xfId="6" applyNumberFormat="1" applyFont="1" applyBorder="1" applyAlignment="1">
      <alignment horizontal="center" vertical="center"/>
    </xf>
    <xf numFmtId="2" fontId="23" fillId="0" borderId="12" xfId="6" applyNumberFormat="1" applyFont="1" applyBorder="1" applyAlignment="1">
      <alignment horizontal="center" vertical="center"/>
    </xf>
    <xf numFmtId="2" fontId="23" fillId="0" borderId="13" xfId="6" applyNumberFormat="1" applyFont="1" applyBorder="1" applyAlignment="1">
      <alignment horizontal="center" vertical="center"/>
    </xf>
    <xf numFmtId="9" fontId="23" fillId="0" borderId="5" xfId="6" applyNumberFormat="1" applyFont="1" applyBorder="1" applyAlignment="1">
      <alignment horizontal="center" vertical="center"/>
    </xf>
    <xf numFmtId="9" fontId="23" fillId="0" borderId="6" xfId="6" applyNumberFormat="1" applyFont="1" applyBorder="1" applyAlignment="1">
      <alignment horizontal="center" vertical="center"/>
    </xf>
    <xf numFmtId="9" fontId="23" fillId="0" borderId="7" xfId="6" applyNumberFormat="1" applyFont="1" applyBorder="1" applyAlignment="1">
      <alignment horizontal="center" vertical="center"/>
    </xf>
    <xf numFmtId="0" fontId="0" fillId="0" borderId="0" xfId="0" applyNumberFormat="1" applyFont="1" applyBorder="1" applyAlignment="1">
      <alignment horizontal="center" vertical="center"/>
    </xf>
    <xf numFmtId="0" fontId="0" fillId="0" borderId="13" xfId="0" applyBorder="1" applyAlignment="1">
      <alignment horizontal="center" vertical="center"/>
    </xf>
    <xf numFmtId="0" fontId="21" fillId="2" borderId="5" xfId="0" applyFont="1" applyFill="1" applyBorder="1" applyAlignment="1">
      <alignment horizontal="center"/>
    </xf>
    <xf numFmtId="0" fontId="21" fillId="2" borderId="7" xfId="0" applyFont="1" applyFill="1" applyBorder="1" applyAlignment="1">
      <alignment horizontal="center"/>
    </xf>
    <xf numFmtId="0" fontId="21" fillId="2" borderId="11" xfId="0" applyFont="1" applyFill="1" applyBorder="1" applyAlignment="1">
      <alignment horizontal="center"/>
    </xf>
    <xf numFmtId="0" fontId="21" fillId="2" borderId="13" xfId="0" applyFont="1" applyFill="1" applyBorder="1" applyAlignment="1">
      <alignment horizontal="center"/>
    </xf>
    <xf numFmtId="0" fontId="0" fillId="2" borderId="5" xfId="0" applyFill="1" applyBorder="1" applyAlignment="1">
      <alignment horizontal="center"/>
    </xf>
    <xf numFmtId="0" fontId="0" fillId="2" borderId="7" xfId="0" applyFill="1" applyBorder="1" applyAlignment="1">
      <alignment horizontal="center"/>
    </xf>
    <xf numFmtId="0" fontId="0" fillId="2" borderId="11" xfId="0" applyFill="1" applyBorder="1" applyAlignment="1">
      <alignment horizontal="center"/>
    </xf>
    <xf numFmtId="0" fontId="0" fillId="2" borderId="13" xfId="0" applyFill="1" applyBorder="1" applyAlignment="1">
      <alignment horizontal="center"/>
    </xf>
    <xf numFmtId="0" fontId="10" fillId="0" borderId="15" xfId="0" applyFont="1" applyBorder="1" applyAlignment="1">
      <alignment horizontal="center" vertical="center"/>
    </xf>
    <xf numFmtId="0" fontId="20" fillId="0" borderId="14" xfId="0" applyFont="1" applyFill="1" applyBorder="1" applyAlignment="1">
      <alignment horizontal="center" vertical="center"/>
    </xf>
    <xf numFmtId="170" fontId="47" fillId="0" borderId="4" xfId="4" applyNumberFormat="1" applyFont="1" applyFill="1" applyBorder="1" applyAlignment="1">
      <alignment horizontal="center" vertical="center"/>
    </xf>
    <xf numFmtId="0" fontId="0" fillId="0" borderId="4" xfId="0" applyBorder="1" applyAlignment="1">
      <alignment vertical="center"/>
    </xf>
    <xf numFmtId="0" fontId="0" fillId="0" borderId="1" xfId="0" applyBorder="1" applyAlignment="1">
      <alignment horizontal="center" vertical="center"/>
    </xf>
    <xf numFmtId="9" fontId="0" fillId="0" borderId="4" xfId="8" applyFont="1" applyBorder="1" applyAlignment="1">
      <alignment horizontal="center" vertical="center"/>
    </xf>
    <xf numFmtId="9" fontId="0" fillId="0" borderId="4" xfId="0" applyNumberFormat="1" applyBorder="1" applyAlignment="1">
      <alignment horizontal="center" vertical="center"/>
    </xf>
    <xf numFmtId="2" fontId="47" fillId="0" borderId="14" xfId="3" applyNumberFormat="1" applyFont="1" applyFill="1" applyBorder="1" applyAlignment="1">
      <alignment horizontal="center" vertical="center"/>
    </xf>
    <xf numFmtId="0" fontId="10" fillId="5" borderId="1" xfId="0" applyFont="1" applyFill="1" applyBorder="1" applyAlignment="1">
      <alignment horizontal="center" vertical="center"/>
    </xf>
    <xf numFmtId="166" fontId="23" fillId="0" borderId="4" xfId="0" applyNumberFormat="1" applyFont="1" applyBorder="1" applyAlignment="1">
      <alignment horizontal="center" vertical="center"/>
    </xf>
    <xf numFmtId="2" fontId="23" fillId="0" borderId="4" xfId="0" applyNumberFormat="1" applyFont="1" applyBorder="1" applyAlignment="1">
      <alignment horizontal="center" vertical="center"/>
    </xf>
    <xf numFmtId="0" fontId="20" fillId="0" borderId="4" xfId="0" applyFont="1" applyBorder="1" applyAlignment="1">
      <alignment horizontal="center" vertical="center"/>
    </xf>
    <xf numFmtId="0" fontId="1" fillId="0" borderId="4" xfId="0" applyFont="1" applyFill="1" applyBorder="1" applyAlignment="1">
      <alignment horizontal="center" vertical="center"/>
    </xf>
    <xf numFmtId="0" fontId="0" fillId="0" borderId="15" xfId="0" applyFill="1" applyBorder="1" applyAlignment="1">
      <alignment vertical="center"/>
    </xf>
    <xf numFmtId="0" fontId="0" fillId="0" borderId="8" xfId="0" applyFill="1" applyBorder="1" applyAlignment="1">
      <alignment vertical="center"/>
    </xf>
    <xf numFmtId="0" fontId="0" fillId="0" borderId="14" xfId="0" applyFill="1" applyBorder="1" applyAlignment="1">
      <alignment vertical="center"/>
    </xf>
    <xf numFmtId="168" fontId="23" fillId="0" borderId="13" xfId="0" applyNumberFormat="1" applyFont="1" applyFill="1" applyBorder="1" applyAlignment="1">
      <alignment horizontal="center" vertical="center"/>
    </xf>
    <xf numFmtId="0" fontId="0" fillId="0" borderId="14" xfId="0" applyFill="1" applyBorder="1"/>
    <xf numFmtId="0" fontId="0" fillId="0" borderId="13" xfId="0" applyBorder="1" applyAlignment="1">
      <alignment horizontal="center" vertical="center"/>
    </xf>
    <xf numFmtId="0" fontId="0" fillId="2" borderId="9" xfId="0" applyFill="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1" fillId="2" borderId="0" xfId="0" applyFont="1" applyFill="1" applyBorder="1" applyAlignment="1">
      <alignment horizontal="center"/>
    </xf>
    <xf numFmtId="0" fontId="0" fillId="2" borderId="14" xfId="0" applyFill="1" applyBorder="1" applyAlignment="1"/>
    <xf numFmtId="0" fontId="0" fillId="2" borderId="29" xfId="0" applyFill="1" applyBorder="1" applyAlignment="1">
      <alignment horizontal="center" vertical="center"/>
    </xf>
    <xf numFmtId="0" fontId="0" fillId="0" borderId="0" xfId="0" applyFill="1" applyBorder="1"/>
    <xf numFmtId="0" fontId="10" fillId="0" borderId="0" xfId="0" applyFont="1" applyFill="1" applyBorder="1" applyAlignment="1">
      <alignment vertical="center"/>
    </xf>
    <xf numFmtId="0" fontId="10" fillId="2" borderId="12" xfId="0" applyFont="1" applyFill="1" applyBorder="1" applyAlignment="1">
      <alignment vertical="center" wrapText="1"/>
    </xf>
    <xf numFmtId="0" fontId="23" fillId="3" borderId="12" xfId="0" applyFont="1" applyFill="1" applyBorder="1" applyAlignment="1">
      <alignment horizontal="center" vertical="center"/>
    </xf>
    <xf numFmtId="0" fontId="23" fillId="3" borderId="11" xfId="0" applyFont="1" applyFill="1" applyBorder="1" applyAlignment="1">
      <alignment horizontal="center" vertical="center"/>
    </xf>
    <xf numFmtId="0" fontId="74" fillId="3" borderId="12" xfId="0" applyFont="1" applyFill="1" applyBorder="1" applyAlignment="1">
      <alignment horizontal="center" vertical="center"/>
    </xf>
    <xf numFmtId="0" fontId="0" fillId="2" borderId="30" xfId="0" applyFill="1" applyBorder="1" applyAlignment="1">
      <alignment horizontal="center" vertical="center"/>
    </xf>
    <xf numFmtId="0" fontId="10" fillId="0" borderId="0" xfId="0" applyFont="1" applyBorder="1" applyAlignment="1">
      <alignment vertical="center"/>
    </xf>
    <xf numFmtId="0" fontId="0" fillId="0" borderId="0" xfId="0"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0" fillId="2" borderId="0" xfId="0" applyFill="1"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0" xfId="0" applyAlignment="1">
      <alignment vertical="center"/>
    </xf>
    <xf numFmtId="0" fontId="66" fillId="0" borderId="0" xfId="0" applyFont="1" applyAlignment="1">
      <alignment horizontal="center" vertical="center"/>
    </xf>
    <xf numFmtId="0" fontId="67" fillId="0" borderId="0" xfId="0" applyFont="1" applyAlignment="1">
      <alignment vertical="center"/>
    </xf>
    <xf numFmtId="0" fontId="13" fillId="0" borderId="0" xfId="0" applyFont="1" applyAlignment="1">
      <alignment horizontal="center" vertical="center"/>
    </xf>
    <xf numFmtId="0" fontId="68" fillId="0" borderId="0" xfId="0" applyFont="1" applyAlignment="1">
      <alignment vertical="center"/>
    </xf>
    <xf numFmtId="0" fontId="71" fillId="0" borderId="0" xfId="0" applyFont="1" applyAlignment="1">
      <alignment vertical="center"/>
    </xf>
    <xf numFmtId="0" fontId="71" fillId="0" borderId="0" xfId="0" applyFont="1" applyAlignment="1">
      <alignment horizontal="center" vertical="center"/>
    </xf>
    <xf numFmtId="0" fontId="13" fillId="0" borderId="0" xfId="0" applyFont="1" applyAlignment="1">
      <alignment vertical="center"/>
    </xf>
    <xf numFmtId="0" fontId="11" fillId="0" borderId="0" xfId="0" applyFont="1" applyAlignment="1">
      <alignment horizontal="center" vertical="center"/>
    </xf>
    <xf numFmtId="0" fontId="11" fillId="0" borderId="0" xfId="0" applyFont="1" applyAlignment="1">
      <alignment vertical="center"/>
    </xf>
    <xf numFmtId="0" fontId="11" fillId="0" borderId="0" xfId="0" applyFont="1" applyAlignment="1">
      <alignment horizontal="center"/>
    </xf>
    <xf numFmtId="0" fontId="13" fillId="0" borderId="0" xfId="0" applyFont="1" applyAlignment="1">
      <alignment horizontal="center"/>
    </xf>
    <xf numFmtId="0" fontId="12" fillId="0" borderId="0" xfId="0" applyFont="1" applyAlignment="1">
      <alignment vertical="center"/>
    </xf>
    <xf numFmtId="0" fontId="12" fillId="0" borderId="0" xfId="0" applyFont="1" applyAlignment="1">
      <alignment horizontal="center" vertical="center"/>
    </xf>
    <xf numFmtId="0" fontId="12" fillId="0" borderId="0" xfId="0" applyFont="1" applyAlignment="1">
      <alignment horizontal="left" vertical="center"/>
    </xf>
    <xf numFmtId="0" fontId="0" fillId="0" borderId="6"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2" borderId="3" xfId="0" applyFill="1" applyBorder="1" applyAlignment="1">
      <alignment horizontal="center" vertical="center"/>
    </xf>
    <xf numFmtId="0" fontId="10" fillId="3" borderId="1" xfId="0" applyFont="1" applyFill="1" applyBorder="1" applyAlignment="1">
      <alignment horizontal="center" vertical="center"/>
    </xf>
    <xf numFmtId="0" fontId="10" fillId="3" borderId="4" xfId="0" applyFont="1" applyFill="1" applyBorder="1" applyAlignment="1">
      <alignment horizontal="center" vertic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2" fillId="0" borderId="1" xfId="0" applyFont="1" applyBorder="1" applyAlignment="1">
      <alignment horizontal="center" vertical="center"/>
    </xf>
    <xf numFmtId="0" fontId="12" fillId="0" borderId="3" xfId="0" applyFont="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1" fillId="0" borderId="5" xfId="0" applyFont="1"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36" xfId="0" applyBorder="1" applyAlignment="1">
      <alignment horizontal="center" vertical="center"/>
    </xf>
    <xf numFmtId="0" fontId="12" fillId="0" borderId="5" xfId="0" applyFont="1" applyBorder="1" applyAlignment="1">
      <alignment vertical="center"/>
    </xf>
    <xf numFmtId="0" fontId="12" fillId="0" borderId="6" xfId="0" applyFont="1" applyBorder="1" applyAlignment="1">
      <alignment vertical="center"/>
    </xf>
    <xf numFmtId="0" fontId="10" fillId="0" borderId="6" xfId="0" applyFont="1" applyBorder="1" applyAlignment="1">
      <alignment vertical="center"/>
    </xf>
    <xf numFmtId="0" fontId="21" fillId="2" borderId="10" xfId="0" applyFont="1" applyFill="1" applyBorder="1"/>
    <xf numFmtId="49" fontId="0" fillId="0" borderId="0" xfId="0" applyNumberFormat="1" applyBorder="1"/>
    <xf numFmtId="166" fontId="0" fillId="0" borderId="0" xfId="0" applyNumberFormat="1" applyBorder="1"/>
    <xf numFmtId="2" fontId="0" fillId="2" borderId="10" xfId="0" applyNumberFormat="1" applyFill="1" applyBorder="1"/>
    <xf numFmtId="0" fontId="10" fillId="3" borderId="8" xfId="0" applyFont="1" applyFill="1" applyBorder="1" applyAlignment="1">
      <alignment horizontal="center" vertical="center"/>
    </xf>
    <xf numFmtId="0" fontId="0" fillId="0" borderId="5" xfId="0" applyFont="1" applyBorder="1" applyAlignment="1">
      <alignment horizontal="center" vertical="center"/>
    </xf>
    <xf numFmtId="168" fontId="0" fillId="0" borderId="15" xfId="0" applyNumberFormat="1" applyFont="1" applyBorder="1" applyAlignment="1">
      <alignment horizontal="center" vertical="center"/>
    </xf>
    <xf numFmtId="168" fontId="0" fillId="0" borderId="8" xfId="0" applyNumberFormat="1" applyFont="1" applyBorder="1" applyAlignment="1">
      <alignment horizontal="center" vertical="center"/>
    </xf>
    <xf numFmtId="168" fontId="0" fillId="0" borderId="14" xfId="0" applyNumberFormat="1" applyFont="1" applyBorder="1" applyAlignment="1">
      <alignment horizontal="center" vertical="center"/>
    </xf>
    <xf numFmtId="0" fontId="49" fillId="2" borderId="0" xfId="0" applyFont="1" applyFill="1" applyBorder="1" applyAlignment="1">
      <alignment vertical="center"/>
    </xf>
    <xf numFmtId="0" fontId="55" fillId="3" borderId="1" xfId="0" applyFont="1" applyFill="1" applyBorder="1" applyAlignment="1">
      <alignment horizontal="center" vertical="center"/>
    </xf>
    <xf numFmtId="0" fontId="55" fillId="5" borderId="1" xfId="0" applyFont="1" applyFill="1" applyBorder="1" applyAlignment="1">
      <alignment horizontal="center" vertical="center"/>
    </xf>
    <xf numFmtId="0" fontId="55" fillId="6" borderId="4" xfId="0" applyFont="1" applyFill="1" applyBorder="1" applyAlignment="1">
      <alignment horizontal="center" vertical="center"/>
    </xf>
    <xf numFmtId="0" fontId="0" fillId="0" borderId="3" xfId="0" applyBorder="1" applyAlignment="1">
      <alignment vertical="center"/>
    </xf>
    <xf numFmtId="10" fontId="0" fillId="0" borderId="15" xfId="8" applyNumberFormat="1" applyFont="1" applyBorder="1" applyAlignment="1">
      <alignment horizontal="center" vertical="center"/>
    </xf>
    <xf numFmtId="0" fontId="28" fillId="2" borderId="0" xfId="0" applyFont="1" applyFill="1" applyAlignment="1">
      <alignment vertical="center"/>
    </xf>
    <xf numFmtId="0" fontId="10" fillId="2" borderId="0" xfId="0" applyFont="1" applyFill="1" applyAlignment="1">
      <alignment vertical="center" wrapText="1"/>
    </xf>
    <xf numFmtId="0" fontId="13" fillId="0" borderId="0" xfId="0" applyFont="1" applyAlignment="1">
      <alignment wrapText="1"/>
    </xf>
    <xf numFmtId="0" fontId="11" fillId="0" borderId="0" xfId="0" applyFont="1" applyAlignment="1">
      <alignment vertical="center" wrapText="1"/>
    </xf>
    <xf numFmtId="0" fontId="10" fillId="0" borderId="9" xfId="0" applyFont="1" applyBorder="1" applyAlignment="1">
      <alignment vertical="center" wrapText="1"/>
    </xf>
    <xf numFmtId="0" fontId="0" fillId="0" borderId="4" xfId="0" applyBorder="1" applyAlignment="1">
      <alignment horizontal="center" vertical="center"/>
    </xf>
    <xf numFmtId="0" fontId="12" fillId="0" borderId="0" xfId="0" applyFont="1" applyAlignment="1">
      <alignment wrapText="1"/>
    </xf>
    <xf numFmtId="0" fontId="10" fillId="0" borderId="12" xfId="0" applyFont="1" applyBorder="1" applyAlignment="1">
      <alignment vertical="center" wrapText="1"/>
    </xf>
    <xf numFmtId="0" fontId="41" fillId="2" borderId="4" xfId="0" applyFont="1" applyFill="1" applyBorder="1" applyAlignment="1">
      <alignment horizontal="center" vertical="center" wrapText="1"/>
    </xf>
    <xf numFmtId="0" fontId="41" fillId="2" borderId="4" xfId="0" applyFont="1" applyFill="1" applyBorder="1" applyAlignment="1">
      <alignment vertical="center" wrapText="1"/>
    </xf>
    <xf numFmtId="0" fontId="41" fillId="7" borderId="1" xfId="0" applyFont="1" applyFill="1" applyBorder="1" applyAlignment="1">
      <alignment horizontal="center" vertical="center"/>
    </xf>
    <xf numFmtId="0" fontId="41" fillId="7" borderId="2" xfId="0" applyFont="1" applyFill="1" applyBorder="1" applyAlignment="1">
      <alignment horizontal="center" vertical="center"/>
    </xf>
    <xf numFmtId="0" fontId="41" fillId="7" borderId="3" xfId="0" applyFont="1" applyFill="1" applyBorder="1" applyAlignment="1">
      <alignment horizontal="center" vertical="center"/>
    </xf>
    <xf numFmtId="0" fontId="66" fillId="7" borderId="5" xfId="0" applyFont="1" applyFill="1" applyBorder="1" applyAlignment="1">
      <alignment horizontal="center" vertical="center"/>
    </xf>
    <xf numFmtId="0" fontId="66" fillId="7" borderId="6" xfId="0" applyFont="1" applyFill="1" applyBorder="1" applyAlignment="1">
      <alignment horizontal="center" vertical="center"/>
    </xf>
    <xf numFmtId="0" fontId="66" fillId="7" borderId="7" xfId="0" applyFont="1" applyFill="1" applyBorder="1" applyAlignment="1">
      <alignment horizontal="center" vertical="center"/>
    </xf>
    <xf numFmtId="0" fontId="66" fillId="7" borderId="9" xfId="0" applyFont="1" applyFill="1" applyBorder="1" applyAlignment="1">
      <alignment horizontal="center" vertical="center"/>
    </xf>
    <xf numFmtId="0" fontId="66" fillId="7" borderId="0" xfId="0" applyFont="1" applyFill="1" applyBorder="1" applyAlignment="1">
      <alignment horizontal="center" vertical="center"/>
    </xf>
    <xf numFmtId="0" fontId="66" fillId="7" borderId="10" xfId="0" applyFont="1" applyFill="1" applyBorder="1" applyAlignment="1">
      <alignment horizontal="center" vertical="center"/>
    </xf>
    <xf numFmtId="0" fontId="66" fillId="7" borderId="11" xfId="0" applyFont="1" applyFill="1" applyBorder="1" applyAlignment="1">
      <alignment horizontal="center" vertical="center"/>
    </xf>
    <xf numFmtId="0" fontId="66" fillId="7" borderId="12" xfId="0" applyFont="1" applyFill="1" applyBorder="1" applyAlignment="1">
      <alignment horizontal="center" vertical="center"/>
    </xf>
    <xf numFmtId="0" fontId="66" fillId="7" borderId="13" xfId="0" applyFont="1" applyFill="1" applyBorder="1" applyAlignment="1">
      <alignment horizontal="center" vertical="center"/>
    </xf>
    <xf numFmtId="49" fontId="69" fillId="0" borderId="1" xfId="11" applyNumberFormat="1" applyBorder="1" applyAlignment="1">
      <alignment horizontal="center" vertical="center"/>
    </xf>
    <xf numFmtId="49" fontId="69" fillId="0" borderId="2" xfId="11" applyNumberFormat="1" applyBorder="1" applyAlignment="1">
      <alignment horizontal="center" vertical="center"/>
    </xf>
    <xf numFmtId="49" fontId="69" fillId="0" borderId="3" xfId="11" applyNumberFormat="1" applyBorder="1" applyAlignment="1">
      <alignment horizontal="center" vertical="center"/>
    </xf>
    <xf numFmtId="0" fontId="10" fillId="7" borderId="1" xfId="0" applyFont="1" applyFill="1" applyBorder="1" applyAlignment="1">
      <alignment horizontal="left" vertical="center"/>
    </xf>
    <xf numFmtId="0" fontId="10" fillId="7" borderId="3" xfId="0" applyFont="1" applyFill="1" applyBorder="1" applyAlignment="1">
      <alignment horizontal="left" vertical="center"/>
    </xf>
    <xf numFmtId="49" fontId="12" fillId="0" borderId="1" xfId="0" applyNumberFormat="1" applyFont="1" applyBorder="1" applyAlignment="1">
      <alignment horizontal="center" vertical="center"/>
    </xf>
    <xf numFmtId="49" fontId="12" fillId="0" borderId="2" xfId="0" applyNumberFormat="1" applyFont="1" applyBorder="1" applyAlignment="1">
      <alignment horizontal="center" vertical="center"/>
    </xf>
    <xf numFmtId="49" fontId="12" fillId="0" borderId="3" xfId="0" applyNumberFormat="1" applyFont="1" applyBorder="1" applyAlignment="1">
      <alignment horizontal="center" vertical="center"/>
    </xf>
    <xf numFmtId="0" fontId="10" fillId="7" borderId="1" xfId="0" applyFont="1" applyFill="1" applyBorder="1" applyAlignment="1">
      <alignment horizontal="center" vertical="center"/>
    </xf>
    <xf numFmtId="0" fontId="10" fillId="7" borderId="2" xfId="0" applyFont="1" applyFill="1" applyBorder="1" applyAlignment="1">
      <alignment horizontal="center" vertical="center"/>
    </xf>
    <xf numFmtId="0" fontId="10" fillId="7" borderId="3" xfId="0" applyFont="1" applyFill="1" applyBorder="1" applyAlignment="1">
      <alignment horizontal="center" vertical="center"/>
    </xf>
    <xf numFmtId="0" fontId="12" fillId="0" borderId="1" xfId="0" applyFont="1" applyBorder="1" applyAlignment="1">
      <alignment horizontal="center" vertical="center"/>
    </xf>
    <xf numFmtId="0" fontId="12" fillId="0" borderId="2" xfId="0" applyFont="1" applyBorder="1" applyAlignment="1">
      <alignment horizontal="center" vertical="center"/>
    </xf>
    <xf numFmtId="0" fontId="12" fillId="0" borderId="3" xfId="0" applyFont="1" applyBorder="1" applyAlignment="1">
      <alignment horizontal="center" vertical="center"/>
    </xf>
    <xf numFmtId="0" fontId="10" fillId="6" borderId="1" xfId="0" applyFont="1" applyFill="1" applyBorder="1" applyAlignment="1">
      <alignment horizontal="center" vertical="center"/>
    </xf>
    <xf numFmtId="0" fontId="10" fillId="6" borderId="2" xfId="0" applyFont="1" applyFill="1" applyBorder="1" applyAlignment="1">
      <alignment horizontal="center" vertical="center"/>
    </xf>
    <xf numFmtId="0" fontId="10" fillId="6" borderId="3" xfId="0" applyFont="1"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49" fontId="12" fillId="0" borderId="1" xfId="0" applyNumberFormat="1" applyFont="1" applyBorder="1" applyAlignment="1">
      <alignment horizontal="center"/>
    </xf>
    <xf numFmtId="49" fontId="12" fillId="0" borderId="2" xfId="0" applyNumberFormat="1" applyFont="1" applyBorder="1" applyAlignment="1">
      <alignment horizontal="center"/>
    </xf>
    <xf numFmtId="49" fontId="12" fillId="0" borderId="3" xfId="0" applyNumberFormat="1" applyFont="1" applyBorder="1" applyAlignment="1">
      <alignment horizontal="center"/>
    </xf>
    <xf numFmtId="0" fontId="11" fillId="0" borderId="5" xfId="0" applyFont="1" applyBorder="1" applyAlignment="1">
      <alignment horizontal="center" vertical="center"/>
    </xf>
    <xf numFmtId="0" fontId="11" fillId="0" borderId="6" xfId="0" applyFont="1" applyBorder="1" applyAlignment="1">
      <alignment horizontal="center" vertical="center"/>
    </xf>
    <xf numFmtId="0" fontId="11" fillId="0" borderId="7"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0" fillId="0" borderId="4" xfId="0" applyBorder="1" applyAlignment="1">
      <alignment horizontal="center" vertical="center"/>
    </xf>
    <xf numFmtId="0" fontId="11" fillId="2" borderId="4" xfId="0" applyFont="1" applyFill="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0" borderId="5" xfId="0" applyFill="1" applyBorder="1" applyAlignment="1">
      <alignment horizontal="center" vertical="center" wrapText="1"/>
    </xf>
    <xf numFmtId="0" fontId="0" fillId="0" borderId="6" xfId="0" applyFill="1" applyBorder="1" applyAlignment="1">
      <alignment horizontal="center" vertical="center" wrapText="1"/>
    </xf>
    <xf numFmtId="0" fontId="0" fillId="0" borderId="7" xfId="0" applyFill="1" applyBorder="1" applyAlignment="1">
      <alignment horizontal="center" vertical="center" wrapText="1"/>
    </xf>
    <xf numFmtId="0" fontId="0" fillId="0" borderId="9" xfId="0" applyFill="1" applyBorder="1" applyAlignment="1">
      <alignment horizontal="center" vertical="center" wrapText="1"/>
    </xf>
    <xf numFmtId="0" fontId="0" fillId="0" borderId="0" xfId="0" applyFill="1" applyBorder="1" applyAlignment="1">
      <alignment horizontal="center" vertical="center" wrapText="1"/>
    </xf>
    <xf numFmtId="0" fontId="0" fillId="0" borderId="10" xfId="0" applyFill="1" applyBorder="1" applyAlignment="1">
      <alignment horizontal="center" vertical="center" wrapText="1"/>
    </xf>
    <xf numFmtId="0" fontId="0" fillId="0" borderId="11" xfId="0" applyFill="1" applyBorder="1" applyAlignment="1">
      <alignment horizontal="center" vertical="center" wrapText="1"/>
    </xf>
    <xf numFmtId="0" fontId="0" fillId="0" borderId="12" xfId="0" applyFill="1" applyBorder="1" applyAlignment="1">
      <alignment horizontal="center" vertical="center" wrapText="1"/>
    </xf>
    <xf numFmtId="0" fontId="0" fillId="0" borderId="13" xfId="0" applyFill="1" applyBorder="1" applyAlignment="1">
      <alignment horizontal="center" vertical="center" wrapText="1"/>
    </xf>
    <xf numFmtId="0" fontId="1" fillId="6" borderId="2" xfId="0" applyFont="1" applyFill="1" applyBorder="1" applyAlignment="1">
      <alignment horizontal="center" vertical="center"/>
    </xf>
    <xf numFmtId="0" fontId="1" fillId="6" borderId="3" xfId="0" applyFont="1" applyFill="1"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11" fillId="8" borderId="4" xfId="0" applyFont="1" applyFill="1" applyBorder="1" applyAlignment="1">
      <alignment horizontal="center" vertical="center"/>
    </xf>
    <xf numFmtId="0" fontId="11" fillId="8" borderId="1" xfId="0" applyFont="1" applyFill="1" applyBorder="1" applyAlignment="1">
      <alignment horizontal="center" vertical="center"/>
    </xf>
    <xf numFmtId="0" fontId="11" fillId="8" borderId="2" xfId="0" applyFont="1" applyFill="1" applyBorder="1" applyAlignment="1">
      <alignment horizontal="center" vertical="center"/>
    </xf>
    <xf numFmtId="0" fontId="11" fillId="8" borderId="3" xfId="0" applyFont="1" applyFill="1" applyBorder="1" applyAlignment="1">
      <alignment horizontal="center" vertical="center"/>
    </xf>
    <xf numFmtId="0" fontId="11" fillId="7" borderId="1" xfId="0" applyFont="1" applyFill="1" applyBorder="1" applyAlignment="1">
      <alignment horizontal="center" vertical="center"/>
    </xf>
    <xf numFmtId="0" fontId="11" fillId="7" borderId="2" xfId="0" applyFont="1" applyFill="1" applyBorder="1" applyAlignment="1">
      <alignment horizontal="center" vertical="center"/>
    </xf>
    <xf numFmtId="0" fontId="11" fillId="7" borderId="3" xfId="0" applyFont="1" applyFill="1" applyBorder="1" applyAlignment="1">
      <alignment horizontal="center" vertical="center"/>
    </xf>
    <xf numFmtId="0" fontId="11" fillId="0" borderId="1" xfId="0" applyFont="1" applyBorder="1" applyAlignment="1">
      <alignment horizontal="center" vertical="center"/>
    </xf>
    <xf numFmtId="0" fontId="11" fillId="0" borderId="3" xfId="0" applyFont="1" applyBorder="1" applyAlignment="1">
      <alignment horizontal="center" vertical="center"/>
    </xf>
    <xf numFmtId="0" fontId="11" fillId="0" borderId="4" xfId="0" applyFont="1" applyBorder="1" applyAlignment="1">
      <alignment horizontal="center" vertical="center"/>
    </xf>
    <xf numFmtId="0" fontId="0" fillId="2" borderId="15" xfId="0" applyFill="1" applyBorder="1" applyAlignment="1">
      <alignment horizontal="center"/>
    </xf>
    <xf numFmtId="0" fontId="0" fillId="2" borderId="14" xfId="0" applyFill="1" applyBorder="1" applyAlignment="1">
      <alignment horizontal="center"/>
    </xf>
    <xf numFmtId="0" fontId="49" fillId="2" borderId="4" xfId="0" applyFont="1" applyFill="1" applyBorder="1" applyAlignment="1">
      <alignment horizontal="center" vertical="center" wrapText="1"/>
    </xf>
    <xf numFmtId="0" fontId="10" fillId="6" borderId="4"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2" xfId="0" applyFont="1" applyFill="1" applyBorder="1" applyAlignment="1">
      <alignment horizontal="center" vertical="center"/>
    </xf>
    <xf numFmtId="0" fontId="10" fillId="3" borderId="3" xfId="0" applyFont="1" applyFill="1" applyBorder="1" applyAlignment="1">
      <alignment horizontal="center" vertical="center"/>
    </xf>
    <xf numFmtId="0" fontId="10" fillId="3" borderId="4" xfId="0" applyFont="1" applyFill="1" applyBorder="1" applyAlignment="1">
      <alignment horizontal="center" vertical="center"/>
    </xf>
    <xf numFmtId="0" fontId="37" fillId="2" borderId="15" xfId="0" applyFont="1" applyFill="1" applyBorder="1" applyAlignment="1">
      <alignment horizontal="center" vertical="center"/>
    </xf>
    <xf numFmtId="0" fontId="37" fillId="2" borderId="14" xfId="0" applyFont="1" applyFill="1" applyBorder="1" applyAlignment="1">
      <alignment horizontal="center" vertical="center"/>
    </xf>
    <xf numFmtId="0" fontId="38" fillId="2" borderId="15" xfId="0" applyFont="1" applyFill="1" applyBorder="1" applyAlignment="1">
      <alignment horizontal="center" vertical="center"/>
    </xf>
    <xf numFmtId="0" fontId="38" fillId="2" borderId="14" xfId="0" applyFont="1" applyFill="1" applyBorder="1" applyAlignment="1">
      <alignment horizontal="center" vertical="center"/>
    </xf>
    <xf numFmtId="0" fontId="10" fillId="0" borderId="15" xfId="0" applyFont="1" applyBorder="1" applyAlignment="1">
      <alignment horizontal="center" vertical="center"/>
    </xf>
    <xf numFmtId="0" fontId="10" fillId="0" borderId="14" xfId="0" applyFont="1" applyBorder="1" applyAlignment="1">
      <alignment horizontal="center" vertical="center"/>
    </xf>
    <xf numFmtId="0" fontId="0" fillId="0" borderId="1" xfId="0" applyFont="1" applyFill="1" applyBorder="1" applyAlignment="1">
      <alignment horizontal="center"/>
    </xf>
    <xf numFmtId="0" fontId="0" fillId="0" borderId="2" xfId="0" applyFont="1" applyFill="1" applyBorder="1" applyAlignment="1">
      <alignment horizontal="center"/>
    </xf>
    <xf numFmtId="0" fontId="0" fillId="0" borderId="3" xfId="0" applyFont="1" applyFill="1" applyBorder="1" applyAlignment="1">
      <alignment horizont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28" fillId="2" borderId="15" xfId="0" applyFont="1" applyFill="1" applyBorder="1" applyAlignment="1">
      <alignment horizontal="center" vertical="center"/>
    </xf>
    <xf numFmtId="0" fontId="28" fillId="2" borderId="14" xfId="0" applyFont="1" applyFill="1" applyBorder="1" applyAlignment="1">
      <alignment horizontal="center" vertical="center"/>
    </xf>
    <xf numFmtId="0" fontId="1" fillId="6" borderId="5" xfId="0" applyFont="1" applyFill="1" applyBorder="1" applyAlignment="1">
      <alignment horizontal="center" vertical="center"/>
    </xf>
    <xf numFmtId="0" fontId="1" fillId="6" borderId="6" xfId="0" applyFont="1" applyFill="1" applyBorder="1" applyAlignment="1">
      <alignment horizontal="center" vertical="center"/>
    </xf>
    <xf numFmtId="0" fontId="1" fillId="6" borderId="7" xfId="0" applyFont="1" applyFill="1" applyBorder="1" applyAlignment="1">
      <alignment horizontal="center" vertical="center"/>
    </xf>
    <xf numFmtId="0" fontId="1" fillId="4" borderId="15" xfId="0" applyFont="1" applyFill="1" applyBorder="1" applyAlignment="1">
      <alignment horizontal="center" vertical="center"/>
    </xf>
    <xf numFmtId="0" fontId="1" fillId="4" borderId="14" xfId="0" applyFont="1" applyFill="1" applyBorder="1" applyAlignment="1">
      <alignment horizontal="center" vertical="center"/>
    </xf>
    <xf numFmtId="0" fontId="12" fillId="0" borderId="15" xfId="0" applyFont="1" applyFill="1" applyBorder="1" applyAlignment="1">
      <alignment horizontal="center" vertical="center"/>
    </xf>
    <xf numFmtId="0" fontId="12" fillId="0" borderId="14" xfId="0" applyFont="1" applyFill="1" applyBorder="1" applyAlignment="1">
      <alignment horizontal="center" vertical="center"/>
    </xf>
    <xf numFmtId="0" fontId="49" fillId="2" borderId="5" xfId="0" applyFont="1" applyFill="1" applyBorder="1" applyAlignment="1">
      <alignment horizontal="center" vertical="center"/>
    </xf>
    <xf numFmtId="0" fontId="49" fillId="2" borderId="6" xfId="0" applyFont="1" applyFill="1" applyBorder="1" applyAlignment="1">
      <alignment horizontal="center" vertical="center"/>
    </xf>
    <xf numFmtId="0" fontId="49" fillId="2" borderId="7" xfId="0" applyFont="1" applyFill="1" applyBorder="1" applyAlignment="1">
      <alignment horizontal="center" vertical="center"/>
    </xf>
    <xf numFmtId="0" fontId="49" fillId="2" borderId="11" xfId="0" applyFont="1" applyFill="1" applyBorder="1" applyAlignment="1">
      <alignment horizontal="center" vertical="center"/>
    </xf>
    <xf numFmtId="0" fontId="49" fillId="2" borderId="12" xfId="0" applyFont="1" applyFill="1" applyBorder="1" applyAlignment="1">
      <alignment horizontal="center" vertical="center"/>
    </xf>
    <xf numFmtId="0" fontId="49" fillId="2" borderId="13" xfId="0" applyFont="1" applyFill="1" applyBorder="1" applyAlignment="1">
      <alignment horizontal="center" vertical="center"/>
    </xf>
    <xf numFmtId="0" fontId="10" fillId="8" borderId="1" xfId="0" applyFont="1" applyFill="1" applyBorder="1" applyAlignment="1">
      <alignment horizontal="center" vertical="center"/>
    </xf>
    <xf numFmtId="0" fontId="10" fillId="8" borderId="2" xfId="0" applyFont="1" applyFill="1" applyBorder="1" applyAlignment="1">
      <alignment horizontal="center" vertical="center"/>
    </xf>
    <xf numFmtId="0" fontId="10" fillId="8" borderId="3" xfId="0" applyFont="1" applyFill="1" applyBorder="1" applyAlignment="1">
      <alignment horizontal="center" vertical="center"/>
    </xf>
    <xf numFmtId="0" fontId="11" fillId="6" borderId="5" xfId="0" applyFont="1" applyFill="1" applyBorder="1" applyAlignment="1">
      <alignment horizontal="center" vertical="center"/>
    </xf>
    <xf numFmtId="0" fontId="11" fillId="6" borderId="6" xfId="0" applyFont="1" applyFill="1" applyBorder="1" applyAlignment="1">
      <alignment horizontal="center" vertical="center"/>
    </xf>
    <xf numFmtId="0" fontId="11" fillId="6" borderId="7" xfId="0" applyFont="1" applyFill="1" applyBorder="1" applyAlignment="1">
      <alignment horizontal="center" vertical="center"/>
    </xf>
    <xf numFmtId="0" fontId="11" fillId="7" borderId="12" xfId="0" applyFont="1"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23" fillId="2" borderId="0" xfId="0" applyFont="1" applyFill="1" applyBorder="1" applyAlignment="1">
      <alignment horizontal="center" vertical="center"/>
    </xf>
    <xf numFmtId="0" fontId="23" fillId="2" borderId="10" xfId="0" applyFont="1" applyFill="1" applyBorder="1" applyAlignment="1">
      <alignment horizontal="center" vertical="center"/>
    </xf>
    <xf numFmtId="0" fontId="23" fillId="2" borderId="6" xfId="0" applyFont="1" applyFill="1" applyBorder="1" applyAlignment="1">
      <alignment horizontal="center" vertical="center"/>
    </xf>
    <xf numFmtId="0" fontId="23" fillId="2" borderId="7" xfId="0" applyFont="1" applyFill="1" applyBorder="1" applyAlignment="1">
      <alignment horizontal="center" vertical="center"/>
    </xf>
    <xf numFmtId="0" fontId="11" fillId="6" borderId="2" xfId="0" applyFont="1" applyFill="1" applyBorder="1" applyAlignment="1">
      <alignment horizontal="center" vertical="center"/>
    </xf>
    <xf numFmtId="0" fontId="0" fillId="2" borderId="8" xfId="0" applyFill="1" applyBorder="1" applyAlignment="1">
      <alignment horizontal="center"/>
    </xf>
    <xf numFmtId="0" fontId="13" fillId="0" borderId="1" xfId="0" applyFont="1" applyFill="1" applyBorder="1" applyAlignment="1">
      <alignment horizontal="center" vertical="center"/>
    </xf>
    <xf numFmtId="0" fontId="13" fillId="0" borderId="2" xfId="0" applyFont="1" applyFill="1" applyBorder="1" applyAlignment="1">
      <alignment horizontal="center" vertical="center"/>
    </xf>
    <xf numFmtId="0" fontId="11" fillId="0" borderId="11" xfId="0" applyFont="1" applyFill="1" applyBorder="1" applyAlignment="1">
      <alignment horizontal="center" vertical="center"/>
    </xf>
    <xf numFmtId="0" fontId="11" fillId="0" borderId="12" xfId="0" applyFont="1" applyFill="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0" fillId="6" borderId="5" xfId="0" applyFont="1" applyFill="1" applyBorder="1" applyAlignment="1">
      <alignment horizontal="center" vertical="center"/>
    </xf>
    <xf numFmtId="0" fontId="10" fillId="6" borderId="7" xfId="0" applyFont="1" applyFill="1" applyBorder="1" applyAlignment="1">
      <alignment horizontal="center" vertical="center"/>
    </xf>
    <xf numFmtId="0" fontId="25" fillId="7" borderId="1" xfId="0" applyFont="1" applyFill="1" applyBorder="1" applyAlignment="1">
      <alignment horizontal="center" vertical="center"/>
    </xf>
    <xf numFmtId="0" fontId="25" fillId="7" borderId="3" xfId="0" applyFont="1" applyFill="1" applyBorder="1" applyAlignment="1">
      <alignment horizontal="center" vertical="center"/>
    </xf>
    <xf numFmtId="0" fontId="0" fillId="5" borderId="1" xfId="0" applyFill="1" applyBorder="1" applyAlignment="1">
      <alignment horizontal="center" vertical="center"/>
    </xf>
    <xf numFmtId="0" fontId="0" fillId="5" borderId="3" xfId="0" applyFill="1" applyBorder="1" applyAlignment="1">
      <alignment horizontal="center" vertical="center"/>
    </xf>
    <xf numFmtId="0" fontId="11" fillId="8" borderId="1" xfId="6" applyFont="1" applyFill="1" applyBorder="1" applyAlignment="1">
      <alignment horizontal="center" vertical="center"/>
    </xf>
    <xf numFmtId="0" fontId="11" fillId="8" borderId="2" xfId="6" applyFont="1" applyFill="1" applyBorder="1" applyAlignment="1">
      <alignment horizontal="center" vertical="center"/>
    </xf>
    <xf numFmtId="0" fontId="11" fillId="8" borderId="3" xfId="6" applyFont="1" applyFill="1" applyBorder="1" applyAlignment="1">
      <alignment horizontal="center" vertical="center"/>
    </xf>
    <xf numFmtId="0" fontId="0" fillId="5" borderId="1" xfId="0" applyFont="1" applyFill="1" applyBorder="1" applyAlignment="1">
      <alignment horizontal="center" vertical="center"/>
    </xf>
    <xf numFmtId="0" fontId="0" fillId="5" borderId="3" xfId="0" applyFont="1" applyFill="1" applyBorder="1" applyAlignment="1">
      <alignment horizontal="center" vertical="center"/>
    </xf>
    <xf numFmtId="0" fontId="12" fillId="5" borderId="1" xfId="6" applyFont="1" applyFill="1" applyBorder="1" applyAlignment="1">
      <alignment horizontal="center" vertical="center"/>
    </xf>
    <xf numFmtId="0" fontId="12" fillId="5" borderId="3" xfId="6" applyFont="1" applyFill="1" applyBorder="1" applyAlignment="1">
      <alignment horizontal="center" vertical="center"/>
    </xf>
    <xf numFmtId="0" fontId="0" fillId="3" borderId="4" xfId="0" applyFill="1" applyBorder="1" applyAlignment="1">
      <alignment horizontal="center" vertical="center"/>
    </xf>
    <xf numFmtId="0" fontId="15" fillId="4" borderId="4" xfId="6" applyFill="1" applyBorder="1" applyAlignment="1">
      <alignment horizontal="center" vertical="center"/>
    </xf>
    <xf numFmtId="0" fontId="15" fillId="3" borderId="4" xfId="6" applyFill="1" applyBorder="1" applyAlignment="1">
      <alignment horizontal="center" vertical="center"/>
    </xf>
    <xf numFmtId="0" fontId="15" fillId="5" borderId="4" xfId="6" applyFill="1" applyBorder="1" applyAlignment="1">
      <alignment horizontal="center" vertical="center"/>
    </xf>
    <xf numFmtId="0" fontId="0" fillId="5" borderId="4" xfId="6" applyFont="1" applyFill="1" applyBorder="1" applyAlignment="1">
      <alignment horizontal="center" vertical="center"/>
    </xf>
    <xf numFmtId="0" fontId="12" fillId="5" borderId="1" xfId="0" applyFont="1" applyFill="1" applyBorder="1" applyAlignment="1">
      <alignment horizontal="center" vertical="center"/>
    </xf>
    <xf numFmtId="0" fontId="12" fillId="5" borderId="3" xfId="0" applyFont="1" applyFill="1" applyBorder="1" applyAlignment="1">
      <alignment horizontal="center" vertical="center"/>
    </xf>
    <xf numFmtId="0" fontId="10" fillId="4" borderId="4" xfId="6" applyFont="1" applyFill="1" applyBorder="1" applyAlignment="1">
      <alignment horizontal="center" vertical="center"/>
    </xf>
    <xf numFmtId="0" fontId="41" fillId="2" borderId="1" xfId="0" applyFont="1" applyFill="1" applyBorder="1" applyAlignment="1">
      <alignment horizontal="center" vertical="center"/>
    </xf>
    <xf numFmtId="0" fontId="41" fillId="2" borderId="3" xfId="0" applyFont="1" applyFill="1" applyBorder="1" applyAlignment="1">
      <alignment horizontal="center" vertical="center"/>
    </xf>
    <xf numFmtId="0" fontId="72" fillId="2" borderId="1" xfId="0" applyFont="1" applyFill="1" applyBorder="1" applyAlignment="1">
      <alignment horizontal="center" vertical="center"/>
    </xf>
    <xf numFmtId="0" fontId="72" fillId="2" borderId="2" xfId="0" applyFont="1" applyFill="1" applyBorder="1" applyAlignment="1">
      <alignment horizontal="center" vertical="center"/>
    </xf>
    <xf numFmtId="0" fontId="72" fillId="2" borderId="3" xfId="0" applyFont="1" applyFill="1" applyBorder="1" applyAlignment="1">
      <alignment horizontal="center" vertical="center"/>
    </xf>
    <xf numFmtId="0" fontId="11" fillId="8" borderId="7" xfId="0" applyFont="1" applyFill="1" applyBorder="1" applyAlignment="1">
      <alignment horizontal="center" vertical="center"/>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28" fillId="2" borderId="5" xfId="0" applyFont="1" applyFill="1" applyBorder="1" applyAlignment="1">
      <alignment horizontal="center" vertical="center"/>
    </xf>
    <xf numFmtId="0" fontId="28" fillId="2" borderId="7" xfId="0" applyFont="1" applyFill="1" applyBorder="1" applyAlignment="1">
      <alignment horizontal="center" vertical="center"/>
    </xf>
    <xf numFmtId="0" fontId="28" fillId="2" borderId="11" xfId="0" applyFont="1" applyFill="1" applyBorder="1" applyAlignment="1">
      <alignment horizontal="center" vertical="center"/>
    </xf>
    <xf numFmtId="0" fontId="28" fillId="2" borderId="13" xfId="0" applyFont="1" applyFill="1" applyBorder="1" applyAlignment="1">
      <alignment horizontal="center" vertical="center"/>
    </xf>
    <xf numFmtId="0" fontId="28" fillId="2" borderId="9" xfId="0" applyFont="1" applyFill="1" applyBorder="1" applyAlignment="1">
      <alignment horizontal="center" vertical="center"/>
    </xf>
    <xf numFmtId="0" fontId="28" fillId="2" borderId="10" xfId="0" applyFont="1" applyFill="1" applyBorder="1" applyAlignment="1">
      <alignment horizontal="center" vertical="center"/>
    </xf>
    <xf numFmtId="0" fontId="28" fillId="2" borderId="6" xfId="0" applyFont="1" applyFill="1" applyBorder="1" applyAlignment="1">
      <alignment horizontal="center" vertical="center"/>
    </xf>
    <xf numFmtId="0" fontId="28" fillId="2" borderId="12" xfId="0" applyFont="1" applyFill="1" applyBorder="1" applyAlignment="1">
      <alignment horizontal="center" vertical="center"/>
    </xf>
    <xf numFmtId="0" fontId="11" fillId="7" borderId="5" xfId="0" applyFont="1" applyFill="1" applyBorder="1" applyAlignment="1">
      <alignment horizontal="center" vertical="center"/>
    </xf>
    <xf numFmtId="0" fontId="11" fillId="7" borderId="6" xfId="0" applyFont="1" applyFill="1" applyBorder="1" applyAlignment="1">
      <alignment horizontal="center" vertical="center"/>
    </xf>
    <xf numFmtId="0" fontId="11" fillId="7" borderId="7" xfId="0" applyFont="1" applyFill="1" applyBorder="1" applyAlignment="1">
      <alignment horizontal="center" vertical="center"/>
    </xf>
    <xf numFmtId="0" fontId="73" fillId="2" borderId="4" xfId="0" applyFont="1" applyFill="1" applyBorder="1" applyAlignment="1">
      <alignment horizontal="center" vertical="center"/>
    </xf>
    <xf numFmtId="0" fontId="0" fillId="2" borderId="0" xfId="0" applyFill="1" applyAlignment="1">
      <alignment horizontal="center"/>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10" fillId="5" borderId="1" xfId="0" applyFont="1" applyFill="1" applyBorder="1" applyAlignment="1">
      <alignment horizontal="center" vertical="center"/>
    </xf>
    <xf numFmtId="0" fontId="10" fillId="5" borderId="3" xfId="0" applyFont="1" applyFill="1" applyBorder="1" applyAlignment="1">
      <alignment horizontal="center" vertical="center"/>
    </xf>
    <xf numFmtId="0" fontId="28" fillId="2" borderId="1" xfId="0" applyFont="1" applyFill="1" applyBorder="1" applyAlignment="1">
      <alignment horizontal="center" vertical="center"/>
    </xf>
    <xf numFmtId="0" fontId="28" fillId="2" borderId="3" xfId="0" applyFont="1" applyFill="1" applyBorder="1" applyAlignment="1">
      <alignment horizontal="center" vertical="center"/>
    </xf>
    <xf numFmtId="0" fontId="10" fillId="2" borderId="15" xfId="0" applyFont="1" applyFill="1" applyBorder="1" applyAlignment="1">
      <alignment horizontal="center" vertical="center" wrapText="1"/>
    </xf>
    <xf numFmtId="0" fontId="10" fillId="2" borderId="14" xfId="0" applyFont="1" applyFill="1" applyBorder="1" applyAlignment="1">
      <alignment horizontal="center" vertical="center" wrapText="1"/>
    </xf>
    <xf numFmtId="0" fontId="11" fillId="0" borderId="1" xfId="0" applyFont="1" applyFill="1" applyBorder="1" applyAlignment="1">
      <alignment horizontal="center" vertical="center"/>
    </xf>
    <xf numFmtId="0" fontId="11" fillId="0" borderId="2" xfId="0" applyFont="1" applyFill="1" applyBorder="1" applyAlignment="1">
      <alignment horizontal="center" vertical="center"/>
    </xf>
    <xf numFmtId="0" fontId="11" fillId="0" borderId="3" xfId="0" applyFont="1" applyFill="1" applyBorder="1" applyAlignment="1">
      <alignment horizontal="center" vertical="center"/>
    </xf>
    <xf numFmtId="0" fontId="11" fillId="7" borderId="4" xfId="0" applyFont="1" applyFill="1" applyBorder="1" applyAlignment="1">
      <alignment horizontal="center" vertical="center"/>
    </xf>
    <xf numFmtId="0" fontId="11" fillId="7" borderId="15" xfId="0" applyFont="1" applyFill="1" applyBorder="1" applyAlignment="1">
      <alignment horizontal="center" vertical="center"/>
    </xf>
    <xf numFmtId="0" fontId="11" fillId="2" borderId="1" xfId="0" applyFont="1" applyFill="1" applyBorder="1" applyAlignment="1">
      <alignment horizontal="center" vertical="center"/>
    </xf>
    <xf numFmtId="0" fontId="11" fillId="2" borderId="3" xfId="0" applyFont="1" applyFill="1" applyBorder="1" applyAlignment="1">
      <alignment horizontal="center" vertical="center"/>
    </xf>
    <xf numFmtId="0" fontId="28" fillId="2" borderId="8" xfId="0" applyFont="1" applyFill="1" applyBorder="1" applyAlignment="1">
      <alignment horizontal="center" vertical="center"/>
    </xf>
    <xf numFmtId="0" fontId="11" fillId="2" borderId="5" xfId="0" applyFont="1" applyFill="1" applyBorder="1" applyAlignment="1">
      <alignment horizontal="center" vertical="center"/>
    </xf>
    <xf numFmtId="0" fontId="11" fillId="2" borderId="6" xfId="0" applyFont="1" applyFill="1" applyBorder="1" applyAlignment="1">
      <alignment horizontal="center" vertical="center"/>
    </xf>
    <xf numFmtId="0" fontId="11" fillId="2" borderId="7" xfId="0" applyFont="1" applyFill="1" applyBorder="1" applyAlignment="1">
      <alignment horizontal="center" vertical="center"/>
    </xf>
    <xf numFmtId="0" fontId="11" fillId="2" borderId="11" xfId="0" applyFont="1" applyFill="1" applyBorder="1" applyAlignment="1">
      <alignment horizontal="center" vertical="center"/>
    </xf>
    <xf numFmtId="0" fontId="11" fillId="2" borderId="12" xfId="0" applyFont="1" applyFill="1" applyBorder="1" applyAlignment="1">
      <alignment horizontal="center" vertical="center"/>
    </xf>
    <xf numFmtId="0" fontId="11" fillId="2" borderId="13" xfId="0" applyFont="1" applyFill="1" applyBorder="1" applyAlignment="1">
      <alignment horizontal="center" vertical="center"/>
    </xf>
    <xf numFmtId="0" fontId="11" fillId="0" borderId="9" xfId="0" applyFont="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166" fontId="0" fillId="0" borderId="15" xfId="0" applyNumberFormat="1" applyBorder="1" applyAlignment="1">
      <alignment horizontal="center" vertical="center"/>
    </xf>
    <xf numFmtId="166" fontId="0" fillId="0" borderId="14" xfId="0" applyNumberFormat="1" applyBorder="1" applyAlignment="1">
      <alignment horizontal="center" vertical="center"/>
    </xf>
    <xf numFmtId="0" fontId="1" fillId="2" borderId="0" xfId="0" applyFont="1" applyFill="1" applyBorder="1" applyAlignment="1">
      <alignment horizontal="center"/>
    </xf>
    <xf numFmtId="0" fontId="0" fillId="2" borderId="2" xfId="0" applyFill="1" applyBorder="1" applyAlignment="1">
      <alignment horizontal="center"/>
    </xf>
    <xf numFmtId="0" fontId="11" fillId="0" borderId="1" xfId="0" applyFont="1" applyBorder="1" applyAlignment="1">
      <alignment horizontal="center"/>
    </xf>
    <xf numFmtId="0" fontId="11" fillId="0" borderId="3" xfId="0" applyFont="1" applyBorder="1" applyAlignment="1">
      <alignment horizontal="center"/>
    </xf>
    <xf numFmtId="0" fontId="0" fillId="6" borderId="5" xfId="0" applyFill="1" applyBorder="1" applyAlignment="1">
      <alignment horizontal="center" vertical="center" wrapText="1"/>
    </xf>
    <xf numFmtId="0" fontId="0" fillId="6" borderId="6" xfId="0" applyFill="1" applyBorder="1" applyAlignment="1">
      <alignment horizontal="center" vertical="center" wrapText="1"/>
    </xf>
    <xf numFmtId="0" fontId="0" fillId="6" borderId="7" xfId="0" applyFill="1" applyBorder="1" applyAlignment="1">
      <alignment horizontal="center" vertical="center" wrapText="1"/>
    </xf>
    <xf numFmtId="0" fontId="0" fillId="6" borderId="9" xfId="0" applyFill="1" applyBorder="1" applyAlignment="1">
      <alignment horizontal="center" vertical="center" wrapText="1"/>
    </xf>
    <xf numFmtId="0" fontId="0" fillId="6" borderId="0" xfId="0" applyFill="1" applyBorder="1" applyAlignment="1">
      <alignment horizontal="center" vertical="center" wrapText="1"/>
    </xf>
    <xf numFmtId="0" fontId="0" fillId="6" borderId="10"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13" xfId="0" applyFill="1" applyBorder="1" applyAlignment="1">
      <alignment horizontal="center" vertical="center" wrapText="1"/>
    </xf>
    <xf numFmtId="0" fontId="1" fillId="2" borderId="1"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3" fillId="6" borderId="1" xfId="0" applyFont="1" applyFill="1" applyBorder="1" applyAlignment="1">
      <alignment horizontal="center" vertical="center"/>
    </xf>
    <xf numFmtId="0" fontId="13" fillId="6" borderId="2" xfId="0" applyFont="1" applyFill="1" applyBorder="1" applyAlignment="1">
      <alignment horizontal="center" vertical="center"/>
    </xf>
    <xf numFmtId="0" fontId="13" fillId="6" borderId="3" xfId="0" applyFont="1" applyFill="1" applyBorder="1" applyAlignment="1">
      <alignment horizontal="center" vertical="center"/>
    </xf>
    <xf numFmtId="0" fontId="10" fillId="0" borderId="8" xfId="0" applyFont="1" applyBorder="1" applyAlignment="1">
      <alignment horizontal="center" vertical="center"/>
    </xf>
    <xf numFmtId="0" fontId="10" fillId="0" borderId="5" xfId="0" applyFont="1" applyBorder="1" applyAlignment="1">
      <alignment horizontal="center" vertical="center"/>
    </xf>
    <xf numFmtId="0" fontId="10" fillId="0" borderId="9" xfId="0" applyFont="1" applyBorder="1" applyAlignment="1">
      <alignment horizontal="center" vertical="center"/>
    </xf>
    <xf numFmtId="0" fontId="10" fillId="0" borderId="11" xfId="0" applyFont="1" applyBorder="1" applyAlignment="1">
      <alignment horizontal="center" vertical="center"/>
    </xf>
    <xf numFmtId="0" fontId="11" fillId="0" borderId="15" xfId="0" applyFont="1" applyBorder="1" applyAlignment="1">
      <alignment horizontal="center" vertical="center"/>
    </xf>
    <xf numFmtId="0" fontId="11" fillId="0" borderId="8" xfId="0" applyFont="1" applyBorder="1" applyAlignment="1">
      <alignment horizontal="center" vertical="center"/>
    </xf>
    <xf numFmtId="0" fontId="11" fillId="0" borderId="14" xfId="0" applyFont="1" applyBorder="1" applyAlignment="1">
      <alignment horizontal="center" vertical="center"/>
    </xf>
    <xf numFmtId="0" fontId="10" fillId="0" borderId="5"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1" xfId="0" applyFont="1" applyBorder="1" applyAlignment="1">
      <alignment horizontal="center" vertical="center" wrapText="1"/>
    </xf>
    <xf numFmtId="0" fontId="11" fillId="6" borderId="1" xfId="0" applyFont="1" applyFill="1" applyBorder="1" applyAlignment="1">
      <alignment horizontal="center" vertical="center"/>
    </xf>
    <xf numFmtId="0" fontId="11" fillId="6" borderId="3" xfId="0" applyFont="1" applyFill="1" applyBorder="1" applyAlignment="1">
      <alignment horizontal="center" vertical="center"/>
    </xf>
  </cellXfs>
  <cellStyles count="12">
    <cellStyle name="Bad" xfId="4" builtinId="27"/>
    <cellStyle name="Bad 2" xfId="7" xr:uid="{D917B99A-32B8-4883-B331-09E45DEC5622}"/>
    <cellStyle name="Comma 2" xfId="2" xr:uid="{00000000-0005-0000-0000-000000000000}"/>
    <cellStyle name="Good" xfId="3" builtinId="26"/>
    <cellStyle name="Hyperlink" xfId="11" builtinId="8"/>
    <cellStyle name="Input" xfId="5" builtinId="20"/>
    <cellStyle name="Neutral" xfId="10" builtinId="28"/>
    <cellStyle name="Normal" xfId="0" builtinId="0"/>
    <cellStyle name="Normal 2" xfId="1" xr:uid="{00000000-0005-0000-0000-000002000000}"/>
    <cellStyle name="Normal 2 2" xfId="6" xr:uid="{7D19D301-3EDE-42ED-97EB-5DD4D1AC8739}"/>
    <cellStyle name="Note" xfId="9" builtinId="10"/>
    <cellStyle name="Percent" xfId="8" builtinId="5"/>
  </cellStyles>
  <dxfs count="294">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bottom/>
        <vertical/>
        <horizontal/>
      </border>
    </dxf>
    <dxf>
      <border outline="0">
        <bottom style="thin">
          <color indexed="64"/>
        </bottom>
      </border>
    </dxf>
    <dxf>
      <fill>
        <patternFill patternType="solid">
          <fgColor indexed="64"/>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8"/>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numFmt numFmtId="0" formatCode="General"/>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0"/>
        <color theme="0"/>
        <name val="Arial"/>
        <family val="2"/>
        <scheme val="none"/>
      </font>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auto="1"/>
        </patternFill>
      </fill>
    </dxf>
    <dxf>
      <alignment horizontal="center" vertical="center" textRotation="0" wrapText="0" indent="0" justifyLastLine="0" shrinkToFit="0" readingOrder="0"/>
    </dxf>
    <dxf>
      <border diagonalUp="0" diagonalDown="0">
        <left style="thin">
          <color indexed="64"/>
        </left>
        <right style="thin">
          <color indexed="64"/>
        </right>
        <top/>
        <bottom/>
        <vertical/>
        <horizontal/>
      </border>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bottom style="thin">
          <color indexed="64"/>
        </bottom>
      </border>
    </dxf>
    <dxf>
      <font>
        <strike val="0"/>
        <outline val="0"/>
        <shadow val="0"/>
        <u val="none"/>
        <vertAlign val="baseline"/>
        <sz val="12"/>
        <color auto="1"/>
        <name val="Calibri"/>
        <family val="2"/>
        <scheme val="minor"/>
      </font>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0" formatCode="General"/>
    </dxf>
    <dxf>
      <alignment horizontal="center" vertical="bottom" textRotation="0" wrapText="0" indent="0" justifyLastLine="0" shrinkToFit="0" readingOrder="0"/>
    </dxf>
    <dxf>
      <numFmt numFmtId="0" formatCode="General"/>
    </dxf>
    <dxf>
      <alignment horizontal="center" vertical="center" textRotation="0" wrapText="0" indent="0" justifyLastLine="0" shrinkToFit="0" readingOrder="0"/>
    </dxf>
    <dxf>
      <border outline="0">
        <left style="thin">
          <color indexed="64"/>
        </left>
        <right style="thin">
          <color indexed="64"/>
        </right>
        <top style="thin">
          <color indexed="64"/>
        </top>
      </border>
    </dxf>
    <dxf>
      <border>
        <bottom style="thin">
          <color indexed="64"/>
        </bottom>
      </border>
    </dxf>
    <dxf>
      <font>
        <b/>
        <i val="0"/>
        <strike val="0"/>
        <outline val="0"/>
        <shadow val="0"/>
        <u val="none"/>
        <vertAlign val="baseline"/>
        <sz val="12"/>
        <color theme="1" tint="0.14999847407452621"/>
        <name val="Calibri"/>
        <family val="2"/>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alignment horizontal="center" vertical="center" textRotation="0" wrapText="0" indent="0" justifyLastLine="0" shrinkToFit="0" readingOrder="0"/>
      <border outline="0">
        <left/>
        <right style="thin">
          <color indexed="64"/>
        </right>
      </border>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2"/>
        <name val="Calibri"/>
        <family val="2"/>
      </font>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strike val="0"/>
        <outline val="0"/>
        <shadow val="0"/>
        <u val="none"/>
        <vertAlign val="baseline"/>
        <sz val="12"/>
        <name val="Calibri"/>
        <family val="2"/>
      </font>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5"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'Unit-100'!$E$6</c:f>
              <c:strCache>
                <c:ptCount val="1"/>
                <c:pt idx="0">
                  <c:v>Unit 1</c:v>
                </c:pt>
              </c:strCache>
            </c:strRef>
          </c:tx>
          <c:cat>
            <c:numRef>
              <c:f>('Unit-100'!$C$13:$C$43,'Unit-100'!$C$46:$C$50)</c:f>
              <c:numCache>
                <c:formatCode>General</c:formatCode>
                <c:ptCount val="36"/>
              </c:numCache>
            </c:numRef>
          </c:cat>
          <c:val>
            <c:numRef>
              <c:f>('Unit-100'!$T$13:$T$43,'Unit-100'!$T$46:$T$50)</c:f>
              <c:numCache>
                <c:formatCode>General</c:formatCode>
                <c:ptCount val="3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formatCode="0.00">
                  <c:v>0</c:v>
                </c:pt>
                <c:pt idx="32" formatCode="0.00">
                  <c:v>0</c:v>
                </c:pt>
                <c:pt idx="33" formatCode="0.00">
                  <c:v>0</c:v>
                </c:pt>
                <c:pt idx="34" formatCode="0.00">
                  <c:v>0</c:v>
                </c:pt>
                <c:pt idx="35" formatCode="0.00">
                  <c:v>0</c:v>
                </c:pt>
              </c:numCache>
            </c:numRef>
          </c:val>
          <c:extLst>
            <c:ext xmlns:c16="http://schemas.microsoft.com/office/drawing/2014/chart" uri="{C3380CC4-5D6E-409C-BE32-E72D297353CC}">
              <c16:uniqueId val="{00000000-192A-4FD8-8564-9FBD3D99537D}"/>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'Unit-200'!$E$6</c:f>
              <c:strCache>
                <c:ptCount val="1"/>
                <c:pt idx="0">
                  <c:v>Unit 2</c:v>
                </c:pt>
              </c:strCache>
            </c:strRef>
          </c:tx>
          <c:cat>
            <c:numRef>
              <c:f>('Unit-200'!$C$13:$C$43,'Unit-200'!$C$46:$C$50)</c:f>
              <c:numCache>
                <c:formatCode>General</c:formatCode>
                <c:ptCount val="36"/>
              </c:numCache>
            </c:numRef>
          </c:cat>
          <c:val>
            <c:numRef>
              <c:f>('Unit-200'!$T$13:$T$44,'Unit-200'!$T$46:$T$50)</c:f>
              <c:numCache>
                <c:formatCode>General</c:formatCode>
                <c:ptCount val="3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58D2-4ABC-95BB-A66154CE585C}"/>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'Unit-300'!$C$13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s-E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s-E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'Unit-300'!$E$6</c:f>
              <c:strCache>
                <c:ptCount val="1"/>
                <c:pt idx="0">
                  <c:v>Unit 3</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3E10-481F-A374-4A10CFC243EB}"/>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3E10-481F-A374-4A10CFC243EB}"/>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3E10-481F-A374-4A10CFC243EB}"/>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3E10-481F-A374-4A10CFC243EB}"/>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3E10-481F-A374-4A10CFC243EB}"/>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3E10-481F-A374-4A10CFC243EB}"/>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3E10-481F-A374-4A10CFC243EB}"/>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3E10-481F-A374-4A10CFC243EB}"/>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3E10-481F-A374-4A10CFC243EB}"/>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3E10-481F-A374-4A10CFC243EB}"/>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3E10-481F-A374-4A10CFC243EB}"/>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3E10-481F-A374-4A10CFC243EB}"/>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3E10-481F-A374-4A10CFC243EB}"/>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3E10-481F-A374-4A10CFC243EB}"/>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3E10-481F-A374-4A10CFC243EB}"/>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3E10-481F-A374-4A10CFC243EB}"/>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3E10-481F-A374-4A10CFC243EB}"/>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3E10-481F-A374-4A10CFC243EB}"/>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3E10-481F-A374-4A10CFC243EB}"/>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3E10-481F-A374-4A10CFC243EB}"/>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3E10-481F-A374-4A10CFC243EB}"/>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3E10-481F-A374-4A10CFC243EB}"/>
              </c:ext>
            </c:extLst>
          </c:dPt>
          <c:cat>
            <c:numRef>
              <c:f>'Unit-300'!$C$13:$C$34</c:f>
              <c:numCache>
                <c:formatCode>General</c:formatCode>
                <c:ptCount val="22"/>
              </c:numCache>
            </c:numRef>
          </c:cat>
          <c:val>
            <c:numRef>
              <c:f>'Unit-300'!$S$13:$S$34</c:f>
              <c:numCache>
                <c:formatCode>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00-718D-449C-8DA9-82A65EFCF74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s-E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'Unit-400'!$C$13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s-E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s-E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'Unit-400'!$E$6</c:f>
              <c:strCache>
                <c:ptCount val="1"/>
                <c:pt idx="0">
                  <c:v>Unit 4</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CFD4-4916-B3AE-45702CF55CE6}"/>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CFD4-4916-B3AE-45702CF55CE6}"/>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CFD4-4916-B3AE-45702CF55CE6}"/>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CFD4-4916-B3AE-45702CF55CE6}"/>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CFD4-4916-B3AE-45702CF55CE6}"/>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CFD4-4916-B3AE-45702CF55CE6}"/>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CFD4-4916-B3AE-45702CF55CE6}"/>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CFD4-4916-B3AE-45702CF55CE6}"/>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CFD4-4916-B3AE-45702CF55CE6}"/>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CFD4-4916-B3AE-45702CF55CE6}"/>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CFD4-4916-B3AE-45702CF55CE6}"/>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CFD4-4916-B3AE-45702CF55CE6}"/>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CFD4-4916-B3AE-45702CF55CE6}"/>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CFD4-4916-B3AE-45702CF55CE6}"/>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CFD4-4916-B3AE-45702CF55CE6}"/>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CFD4-4916-B3AE-45702CF55CE6}"/>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CFD4-4916-B3AE-45702CF55CE6}"/>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CFD4-4916-B3AE-45702CF55CE6}"/>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CFD4-4916-B3AE-45702CF55CE6}"/>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CFD4-4916-B3AE-45702CF55CE6}"/>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CFD4-4916-B3AE-45702CF55CE6}"/>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CFD4-4916-B3AE-45702CF55CE6}"/>
              </c:ext>
            </c:extLst>
          </c:dPt>
          <c:cat>
            <c:numRef>
              <c:f>'Unit-400'!$C$13:$C$34</c:f>
              <c:numCache>
                <c:formatCode>General</c:formatCode>
                <c:ptCount val="22"/>
              </c:numCache>
            </c:numRef>
          </c:cat>
          <c:val>
            <c:numRef>
              <c:f>'Unit-400'!$S$13:$S$34</c:f>
              <c:numCache>
                <c:formatCode>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00-9C39-43FD-8808-6783EA257EA2}"/>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s-E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0" i="0" u="none" strike="noStrike" kern="1200" spc="0" baseline="0">
                <a:solidFill>
                  <a:sysClr val="windowText" lastClr="000000"/>
                </a:solidFill>
                <a:latin typeface="+mn-lt"/>
                <a:ea typeface="+mn-ea"/>
                <a:cs typeface="+mn-cs"/>
              </a:defRPr>
            </a:pPr>
            <a:r>
              <a:rPr lang="en-US">
                <a:solidFill>
                  <a:sysClr val="windowText" lastClr="000000"/>
                </a:solidFill>
              </a:rPr>
              <a:t>Bare Erected Cost Distribution</a:t>
            </a:r>
          </a:p>
        </c:rich>
      </c:tx>
      <c:overlay val="0"/>
      <c:spPr>
        <a:noFill/>
        <a:ln>
          <a:noFill/>
        </a:ln>
        <a:effectLst/>
      </c:spPr>
    </c:title>
    <c:autoTitleDeleted val="0"/>
    <c:plotArea>
      <c:layout/>
      <c:pieChart>
        <c:varyColors val="1"/>
        <c:ser>
          <c:idx val="0"/>
          <c:order val="0"/>
          <c:tx>
            <c:strRef>
              <c:f>'Plant CAPEX'!$B$6</c:f>
              <c:strCache>
                <c:ptCount val="1"/>
                <c:pt idx="0">
                  <c:v>Bare Erected Cost (BEC) - Estimate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AB8-484C-9DA7-7E9CE4A5D45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AB8-484C-9DA7-7E9CE4A5D45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AB8-484C-9DA7-7E9CE4A5D45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AB8-484C-9DA7-7E9CE4A5D45D}"/>
              </c:ext>
            </c:extLst>
          </c:dPt>
          <c:cat>
            <c:strRef>
              <c:f>'Plant CAPEX'!$D$4:$G$4</c:f>
              <c:strCache>
                <c:ptCount val="4"/>
                <c:pt idx="0">
                  <c:v>Unit 1</c:v>
                </c:pt>
                <c:pt idx="1">
                  <c:v>Unit 2</c:v>
                </c:pt>
                <c:pt idx="2">
                  <c:v>Unit 3</c:v>
                </c:pt>
                <c:pt idx="3">
                  <c:v>Unit 4</c:v>
                </c:pt>
              </c:strCache>
            </c:strRef>
          </c:cat>
          <c:val>
            <c:numRef>
              <c:f>'Plant CAPEX'!$D$6:$G$6</c:f>
              <c:numCache>
                <c:formatCode>0.0</c:formatCode>
                <c:ptCount val="4"/>
                <c:pt idx="0">
                  <c:v>0</c:v>
                </c:pt>
                <c:pt idx="1">
                  <c:v>0</c:v>
                </c:pt>
                <c:pt idx="2">
                  <c:v>0</c:v>
                </c:pt>
                <c:pt idx="3">
                  <c:v>0</c:v>
                </c:pt>
              </c:numCache>
            </c:numRef>
          </c:val>
          <c:extLst>
            <c:ext xmlns:c16="http://schemas.microsoft.com/office/drawing/2014/chart" uri="{C3380CC4-5D6E-409C-BE32-E72D297353CC}">
              <c16:uniqueId val="{00000000-80A1-4263-BD62-8A2AB34EBFCB}"/>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0.25699735717881311"/>
          <c:y val="0.93200188699017295"/>
          <c:w val="0.56287755177955168"/>
          <c:h val="5.3890121332431311E-2"/>
        </c:manualLayout>
      </c:layout>
      <c:overlay val="0"/>
      <c:spPr>
        <a:noFill/>
        <a:ln>
          <a:noFill/>
        </a:ln>
        <a:effectLst/>
      </c:spPr>
      <c:txPr>
        <a:bodyPr rot="0" spcFirstLastPara="1" vertOverflow="ellipsis" vert="horz" wrap="square" anchor="ctr" anchorCtr="1"/>
        <a:lstStyle/>
        <a:p>
          <a:pPr rtl="0">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400">
          <a:solidFill>
            <a:sysClr val="windowText" lastClr="000000"/>
          </a:solidFill>
        </a:defRPr>
      </a:pPr>
      <a:endParaRPr lang="es-E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mn-lt"/>
                <a:ea typeface="+mn-ea"/>
                <a:cs typeface="+mn-cs"/>
              </a:defRPr>
            </a:pPr>
            <a:r>
              <a:rPr lang="en-US" b="1"/>
              <a:t>O&amp;M Distribution</a:t>
            </a:r>
          </a:p>
        </c:rich>
      </c:tx>
      <c:overlay val="0"/>
      <c:spPr>
        <a:noFill/>
        <a:ln>
          <a:noFill/>
        </a:ln>
        <a:effectLst/>
      </c:spPr>
    </c:title>
    <c:autoTitleDeleted val="0"/>
    <c:plotArea>
      <c:layout>
        <c:manualLayout>
          <c:layoutTarget val="inner"/>
          <c:xMode val="edge"/>
          <c:yMode val="edge"/>
          <c:x val="8.4162223332474279E-2"/>
          <c:y val="0.19743006814089725"/>
          <c:w val="0.83167555333505139"/>
          <c:h val="0.50717621827579573"/>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274-4A91-B1FF-FB14ABB5501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74-4A91-B1FF-FB14ABB5501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274-4A91-B1FF-FB14ABB5501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274-4A91-B1FF-FB14ABB55015}"/>
              </c:ext>
            </c:extLst>
          </c:dPt>
          <c:cat>
            <c:strRef>
              <c:f>'Plant OPEX'!$W$14:$W$17</c:f>
              <c:strCache>
                <c:ptCount val="4"/>
                <c:pt idx="0">
                  <c:v>Total FOM</c:v>
                </c:pt>
                <c:pt idx="1">
                  <c:v>Fuel 1</c:v>
                </c:pt>
                <c:pt idx="2">
                  <c:v>Fuel 2</c:v>
                </c:pt>
                <c:pt idx="3">
                  <c:v>Total VOM (exl. Fuel &amp; CO2 tax)</c:v>
                </c:pt>
              </c:strCache>
            </c:strRef>
          </c:cat>
          <c:val>
            <c:numRef>
              <c:f>('Plant OPEX'!$G$18,'Plant OPEX'!$N$16,'Plant OPEX'!$N$17,'Plant OPEX'!$U$18)</c:f>
              <c:numCache>
                <c:formatCode>0.00</c:formatCode>
                <c:ptCount val="4"/>
                <c:pt idx="0">
                  <c:v>0</c:v>
                </c:pt>
                <c:pt idx="1">
                  <c:v>0</c:v>
                </c:pt>
                <c:pt idx="2">
                  <c:v>0</c:v>
                </c:pt>
                <c:pt idx="3">
                  <c:v>0</c:v>
                </c:pt>
              </c:numCache>
            </c:numRef>
          </c:val>
          <c:extLst>
            <c:ext xmlns:c16="http://schemas.microsoft.com/office/drawing/2014/chart" uri="{C3380CC4-5D6E-409C-BE32-E72D297353CC}">
              <c16:uniqueId val="{00000000-DDAD-457E-9F68-59EF7ED88EF4}"/>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4.2425072329428951E-2"/>
          <c:y val="0.87419191781938743"/>
          <c:w val="0.89999995013104728"/>
          <c:h val="6.8401445389170715E-2"/>
        </c:manualLayout>
      </c:layout>
      <c:overlay val="0"/>
      <c:spPr>
        <a:noFill/>
        <a:ln>
          <a:noFill/>
        </a:ln>
        <a:effectLst/>
      </c:spPr>
      <c:txPr>
        <a:bodyPr rot="0" spcFirstLastPara="1" vertOverflow="ellipsis" vert="horz" wrap="square" anchor="ctr" anchorCtr="1"/>
        <a:lstStyle/>
        <a:p>
          <a:pPr rtl="0">
            <a:defRPr sz="12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431808498590676"/>
          <c:y val="0.14237499967040992"/>
          <c:w val="0.8153524713256578"/>
          <c:h val="0.73919867425690622"/>
        </c:manualLayout>
      </c:layout>
      <c:barChart>
        <c:barDir val="col"/>
        <c:grouping val="stacked"/>
        <c:varyColors val="0"/>
        <c:ser>
          <c:idx val="0"/>
          <c:order val="0"/>
          <c:tx>
            <c:strRef>
              <c:f>'Cash Flow Analysis'!$G$17</c:f>
              <c:strCache>
                <c:ptCount val="1"/>
                <c:pt idx="0">
                  <c:v>Capital</c:v>
                </c:pt>
              </c:strCache>
            </c:strRef>
          </c:tx>
          <c:spPr>
            <a:solidFill>
              <a:schemeClr val="accent3"/>
            </a:solidFill>
            <a:ln>
              <a:noFill/>
            </a:ln>
            <a:effectLst/>
          </c:spPr>
          <c:invertIfNegative val="0"/>
          <c:cat>
            <c:strRef>
              <c:f>'Cash Flow Analysis'!$H$14:$I$14</c:f>
              <c:strCache>
                <c:ptCount val="2"/>
                <c:pt idx="0">
                  <c:v>Plant A</c:v>
                </c:pt>
                <c:pt idx="1">
                  <c:v>Reference</c:v>
                </c:pt>
              </c:strCache>
            </c:strRef>
          </c:cat>
          <c:val>
            <c:numRef>
              <c:f>'Cash Flow Analysis'!$H$17:$I$17</c:f>
              <c:numCache>
                <c:formatCode>General</c:formatCode>
                <c:ptCount val="2"/>
                <c:pt idx="0" formatCode="0.000">
                  <c:v>0</c:v>
                </c:pt>
              </c:numCache>
            </c:numRef>
          </c:val>
          <c:extLst>
            <c:ext xmlns:c16="http://schemas.microsoft.com/office/drawing/2014/chart" uri="{C3380CC4-5D6E-409C-BE32-E72D297353CC}">
              <c16:uniqueId val="{00000000-FF10-4AD3-8E66-141EEEED3947}"/>
            </c:ext>
          </c:extLst>
        </c:ser>
        <c:ser>
          <c:idx val="1"/>
          <c:order val="1"/>
          <c:tx>
            <c:strRef>
              <c:f>'Cash Flow Analysis'!$G$18</c:f>
              <c:strCache>
                <c:ptCount val="1"/>
                <c:pt idx="0">
                  <c:v>FOM</c:v>
                </c:pt>
              </c:strCache>
            </c:strRef>
          </c:tx>
          <c:spPr>
            <a:solidFill>
              <a:schemeClr val="accent4"/>
            </a:solidFill>
            <a:ln>
              <a:noFill/>
            </a:ln>
            <a:effectLst/>
          </c:spPr>
          <c:invertIfNegative val="0"/>
          <c:cat>
            <c:strRef>
              <c:f>'Cash Flow Analysis'!$H$14:$I$14</c:f>
              <c:strCache>
                <c:ptCount val="2"/>
                <c:pt idx="0">
                  <c:v>Plant A</c:v>
                </c:pt>
                <c:pt idx="1">
                  <c:v>Reference</c:v>
                </c:pt>
              </c:strCache>
            </c:strRef>
          </c:cat>
          <c:val>
            <c:numRef>
              <c:f>'Cash Flow Analysis'!$H$18:$I$18</c:f>
              <c:numCache>
                <c:formatCode>General</c:formatCode>
                <c:ptCount val="2"/>
                <c:pt idx="0" formatCode="0.000">
                  <c:v>0</c:v>
                </c:pt>
              </c:numCache>
            </c:numRef>
          </c:val>
          <c:extLst>
            <c:ext xmlns:c16="http://schemas.microsoft.com/office/drawing/2014/chart" uri="{C3380CC4-5D6E-409C-BE32-E72D297353CC}">
              <c16:uniqueId val="{00000003-FF10-4AD3-8E66-141EEEED3947}"/>
            </c:ext>
          </c:extLst>
        </c:ser>
        <c:ser>
          <c:idx val="3"/>
          <c:order val="2"/>
          <c:tx>
            <c:strRef>
              <c:f>'Cash Flow Analysis'!$G$21</c:f>
              <c:strCache>
                <c:ptCount val="1"/>
                <c:pt idx="0">
                  <c:v>Fuel 1</c:v>
                </c:pt>
              </c:strCache>
            </c:strRef>
          </c:tx>
          <c:spPr>
            <a:solidFill>
              <a:schemeClr val="accent2"/>
            </a:solidFill>
            <a:ln>
              <a:noFill/>
            </a:ln>
            <a:effectLst/>
          </c:spPr>
          <c:invertIfNegative val="0"/>
          <c:cat>
            <c:strRef>
              <c:f>'Cash Flow Analysis'!$H$14:$I$14</c:f>
              <c:strCache>
                <c:ptCount val="2"/>
                <c:pt idx="0">
                  <c:v>Plant A</c:v>
                </c:pt>
                <c:pt idx="1">
                  <c:v>Reference</c:v>
                </c:pt>
              </c:strCache>
            </c:strRef>
          </c:cat>
          <c:val>
            <c:numRef>
              <c:f>'Cash Flow Analysis'!$H$21:$I$21</c:f>
              <c:numCache>
                <c:formatCode>General</c:formatCode>
                <c:ptCount val="2"/>
                <c:pt idx="0" formatCode="0.000">
                  <c:v>0</c:v>
                </c:pt>
              </c:numCache>
            </c:numRef>
          </c:val>
          <c:extLst>
            <c:ext xmlns:c16="http://schemas.microsoft.com/office/drawing/2014/chart" uri="{C3380CC4-5D6E-409C-BE32-E72D297353CC}">
              <c16:uniqueId val="{00000001-FF10-4AD3-8E66-141EEEED3947}"/>
            </c:ext>
          </c:extLst>
        </c:ser>
        <c:ser>
          <c:idx val="4"/>
          <c:order val="3"/>
          <c:tx>
            <c:strRef>
              <c:f>'Cash Flow Analysis'!$G$22</c:f>
              <c:strCache>
                <c:ptCount val="1"/>
                <c:pt idx="0">
                  <c:v>Fuel 2</c:v>
                </c:pt>
              </c:strCache>
            </c:strRef>
          </c:tx>
          <c:spPr>
            <a:solidFill>
              <a:schemeClr val="accent6"/>
            </a:solidFill>
            <a:ln>
              <a:noFill/>
            </a:ln>
            <a:effectLst/>
          </c:spPr>
          <c:invertIfNegative val="0"/>
          <c:cat>
            <c:strRef>
              <c:f>'Cash Flow Analysis'!$H$14:$I$14</c:f>
              <c:strCache>
                <c:ptCount val="2"/>
                <c:pt idx="0">
                  <c:v>Plant A</c:v>
                </c:pt>
                <c:pt idx="1">
                  <c:v>Reference</c:v>
                </c:pt>
              </c:strCache>
            </c:strRef>
          </c:cat>
          <c:val>
            <c:numRef>
              <c:f>'Cash Flow Analysis'!$H$22:$I$22</c:f>
              <c:numCache>
                <c:formatCode>General</c:formatCode>
                <c:ptCount val="2"/>
                <c:pt idx="0" formatCode="0.000">
                  <c:v>0</c:v>
                </c:pt>
              </c:numCache>
            </c:numRef>
          </c:val>
          <c:extLst>
            <c:ext xmlns:c16="http://schemas.microsoft.com/office/drawing/2014/chart" uri="{C3380CC4-5D6E-409C-BE32-E72D297353CC}">
              <c16:uniqueId val="{00000002-FF10-4AD3-8E66-141EEEED3947}"/>
            </c:ext>
          </c:extLst>
        </c:ser>
        <c:ser>
          <c:idx val="2"/>
          <c:order val="4"/>
          <c:tx>
            <c:strRef>
              <c:f>'Cash Flow Analysis'!$G$19</c:f>
              <c:strCache>
                <c:ptCount val="1"/>
                <c:pt idx="0">
                  <c:v>VOM</c:v>
                </c:pt>
              </c:strCache>
            </c:strRef>
          </c:tx>
          <c:spPr>
            <a:solidFill>
              <a:schemeClr val="accent5"/>
            </a:solidFill>
            <a:ln>
              <a:noFill/>
            </a:ln>
            <a:effectLst/>
          </c:spPr>
          <c:invertIfNegative val="0"/>
          <c:cat>
            <c:strRef>
              <c:f>'Cash Flow Analysis'!$H$14:$I$14</c:f>
              <c:strCache>
                <c:ptCount val="2"/>
                <c:pt idx="0">
                  <c:v>Plant A</c:v>
                </c:pt>
                <c:pt idx="1">
                  <c:v>Reference</c:v>
                </c:pt>
              </c:strCache>
            </c:strRef>
          </c:cat>
          <c:val>
            <c:numRef>
              <c:f>'Cash Flow Analysis'!$H$19:$I$19</c:f>
              <c:numCache>
                <c:formatCode>General</c:formatCode>
                <c:ptCount val="2"/>
                <c:pt idx="0" formatCode="0.000">
                  <c:v>0</c:v>
                </c:pt>
              </c:numCache>
            </c:numRef>
          </c:val>
          <c:extLst>
            <c:ext xmlns:c16="http://schemas.microsoft.com/office/drawing/2014/chart" uri="{C3380CC4-5D6E-409C-BE32-E72D297353CC}">
              <c16:uniqueId val="{00000004-FF10-4AD3-8E66-141EEEED3947}"/>
            </c:ext>
          </c:extLst>
        </c:ser>
        <c:ser>
          <c:idx val="5"/>
          <c:order val="5"/>
          <c:tx>
            <c:strRef>
              <c:f>'Cash Flow Analysis'!$G$20</c:f>
              <c:strCache>
                <c:ptCount val="1"/>
                <c:pt idx="0">
                  <c:v>CO2 tax</c:v>
                </c:pt>
              </c:strCache>
            </c:strRef>
          </c:tx>
          <c:spPr>
            <a:solidFill>
              <a:schemeClr val="tx1"/>
            </a:solidFill>
            <a:ln>
              <a:noFill/>
            </a:ln>
            <a:effectLst/>
          </c:spPr>
          <c:invertIfNegative val="0"/>
          <c:cat>
            <c:strRef>
              <c:f>'Cash Flow Analysis'!$H$14:$I$14</c:f>
              <c:strCache>
                <c:ptCount val="2"/>
                <c:pt idx="0">
                  <c:v>Plant A</c:v>
                </c:pt>
                <c:pt idx="1">
                  <c:v>Reference</c:v>
                </c:pt>
              </c:strCache>
            </c:strRef>
          </c:cat>
          <c:val>
            <c:numRef>
              <c:f>'Cash Flow Analysis'!$H$20:$I$20</c:f>
              <c:numCache>
                <c:formatCode>General</c:formatCode>
                <c:ptCount val="2"/>
                <c:pt idx="0" formatCode="0.000">
                  <c:v>0</c:v>
                </c:pt>
              </c:numCache>
            </c:numRef>
          </c:val>
          <c:extLst>
            <c:ext xmlns:c16="http://schemas.microsoft.com/office/drawing/2014/chart" uri="{C3380CC4-5D6E-409C-BE32-E72D297353CC}">
              <c16:uniqueId val="{00000005-FF10-4AD3-8E66-141EEEED3947}"/>
            </c:ext>
          </c:extLst>
        </c:ser>
        <c:dLbls>
          <c:showLegendKey val="0"/>
          <c:showVal val="0"/>
          <c:showCatName val="0"/>
          <c:showSerName val="0"/>
          <c:showPercent val="0"/>
          <c:showBubbleSize val="0"/>
        </c:dLbls>
        <c:gapWidth val="150"/>
        <c:overlap val="100"/>
        <c:axId val="308973903"/>
        <c:axId val="308972239"/>
        <c:extLst>
          <c:ext xmlns:c15="http://schemas.microsoft.com/office/drawing/2012/chart" uri="{02D57815-91ED-43cb-92C2-25804820EDAC}">
            <c15:filteredBarSeries>
              <c15:ser>
                <c:idx val="6"/>
                <c:order val="6"/>
                <c:tx>
                  <c:strRef>
                    <c:extLst>
                      <c:ext uri="{02D57815-91ED-43cb-92C2-25804820EDAC}">
                        <c15:formulaRef>
                          <c15:sqref>'Cash Flow Analysis'!$G$16</c15:sqref>
                        </c15:formulaRef>
                      </c:ext>
                    </c:extLst>
                    <c:strCache>
                      <c:ptCount val="1"/>
                      <c:pt idx="0">
                        <c:v>LCOP</c:v>
                      </c:pt>
                    </c:strCache>
                  </c:strRef>
                </c:tx>
                <c:spPr>
                  <a:solidFill>
                    <a:schemeClr val="accent1">
                      <a:lumMod val="60000"/>
                    </a:schemeClr>
                  </a:solidFill>
                  <a:ln>
                    <a:noFill/>
                  </a:ln>
                  <a:effectLst/>
                </c:spPr>
                <c:invertIfNegative val="0"/>
                <c:cat>
                  <c:strRef>
                    <c:extLst>
                      <c:ext uri="{02D57815-91ED-43cb-92C2-25804820EDAC}">
                        <c15:formulaRef>
                          <c15:sqref>'Cash Flow Analysis'!$H$14:$I$14</c15:sqref>
                        </c15:formulaRef>
                      </c:ext>
                    </c:extLst>
                    <c:strCache>
                      <c:ptCount val="2"/>
                      <c:pt idx="0">
                        <c:v>Plant A</c:v>
                      </c:pt>
                      <c:pt idx="1">
                        <c:v>Reference</c:v>
                      </c:pt>
                    </c:strCache>
                  </c:strRef>
                </c:cat>
                <c:val>
                  <c:numRef>
                    <c:extLst>
                      <c:ext uri="{02D57815-91ED-43cb-92C2-25804820EDAC}">
                        <c15:formulaRef>
                          <c15:sqref>'Cash Flow Analysis'!$H$16:$I$16</c15:sqref>
                        </c15:formulaRef>
                      </c:ext>
                    </c:extLst>
                    <c:numCache>
                      <c:formatCode>General</c:formatCode>
                      <c:ptCount val="2"/>
                      <c:pt idx="0" formatCode="0.000">
                        <c:v>0</c:v>
                      </c:pt>
                    </c:numCache>
                  </c:numRef>
                </c:val>
                <c:extLst>
                  <c:ext xmlns:c16="http://schemas.microsoft.com/office/drawing/2014/chart" uri="{C3380CC4-5D6E-409C-BE32-E72D297353CC}">
                    <c16:uniqueId val="{00000001-A483-4870-A505-5FD67E94DDF2}"/>
                  </c:ext>
                </c:extLst>
              </c15:ser>
            </c15:filteredBarSeries>
          </c:ext>
        </c:extLst>
      </c:barChart>
      <c:catAx>
        <c:axId val="308973903"/>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08972239"/>
        <c:crosses val="autoZero"/>
        <c:auto val="1"/>
        <c:lblAlgn val="ctr"/>
        <c:lblOffset val="100"/>
        <c:noMultiLvlLbl val="0"/>
      </c:catAx>
      <c:valAx>
        <c:axId val="3089722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LCOP(€/-)</a:t>
                </a:r>
              </a:p>
            </c:rich>
          </c:tx>
          <c:layout>
            <c:manualLayout>
              <c:xMode val="edge"/>
              <c:yMode val="edge"/>
              <c:x val="3.8175927063193544E-3"/>
              <c:y val="0.3628601694915255"/>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0.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08973903"/>
        <c:crosses val="autoZero"/>
        <c:crossBetween val="between"/>
      </c:valAx>
      <c:spPr>
        <a:noFill/>
        <a:ln>
          <a:noFill/>
        </a:ln>
        <a:effectLst/>
      </c:spPr>
    </c:plotArea>
    <c:legend>
      <c:legendPos val="t"/>
      <c:layout>
        <c:manualLayout>
          <c:xMode val="edge"/>
          <c:yMode val="edge"/>
          <c:x val="0.15625796560738919"/>
          <c:y val="2.6136034285537891E-2"/>
          <c:w val="0.6930529390347685"/>
          <c:h val="9.1015308799527517E-2"/>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a:solidFill>
            <a:sysClr val="windowText" lastClr="000000"/>
          </a:solidFill>
          <a:latin typeface="+mn-lt"/>
        </a:defRPr>
      </a:pPr>
      <a:endParaRPr lang="es-E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6035098969611834E-2"/>
          <c:y val="0.13080586989155474"/>
          <c:w val="0.9098674806282977"/>
          <c:h val="0.69336628604147255"/>
        </c:manualLayout>
      </c:layout>
      <c:scatterChart>
        <c:scatterStyle val="smoothMarker"/>
        <c:varyColors val="0"/>
        <c:ser>
          <c:idx val="0"/>
          <c:order val="0"/>
          <c:tx>
            <c:strRef>
              <c:f>'Cash Flow Analysis'!$B$39</c:f>
              <c:strCache>
                <c:ptCount val="1"/>
                <c:pt idx="0">
                  <c:v>Discounted cash flow</c:v>
                </c:pt>
              </c:strCache>
            </c:strRef>
          </c:tx>
          <c:spPr>
            <a:ln w="22225" cap="rnd">
              <a:solidFill>
                <a:schemeClr val="accent1"/>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Analysis'!$C$39:$AT$39</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0-5818-4710-90C4-F7C5D8D61E34}"/>
            </c:ext>
          </c:extLst>
        </c:ser>
        <c:ser>
          <c:idx val="1"/>
          <c:order val="1"/>
          <c:tx>
            <c:strRef>
              <c:f>'Cash Flow Analysis'!$B$38</c:f>
              <c:strCache>
                <c:ptCount val="1"/>
                <c:pt idx="0">
                  <c:v>Cash flow</c:v>
                </c:pt>
              </c:strCache>
            </c:strRef>
          </c:tx>
          <c:spPr>
            <a:ln w="22225" cap="rnd">
              <a:solidFill>
                <a:schemeClr val="accent2"/>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Analysis'!$C$38:$AT$38</c:f>
              <c:numCache>
                <c:formatCode>General</c:formatCode>
                <c:ptCount val="44"/>
                <c:pt idx="0">
                  <c:v>0</c:v>
                </c:pt>
                <c:pt idx="1">
                  <c:v>0</c:v>
                </c:pt>
                <c:pt idx="2">
                  <c:v>0</c:v>
                </c:pt>
                <c:pt idx="3">
                  <c:v>0</c:v>
                </c:pt>
                <c:pt idx="4" formatCode="0.00">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1-5818-4710-90C4-F7C5D8D61E34}"/>
            </c:ext>
          </c:extLst>
        </c:ser>
        <c:dLbls>
          <c:showLegendKey val="0"/>
          <c:showVal val="0"/>
          <c:showCatName val="0"/>
          <c:showSerName val="0"/>
          <c:showPercent val="0"/>
          <c:showBubbleSize val="0"/>
        </c:dLbls>
        <c:axId val="742648856"/>
        <c:axId val="742652792"/>
      </c:scatterChart>
      <c:valAx>
        <c:axId val="742648856"/>
        <c:scaling>
          <c:orientation val="minMax"/>
          <c:max val="40"/>
          <c:min val="-5"/>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742652792"/>
        <c:crosses val="autoZero"/>
        <c:crossBetween val="midCat"/>
      </c:valAx>
      <c:valAx>
        <c:axId val="742652792"/>
        <c:scaling>
          <c:orientation val="minMax"/>
        </c:scaling>
        <c:delete val="0"/>
        <c:axPos val="l"/>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Cash</a:t>
                </a:r>
                <a:r>
                  <a:rPr lang="en-US" baseline="0"/>
                  <a:t> Flow (M€)</a:t>
                </a:r>
                <a:endParaRPr lang="en-US"/>
              </a:p>
            </c:rich>
          </c:tx>
          <c:layout>
            <c:manualLayout>
              <c:xMode val="edge"/>
              <c:yMode val="edge"/>
              <c:x val="1.79487143249113E-2"/>
              <c:y val="0.33240932004081813"/>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742648856"/>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b="0">
          <a:solidFill>
            <a:sysClr val="windowText" lastClr="000000"/>
          </a:solidFill>
        </a:defRPr>
      </a:pPr>
      <a:endParaRPr lang="es-E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Benchmark'!$D$6</c:f>
          <c:strCache>
            <c:ptCount val="1"/>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1657382627411238"/>
          <c:y val="7.2716246412465865E-2"/>
          <c:w val="0.82922956167615314"/>
          <c:h val="0.71498104339362989"/>
        </c:manualLayout>
      </c:layout>
      <c:scatterChart>
        <c:scatterStyle val="smoothMarker"/>
        <c:varyColors val="0"/>
        <c:ser>
          <c:idx val="0"/>
          <c:order val="0"/>
          <c:tx>
            <c:strRef>
              <c:f>'Estimate Benchmark'!$B$12</c:f>
              <c:strCache>
                <c:ptCount val="1"/>
              </c:strCache>
            </c:strRef>
          </c:tx>
          <c:spPr>
            <a:ln w="19050" cap="rnd">
              <a:solidFill>
                <a:schemeClr val="accent1"/>
              </a:solidFill>
              <a:round/>
            </a:ln>
            <a:effectLst/>
          </c:spPr>
          <c:marker>
            <c:symbol val="none"/>
          </c:marker>
          <c:xVal>
            <c:numRef>
              <c:f>'Estimate Benchmark'!$M$12</c:f>
              <c:numCache>
                <c:formatCode>0.0</c:formatCode>
                <c:ptCount val="1"/>
              </c:numCache>
            </c:numRef>
          </c:xVal>
          <c:yVal>
            <c:numRef>
              <c:f>'Estimate Benchmark'!$R$12</c:f>
              <c:numCache>
                <c:formatCode>0.0</c:formatCode>
                <c:ptCount val="1"/>
                <c:pt idx="0">
                  <c:v>0</c:v>
                </c:pt>
              </c:numCache>
            </c:numRef>
          </c:yVal>
          <c:smooth val="1"/>
          <c:extLst>
            <c:ext xmlns:c16="http://schemas.microsoft.com/office/drawing/2014/chart" uri="{C3380CC4-5D6E-409C-BE32-E72D297353CC}">
              <c16:uniqueId val="{00000000-30EE-4962-AACD-A21C6F585FE3}"/>
            </c:ext>
          </c:extLst>
        </c:ser>
        <c:ser>
          <c:idx val="1"/>
          <c:order val="1"/>
          <c:tx>
            <c:strRef>
              <c:f>'Estimate Benchmark'!$J$24</c:f>
              <c:strCache>
                <c:ptCount val="1"/>
              </c:strCache>
            </c:strRef>
          </c:tx>
          <c:spPr>
            <a:ln w="19050" cap="rnd">
              <a:solidFill>
                <a:schemeClr val="accent2"/>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Benchmark'!$K$24:$T$24</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30EE-4962-AACD-A21C6F585FE3}"/>
            </c:ext>
          </c:extLst>
        </c:ser>
        <c:ser>
          <c:idx val="2"/>
          <c:order val="2"/>
          <c:tx>
            <c:strRef>
              <c:f>'Estimate Benchmark'!$J$25</c:f>
              <c:strCache>
                <c:ptCount val="1"/>
              </c:strCache>
            </c:strRef>
          </c:tx>
          <c:spPr>
            <a:ln w="19050" cap="rnd">
              <a:solidFill>
                <a:schemeClr val="accent3"/>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Benchmark'!$K$25:$T$25</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30EE-4962-AACD-A21C6F585FE3}"/>
            </c:ext>
          </c:extLst>
        </c:ser>
        <c:ser>
          <c:idx val="3"/>
          <c:order val="3"/>
          <c:tx>
            <c:strRef>
              <c:f>'Estimate Benchmark'!$J$26</c:f>
              <c:strCache>
                <c:ptCount val="1"/>
              </c:strCache>
            </c:strRef>
          </c:tx>
          <c:spPr>
            <a:ln w="19050" cap="rnd">
              <a:solidFill>
                <a:schemeClr val="accent4"/>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Benchmark'!$K$26:$T$26</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30EE-4962-AACD-A21C6F585FE3}"/>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s-E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Benchmark'!$D$6</c:f>
          <c:strCache>
            <c:ptCount val="1"/>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4878019411745752"/>
          <c:y val="5.3986760373844048E-2"/>
          <c:w val="0.80173967082193387"/>
          <c:h val="0.82843481779296779"/>
        </c:manualLayout>
      </c:layout>
      <c:barChart>
        <c:barDir val="col"/>
        <c:grouping val="clustered"/>
        <c:varyColors val="0"/>
        <c:ser>
          <c:idx val="0"/>
          <c:order val="0"/>
          <c:tx>
            <c:strRef>
              <c:f>'Estimate Benchmark'!$J$31:$J$34</c:f>
              <c:strCache>
                <c:ptCount val="4"/>
              </c:strCache>
            </c:strRef>
          </c:tx>
          <c:spPr>
            <a:solidFill>
              <a:schemeClr val="accent1"/>
            </a:solidFill>
            <a:ln>
              <a:noFill/>
            </a:ln>
            <a:effectLst/>
          </c:spPr>
          <c:invertIfNegative val="0"/>
          <c:cat>
            <c:multiLvlStrRef>
              <c:f>'Estimate Benchmark'!$J$31:$J$34</c:f>
            </c:multiLvlStrRef>
          </c:cat>
          <c:val>
            <c:numRef>
              <c:f>'Estimate Benchmark'!$K$31:$K$34</c:f>
              <c:numCache>
                <c:formatCode>0.000</c:formatCode>
                <c:ptCount val="4"/>
                <c:pt idx="0">
                  <c:v>0</c:v>
                </c:pt>
                <c:pt idx="1">
                  <c:v>0</c:v>
                </c:pt>
                <c:pt idx="2">
                  <c:v>0</c:v>
                </c:pt>
                <c:pt idx="3">
                  <c:v>0</c:v>
                </c:pt>
              </c:numCache>
            </c:numRef>
          </c:val>
          <c:extLst>
            <c:ext xmlns:c16="http://schemas.microsoft.com/office/drawing/2014/chart" uri="{C3380CC4-5D6E-409C-BE32-E72D297353CC}">
              <c16:uniqueId val="{00000000-C2BD-4906-949F-CC079F2F2127}"/>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max val="0.5"/>
        </c:scaling>
        <c:delete val="0"/>
        <c:axPos val="l"/>
        <c:title>
          <c:tx>
            <c:rich>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a:t>BEC/Capacity</a:t>
                </a:r>
              </a:p>
            </c:rich>
          </c:tx>
          <c:layout>
            <c:manualLayout>
              <c:xMode val="edge"/>
              <c:yMode val="edge"/>
              <c:x val="2.5982833216264298E-2"/>
              <c:y val="0.3423024462945660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1657382627411238"/>
          <c:y val="9.44239790888977E-2"/>
          <c:w val="0.84956847746403719"/>
          <c:h val="0.61279343896522143"/>
        </c:manualLayout>
      </c:layout>
      <c:scatterChart>
        <c:scatterStyle val="smoothMarker"/>
        <c:varyColors val="0"/>
        <c:ser>
          <c:idx val="0"/>
          <c:order val="0"/>
          <c:tx>
            <c:v>!J17</c:v>
          </c:tx>
          <c:spPr>
            <a:ln w="19050" cap="rnd">
              <a:solidFill>
                <a:schemeClr val="accent1"/>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Benchmark'!$K$17:$T$17</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0-286F-48F4-A12A-1F039C0AB248}"/>
            </c:ext>
          </c:extLst>
        </c:ser>
        <c:ser>
          <c:idx val="1"/>
          <c:order val="1"/>
          <c:tx>
            <c:strRef>
              <c:f>'Unit X00 - Benchmark'!$J$18</c:f>
              <c:strCache>
                <c:ptCount val="1"/>
                <c:pt idx="0">
                  <c:v>0 - Scaling</c:v>
                </c:pt>
              </c:strCache>
            </c:strRef>
          </c:tx>
          <c:spPr>
            <a:ln w="19050" cap="rnd">
              <a:solidFill>
                <a:schemeClr val="accent2"/>
              </a:solidFill>
              <a:round/>
            </a:ln>
            <a:effectLst/>
          </c:spPr>
          <c:marker>
            <c:symbol val="none"/>
          </c:marker>
          <c:xVal>
            <c:strLit>
              <c:ptCount val="1"/>
              <c:pt idx="0">
                <c:v>!K16:T16</c:v>
              </c:pt>
            </c:strLit>
          </c:xVal>
          <c:yVal>
            <c:numRef>
              <c:f>'Unit X00 - Benchmark'!$K$18:$T$18</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286F-48F4-A12A-1F039C0AB248}"/>
            </c:ext>
          </c:extLst>
        </c:ser>
        <c:ser>
          <c:idx val="2"/>
          <c:order val="2"/>
          <c:tx>
            <c:strRef>
              <c:f>'Unit X00 - Benchmark'!$J$19</c:f>
              <c:strCache>
                <c:ptCount val="1"/>
                <c:pt idx="0">
                  <c:v>0 - Scaling</c:v>
                </c:pt>
              </c:strCache>
            </c:strRef>
          </c:tx>
          <c:spPr>
            <a:ln w="19050" cap="rnd">
              <a:solidFill>
                <a:schemeClr val="accent3"/>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Benchmark'!$K$19:$T$19</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286F-48F4-A12A-1F039C0AB248}"/>
            </c:ext>
          </c:extLst>
        </c:ser>
        <c:ser>
          <c:idx val="3"/>
          <c:order val="3"/>
          <c:tx>
            <c:strRef>
              <c:f>'Unit X00 - Benchmark'!$J$20</c:f>
              <c:strCache>
                <c:ptCount val="1"/>
                <c:pt idx="0">
                  <c:v>0 - Scaling</c:v>
                </c:pt>
              </c:strCache>
            </c:strRef>
          </c:tx>
          <c:spPr>
            <a:ln w="19050" cap="rnd">
              <a:solidFill>
                <a:schemeClr val="accent4"/>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Benchmark'!$K$20:$T$20</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286F-48F4-A12A-1F039C0AB248}"/>
            </c:ext>
          </c:extLst>
        </c:ser>
        <c:dLbls>
          <c:showLegendKey val="0"/>
          <c:showVal val="0"/>
          <c:showCatName val="0"/>
          <c:showSerName val="0"/>
          <c:showPercent val="0"/>
          <c:showBubbleSize val="0"/>
        </c:dLbls>
        <c:axId val="872787560"/>
        <c:axId val="872789528"/>
      </c:scatterChart>
      <c:scatterChart>
        <c:scatterStyle val="lineMarker"/>
        <c:varyColors val="0"/>
        <c:ser>
          <c:idx val="4"/>
          <c:order val="4"/>
          <c:tx>
            <c:strRef>
              <c:f>'Unit X00 - Benchmark'!$B$5</c:f>
              <c:strCache>
                <c:ptCount val="1"/>
              </c:strCache>
            </c:strRef>
          </c:tx>
          <c:spPr>
            <a:ln w="25400" cap="rnd">
              <a:noFill/>
              <a:round/>
            </a:ln>
            <a:effectLst/>
          </c:spPr>
          <c:marker>
            <c:symbol val="circle"/>
            <c:size val="8"/>
            <c:spPr>
              <a:solidFill>
                <a:srgbClr val="0070C0"/>
              </a:solidFill>
              <a:ln w="9525">
                <a:solidFill>
                  <a:schemeClr val="accent1"/>
                </a:solidFill>
              </a:ln>
              <a:effectLst/>
            </c:spPr>
          </c:marker>
          <c:xVal>
            <c:numRef>
              <c:f>'Unit X00 - Benchmark'!$M$5</c:f>
              <c:numCache>
                <c:formatCode>0.0</c:formatCode>
                <c:ptCount val="1"/>
              </c:numCache>
            </c:numRef>
          </c:xVal>
          <c:yVal>
            <c:numRef>
              <c:f>'Unit X00 - Benchmark'!$R$5</c:f>
              <c:numCache>
                <c:formatCode>0.0</c:formatCode>
                <c:ptCount val="1"/>
                <c:pt idx="0">
                  <c:v>0</c:v>
                </c:pt>
              </c:numCache>
            </c:numRef>
          </c:yVal>
          <c:smooth val="0"/>
          <c:extLst>
            <c:ext xmlns:c16="http://schemas.microsoft.com/office/drawing/2014/chart" uri="{C3380CC4-5D6E-409C-BE32-E72D297353CC}">
              <c16:uniqueId val="{00000004-286F-48F4-A12A-1F039C0AB248}"/>
            </c:ext>
          </c:extLst>
        </c:ser>
        <c:ser>
          <c:idx val="5"/>
          <c:order val="5"/>
          <c:tx>
            <c:strRef>
              <c:f>'Unit X00 - Benchmark'!$B$6</c:f>
              <c:strCache>
                <c:ptCount val="1"/>
              </c:strCache>
            </c:strRef>
          </c:tx>
          <c:spPr>
            <a:ln w="25400" cap="rnd">
              <a:noFill/>
              <a:round/>
            </a:ln>
            <a:effectLst/>
          </c:spPr>
          <c:marker>
            <c:symbol val="square"/>
            <c:size val="7"/>
            <c:spPr>
              <a:solidFill>
                <a:schemeClr val="accent2"/>
              </a:solidFill>
              <a:ln w="9525">
                <a:solidFill>
                  <a:schemeClr val="accent2"/>
                </a:solidFill>
              </a:ln>
              <a:effectLst/>
            </c:spPr>
          </c:marker>
          <c:xVal>
            <c:numRef>
              <c:f>'Unit X00 - Benchmark'!$M$6</c:f>
              <c:numCache>
                <c:formatCode>0.0</c:formatCode>
                <c:ptCount val="1"/>
              </c:numCache>
            </c:numRef>
          </c:xVal>
          <c:yVal>
            <c:numRef>
              <c:f>'Unit X00 - Benchmark'!$R$6</c:f>
              <c:numCache>
                <c:formatCode>0.0</c:formatCode>
                <c:ptCount val="1"/>
                <c:pt idx="0">
                  <c:v>0</c:v>
                </c:pt>
              </c:numCache>
            </c:numRef>
          </c:yVal>
          <c:smooth val="0"/>
          <c:extLst>
            <c:ext xmlns:c16="http://schemas.microsoft.com/office/drawing/2014/chart" uri="{C3380CC4-5D6E-409C-BE32-E72D297353CC}">
              <c16:uniqueId val="{00000005-286F-48F4-A12A-1F039C0AB248}"/>
            </c:ext>
          </c:extLst>
        </c:ser>
        <c:ser>
          <c:idx val="6"/>
          <c:order val="6"/>
          <c:tx>
            <c:strRef>
              <c:f>'Unit X00 - Benchmark'!$B$7</c:f>
              <c:strCache>
                <c:ptCount val="1"/>
              </c:strCache>
            </c:strRef>
          </c:tx>
          <c:spPr>
            <a:ln w="25400" cap="rnd">
              <a:noFill/>
              <a:round/>
            </a:ln>
            <a:effectLst/>
          </c:spPr>
          <c:marker>
            <c:symbol val="square"/>
            <c:size val="7"/>
            <c:spPr>
              <a:solidFill>
                <a:schemeClr val="accent3"/>
              </a:solidFill>
              <a:ln w="9525">
                <a:solidFill>
                  <a:schemeClr val="accent3"/>
                </a:solidFill>
              </a:ln>
              <a:effectLst/>
            </c:spPr>
          </c:marker>
          <c:xVal>
            <c:numRef>
              <c:f>'Unit X00 - Benchmark'!$M$7</c:f>
              <c:numCache>
                <c:formatCode>0.0</c:formatCode>
                <c:ptCount val="1"/>
              </c:numCache>
            </c:numRef>
          </c:xVal>
          <c:yVal>
            <c:numRef>
              <c:f>'Unit X00 - Benchmark'!$R$7</c:f>
              <c:numCache>
                <c:formatCode>0.0</c:formatCode>
                <c:ptCount val="1"/>
                <c:pt idx="0">
                  <c:v>0</c:v>
                </c:pt>
              </c:numCache>
            </c:numRef>
          </c:yVal>
          <c:smooth val="0"/>
          <c:extLst>
            <c:ext xmlns:c16="http://schemas.microsoft.com/office/drawing/2014/chart" uri="{C3380CC4-5D6E-409C-BE32-E72D297353CC}">
              <c16:uniqueId val="{00000006-286F-48F4-A12A-1F039C0AB248}"/>
            </c:ext>
          </c:extLst>
        </c:ser>
        <c:ser>
          <c:idx val="7"/>
          <c:order val="7"/>
          <c:tx>
            <c:strRef>
              <c:f>'Unit X00 - Benchmark'!$B$8</c:f>
              <c:strCache>
                <c:ptCount val="1"/>
              </c:strCache>
            </c:strRef>
          </c:tx>
          <c:spPr>
            <a:ln w="25400" cap="rnd">
              <a:noFill/>
              <a:round/>
            </a:ln>
            <a:effectLst/>
          </c:spPr>
          <c:marker>
            <c:symbol val="square"/>
            <c:size val="7"/>
            <c:spPr>
              <a:solidFill>
                <a:schemeClr val="accent4"/>
              </a:solidFill>
              <a:ln w="9525">
                <a:solidFill>
                  <a:schemeClr val="accent4"/>
                </a:solidFill>
              </a:ln>
              <a:effectLst/>
            </c:spPr>
          </c:marker>
          <c:xVal>
            <c:numRef>
              <c:f>'Unit X00 - Benchmark'!$M$8</c:f>
              <c:numCache>
                <c:formatCode>0.0</c:formatCode>
                <c:ptCount val="1"/>
              </c:numCache>
            </c:numRef>
          </c:xVal>
          <c:yVal>
            <c:numRef>
              <c:f>'Unit X00 - Benchmark'!$R$8</c:f>
              <c:numCache>
                <c:formatCode>0.0</c:formatCode>
                <c:ptCount val="1"/>
                <c:pt idx="0">
                  <c:v>0</c:v>
                </c:pt>
              </c:numCache>
            </c:numRef>
          </c:yVal>
          <c:smooth val="0"/>
          <c:extLst>
            <c:ext xmlns:c16="http://schemas.microsoft.com/office/drawing/2014/chart" uri="{C3380CC4-5D6E-409C-BE32-E72D297353CC}">
              <c16:uniqueId val="{00000007-286F-48F4-A12A-1F039C0AB248}"/>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Benchmark'!#REF!</c:f>
          <c:strCache>
            <c:ptCount val="1"/>
            <c:pt idx="0">
              <c:v>#REF!</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ser>
          <c:idx val="0"/>
          <c:order val="0"/>
          <c:tx>
            <c:strRef>
              <c:f>'Unit X00 - Benchmark'!$J$24:$J$27</c:f>
              <c:strCache>
                <c:ptCount val="4"/>
                <c:pt idx="0">
                  <c:v>0</c:v>
                </c:pt>
                <c:pt idx="1">
                  <c:v>0</c:v>
                </c:pt>
                <c:pt idx="2">
                  <c:v>0</c:v>
                </c:pt>
                <c:pt idx="3">
                  <c:v>0</c:v>
                </c:pt>
              </c:strCache>
            </c:strRef>
          </c:tx>
          <c:spPr>
            <a:solidFill>
              <a:schemeClr val="accent1"/>
            </a:solidFill>
            <a:ln>
              <a:noFill/>
            </a:ln>
            <a:effectLst/>
          </c:spPr>
          <c:invertIfNegative val="0"/>
          <c:cat>
            <c:numRef>
              <c:f>'Unit X00 - Benchmark'!$J$24:$J$27</c:f>
              <c:numCache>
                <c:formatCode>General</c:formatCode>
                <c:ptCount val="4"/>
                <c:pt idx="0">
                  <c:v>0</c:v>
                </c:pt>
                <c:pt idx="1">
                  <c:v>0</c:v>
                </c:pt>
                <c:pt idx="2">
                  <c:v>0</c:v>
                </c:pt>
                <c:pt idx="3">
                  <c:v>0</c:v>
                </c:pt>
              </c:numCache>
            </c:numRef>
          </c:cat>
          <c:val>
            <c:numRef>
              <c:f>'Unit X00 - Benchmark'!$K$24:$K$27</c:f>
              <c:numCache>
                <c:formatCode>0.000</c:formatCode>
                <c:ptCount val="4"/>
                <c:pt idx="0">
                  <c:v>0</c:v>
                </c:pt>
                <c:pt idx="1">
                  <c:v>0</c:v>
                </c:pt>
                <c:pt idx="2">
                  <c:v>0</c:v>
                </c:pt>
                <c:pt idx="3">
                  <c:v>0</c:v>
                </c:pt>
              </c:numCache>
            </c:numRef>
          </c:val>
          <c:extLst>
            <c:ext xmlns:c16="http://schemas.microsoft.com/office/drawing/2014/chart" uri="{C3380CC4-5D6E-409C-BE32-E72D297353CC}">
              <c16:uniqueId val="{00000000-13ED-46FD-BFC6-5A4FD5A6E674}"/>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1657382627411238"/>
          <c:y val="9.44239790888977E-2"/>
          <c:w val="0.84956847746403719"/>
          <c:h val="0.61279343896522143"/>
        </c:manualLayout>
      </c:layout>
      <c:scatterChart>
        <c:scatterStyle val="lineMarker"/>
        <c:varyColors val="0"/>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s-E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Benchmark'!$J$23</c:f>
          <c:strCache>
            <c:ptCount val="1"/>
            <c:pt idx="0">
              <c:v>Specific Cost</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4"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38100</xdr:colOff>
          <xdr:row>57</xdr:row>
          <xdr:rowOff>22860</xdr:rowOff>
        </xdr:from>
        <xdr:to>
          <xdr:col>23</xdr:col>
          <xdr:colOff>609600</xdr:colOff>
          <xdr:row>58</xdr:row>
          <xdr:rowOff>251460</xdr:rowOff>
        </xdr:to>
        <xdr:sp macro="" textlink="">
          <xdr:nvSpPr>
            <xdr:cNvPr id="200710" name="Button 6" hidden="1">
              <a:extLst>
                <a:ext uri="{63B3BB69-23CF-44E3-9099-C40C66FF867C}">
                  <a14:compatExt spid="_x0000_s200710"/>
                </a:ext>
                <a:ext uri="{FF2B5EF4-FFF2-40B4-BE49-F238E27FC236}">
                  <a16:creationId xmlns:a16="http://schemas.microsoft.com/office/drawing/2014/main" id="{00000000-0008-0000-0100-000006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57</xdr:row>
          <xdr:rowOff>30480</xdr:rowOff>
        </xdr:from>
        <xdr:to>
          <xdr:col>23</xdr:col>
          <xdr:colOff>1226820</xdr:colOff>
          <xdr:row>58</xdr:row>
          <xdr:rowOff>251460</xdr:rowOff>
        </xdr:to>
        <xdr:sp macro="" textlink="">
          <xdr:nvSpPr>
            <xdr:cNvPr id="200711" name="Button 7" hidden="1">
              <a:extLst>
                <a:ext uri="{63B3BB69-23CF-44E3-9099-C40C66FF867C}">
                  <a14:compatExt spid="_x0000_s200711"/>
                </a:ext>
                <a:ext uri="{FF2B5EF4-FFF2-40B4-BE49-F238E27FC236}">
                  <a16:creationId xmlns:a16="http://schemas.microsoft.com/office/drawing/2014/main" id="{00000000-0008-0000-0100-000007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61</xdr:row>
          <xdr:rowOff>22860</xdr:rowOff>
        </xdr:from>
        <xdr:to>
          <xdr:col>23</xdr:col>
          <xdr:colOff>609600</xdr:colOff>
          <xdr:row>62</xdr:row>
          <xdr:rowOff>251460</xdr:rowOff>
        </xdr:to>
        <xdr:sp macro="" textlink="">
          <xdr:nvSpPr>
            <xdr:cNvPr id="200715" name="Button 11" hidden="1">
              <a:extLst>
                <a:ext uri="{63B3BB69-23CF-44E3-9099-C40C66FF867C}">
                  <a14:compatExt spid="_x0000_s200715"/>
                </a:ext>
                <a:ext uri="{FF2B5EF4-FFF2-40B4-BE49-F238E27FC236}">
                  <a16:creationId xmlns:a16="http://schemas.microsoft.com/office/drawing/2014/main" id="{00000000-0008-0000-0100-00000B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61</xdr:row>
          <xdr:rowOff>30480</xdr:rowOff>
        </xdr:from>
        <xdr:to>
          <xdr:col>23</xdr:col>
          <xdr:colOff>1226820</xdr:colOff>
          <xdr:row>62</xdr:row>
          <xdr:rowOff>251460</xdr:rowOff>
        </xdr:to>
        <xdr:sp macro="" textlink="">
          <xdr:nvSpPr>
            <xdr:cNvPr id="200716" name="Button 12" hidden="1">
              <a:extLst>
                <a:ext uri="{63B3BB69-23CF-44E3-9099-C40C66FF867C}">
                  <a14:compatExt spid="_x0000_s200716"/>
                </a:ext>
                <a:ext uri="{FF2B5EF4-FFF2-40B4-BE49-F238E27FC236}">
                  <a16:creationId xmlns:a16="http://schemas.microsoft.com/office/drawing/2014/main" id="{00000000-0008-0000-0100-00000C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65</xdr:row>
          <xdr:rowOff>22860</xdr:rowOff>
        </xdr:from>
        <xdr:to>
          <xdr:col>23</xdr:col>
          <xdr:colOff>609600</xdr:colOff>
          <xdr:row>66</xdr:row>
          <xdr:rowOff>251460</xdr:rowOff>
        </xdr:to>
        <xdr:sp macro="" textlink="">
          <xdr:nvSpPr>
            <xdr:cNvPr id="200720" name="Button 16" hidden="1">
              <a:extLst>
                <a:ext uri="{63B3BB69-23CF-44E3-9099-C40C66FF867C}">
                  <a14:compatExt spid="_x0000_s200720"/>
                </a:ext>
                <a:ext uri="{FF2B5EF4-FFF2-40B4-BE49-F238E27FC236}">
                  <a16:creationId xmlns:a16="http://schemas.microsoft.com/office/drawing/2014/main" id="{00000000-0008-0000-0100-000010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65</xdr:row>
          <xdr:rowOff>30480</xdr:rowOff>
        </xdr:from>
        <xdr:to>
          <xdr:col>23</xdr:col>
          <xdr:colOff>1226820</xdr:colOff>
          <xdr:row>66</xdr:row>
          <xdr:rowOff>251460</xdr:rowOff>
        </xdr:to>
        <xdr:sp macro="" textlink="">
          <xdr:nvSpPr>
            <xdr:cNvPr id="200721" name="Button 17" hidden="1">
              <a:extLst>
                <a:ext uri="{63B3BB69-23CF-44E3-9099-C40C66FF867C}">
                  <a14:compatExt spid="_x0000_s200721"/>
                </a:ext>
                <a:ext uri="{FF2B5EF4-FFF2-40B4-BE49-F238E27FC236}">
                  <a16:creationId xmlns:a16="http://schemas.microsoft.com/office/drawing/2014/main" id="{00000000-0008-0000-0100-000011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15240</xdr:colOff>
          <xdr:row>57</xdr:row>
          <xdr:rowOff>7620</xdr:rowOff>
        </xdr:from>
        <xdr:to>
          <xdr:col>18</xdr:col>
          <xdr:colOff>1150620</xdr:colOff>
          <xdr:row>59</xdr:row>
          <xdr:rowOff>0</xdr:rowOff>
        </xdr:to>
        <xdr:sp macro="" textlink="">
          <xdr:nvSpPr>
            <xdr:cNvPr id="200727" name="Button 23" hidden="1">
              <a:extLst>
                <a:ext uri="{63B3BB69-23CF-44E3-9099-C40C66FF867C}">
                  <a14:compatExt spid="_x0000_s200727"/>
                </a:ext>
                <a:ext uri="{FF2B5EF4-FFF2-40B4-BE49-F238E27FC236}">
                  <a16:creationId xmlns:a16="http://schemas.microsoft.com/office/drawing/2014/main" id="{00000000-0008-0000-0100-000017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CAPEX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7620</xdr:colOff>
          <xdr:row>60</xdr:row>
          <xdr:rowOff>7620</xdr:rowOff>
        </xdr:from>
        <xdr:to>
          <xdr:col>18</xdr:col>
          <xdr:colOff>1150620</xdr:colOff>
          <xdr:row>61</xdr:row>
          <xdr:rowOff>281940</xdr:rowOff>
        </xdr:to>
        <xdr:sp macro="" textlink="">
          <xdr:nvSpPr>
            <xdr:cNvPr id="200728" name="Button 24" hidden="1">
              <a:extLst>
                <a:ext uri="{63B3BB69-23CF-44E3-9099-C40C66FF867C}">
                  <a14:compatExt spid="_x0000_s200728"/>
                </a:ext>
                <a:ext uri="{FF2B5EF4-FFF2-40B4-BE49-F238E27FC236}">
                  <a16:creationId xmlns:a16="http://schemas.microsoft.com/office/drawing/2014/main" id="{00000000-0008-0000-0100-000018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OPEX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15240</xdr:colOff>
          <xdr:row>63</xdr:row>
          <xdr:rowOff>0</xdr:rowOff>
        </xdr:from>
        <xdr:to>
          <xdr:col>18</xdr:col>
          <xdr:colOff>1143000</xdr:colOff>
          <xdr:row>64</xdr:row>
          <xdr:rowOff>274320</xdr:rowOff>
        </xdr:to>
        <xdr:sp macro="" textlink="">
          <xdr:nvSpPr>
            <xdr:cNvPr id="200729" name="Button 25" hidden="1">
              <a:extLst>
                <a:ext uri="{63B3BB69-23CF-44E3-9099-C40C66FF867C}">
                  <a14:compatExt spid="_x0000_s200729"/>
                </a:ext>
                <a:ext uri="{FF2B5EF4-FFF2-40B4-BE49-F238E27FC236}">
                  <a16:creationId xmlns:a16="http://schemas.microsoft.com/office/drawing/2014/main" id="{00000000-0008-0000-0100-000019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66</xdr:row>
          <xdr:rowOff>7620</xdr:rowOff>
        </xdr:from>
        <xdr:to>
          <xdr:col>18</xdr:col>
          <xdr:colOff>1150620</xdr:colOff>
          <xdr:row>67</xdr:row>
          <xdr:rowOff>274320</xdr:rowOff>
        </xdr:to>
        <xdr:sp macro="" textlink="">
          <xdr:nvSpPr>
            <xdr:cNvPr id="200730" name="Button 26" hidden="1">
              <a:extLst>
                <a:ext uri="{63B3BB69-23CF-44E3-9099-C40C66FF867C}">
                  <a14:compatExt spid="_x0000_s200730"/>
                </a:ext>
                <a:ext uri="{FF2B5EF4-FFF2-40B4-BE49-F238E27FC236}">
                  <a16:creationId xmlns:a16="http://schemas.microsoft.com/office/drawing/2014/main" id="{00000000-0008-0000-0100-00001A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1600" b="1" i="0" u="none" strike="noStrike" baseline="0">
                  <a:solidFill>
                    <a:srgbClr val="000000"/>
                  </a:solidFill>
                  <a:latin typeface="Calibri"/>
                  <a:cs typeface="Calibri"/>
                </a:rPr>
                <a:t>Benchmark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15240</xdr:colOff>
          <xdr:row>69</xdr:row>
          <xdr:rowOff>7620</xdr:rowOff>
        </xdr:from>
        <xdr:to>
          <xdr:col>18</xdr:col>
          <xdr:colOff>1143000</xdr:colOff>
          <xdr:row>70</xdr:row>
          <xdr:rowOff>274320</xdr:rowOff>
        </xdr:to>
        <xdr:sp macro="" textlink="">
          <xdr:nvSpPr>
            <xdr:cNvPr id="200731" name="Button 27" hidden="1">
              <a:extLst>
                <a:ext uri="{63B3BB69-23CF-44E3-9099-C40C66FF867C}">
                  <a14:compatExt spid="_x0000_s200731"/>
                </a:ext>
                <a:ext uri="{FF2B5EF4-FFF2-40B4-BE49-F238E27FC236}">
                  <a16:creationId xmlns:a16="http://schemas.microsoft.com/office/drawing/2014/main" id="{00000000-0008-0000-0100-00001B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1600" b="1" i="0" u="none" strike="noStrike" baseline="0">
                  <a:solidFill>
                    <a:srgbClr val="000000"/>
                  </a:solidFill>
                  <a:latin typeface="Calibri"/>
                  <a:cs typeface="Calibri"/>
                </a:rPr>
                <a:t>Input SSM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0200-0000010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D7EA92EB-F130-405A-80FB-30FCB8C55AED}"/>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3.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33473" name="Button 1" hidden="1">
              <a:extLst>
                <a:ext uri="{63B3BB69-23CF-44E3-9099-C40C66FF867C}">
                  <a14:compatExt spid="_x0000_s233473"/>
                </a:ext>
                <a:ext uri="{FF2B5EF4-FFF2-40B4-BE49-F238E27FC236}">
                  <a16:creationId xmlns:a16="http://schemas.microsoft.com/office/drawing/2014/main" id="{00000000-0008-0000-0300-0000019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3554E7EC-E730-43B1-AB04-64458EBAC4C4}"/>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1577340</xdr:colOff>
          <xdr:row>8</xdr:row>
          <xdr:rowOff>175260</xdr:rowOff>
        </xdr:to>
        <xdr:sp macro="" textlink="">
          <xdr:nvSpPr>
            <xdr:cNvPr id="204801" name="Button 1" hidden="1">
              <a:extLst>
                <a:ext uri="{63B3BB69-23CF-44E3-9099-C40C66FF867C}">
                  <a14:compatExt spid="_x0000_s204801"/>
                </a:ext>
                <a:ext uri="{FF2B5EF4-FFF2-40B4-BE49-F238E27FC236}">
                  <a16:creationId xmlns:a16="http://schemas.microsoft.com/office/drawing/2014/main" id="{00000000-0008-0000-0400-0000012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244187</xdr:colOff>
      <xdr:row>40</xdr:row>
      <xdr:rowOff>88322</xdr:rowOff>
    </xdr:from>
    <xdr:to>
      <xdr:col>5</xdr:col>
      <xdr:colOff>1049481</xdr:colOff>
      <xdr:row>61</xdr:row>
      <xdr:rowOff>53686</xdr:rowOff>
    </xdr:to>
    <xdr:graphicFrame macro="">
      <xdr:nvGraphicFramePr>
        <xdr:cNvPr id="5" name="Gráfico 5">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331889</xdr:colOff>
      <xdr:row>5</xdr:row>
      <xdr:rowOff>1632</xdr:rowOff>
    </xdr:from>
    <xdr:ext cx="2499113" cy="685509"/>
    <mc:AlternateContent xmlns:mc="http://schemas.openxmlformats.org/markup-compatibility/2006" xmlns:a14="http://schemas.microsoft.com/office/drawing/2010/main">
      <mc:Choice Requires="a14">
        <xdr:sp macro="" textlink="">
          <xdr:nvSpPr>
            <xdr:cNvPr id="7" name="TextBox 4">
              <a:extLst>
                <a:ext uri="{FF2B5EF4-FFF2-40B4-BE49-F238E27FC236}">
                  <a16:creationId xmlns:a16="http://schemas.microsoft.com/office/drawing/2014/main" id="{00000000-0008-0000-0400-000007000000}"/>
                </a:ext>
              </a:extLst>
            </xdr:cNvPr>
            <xdr:cNvSpPr txBox="1"/>
          </xdr:nvSpPr>
          <xdr:spPr>
            <a:xfrm>
              <a:off x="12142889" y="11446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7" name="TextBox 4">
              <a:extLst>
                <a:ext uri="{FF2B5EF4-FFF2-40B4-BE49-F238E27FC236}">
                  <a16:creationId xmlns:a16="http://schemas.microsoft.com/office/drawing/2014/main" id="{00000000-0008-0000-0300-000007000000}"/>
                </a:ext>
              </a:extLst>
            </xdr:cNvPr>
            <xdr:cNvSpPr txBox="1"/>
          </xdr:nvSpPr>
          <xdr:spPr>
            <a:xfrm>
              <a:off x="12142889" y="11446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1577340</xdr:colOff>
          <xdr:row>8</xdr:row>
          <xdr:rowOff>175260</xdr:rowOff>
        </xdr:to>
        <xdr:sp macro="" textlink="">
          <xdr:nvSpPr>
            <xdr:cNvPr id="232449" name="Button 1" hidden="1">
              <a:extLst>
                <a:ext uri="{63B3BB69-23CF-44E3-9099-C40C66FF867C}">
                  <a14:compatExt spid="_x0000_s232449"/>
                </a:ext>
                <a:ext uri="{FF2B5EF4-FFF2-40B4-BE49-F238E27FC236}">
                  <a16:creationId xmlns:a16="http://schemas.microsoft.com/office/drawing/2014/main" id="{00000000-0008-0000-0500-0000018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225137</xdr:colOff>
      <xdr:row>40</xdr:row>
      <xdr:rowOff>69272</xdr:rowOff>
    </xdr:from>
    <xdr:to>
      <xdr:col>5</xdr:col>
      <xdr:colOff>1030431</xdr:colOff>
      <xdr:row>61</xdr:row>
      <xdr:rowOff>34636</xdr:rowOff>
    </xdr:to>
    <xdr:graphicFrame macro="">
      <xdr:nvGraphicFramePr>
        <xdr:cNvPr id="4" name="Gráfico 5">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369989</xdr:colOff>
      <xdr:row>4</xdr:row>
      <xdr:rowOff>211182</xdr:rowOff>
    </xdr:from>
    <xdr:ext cx="2499113" cy="685509"/>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12180989" y="112558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B2B05268-4393-403F-8EBD-1B11EC9E0F52}"/>
                </a:ext>
              </a:extLst>
            </xdr:cNvPr>
            <xdr:cNvSpPr txBox="1"/>
          </xdr:nvSpPr>
          <xdr:spPr>
            <a:xfrm>
              <a:off x="12180989" y="112558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6.xml><?xml version="1.0" encoding="utf-8"?>
<xdr:wsDr xmlns:xdr="http://schemas.openxmlformats.org/drawingml/2006/spreadsheetDrawing" xmlns:a="http://schemas.openxmlformats.org/drawingml/2006/main">
  <xdr:twoCellAnchor>
    <xdr:from>
      <xdr:col>8</xdr:col>
      <xdr:colOff>552105</xdr:colOff>
      <xdr:row>2</xdr:row>
      <xdr:rowOff>150668</xdr:rowOff>
    </xdr:from>
    <xdr:to>
      <xdr:col>12</xdr:col>
      <xdr:colOff>710045</xdr:colOff>
      <xdr:row>13</xdr:row>
      <xdr:rowOff>219767</xdr:rowOff>
    </xdr:to>
    <xdr:graphicFrame macro="">
      <xdr:nvGraphicFramePr>
        <xdr:cNvPr id="4" name="Gráfico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22860</xdr:colOff>
          <xdr:row>29</xdr:row>
          <xdr:rowOff>15240</xdr:rowOff>
        </xdr:from>
        <xdr:to>
          <xdr:col>3</xdr:col>
          <xdr:colOff>2232660</xdr:colOff>
          <xdr:row>30</xdr:row>
          <xdr:rowOff>434340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600-000002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36</xdr:row>
          <xdr:rowOff>15240</xdr:rowOff>
        </xdr:from>
        <xdr:to>
          <xdr:col>4</xdr:col>
          <xdr:colOff>0</xdr:colOff>
          <xdr:row>37</xdr:row>
          <xdr:rowOff>7620</xdr:rowOff>
        </xdr:to>
        <xdr:sp macro="" textlink="">
          <xdr:nvSpPr>
            <xdr:cNvPr id="41991" name="Button 7" hidden="1">
              <a:extLst>
                <a:ext uri="{63B3BB69-23CF-44E3-9099-C40C66FF867C}">
                  <a14:compatExt spid="_x0000_s41991"/>
                </a:ext>
                <a:ext uri="{FF2B5EF4-FFF2-40B4-BE49-F238E27FC236}">
                  <a16:creationId xmlns:a16="http://schemas.microsoft.com/office/drawing/2014/main" id="{00000000-0008-0000-0600-000007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37</xdr:row>
          <xdr:rowOff>22860</xdr:rowOff>
        </xdr:from>
        <xdr:to>
          <xdr:col>3</xdr:col>
          <xdr:colOff>2217420</xdr:colOff>
          <xdr:row>38</xdr:row>
          <xdr:rowOff>0</xdr:rowOff>
        </xdr:to>
        <xdr:sp macro="" textlink="">
          <xdr:nvSpPr>
            <xdr:cNvPr id="41992" name="Button 8" hidden="1">
              <a:extLst>
                <a:ext uri="{63B3BB69-23CF-44E3-9099-C40C66FF867C}">
                  <a14:compatExt spid="_x0000_s41992"/>
                </a:ext>
                <a:ext uri="{FF2B5EF4-FFF2-40B4-BE49-F238E27FC236}">
                  <a16:creationId xmlns:a16="http://schemas.microsoft.com/office/drawing/2014/main" id="{00000000-0008-0000-0600-000008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37</xdr:row>
          <xdr:rowOff>30480</xdr:rowOff>
        </xdr:from>
        <xdr:to>
          <xdr:col>1</xdr:col>
          <xdr:colOff>3116580</xdr:colOff>
          <xdr:row>37</xdr:row>
          <xdr:rowOff>441960</xdr:rowOff>
        </xdr:to>
        <xdr:sp macro="" textlink="">
          <xdr:nvSpPr>
            <xdr:cNvPr id="41993" name="Button 9" hidden="1">
              <a:extLst>
                <a:ext uri="{63B3BB69-23CF-44E3-9099-C40C66FF867C}">
                  <a14:compatExt spid="_x0000_s41993"/>
                </a:ext>
                <a:ext uri="{FF2B5EF4-FFF2-40B4-BE49-F238E27FC236}">
                  <a16:creationId xmlns:a16="http://schemas.microsoft.com/office/drawing/2014/main" id="{00000000-0008-0000-0600-000009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Update Totals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99060</xdr:colOff>
          <xdr:row>5</xdr:row>
          <xdr:rowOff>68580</xdr:rowOff>
        </xdr:from>
        <xdr:to>
          <xdr:col>2</xdr:col>
          <xdr:colOff>1226820</xdr:colOff>
          <xdr:row>8</xdr:row>
          <xdr:rowOff>190500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800-000004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6</xdr:row>
          <xdr:rowOff>7620</xdr:rowOff>
        </xdr:from>
        <xdr:to>
          <xdr:col>6</xdr:col>
          <xdr:colOff>0</xdr:colOff>
          <xdr:row>7</xdr:row>
          <xdr:rowOff>0</xdr:rowOff>
        </xdr:to>
        <xdr:sp macro="" textlink="">
          <xdr:nvSpPr>
            <xdr:cNvPr id="17429" name="Button 21" hidden="1">
              <a:extLst>
                <a:ext uri="{63B3BB69-23CF-44E3-9099-C40C66FF867C}">
                  <a14:compatExt spid="_x0000_s17429"/>
                </a:ext>
                <a:ext uri="{FF2B5EF4-FFF2-40B4-BE49-F238E27FC236}">
                  <a16:creationId xmlns:a16="http://schemas.microsoft.com/office/drawing/2014/main" id="{00000000-0008-0000-0800-000015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6</xdr:row>
          <xdr:rowOff>15240</xdr:rowOff>
        </xdr:from>
        <xdr:to>
          <xdr:col>7</xdr:col>
          <xdr:colOff>0</xdr:colOff>
          <xdr:row>7</xdr:row>
          <xdr:rowOff>0</xdr:rowOff>
        </xdr:to>
        <xdr:sp macro="" textlink="">
          <xdr:nvSpPr>
            <xdr:cNvPr id="17430" name="Button 22" hidden="1">
              <a:extLst>
                <a:ext uri="{63B3BB69-23CF-44E3-9099-C40C66FF867C}">
                  <a14:compatExt spid="_x0000_s17430"/>
                </a:ext>
                <a:ext uri="{FF2B5EF4-FFF2-40B4-BE49-F238E27FC236}">
                  <a16:creationId xmlns:a16="http://schemas.microsoft.com/office/drawing/2014/main" id="{00000000-0008-0000-0800-000016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8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4</xdr:row>
          <xdr:rowOff>7620</xdr:rowOff>
        </xdr:from>
        <xdr:to>
          <xdr:col>6</xdr:col>
          <xdr:colOff>0</xdr:colOff>
          <xdr:row>5</xdr:row>
          <xdr:rowOff>0</xdr:rowOff>
        </xdr:to>
        <xdr:sp macro="" textlink="">
          <xdr:nvSpPr>
            <xdr:cNvPr id="17431" name="Button 23" hidden="1">
              <a:extLst>
                <a:ext uri="{63B3BB69-23CF-44E3-9099-C40C66FF867C}">
                  <a14:compatExt spid="_x0000_s17431"/>
                </a:ext>
                <a:ext uri="{FF2B5EF4-FFF2-40B4-BE49-F238E27FC236}">
                  <a16:creationId xmlns:a16="http://schemas.microsoft.com/office/drawing/2014/main" id="{00000000-0008-0000-0800-000017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xdr:row>
          <xdr:rowOff>7620</xdr:rowOff>
        </xdr:from>
        <xdr:to>
          <xdr:col>7</xdr:col>
          <xdr:colOff>0</xdr:colOff>
          <xdr:row>4</xdr:row>
          <xdr:rowOff>266700</xdr:rowOff>
        </xdr:to>
        <xdr:sp macro="" textlink="">
          <xdr:nvSpPr>
            <xdr:cNvPr id="17432" name="Button 24" hidden="1">
              <a:extLst>
                <a:ext uri="{63B3BB69-23CF-44E3-9099-C40C66FF867C}">
                  <a14:compatExt spid="_x0000_s17432"/>
                </a:ext>
                <a:ext uri="{FF2B5EF4-FFF2-40B4-BE49-F238E27FC236}">
                  <a16:creationId xmlns:a16="http://schemas.microsoft.com/office/drawing/2014/main" id="{00000000-0008-0000-0800-000018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5</xdr:row>
          <xdr:rowOff>7620</xdr:rowOff>
        </xdr:from>
        <xdr:to>
          <xdr:col>5</xdr:col>
          <xdr:colOff>1310640</xdr:colOff>
          <xdr:row>6</xdr:row>
          <xdr:rowOff>7620</xdr:rowOff>
        </xdr:to>
        <xdr:sp macro="" textlink="">
          <xdr:nvSpPr>
            <xdr:cNvPr id="17433" name="Button 25" hidden="1">
              <a:extLst>
                <a:ext uri="{63B3BB69-23CF-44E3-9099-C40C66FF867C}">
                  <a14:compatExt spid="_x0000_s17433"/>
                </a:ext>
                <a:ext uri="{FF2B5EF4-FFF2-40B4-BE49-F238E27FC236}">
                  <a16:creationId xmlns:a16="http://schemas.microsoft.com/office/drawing/2014/main" id="{00000000-0008-0000-0800-000019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xdr:row>
          <xdr:rowOff>7620</xdr:rowOff>
        </xdr:from>
        <xdr:to>
          <xdr:col>7</xdr:col>
          <xdr:colOff>0</xdr:colOff>
          <xdr:row>6</xdr:row>
          <xdr:rowOff>0</xdr:rowOff>
        </xdr:to>
        <xdr:sp macro="" textlink="">
          <xdr:nvSpPr>
            <xdr:cNvPr id="17434" name="Button 26" hidden="1">
              <a:extLst>
                <a:ext uri="{63B3BB69-23CF-44E3-9099-C40C66FF867C}">
                  <a14:compatExt spid="_x0000_s17434"/>
                </a:ext>
                <a:ext uri="{FF2B5EF4-FFF2-40B4-BE49-F238E27FC236}">
                  <a16:creationId xmlns:a16="http://schemas.microsoft.com/office/drawing/2014/main" id="{00000000-0008-0000-0800-00001A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xdr:twoCellAnchor>
    <xdr:from>
      <xdr:col>8</xdr:col>
      <xdr:colOff>831272</xdr:colOff>
      <xdr:row>0</xdr:row>
      <xdr:rowOff>138546</xdr:rowOff>
    </xdr:from>
    <xdr:to>
      <xdr:col>13</xdr:col>
      <xdr:colOff>249382</xdr:colOff>
      <xdr:row>12</xdr:row>
      <xdr:rowOff>27710</xdr:rowOff>
    </xdr:to>
    <xdr:graphicFrame macro="">
      <xdr:nvGraphicFramePr>
        <xdr:cNvPr id="2" name="Gráfico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16</xdr:col>
      <xdr:colOff>836476</xdr:colOff>
      <xdr:row>1</xdr:row>
      <xdr:rowOff>108856</xdr:rowOff>
    </xdr:from>
    <xdr:to>
      <xdr:col>22</xdr:col>
      <xdr:colOff>555171</xdr:colOff>
      <xdr:row>18</xdr:row>
      <xdr:rowOff>108856</xdr:rowOff>
    </xdr:to>
    <xdr:graphicFrame macro="">
      <xdr:nvGraphicFramePr>
        <xdr:cNvPr id="2" name="Gráfico 3">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8</xdr:col>
          <xdr:colOff>45720</xdr:colOff>
          <xdr:row>1</xdr:row>
          <xdr:rowOff>60960</xdr:rowOff>
        </xdr:from>
        <xdr:to>
          <xdr:col>9</xdr:col>
          <xdr:colOff>838200</xdr:colOff>
          <xdr:row>2</xdr:row>
          <xdr:rowOff>182880</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0700-0000011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53340</xdr:colOff>
          <xdr:row>1</xdr:row>
          <xdr:rowOff>53340</xdr:rowOff>
        </xdr:from>
        <xdr:to>
          <xdr:col>7</xdr:col>
          <xdr:colOff>853440</xdr:colOff>
          <xdr:row>2</xdr:row>
          <xdr:rowOff>190500</xdr:rowOff>
        </xdr:to>
        <xdr:sp macro="" textlink="">
          <xdr:nvSpPr>
            <xdr:cNvPr id="203778" name="Button 2" hidden="1">
              <a:extLst>
                <a:ext uri="{63B3BB69-23CF-44E3-9099-C40C66FF867C}">
                  <a14:compatExt spid="_x0000_s203778"/>
                </a:ext>
                <a:ext uri="{FF2B5EF4-FFF2-40B4-BE49-F238E27FC236}">
                  <a16:creationId xmlns:a16="http://schemas.microsoft.com/office/drawing/2014/main" id="{00000000-0008-0000-0700-0000021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 </a:t>
              </a:r>
            </a:p>
          </xdr:txBody>
        </xdr:sp>
        <xdr:clientData fPrintsWithSheet="0"/>
      </xdr:twoCellAnchor>
    </mc:Choice>
    <mc:Fallback/>
  </mc:AlternateContent>
  <xdr:twoCellAnchor>
    <xdr:from>
      <xdr:col>10</xdr:col>
      <xdr:colOff>841466</xdr:colOff>
      <xdr:row>1</xdr:row>
      <xdr:rowOff>110835</xdr:rowOff>
    </xdr:from>
    <xdr:to>
      <xdr:col>16</xdr:col>
      <xdr:colOff>791118</xdr:colOff>
      <xdr:row>18</xdr:row>
      <xdr:rowOff>111825</xdr:rowOff>
    </xdr:to>
    <xdr:graphicFrame macro="">
      <xdr:nvGraphicFramePr>
        <xdr:cNvPr id="7" name="Gráfico 4">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858981</xdr:colOff>
      <xdr:row>1</xdr:row>
      <xdr:rowOff>166254</xdr:rowOff>
    </xdr:from>
    <xdr:to>
      <xdr:col>26</xdr:col>
      <xdr:colOff>498763</xdr:colOff>
      <xdr:row>9</xdr:row>
      <xdr:rowOff>124690</xdr:rowOff>
    </xdr:to>
    <xdr:sp macro="" textlink="">
      <xdr:nvSpPr>
        <xdr:cNvPr id="3" name="TextBox 2">
          <a:extLst>
            <a:ext uri="{FF2B5EF4-FFF2-40B4-BE49-F238E27FC236}">
              <a16:creationId xmlns:a16="http://schemas.microsoft.com/office/drawing/2014/main" id="{00000000-0008-0000-0700-000003000000}"/>
            </a:ext>
          </a:extLst>
        </xdr:cNvPr>
        <xdr:cNvSpPr txBox="1"/>
      </xdr:nvSpPr>
      <xdr:spPr>
        <a:xfrm>
          <a:off x="19673454" y="498763"/>
          <a:ext cx="3131127" cy="19534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600" b="1" u="sng"/>
            <a:t>Acronym List</a:t>
          </a:r>
        </a:p>
        <a:p>
          <a:pPr algn="ctr"/>
          <a:endParaRPr lang="es-ES" sz="1400"/>
        </a:p>
        <a:p>
          <a:pPr algn="l"/>
          <a:r>
            <a:rPr lang="es-ES" sz="1400" b="1"/>
            <a:t>LCOP</a:t>
          </a:r>
          <a:r>
            <a:rPr lang="es-ES" sz="1400"/>
            <a:t>: Levelized Cost of Product</a:t>
          </a:r>
        </a:p>
        <a:p>
          <a:pPr algn="l"/>
          <a:r>
            <a:rPr lang="es-ES" sz="1400" b="1"/>
            <a:t>NPV</a:t>
          </a:r>
          <a:r>
            <a:rPr lang="es-ES" sz="1400"/>
            <a:t>:</a:t>
          </a:r>
          <a:r>
            <a:rPr lang="es-ES" sz="1400" baseline="0"/>
            <a:t> Net Present Value</a:t>
          </a:r>
        </a:p>
        <a:p>
          <a:pPr algn="l"/>
          <a:r>
            <a:rPr lang="es-ES" sz="1400" b="1" baseline="0"/>
            <a:t>IRR</a:t>
          </a:r>
          <a:r>
            <a:rPr lang="es-ES" sz="1400" baseline="0"/>
            <a:t>: Internal Rate of Return</a:t>
          </a:r>
        </a:p>
        <a:p>
          <a:pPr algn="l"/>
          <a:r>
            <a:rPr lang="es-ES" sz="1400" b="1" baseline="0"/>
            <a:t>SPP</a:t>
          </a:r>
          <a:r>
            <a:rPr lang="es-ES" sz="1400" baseline="0"/>
            <a:t>: Simple Payback Period</a:t>
          </a:r>
        </a:p>
        <a:p>
          <a:pPr algn="l"/>
          <a:r>
            <a:rPr lang="es-ES" sz="1400" b="1" baseline="0"/>
            <a:t>DPP</a:t>
          </a:r>
          <a:r>
            <a:rPr lang="es-ES" sz="1400" baseline="0"/>
            <a:t>: Discounted Payback Period</a:t>
          </a:r>
        </a:p>
        <a:p>
          <a:pPr algn="l"/>
          <a:r>
            <a:rPr lang="es-ES" sz="1400" b="1" baseline="0"/>
            <a:t>COCA</a:t>
          </a:r>
          <a:r>
            <a:rPr lang="es-ES" sz="1400" baseline="0"/>
            <a:t>: Cost of CO2 Avoided</a:t>
          </a:r>
          <a:endParaRPr lang="es-ES" sz="14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22860</xdr:colOff>
          <xdr:row>6</xdr:row>
          <xdr:rowOff>7620</xdr:rowOff>
        </xdr:from>
        <xdr:to>
          <xdr:col>9</xdr:col>
          <xdr:colOff>556260</xdr:colOff>
          <xdr:row>6</xdr:row>
          <xdr:rowOff>205740</xdr:rowOff>
        </xdr:to>
        <xdr:sp macro="" textlink="">
          <xdr:nvSpPr>
            <xdr:cNvPr id="261121" name="Button 1" hidden="1">
              <a:extLst>
                <a:ext uri="{63B3BB69-23CF-44E3-9099-C40C66FF867C}">
                  <a14:compatExt spid="_x0000_s261121"/>
                </a:ext>
                <a:ext uri="{FF2B5EF4-FFF2-40B4-BE49-F238E27FC236}">
                  <a16:creationId xmlns:a16="http://schemas.microsoft.com/office/drawing/2014/main" id="{00000000-0008-0000-0900-000001FC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16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6</xdr:row>
          <xdr:rowOff>15240</xdr:rowOff>
        </xdr:from>
        <xdr:to>
          <xdr:col>10</xdr:col>
          <xdr:colOff>556260</xdr:colOff>
          <xdr:row>6</xdr:row>
          <xdr:rowOff>205740</xdr:rowOff>
        </xdr:to>
        <xdr:sp macro="" textlink="">
          <xdr:nvSpPr>
            <xdr:cNvPr id="261122" name="Button 2" hidden="1">
              <a:extLst>
                <a:ext uri="{63B3BB69-23CF-44E3-9099-C40C66FF867C}">
                  <a14:compatExt spid="_x0000_s261122"/>
                </a:ext>
                <a:ext uri="{FF2B5EF4-FFF2-40B4-BE49-F238E27FC236}">
                  <a16:creationId xmlns:a16="http://schemas.microsoft.com/office/drawing/2014/main" id="{00000000-0008-0000-0900-000002FC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15240</xdr:colOff>
          <xdr:row>3</xdr:row>
          <xdr:rowOff>7620</xdr:rowOff>
        </xdr:from>
        <xdr:to>
          <xdr:col>10</xdr:col>
          <xdr:colOff>548640</xdr:colOff>
          <xdr:row>3</xdr:row>
          <xdr:rowOff>213360</xdr:rowOff>
        </xdr:to>
        <xdr:sp macro="" textlink="">
          <xdr:nvSpPr>
            <xdr:cNvPr id="261123" name="Button 3" hidden="1">
              <a:extLst>
                <a:ext uri="{63B3BB69-23CF-44E3-9099-C40C66FF867C}">
                  <a14:compatExt spid="_x0000_s261123"/>
                </a:ext>
                <a:ext uri="{FF2B5EF4-FFF2-40B4-BE49-F238E27FC236}">
                  <a16:creationId xmlns:a16="http://schemas.microsoft.com/office/drawing/2014/main" id="{00000000-0008-0000-0900-000003F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000" b="1" i="0" u="none" strike="noStrike" baseline="0">
                  <a:solidFill>
                    <a:srgbClr val="000000"/>
                  </a:solidFill>
                  <a:latin typeface="Calibri"/>
                  <a:cs typeface="Calibri"/>
                </a:rPr>
                <a:t>PLANT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83820</xdr:colOff>
          <xdr:row>4</xdr:row>
          <xdr:rowOff>53340</xdr:rowOff>
        </xdr:from>
        <xdr:to>
          <xdr:col>1</xdr:col>
          <xdr:colOff>2651760</xdr:colOff>
          <xdr:row>6</xdr:row>
          <xdr:rowOff>205740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0A00-0000011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14</xdr:col>
      <xdr:colOff>233547</xdr:colOff>
      <xdr:row>3</xdr:row>
      <xdr:rowOff>50982</xdr:rowOff>
    </xdr:from>
    <xdr:ext cx="2286000" cy="609398"/>
    <mc:AlternateContent xmlns:mc="http://schemas.openxmlformats.org/markup-compatibility/2006" xmlns:a14="http://schemas.microsoft.com/office/drawing/2010/main">
      <mc:Choice Requires="a14">
        <xdr:sp macro="" textlink="">
          <xdr:nvSpPr>
            <xdr:cNvPr id="3" name="TextBox 4">
              <a:extLst>
                <a:ext uri="{FF2B5EF4-FFF2-40B4-BE49-F238E27FC236}">
                  <a16:creationId xmlns:a16="http://schemas.microsoft.com/office/drawing/2014/main" id="{00000000-0008-0000-0A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3" name="TextBox 4">
              <a:extLst>
                <a:ext uri="{FF2B5EF4-FFF2-40B4-BE49-F238E27FC236}">
                  <a16:creationId xmlns:a16="http://schemas.microsoft.com/office/drawing/2014/main" id="{00000000-0008-0000-07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12</xdr:col>
          <xdr:colOff>15240</xdr:colOff>
          <xdr:row>3</xdr:row>
          <xdr:rowOff>7620</xdr:rowOff>
        </xdr:from>
        <xdr:to>
          <xdr:col>12</xdr:col>
          <xdr:colOff>1584960</xdr:colOff>
          <xdr:row>3</xdr:row>
          <xdr:rowOff>243840</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00000000-0008-0000-0A00-000002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15240</xdr:colOff>
          <xdr:row>4</xdr:row>
          <xdr:rowOff>15240</xdr:rowOff>
        </xdr:from>
        <xdr:to>
          <xdr:col>12</xdr:col>
          <xdr:colOff>1592580</xdr:colOff>
          <xdr:row>4</xdr:row>
          <xdr:rowOff>236220</xdr:rowOff>
        </xdr:to>
        <xdr:sp macro="" textlink="">
          <xdr:nvSpPr>
            <xdr:cNvPr id="202755" name="Button 3" hidden="1">
              <a:extLst>
                <a:ext uri="{63B3BB69-23CF-44E3-9099-C40C66FF867C}">
                  <a14:compatExt spid="_x0000_s202755"/>
                </a:ext>
                <a:ext uri="{FF2B5EF4-FFF2-40B4-BE49-F238E27FC236}">
                  <a16:creationId xmlns:a16="http://schemas.microsoft.com/office/drawing/2014/main" id="{00000000-0008-0000-0A00-000003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xdr:twoCellAnchor>
    <xdr:from>
      <xdr:col>1</xdr:col>
      <xdr:colOff>186267</xdr:colOff>
      <xdr:row>18</xdr:row>
      <xdr:rowOff>50798</xdr:rowOff>
    </xdr:from>
    <xdr:to>
      <xdr:col>4</xdr:col>
      <xdr:colOff>948266</xdr:colOff>
      <xdr:row>41</xdr:row>
      <xdr:rowOff>205315</xdr:rowOff>
    </xdr:to>
    <xdr:graphicFrame macro="">
      <xdr:nvGraphicFramePr>
        <xdr:cNvPr id="8" name="Gráfico 3">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1557866</xdr:colOff>
      <xdr:row>18</xdr:row>
      <xdr:rowOff>77258</xdr:rowOff>
    </xdr:from>
    <xdr:to>
      <xdr:col>8</xdr:col>
      <xdr:colOff>977296</xdr:colOff>
      <xdr:row>41</xdr:row>
      <xdr:rowOff>231020</xdr:rowOff>
    </xdr:to>
    <xdr:graphicFrame macro="">
      <xdr:nvGraphicFramePr>
        <xdr:cNvPr id="9" name="Gráfico 4">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7</xdr:row>
          <xdr:rowOff>30480</xdr:rowOff>
        </xdr:from>
        <xdr:to>
          <xdr:col>2</xdr:col>
          <xdr:colOff>1363980</xdr:colOff>
          <xdr:row>8</xdr:row>
          <xdr:rowOff>182880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B00-000001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editAs="oneCell">
    <xdr:from>
      <xdr:col>83</xdr:col>
      <xdr:colOff>678873</xdr:colOff>
      <xdr:row>9</xdr:row>
      <xdr:rowOff>39831</xdr:rowOff>
    </xdr:from>
    <xdr:to>
      <xdr:col>91</xdr:col>
      <xdr:colOff>697923</xdr:colOff>
      <xdr:row>47</xdr:row>
      <xdr:rowOff>24357</xdr:rowOff>
    </xdr:to>
    <xdr:pic>
      <xdr:nvPicPr>
        <xdr:cNvPr id="4" name="Picture 3">
          <a:extLst>
            <a:ext uri="{FF2B5EF4-FFF2-40B4-BE49-F238E27FC236}">
              <a16:creationId xmlns:a16="http://schemas.microsoft.com/office/drawing/2014/main" id="{00000000-0008-0000-0B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275637" y="1854776"/>
          <a:ext cx="6115050" cy="69256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530193</xdr:colOff>
      <xdr:row>6</xdr:row>
      <xdr:rowOff>63095</xdr:rowOff>
    </xdr:from>
    <xdr:to>
      <xdr:col>4</xdr:col>
      <xdr:colOff>809268</xdr:colOff>
      <xdr:row>8</xdr:row>
      <xdr:rowOff>182009</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2378043" y="1282295"/>
          <a:ext cx="1669725" cy="499914"/>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1087755</xdr:colOff>
      <xdr:row>267</xdr:row>
      <xdr:rowOff>70485</xdr:rowOff>
    </xdr:from>
    <xdr:to>
      <xdr:col>3</xdr:col>
      <xdr:colOff>249555</xdr:colOff>
      <xdr:row>277</xdr:row>
      <xdr:rowOff>99060</xdr:rowOff>
    </xdr:to>
    <xdr:sp macro="" textlink="">
      <xdr:nvSpPr>
        <xdr:cNvPr id="2" name="Rectangle 2">
          <a:extLst>
            <a:ext uri="{FF2B5EF4-FFF2-40B4-BE49-F238E27FC236}">
              <a16:creationId xmlns:a16="http://schemas.microsoft.com/office/drawing/2014/main" id="{00000000-0008-0000-0F00-000002000000}"/>
            </a:ext>
          </a:extLst>
        </xdr:cNvPr>
        <xdr:cNvSpPr>
          <a:spLocks noChangeArrowheads="1"/>
        </xdr:cNvSpPr>
      </xdr:nvSpPr>
      <xdr:spPr bwMode="auto">
        <a:xfrm>
          <a:off x="1849755" y="49996725"/>
          <a:ext cx="3489960" cy="185737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7</xdr:col>
      <xdr:colOff>9525</xdr:colOff>
      <xdr:row>281</xdr:row>
      <xdr:rowOff>0</xdr:rowOff>
    </xdr:from>
    <xdr:to>
      <xdr:col>7</xdr:col>
      <xdr:colOff>571500</xdr:colOff>
      <xdr:row>285</xdr:row>
      <xdr:rowOff>0</xdr:rowOff>
    </xdr:to>
    <xdr:sp macro="" textlink="">
      <xdr:nvSpPr>
        <xdr:cNvPr id="3" name="Rectangle 1">
          <a:extLst>
            <a:ext uri="{FF2B5EF4-FFF2-40B4-BE49-F238E27FC236}">
              <a16:creationId xmlns:a16="http://schemas.microsoft.com/office/drawing/2014/main" id="{00000000-0008-0000-0F00-000003000000}"/>
            </a:ext>
          </a:extLst>
        </xdr:cNvPr>
        <xdr:cNvSpPr>
          <a:spLocks noChangeArrowheads="1"/>
        </xdr:cNvSpPr>
      </xdr:nvSpPr>
      <xdr:spPr bwMode="auto">
        <a:xfrm>
          <a:off x="8528685" y="72329040"/>
          <a:ext cx="561975" cy="73152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215785</xdr:colOff>
      <xdr:row>10</xdr:row>
      <xdr:rowOff>190326</xdr:rowOff>
    </xdr:from>
    <xdr:to>
      <xdr:col>4</xdr:col>
      <xdr:colOff>190500</xdr:colOff>
      <xdr:row>34</xdr:row>
      <xdr:rowOff>171450</xdr:rowOff>
    </xdr:to>
    <xdr:graphicFrame macro="">
      <xdr:nvGraphicFramePr>
        <xdr:cNvPr id="4" name="Gráfico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5" name="Gráfico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215785</xdr:colOff>
      <xdr:row>10</xdr:row>
      <xdr:rowOff>190326</xdr:rowOff>
    </xdr:from>
    <xdr:to>
      <xdr:col>4</xdr:col>
      <xdr:colOff>190500</xdr:colOff>
      <xdr:row>34</xdr:row>
      <xdr:rowOff>171450</xdr:rowOff>
    </xdr:to>
    <xdr:graphicFrame macro="">
      <xdr:nvGraphicFramePr>
        <xdr:cNvPr id="8" name="Gráfico 3">
          <a:extLst>
            <a:ext uri="{FF2B5EF4-FFF2-40B4-BE49-F238E27FC236}">
              <a16:creationId xmlns:a16="http://schemas.microsoft.com/office/drawing/2014/main" id="{00000000-0008-0000-1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9" name="Gráfico 4">
          <a:extLst>
            <a:ext uri="{FF2B5EF4-FFF2-40B4-BE49-F238E27FC236}">
              <a16:creationId xmlns:a16="http://schemas.microsoft.com/office/drawing/2014/main" id="{00000000-0008-0000-1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Carlos Arnaiz del Pozo" id="{6E65B61A-4FC2-4E8C-BD4C-7248342FB643}" userId="55fb35e16d3f1e92"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579C85E3-B9AF-4478-B13B-F6B67E9F78CF}" name="Table27" displayName="Table27" ref="AE6:AE7" totalsRowShown="0" headerRowDxfId="293" dataDxfId="291" headerRowBorderDxfId="292" tableBorderDxfId="290">
  <autoFilter ref="AE6:AE7" xr:uid="{BD430C73-D62B-4B34-81C6-4CB5D46BEDB9}">
    <filterColumn colId="0" hiddenButton="1"/>
  </autoFilter>
  <tableColumns count="1">
    <tableColumn id="1" xr3:uid="{84F9157D-4D99-4CBA-AAD8-CC3862882A85}" name="Stream" dataDxfId="289"/>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370103C-61A6-4A61-8D20-864BDDC448A5}" name="Table28" displayName="Table28" ref="AG6:AG7" totalsRowShown="0" headerRowDxfId="288" dataDxfId="286" headerRowBorderDxfId="287" tableBorderDxfId="285" totalsRowBorderDxfId="284">
  <autoFilter ref="AG6:AG7" xr:uid="{510DCB59-50DF-48D5-B930-238A03E9FB6D}">
    <filterColumn colId="0" hiddenButton="1"/>
  </autoFilter>
  <tableColumns count="1">
    <tableColumn id="1" xr3:uid="{0220A6D5-F39F-488C-949A-4AABD7B530C9}" name="Component 1" dataDxfId="283"/>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BA082ADD-DB1E-4049-A20D-C01317D57450}" name="Table57" displayName="Table57" ref="AF6:AF7" totalsRowShown="0" headerRowDxfId="282" dataDxfId="280" headerRowBorderDxfId="281" tableBorderDxfId="279" totalsRowBorderDxfId="278">
  <autoFilter ref="AF6:AF7" xr:uid="{1E496B6B-9D2B-467B-B1BC-B30D13381E1A}">
    <filterColumn colId="0" hiddenButton="1"/>
  </autoFilter>
  <tableColumns count="1">
    <tableColumn id="1" xr3:uid="{876249EE-102A-4A6F-80BD-15A7B17749BB}" name="Property 1" dataDxfId="277"/>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FD2E8EFD-E668-48BE-A4E5-AAC178CC18E2}" name="Tabla258790120135" displayName="Tabla258790120135" ref="D12:D43" totalsRowShown="0" headerRowDxfId="276" dataDxfId="274" headerRowBorderDxfId="275" tableBorderDxfId="273">
  <autoFilter ref="D12:D43" xr:uid="{54D9AD24-3255-47F8-8858-1911F353046A}">
    <filterColumn colId="0" hiddenButton="1"/>
  </autoFilter>
  <tableColumns count="1">
    <tableColumn id="1" xr3:uid="{A355DF28-B822-4D21-91F3-9DBB6C59828A}" name="Equipment" dataDxfId="272"/>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98364832-8105-4665-B13C-1CD5571B3ECA}" name="Tabla278891121136" displayName="Tabla278891121136" ref="E12:E43" totalsRowShown="0" headerRowDxfId="271" dataDxfId="269" headerRowBorderDxfId="270" tableBorderDxfId="268">
  <autoFilter ref="E12:E43" xr:uid="{E7DD97D0-07C4-49A5-A08A-CD158C5E4B0A}">
    <filterColumn colId="0" hiddenButton="1"/>
  </autoFilter>
  <tableColumns count="1">
    <tableColumn id="1" xr3:uid="{6FE28B51-AB7B-4376-A0AF-515604CD3E9B}" name="Subtype" dataDxfId="267"/>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80350C18-46CA-4BB3-8F0F-F1770F2577AA}" name="Tabla548992122137" displayName="Tabla548992122137" ref="I12:I43" totalsRowShown="0" headerRowDxfId="266" headerRowBorderDxfId="265" tableBorderDxfId="264">
  <autoFilter ref="I12:I43" xr:uid="{5E4964A9-7D89-4560-BE84-23E70166B931}">
    <filterColumn colId="0" hiddenButton="1"/>
  </autoFilter>
  <tableColumns count="1">
    <tableColumn id="1" xr3:uid="{8943FB37-DFA9-41B5-A66A-184DAEB0D39F}" name="Material"/>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A515685A-6551-48C8-AC12-396CBC52B3CC}" name="Tabla25879012013530" displayName="Tabla25879012013530" ref="D12:D43" totalsRowShown="0" headerRowDxfId="263" dataDxfId="261" headerRowBorderDxfId="262" tableBorderDxfId="260">
  <autoFilter ref="D12:D43" xr:uid="{54D9AD24-3255-47F8-8858-1911F353046A}">
    <filterColumn colId="0" hiddenButton="1"/>
  </autoFilter>
  <tableColumns count="1">
    <tableColumn id="1" xr3:uid="{D8802F60-8DD4-42B1-8525-E702B22D8DC1}" name="Equipment" dataDxfId="259"/>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81E2948-8324-46B8-A72D-77E6B94F9948}" name="Tabla27889112113631" displayName="Tabla27889112113631" ref="E12:E43" totalsRowShown="0" headerRowDxfId="258" dataDxfId="256" headerRowBorderDxfId="257" tableBorderDxfId="255">
  <autoFilter ref="E12:E43" xr:uid="{E7DD97D0-07C4-49A5-A08A-CD158C5E4B0A}">
    <filterColumn colId="0" hiddenButton="1"/>
  </autoFilter>
  <tableColumns count="1">
    <tableColumn id="1" xr3:uid="{7ADAE72C-EC1C-45F5-BA0E-D2E723C5BE55}" name="Subtype" dataDxfId="254"/>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1BC49ABB-0F5D-4F2E-83EB-5B89FDA1BA9E}" name="Tabla54899212213755" displayName="Tabla54899212213755" ref="I12:I43" totalsRowShown="0" headerRowDxfId="253" headerRowBorderDxfId="252" tableBorderDxfId="251">
  <autoFilter ref="I12:I43" xr:uid="{5E4964A9-7D89-4560-BE84-23E70166B931}">
    <filterColumn colId="0" hiddenButton="1"/>
  </autoFilter>
  <tableColumns count="1">
    <tableColumn id="1" xr3:uid="{FC31E651-872B-4176-9D8C-E9DAE18ABC2D}" name="Material"/>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76EB5CCC-6E07-4548-8E07-561B7DCCBED6}" name="Tabla71" displayName="Tabla71" ref="D3:H14" headerRowDxfId="250" dataDxfId="248" headerRowBorderDxfId="249" tableBorderDxfId="247">
  <autoFilter ref="D3:H14" xr:uid="{64CC735C-3D0C-4D1C-922B-02CBF98B8EB5}">
    <filterColumn colId="0" hiddenButton="1"/>
    <filterColumn colId="1" hiddenButton="1"/>
    <filterColumn colId="2" hiddenButton="1"/>
    <filterColumn colId="3" hiddenButton="1"/>
    <filterColumn colId="4" hiddenButton="1"/>
  </autoFilter>
  <tableColumns count="5">
    <tableColumn id="1" xr3:uid="{3D7F9C3B-45CD-4580-80A0-AE226C2C5DCF}" name="Item 1" totalsRowLabel="Total" dataDxfId="246" totalsRowDxfId="245"/>
    <tableColumn id="2" xr3:uid="{4D82A35B-4189-4719-BB3C-4D34D7E09642}" name="Item 2" dataDxfId="244" totalsRowDxfId="243">
      <calculatedColumnFormula>+#REF!+#REF!</calculatedColumnFormula>
    </tableColumn>
    <tableColumn id="3" xr3:uid="{031D8C80-7B65-48B3-95DE-EBBD12D602AA}" name="Item 3" dataDxfId="242" totalsRowDxfId="241"/>
    <tableColumn id="4" xr3:uid="{76940428-0803-44F4-9D2F-7A17429945D0}" name="Item 4" dataDxfId="240" totalsRowDxfId="239"/>
    <tableColumn id="22" xr3:uid="{118B0DE5-F4D6-41BA-B022-A7A53FBE109A}" name="Total" dataDxfId="238" totalsRowDxfId="237">
      <calculatedColumnFormula array="1">+suma(#REF!)</calculatedColumnFormula>
    </tableColumn>
  </tableColumns>
  <tableStyleInfo name="TableStyleLight13" showFirstColumn="0" showLastColumn="1" showRowStripes="1" showColumnStripes="1"/>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C68453F2-E3B5-4CD9-B397-97D6F5CB6B38}" name="Tabla72" displayName="Tabla72" ref="D16:G25" totalsRowShown="0" headerRowDxfId="236" dataDxfId="234" headerRowBorderDxfId="235" tableBorderDxfId="233">
  <autoFilter ref="D16:G25" xr:uid="{242DD7A6-A2F2-4530-8CB1-4AE3D4814DA5}">
    <filterColumn colId="0" hiddenButton="1"/>
    <filterColumn colId="1" hiddenButton="1"/>
    <filterColumn colId="2" hiddenButton="1"/>
    <filterColumn colId="3" hiddenButton="1"/>
  </autoFilter>
  <tableColumns count="4">
    <tableColumn id="1" xr3:uid="{F63E2223-F910-4628-9144-F8EE509C95E9}" name="Item 1" dataDxfId="232"/>
    <tableColumn id="2" xr3:uid="{A2FE6D58-DE8B-428E-BCCE-879A37C47E6E}" name="Item 2" dataDxfId="231"/>
    <tableColumn id="3" xr3:uid="{7925CDB2-450B-4481-AAF3-C97257BEAACF}" name="Item 3" dataDxfId="230"/>
    <tableColumn id="4" xr3:uid="{04880DFB-6CC9-4F3A-8D86-4D2CF229564A}" name="Item 4" dataDxfId="229"/>
  </tableColumns>
  <tableStyleInfo name="TableStyleLight13" showFirstColumn="0" showLastColumn="0" showRowStripes="1" showColumnStripes="1"/>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4E39581D-0C76-4B51-A81D-5DD4EE6E3285}" name="Tabla58" displayName="Tabla58" ref="P15:U17" totalsRowShown="0" headerRowDxfId="228" dataDxfId="226" headerRowBorderDxfId="227" tableBorderDxfId="225">
  <autoFilter ref="P15:U17" xr:uid="{B13FA407-C1E3-454E-A4B3-76051CE25281}">
    <filterColumn colId="0" hiddenButton="1"/>
    <filterColumn colId="1" hiddenButton="1"/>
    <filterColumn colId="2" hiddenButton="1"/>
    <filterColumn colId="3" hiddenButton="1"/>
    <filterColumn colId="4" hiddenButton="1"/>
    <filterColumn colId="5" hiddenButton="1"/>
  </autoFilter>
  <tableColumns count="6">
    <tableColumn id="1" xr3:uid="{0D5155B6-34F8-4827-A455-21C2ED64A7FF}" name="Concept" dataDxfId="224"/>
    <tableColumn id="2" xr3:uid="{9B4C5D61-F713-41FC-B7C7-9F077DE82275}" name="Value" dataDxfId="223"/>
    <tableColumn id="3" xr3:uid="{A4C06DCA-E860-4A4F-B152-665585967753}" name="unit/year" dataDxfId="222"/>
    <tableColumn id="4" xr3:uid="{CCA6FF56-D426-420F-BF2F-A692827F42E1}" name="Specific Cost" dataDxfId="221"/>
    <tableColumn id="5" xr3:uid="{4648B13C-CDDA-4B0E-ABF0-FBA2AFA9D245}" name="cost/unit" dataDxfId="220"/>
    <tableColumn id="6" xr3:uid="{F22C8FA2-C58A-42CD-927E-2B28BD9711A6}" name="cost/year" dataDxfId="219">
      <calculatedColumnFormula>+Q16*S16/10^6</calculatedColumnFormula>
    </tableColumn>
  </tableColumns>
  <tableStyleInfo name="TableStyleLight13" showFirstColumn="0" showLastColumn="0" showRowStripes="1" showColumnStripes="1"/>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D76CAD4-7380-4403-A105-C38D24262A42}" name="Tabla59" displayName="Tabla59" ref="I15:N17" totalsRowShown="0" headerRowDxfId="218" headerRowBorderDxfId="217" tableBorderDxfId="216">
  <autoFilter ref="I15:N17" xr:uid="{ADDA617E-D4B9-4DDB-AFD3-4239FA469DEE}">
    <filterColumn colId="0" hiddenButton="1"/>
    <filterColumn colId="1" hiddenButton="1"/>
    <filterColumn colId="2" hiddenButton="1"/>
    <filterColumn colId="3" hiddenButton="1"/>
    <filterColumn colId="4" hiddenButton="1"/>
    <filterColumn colId="5" hiddenButton="1"/>
  </autoFilter>
  <tableColumns count="6">
    <tableColumn id="1" xr3:uid="{0034390E-9A8B-4D2A-95CC-B7209E4F0365}" name="Concept" dataDxfId="215"/>
    <tableColumn id="2" xr3:uid="{332EA6EB-8C1E-4D46-8464-EFCB65EA23A5}" name="Value" dataDxfId="214"/>
    <tableColumn id="3" xr3:uid="{BAEA2EAA-B867-4C8B-926B-D331C449D698}" name="unit/year" dataDxfId="213"/>
    <tableColumn id="4" xr3:uid="{23D264B9-CD6B-4F68-92FC-49B00E384F23}" name="Specific Cost" dataDxfId="212"/>
    <tableColumn id="5" xr3:uid="{00D8C109-8039-47C9-A54A-67B25387E9D5}" name="cost/unit" dataDxfId="211"/>
    <tableColumn id="6" xr3:uid="{526DA783-5211-4718-AFCF-98B7F83F959A}" name="cost/year" dataDxfId="210">
      <calculatedColumnFormula>+J16*L16/10^6</calculatedColumnFormula>
    </tableColumn>
  </tableColumns>
  <tableStyleInfo name="TableStyleLight13" showFirstColumn="0" showLastColumn="0" showRowStripes="1" showColumnStripes="1"/>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B6090D72-93AF-4732-A127-E8FA20C2DCA3}" name="Tabla60" displayName="Tabla60" ref="B15:G17" totalsRowShown="0" headerRowDxfId="209" headerRowBorderDxfId="208" tableBorderDxfId="207">
  <autoFilter ref="B15:G17" xr:uid="{84B418E6-D4F5-41FF-8569-675E963BA1DE}">
    <filterColumn colId="0" hiddenButton="1"/>
    <filterColumn colId="1" hiddenButton="1"/>
    <filterColumn colId="2" hiddenButton="1"/>
    <filterColumn colId="3" hiddenButton="1"/>
    <filterColumn colId="4" hiddenButton="1"/>
    <filterColumn colId="5" hiddenButton="1"/>
  </autoFilter>
  <tableColumns count="6">
    <tableColumn id="1" xr3:uid="{C08E2B5C-C6B2-4467-A48C-BC3455379D72}" name="Concept" dataDxfId="206"/>
    <tableColumn id="2" xr3:uid="{C2D6BCEA-8C9D-49FB-BFC1-D70F1AF96B3C}" name="Value" dataDxfId="205"/>
    <tableColumn id="3" xr3:uid="{1E8C5934-680E-4CE8-BF03-307BA777810C}" name="unit/year" dataDxfId="204"/>
    <tableColumn id="4" xr3:uid="{F602E6B3-7A75-49BA-AF4A-D607E8EFA18E}" name="Specific Cost" dataDxfId="203"/>
    <tableColumn id="5" xr3:uid="{B0FD65F7-3D14-410A-871D-F32A1D988FCC}" name="cost/unit"/>
    <tableColumn id="6" xr3:uid="{88D3E296-CC80-4404-A1FA-960EC01E83C3}" name="cost/year" dataDxfId="202">
      <calculatedColumnFormula>+C16*E16</calculatedColumnFormula>
    </tableColumn>
  </tableColumns>
  <tableStyleInfo name="TableStyleLight13" showFirstColumn="0" showLastColumn="0" showRowStripes="1" showColumnStripes="1"/>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BFFE097-8414-4196-AD48-E41E0E5FB8F9}" name="Table25" displayName="Table25" ref="BR2:BR5" totalsRowShown="0">
  <autoFilter ref="BR2:BR5" xr:uid="{A0D5AA6B-E651-4233-A3E7-DCBE36C75ED4}"/>
  <tableColumns count="1">
    <tableColumn id="1" xr3:uid="{BA46DB9F-6221-4EAA-A31C-97569AE2FFBF}" name="Indicator"/>
  </tableColumns>
  <tableStyleInfo name="TableStyleLight1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E5A19AEF-429F-4DE8-88F9-A26878328615}" name="Table30" displayName="Table30" ref="B4:D5" totalsRowShown="0" headerRowDxfId="201" headerRowBorderDxfId="200" tableBorderDxfId="199">
  <autoFilter ref="B4:D5" xr:uid="{13B9CF21-C87C-43E8-A2FC-6C7E7E3723BC}">
    <filterColumn colId="0" hiddenButton="1"/>
    <filterColumn colId="1" hiddenButton="1"/>
    <filterColumn colId="2" hiddenButton="1"/>
  </autoFilter>
  <tableColumns count="3">
    <tableColumn id="1" xr3:uid="{69C8C329-5A37-4DA0-B145-403AB231B570}" name="Item" dataDxfId="198"/>
    <tableColumn id="2" xr3:uid="{C3584EDC-8DAE-4A60-A6B9-1E1B36EBAC17}" name="Value" dataDxfId="197"/>
    <tableColumn id="3" xr3:uid="{CEC51037-7AE6-4111-AF08-E7CB8D2C3C3A}" name="Units" dataDxfId="196"/>
  </tableColumns>
  <tableStyleInfo name="TableStyleLight13"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4F4A32-E83C-4125-810A-3378EA82A6BF}" name="Tabla1" displayName="Tabla1" ref="W2:W25" totalsRowShown="0" headerRowDxfId="195" dataDxfId="194">
  <autoFilter ref="W2:W25" xr:uid="{228BC41D-0912-47E0-88C8-E31E895E7B98}"/>
  <tableColumns count="1">
    <tableColumn id="1" xr3:uid="{96F8729B-427A-4FDE-9469-CBDAE8A7E026}" name="Equipment" dataDxfId="193"/>
  </tableColumns>
  <tableStyleInfo name="TableStyleLight13"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38D607-5963-4408-8236-7B5590FB7E50}" name="Tabla2" displayName="Tabla2" ref="X2:X5" totalsRowShown="0" headerRowDxfId="192" dataDxfId="191" headerRowCellStyle="Normal 2" dataCellStyle="Normal 2">
  <autoFilter ref="X2:X5" xr:uid="{94891308-2F99-4CBE-89F9-8FA144C5B5D5}"/>
  <tableColumns count="1">
    <tableColumn id="1" xr3:uid="{7939984D-879C-499C-BF68-B1EA95D3A269}" name="Blender " dataDxfId="190" dataCellStyle="Normal 2">
      <calculatedColumnFormula>+'Equipment Data'!B4</calculatedColumnFormula>
    </tableColumn>
  </tableColumns>
  <tableStyleInfo name="TableStyleMedium6"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F1406AB-72D7-49F7-9706-71FB7546BF9E}" name="Tabla3" displayName="Tabla3" ref="Y2:Y6" totalsRowShown="0" headerRowDxfId="189" dataDxfId="188" dataCellStyle="Normal 2">
  <autoFilter ref="Y2:Y6" xr:uid="{F459A973-F944-4E80-9411-FF29CC5E20F3}"/>
  <tableColumns count="1">
    <tableColumn id="1" xr3:uid="{30576F42-7924-4D41-8D8F-F48FFBAE37F8}" name="Centrifuge " dataDxfId="187" dataCellStyle="Normal 2">
      <calculatedColumnFormula>+'Equipment Data'!B11</calculatedColumnFormula>
    </tableColumn>
  </tableColumns>
  <tableStyleInfo name="TableStyleMedium6"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B676C2F-BE8C-4604-91E3-9212933AB3F4}" name="Tabla4" displayName="Tabla4" ref="Z2:Z6" totalsRowShown="0" headerRowDxfId="186" dataDxfId="185" dataCellStyle="Normal 2">
  <autoFilter ref="Z2:Z6" xr:uid="{0E77BDC2-2671-4D5A-A24E-5ACCEAF7EEB8}"/>
  <tableColumns count="1">
    <tableColumn id="1" xr3:uid="{F4F13026-D569-45B8-B4AC-274FF2AE74B7}" name="Compressor" dataDxfId="184" dataCellStyle="Normal 2">
      <calculatedColumnFormula>+'Equipment Data'!B19</calculatedColumnFormula>
    </tableColumn>
  </tableColumns>
  <tableStyleInfo name="TableStyleMedium6"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DC47EDC-A853-4DF8-905F-9A9A65EA6692}" name="Tabla5" displayName="Tabla5" ref="AA2:AA6" totalsRowShown="0" headerRowDxfId="183" dataDxfId="182" dataCellStyle="Normal 2">
  <autoFilter ref="AA2:AA6" xr:uid="{CF9B4E60-B84B-4DEB-B06A-A01D125A08DB}"/>
  <tableColumns count="1">
    <tableColumn id="1" xr3:uid="{3A39B6EE-B2F9-4580-A1BD-964121D9500C}" name="Conveyor" dataDxfId="181" dataCellStyle="Normal 2">
      <calculatedColumnFormula>+'Equipment Data'!B27</calculatedColumnFormula>
    </tableColumn>
  </tableColumns>
  <tableStyleInfo name="TableStyleMedium6"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46AE3F4-CCC2-40F5-8DAC-A01FF58F6CFE}" name="Tabla6" displayName="Tabla6" ref="AB2:AB3" totalsRowShown="0" headerRowDxfId="180" dataDxfId="179" dataCellStyle="Normal 2">
  <autoFilter ref="AB2:AB3" xr:uid="{EFA4F263-55C2-4743-85A4-2F6C53E51E27}"/>
  <tableColumns count="1">
    <tableColumn id="1" xr3:uid="{20DC7D11-3D6C-4284-B04E-2D8F63CC6E04}" name="Crystallizer " dataDxfId="178" dataCellStyle="Normal 2">
      <calculatedColumnFormula>+'Equipment Data'!B35</calculatedColumnFormula>
    </tableColumn>
  </tableColumns>
  <tableStyleInfo name="TableStyleMedium6"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F546A19-9CF3-4A9B-9CC6-E3588ECAF5F7}" name="Tabla7" displayName="Tabla7" ref="AC2:AC8" totalsRowShown="0" headerRowDxfId="177" dataDxfId="176">
  <autoFilter ref="AC2:AC8" xr:uid="{DAC915E7-B40C-4500-AA97-424E042AA7DE}"/>
  <tableColumns count="1">
    <tableColumn id="1" xr3:uid="{802FB2C7-1ED1-44E8-B881-C7614300DA80}" name="Drive " dataDxfId="175"/>
  </tableColumns>
  <tableStyleInfo name="TableStyleMedium6"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5BE696F-0F52-4276-B13F-4BF1B78A9BDE}" name="Tabla8" displayName="Tabla8" ref="AD2:AD5" totalsRowShown="0" headerRowDxfId="174" dataDxfId="173">
  <autoFilter ref="AD2:AD5" xr:uid="{3007DBC2-AFB8-4B7B-8B59-B4748BC20D78}"/>
  <tableColumns count="1">
    <tableColumn id="1" xr3:uid="{E299F165-497B-4D50-8332-D3AB290C4BEB}" name="Dryer" dataDxfId="172">
      <calculatedColumnFormula>+'Equipment Data'!B52</calculatedColumnFormula>
    </tableColumn>
  </tableColumns>
  <tableStyleInfo name="TableStyleMedium6"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A97AD4B-0BC9-4E91-9A32-9E560F0ACF2F}" name="Tabla9" displayName="Tabla9" ref="AE2:AE6" totalsRowShown="0" headerRowDxfId="171" dataDxfId="170">
  <autoFilter ref="AE2:AE6" xr:uid="{EC2D4087-09AB-4C54-9E2C-5D208D22FEC7}"/>
  <tableColumns count="1">
    <tableColumn id="1" xr3:uid="{821762A4-5BCC-4E6B-84AD-8D0959312070}" name="Dust Collectors " dataDxfId="169"/>
  </tableColumns>
  <tableStyleInfo name="TableStyleMedium6"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DA8DF8B-353D-4BC7-9996-7288936E1236}" name="Tabla10" displayName="Tabla10" ref="AF2:AF6" totalsRowShown="0" headerRowDxfId="168" dataDxfId="167">
  <autoFilter ref="AF2:AF6" xr:uid="{C818263F-1902-4B46-8870-624DA666101D}"/>
  <tableColumns count="1">
    <tableColumn id="1" xr3:uid="{816A1797-D876-4E72-9155-B2F99DBCC995}" name="Fan" dataDxfId="166">
      <calculatedColumnFormula>+'Equipment Data'!B70</calculatedColumnFormula>
    </tableColumn>
  </tableColumns>
  <tableStyleInfo name="TableStyleMedium6"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83780D5-6075-4C3C-9494-363B21C7FB9F}" name="Tabla11" displayName="Tabla11" ref="AG2:AG11" totalsRowShown="0" headerRowDxfId="165" dataDxfId="164">
  <autoFilter ref="AG2:AG11" xr:uid="{00278867-4EAA-4B10-AC96-24FAFCC9007B}"/>
  <tableColumns count="1">
    <tableColumn id="1" xr3:uid="{58A2D0DF-2D21-4479-922A-3EB6D9E0DB58}" name="Filter " dataDxfId="163">
      <calculatedColumnFormula>+'Equipment Data'!B78</calculatedColumnFormula>
    </tableColumn>
  </tableColumns>
  <tableStyleInfo name="TableStyleMedium6"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3CED89E-3767-4AD1-94E8-1E469AF13593}" name="Tabla12" displayName="Tabla12" ref="AH2:AH9" totalsRowShown="0" headerRowDxfId="162" dataDxfId="161">
  <autoFilter ref="AH2:AH9" xr:uid="{B1647EF9-2BD6-43F3-93B6-F107DBE24F3A}"/>
  <tableColumns count="1">
    <tableColumn id="1" xr3:uid="{DB16C8E2-A33F-4B4C-B31D-5D37BB6AB687}" name="Fired Heater " dataDxfId="160">
      <calculatedColumnFormula>+'Equipment Data'!B99</calculatedColumnFormula>
    </tableColumn>
  </tableColumns>
  <tableStyleInfo name="TableStyleMedium6"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7C788F6-72E2-45D5-B904-C327FC78A925}" name="Tabla13" displayName="Tabla13" ref="AI2:AI7" totalsRowShown="0" headerRowDxfId="159" dataDxfId="158">
  <autoFilter ref="AI2:AI7" xr:uid="{942D7014-C0CF-4237-9232-9415975F109C}"/>
  <tableColumns count="1">
    <tableColumn id="1" xr3:uid="{AE2E0094-7841-4B64-AFED-5565B70396BA}" name="Evaporator " dataDxfId="157">
      <calculatedColumnFormula>+'Equipment Data'!B111</calculatedColumnFormula>
    </tableColumn>
  </tableColumns>
  <tableStyleInfo name="TableStyleMedium6"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0C7DD2B-2EE0-4AC8-B482-6692890C32EA}" name="Tabla14" displayName="Tabla14" ref="AJ2:AJ14" totalsRowShown="0" headerRowDxfId="156" dataDxfId="155">
  <autoFilter ref="AJ2:AJ14" xr:uid="{B536BA8D-16CD-427D-8794-C82AC29125C2}"/>
  <tableColumns count="1">
    <tableColumn id="1" xr3:uid="{86A46060-19DE-4843-AEDB-AAF0180A654F}" name="Heat Exchanger" dataDxfId="154"/>
  </tableColumns>
  <tableStyleInfo name="TableStyleMedium6"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72E3720-ADFB-4F19-A2E5-70AE4B82ADE2}" name="Tabla15" displayName="Tabla15" ref="AK2:AK5" totalsRowShown="0" headerRowDxfId="153" dataDxfId="152" dataCellStyle="Normal 2">
  <autoFilter ref="AK2:AK5" xr:uid="{949812EA-0F98-4D69-8382-8D09D04A258B}"/>
  <tableColumns count="1">
    <tableColumn id="1" xr3:uid="{B5DBD036-BFAE-48A1-81F0-10226A32B065}" name="Mixer " dataDxfId="151" dataCellStyle="Normal 2">
      <calculatedColumnFormula>+'Equipment Data'!B172</calculatedColumnFormula>
    </tableColumn>
  </tableColumns>
  <tableStyleInfo name="TableStyleMedium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085D834-B792-4016-A29F-5062BDE96B81}" name="Tabla16" displayName="Tabla16" ref="AL2:AL5" totalsRowShown="0" headerRowDxfId="150" dataDxfId="149" dataCellStyle="Normal 2">
  <autoFilter ref="AL2:AL5" xr:uid="{8E9A2C41-F67B-4CA0-BAB0-FABB11DFF702}"/>
  <tableColumns count="1">
    <tableColumn id="1" xr3:uid="{DC29DDE1-B1CC-4485-B787-77EF007F526C}" name="Pump " dataDxfId="148" dataCellStyle="Normal 2">
      <calculatedColumnFormula>+'Equipment Data'!B179</calculatedColumnFormula>
    </tableColumn>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3B057FB-FADE-4059-B076-585C691E71FA}" name="Tabla17" displayName="Tabla17" ref="AM2:AM8" totalsRowShown="0" headerRowDxfId="147" dataDxfId="146">
  <autoFilter ref="AM2:AM8" xr:uid="{BC9F9C63-B4E8-4FE3-BC78-58AA6C99C630}"/>
  <tableColumns count="1">
    <tableColumn id="1" xr3:uid="{EFA9AE71-4DC2-49E7-BB89-ECA1DA6D5047}" name="Reactor " dataDxfId="145">
      <calculatedColumnFormula>+'Equipment Data'!B186</calculatedColumnFormula>
    </tableColumn>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FC21B8-6FB8-40F2-84B0-9709DCD8C73A}" name="Tabla18" displayName="Tabla18" ref="AN2:AN6" totalsRowShown="0" headerRowDxfId="144" dataDxfId="143">
  <autoFilter ref="AN2:AN6" xr:uid="{342E9B8A-D362-444D-BE6E-D9EE58F0916E}"/>
  <tableColumns count="1">
    <tableColumn id="1" xr3:uid="{4CD08EBA-18AA-4809-8A2B-6FB741A8706C}" name="Screen " dataDxfId="142">
      <calculatedColumnFormula>+'Equipment Data'!B196</calculatedColumnFormula>
    </tableColumn>
  </tableColumns>
  <tableStyleInfo name="TableStyleMedium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B2A2372-F6B3-44F0-AC41-2B7549BD0CFB}" name="Tabla19" displayName="Tabla19" ref="AO2:AO4" totalsRowShown="0" headerRowDxfId="141" dataDxfId="140">
  <autoFilter ref="AO2:AO4" xr:uid="{14C3BD97-403D-4850-A395-1FE0306E1367}"/>
  <tableColumns count="1">
    <tableColumn id="1" xr3:uid="{5116F074-B471-4690-9F11-6EFBF537DD0C}" name="Tank" dataDxfId="139">
      <calculatedColumnFormula>+'Equipment Data'!B204</calculatedColumnFormula>
    </tableColumn>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2C5950E-1ABF-41E2-8901-4163F544A58F}" name="Tabla20" displayName="Tabla20" ref="AP2:AP4" totalsRowShown="0" headerRowDxfId="138" dataDxfId="137">
  <autoFilter ref="AP2:AP4" xr:uid="{E12542DF-6647-4F8F-998A-279BE3CCC8CC}"/>
  <tableColumns count="1">
    <tableColumn id="1" xr3:uid="{61C5A7C7-7677-43E8-B75A-9C402A2DCFAC}" name="Turbine" dataDxfId="136">
      <calculatedColumnFormula>'Equipment Data'!B210</calculatedColumnFormula>
    </tableColumn>
  </tableColumns>
  <tableStyleInfo name="TableStyleMedium6"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19C102F-5E04-4BBD-85BA-323FC49234E2}" name="Tabla21" displayName="Tabla21" ref="AQ2:AQ5" totalsRowShown="0" headerRowDxfId="135" dataDxfId="134">
  <autoFilter ref="AQ2:AQ5" xr:uid="{B53A4EF3-4476-44C2-AFF0-AC65C562A210}"/>
  <tableColumns count="1">
    <tableColumn id="1" xr3:uid="{477F4F40-9000-4714-AB2B-CDE94B17C8B6}" name="Vaporizer" dataDxfId="133">
      <calculatedColumnFormula>+'Equipment Data'!B216</calculatedColumnFormula>
    </tableColumn>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20E5369-6B9B-4964-A0D0-148878CD62C6}" name="Tabla22" displayName="Tabla22" ref="AR2:AR5" totalsRowShown="0" headerRowDxfId="132" dataDxfId="131">
  <autoFilter ref="AR2:AR5" xr:uid="{FED659A3-D7A7-4D39-834B-519F9357A3DD}"/>
  <tableColumns count="1">
    <tableColumn id="1" xr3:uid="{78C17F0C-A504-46B0-93B6-8C8589E44EE2}" name="Vessel" dataDxfId="130"/>
  </tableColumns>
  <tableStyleInfo name="TableStyleMedium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8CE5E08-259A-432A-967A-84ABCF201D77}" name="Tabla23" displayName="Tabla23" ref="AS2:AS5" totalsRowShown="0" headerRowDxfId="129" dataDxfId="128">
  <autoFilter ref="AS2:AS5" xr:uid="{44400DB0-2F71-4F64-B86E-20DB17F2BEEE}"/>
  <tableColumns count="1">
    <tableColumn id="1" xr3:uid="{464CAAC0-7398-4CD2-9E85-7FBEBD1D3211}" name="Tower Trays" dataDxfId="127">
      <calculatedColumnFormula>+'Equipment Data'!B257</calculatedColumnFormula>
    </tableColumn>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6B8A3F0-5939-4CF2-8856-C2F3F9F3EE55}" name="Tabla24" displayName="Tabla24" ref="AT2:AT3" totalsRowShown="0" headerRowDxfId="126" dataDxfId="125">
  <autoFilter ref="AT2:AT3" xr:uid="{E09F0E09-65FF-45E0-AE4B-2C0E8DC99D46}"/>
  <tableColumns count="1">
    <tableColumn id="1" xr3:uid="{40F5BCD7-6DE6-48FB-8EF0-DA14505ACFBA}" name="Tower Packing" dataDxfId="124">
      <calculatedColumnFormula>+'Equipment Data'!B283</calculatedColumnFormula>
    </tableColumn>
  </tableColumns>
  <tableStyleInfo name="TableStyleMedium6"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97A5A583-F1C4-47AB-A654-C19C15966D79}" name="Tabla31" displayName="Tabla31" ref="AV2:AV3" totalsRowShown="0" headerRowDxfId="123" dataDxfId="122">
  <autoFilter ref="AV2:AV3" xr:uid="{0972E802-8C3B-4F22-AEB2-12E0D0BF69E4}"/>
  <tableColumns count="1">
    <tableColumn id="1" xr3:uid="{C4872E29-A555-43B3-91F5-26EA5C594FC1}" name="Blender_Material" dataDxfId="121"/>
  </tableColumns>
  <tableStyleInfo name="TableStyleLight13"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C14F2AC9-5679-40CF-B9E7-19DCB2E863EB}" name="Tabla32" displayName="Tabla32" ref="AW2:AW3" totalsRowShown="0" headerRowDxfId="120" dataDxfId="119" headerRowCellStyle="Normal 2">
  <autoFilter ref="AW2:AW3" xr:uid="{635F4DBD-44C3-4DC9-9509-3E3B8C029E82}"/>
  <tableColumns count="1">
    <tableColumn id="1" xr3:uid="{DCC3B8E0-3440-4751-988C-8211D6C9390D}" name="Centrifuge_Material" dataDxfId="118"/>
  </tableColumns>
  <tableStyleInfo name="TableStyleLight13"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0BF5183-D70A-4805-8648-105AA437D967}" name="Tabla33" displayName="Tabla33" ref="AX2:AX5" totalsRowShown="0" headerRowDxfId="117" dataDxfId="116">
  <autoFilter ref="AX2:AX5" xr:uid="{E2215464-BE04-4BD8-9938-503D675DA0EE}"/>
  <tableColumns count="1">
    <tableColumn id="1" xr3:uid="{787E8A9A-CD73-4764-ABE6-90B8C477C897}" name="Compressor_Material" dataDxfId="115"/>
  </tableColumns>
  <tableStyleInfo name="TableStyleLight13"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CAA0D240-E5E5-4387-8505-D39A8B1EAFFB}" name="Tabla34" displayName="Tabla34" ref="AY2:AY3" totalsRowShown="0" headerRowDxfId="114" dataDxfId="113" dataCellStyle="Normal 2">
  <autoFilter ref="AY2:AY3" xr:uid="{3B9810A6-A43F-47A7-A1BB-CCC4AEC099EA}"/>
  <tableColumns count="1">
    <tableColumn id="1" xr3:uid="{7BBA5863-E9CE-4C45-B942-01BFCD76F700}" name="Conveyor_Material" dataDxfId="112" dataCellStyle="Normal 2"/>
  </tableColumns>
  <tableStyleInfo name="TableStyleLight13"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A3C879E-8DB8-481E-ABCA-26BCF2752A6A}" name="Tabla35" displayName="Tabla35" ref="AZ2:AZ3" totalsRowShown="0" headerRowDxfId="111" dataDxfId="110" dataCellStyle="Normal 2">
  <autoFilter ref="AZ2:AZ3" xr:uid="{4AD84E5D-348D-45C3-B1A5-76E6F7686776}"/>
  <tableColumns count="1">
    <tableColumn id="1" xr3:uid="{1EB8DACC-D52D-4891-9BDB-A6C55E35E07E}" name="Crystallizer_Material" dataDxfId="109" dataCellStyle="Normal 2"/>
  </tableColumns>
  <tableStyleInfo name="TableStyleLight13"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C7DCB2C1-E280-4574-BFB6-5E6957BDCDB6}" name="Tabla36" displayName="Tabla36" ref="BA2:BA3" totalsRowShown="0" headerRowDxfId="108" dataDxfId="107" dataCellStyle="Normal 2">
  <autoFilter ref="BA2:BA3" xr:uid="{52CC2F65-8E5F-48EE-AD6B-22B2E75FD87F}"/>
  <tableColumns count="1">
    <tableColumn id="1" xr3:uid="{076F7D13-0590-4F9F-81EE-17363227BF65}" name="Drive_Material" dataDxfId="106" dataCellStyle="Normal 2"/>
  </tableColumns>
  <tableStyleInfo name="TableStyleLight13"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42FC9111-5365-4510-9F33-60B35B0FBEBE}" name="Tabla37" displayName="Tabla37" ref="BB2:BB3" totalsRowShown="0" headerRowDxfId="105" dataDxfId="104" dataCellStyle="Normal 2">
  <autoFilter ref="BB2:BB3" xr:uid="{F849317A-2820-40AA-84FF-DD67EE0B6422}"/>
  <tableColumns count="1">
    <tableColumn id="1" xr3:uid="{43CC03BE-1C15-42AC-8E7D-F097921ADE6F}" name="Dryer_Material" dataDxfId="103" dataCellStyle="Normal 2"/>
  </tableColumns>
  <tableStyleInfo name="TableStyleLight13"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A85CF584-D201-45BB-9E1C-A9CF1AB9332A}" name="Tabla38" displayName="Tabla38" ref="BC2:BC3" totalsRowShown="0" headerRowDxfId="102" dataDxfId="101" dataCellStyle="Normal 2">
  <autoFilter ref="BC2:BC3" xr:uid="{233E4483-0DB4-493C-95D0-19E86132A7AB}"/>
  <tableColumns count="1">
    <tableColumn id="1" xr3:uid="{3BF19E1D-47CE-48D1-B4D8-10731C497C7C}" name="DustCollectors_Material" dataDxfId="100" dataCellStyle="Normal 2"/>
  </tableColumns>
  <tableStyleInfo name="TableStyleLight13"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5D833F4B-FAD8-424C-ADB7-E6DF46BA1D91}" name="Tabla39" displayName="Tabla39" ref="BD2:BD6" totalsRowShown="0" headerRowDxfId="99" dataDxfId="98">
  <autoFilter ref="BD2:BD6" xr:uid="{F66810C5-EF90-460A-BBDC-697BBDF89B8E}"/>
  <tableColumns count="1">
    <tableColumn id="1" xr3:uid="{C14E43AC-FE45-4EF7-B433-0C93A589F419}" name="Fan_Material" dataDxfId="97"/>
  </tableColumns>
  <tableStyleInfo name="TableStyleLight13"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30207454-9FF6-47A4-AE15-A1540830CE49}" name="Tabla40" displayName="Tabla40" ref="BE2:BE3" totalsRowShown="0" headerRowDxfId="96" dataDxfId="95">
  <autoFilter ref="BE2:BE3" xr:uid="{97599293-3761-41A2-8D89-C105A020ADCC}"/>
  <tableColumns count="1">
    <tableColumn id="1" xr3:uid="{0839ED54-E0ED-48C7-937F-21F4345DC556}" name="Filter_Material" dataDxfId="94">
      <calculatedColumnFormula>+BC3</calculatedColumnFormula>
    </tableColumn>
  </tableColumns>
  <tableStyleInfo name="TableStyleLight13"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1BAAEC04-D9E0-486D-8AB1-B800629D7B4B}" name="Tabla41" displayName="Tabla41" ref="BF2:BF5" totalsRowShown="0" headerRowDxfId="93" dataDxfId="92">
  <autoFilter ref="BF2:BF5" xr:uid="{C841E698-528A-45FB-B389-4A3AC6D5A165}"/>
  <tableColumns count="1">
    <tableColumn id="1" xr3:uid="{015AD40B-F98A-45D7-93F0-4C0947E37FD3}" name="FiredHeater_Material" dataDxfId="91"/>
  </tableColumns>
  <tableStyleInfo name="TableStyleLight13"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DC624A-A0BF-4E5B-A0DA-AADC5691C2F6}" name="Tabla42" displayName="Tabla42" ref="BG2:BG7" totalsRowShown="0" headerRowDxfId="90" dataDxfId="89">
  <autoFilter ref="BG2:BG7" xr:uid="{8E065FE5-A586-4A37-823A-D7C741D0AF20}"/>
  <tableColumns count="1">
    <tableColumn id="1" xr3:uid="{10CDD0D5-AD2F-4D77-AE7D-60ECDAF3B24C}" name="Evaporator_Material" dataDxfId="88"/>
  </tableColumns>
  <tableStyleInfo name="TableStyleLight13"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30E9EFC1-6912-4171-A943-497E77DBE712}" name="Tabla43" displayName="Tabla43" ref="BH2:BH17" totalsRowShown="0" headerRowDxfId="87" dataDxfId="86">
  <autoFilter ref="BH2:BH17" xr:uid="{02F12597-D103-4BBC-9DA1-1BB226F17251}"/>
  <tableColumns count="1">
    <tableColumn id="1" xr3:uid="{A2E27DDB-3DAC-4A7F-ADB4-CCA48751C978}" name="HeatExchanger_Material" dataDxfId="85"/>
  </tableColumns>
  <tableStyleInfo name="TableStyleLight13"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EF32D98-1933-426E-9F54-449BB2C1FF93}" name="Tabla44" displayName="Tabla44" ref="BI2:BI3" totalsRowShown="0" headerRowDxfId="84" dataDxfId="83">
  <autoFilter ref="BI2:BI3" xr:uid="{DE8F2E34-FDE6-4AE1-A118-014C42F160EF}"/>
  <tableColumns count="1">
    <tableColumn id="1" xr3:uid="{8E1303AF-BB53-4F7B-A892-6C489D9D603A}" name="Mixer_Material" dataDxfId="82">
      <calculatedColumnFormula>+BE3</calculatedColumnFormula>
    </tableColumn>
  </tableColumns>
  <tableStyleInfo name="TableStyleLight13"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357D54DF-58E1-4B94-A8FF-BE8D95E2687A}" name="Tabla45" displayName="Tabla45" ref="BJ2:BJ8" totalsRowShown="0" headerRowDxfId="81" dataDxfId="80">
  <autoFilter ref="BJ2:BJ8" xr:uid="{AF63D4FD-5724-4EB2-A27F-914A4B745620}"/>
  <tableColumns count="1">
    <tableColumn id="1" xr3:uid="{E6546D22-D3E9-4512-903D-69D11F3D9345}" name="Pump_Material" dataDxfId="79"/>
  </tableColumns>
  <tableStyleInfo name="TableStyleLight13"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B59BB91-8383-4BCC-8B11-BB6367D324F4}" name="Tabla46" displayName="Tabla46" ref="BK2:BK3" totalsRowShown="0" headerRowDxfId="78" dataDxfId="77">
  <autoFilter ref="BK2:BK3" xr:uid="{FB4C580F-824A-4A9F-91E5-42908BEAC266}"/>
  <tableColumns count="1">
    <tableColumn id="1" xr3:uid="{DFC84B14-279F-46C9-92A4-0B5EEF05F46A}" name="Reactor_Material" dataDxfId="76"/>
  </tableColumns>
  <tableStyleInfo name="TableStyleLight13"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9F87A36-262E-495E-8D92-388DF549EDD7}" name="Tabla47" displayName="Tabla47" ref="BL2:BL3" totalsRowShown="0" headerRowDxfId="75" dataDxfId="74">
  <autoFilter ref="BL2:BL3" xr:uid="{ECC7DF98-9455-470A-BA74-CCD21D38E611}"/>
  <tableColumns count="1">
    <tableColumn id="1" xr3:uid="{34217042-B712-4D0C-9DB2-D56DBD011A29}" name="Screen_Material" dataDxfId="73">
      <calculatedColumnFormula>+BI3</calculatedColumnFormula>
    </tableColumn>
  </tableColumns>
  <tableStyleInfo name="TableStyleLight13"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5DB6094F-AE62-43F3-A740-2FCE2BFA7C3C}" name="Tabla48" displayName="Tabla48" ref="BM2:BM3" totalsRowShown="0" headerRowDxfId="72" dataDxfId="71">
  <autoFilter ref="BM2:BM3" xr:uid="{5915637A-DF21-49DE-9DBB-B61F5DFEAFDE}"/>
  <tableColumns count="1">
    <tableColumn id="1" xr3:uid="{A4247BB3-D46E-410E-8933-394866A13CA3}" name="Tank_Material" dataDxfId="70"/>
  </tableColumns>
  <tableStyleInfo name="TableStyleLight13"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F579133D-842F-4166-8567-4DDDF5D2738B}" name="Tabla49" displayName="Tabla49" ref="BN2:BN8" totalsRowShown="0" headerRowDxfId="69" dataDxfId="68">
  <autoFilter ref="BN2:BN8" xr:uid="{FB8C7938-F031-46B0-B049-892DB9F077AB}"/>
  <tableColumns count="1">
    <tableColumn id="1" xr3:uid="{BFD73E16-BD8C-4B2A-8CFE-35376C8513AF}" name="Turbine_Material" dataDxfId="67"/>
  </tableColumns>
  <tableStyleInfo name="TableStyleLight13"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C03CD537-8050-4108-9776-1E8051441941}" name="Tabla50" displayName="Tabla50" ref="BO2:BO12" totalsRowShown="0" headerRowDxfId="66" dataDxfId="65" dataCellStyle="Normal 2">
  <autoFilter ref="BO2:BO12" xr:uid="{6B33B833-663A-4C9B-93A5-B67BD28D6031}"/>
  <tableColumns count="1">
    <tableColumn id="1" xr3:uid="{E2D308F8-BD83-4924-9FD9-23469E09F51F}" name="Vaporizer_Material" dataDxfId="64" dataCellStyle="Normal 2"/>
  </tableColumns>
  <tableStyleInfo name="TableStyleLight13"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B38C0A8-9E1E-4B14-A834-98445CD2048C}" name="Tabla51" displayName="Tabla51" ref="BP2:BP9" totalsRowShown="0" headerRowDxfId="63" dataDxfId="62">
  <autoFilter ref="BP2:BP9" xr:uid="{A7FD4972-8540-450A-9CB3-3C1DD791BEF0}"/>
  <tableColumns count="1">
    <tableColumn id="1" xr3:uid="{295B7012-2B3C-4915-A8F7-D541C30BB718}" name="Vessel_Material" dataDxfId="61"/>
  </tableColumns>
  <tableStyleInfo name="TableStyleLight13"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7A7FF277-7706-4FA8-932C-91945BADC9E6}" name="Tabla52" displayName="Tabla52" ref="BQ2:BQ6" totalsRowShown="0" headerRowDxfId="60" dataDxfId="59">
  <autoFilter ref="BQ2:BQ6" xr:uid="{CE38668D-63CB-4930-9F90-8ACEFB7FDCBC}"/>
  <tableColumns count="1">
    <tableColumn id="1" xr3:uid="{957353F6-A3D7-4B9C-80C2-07B411AFDC1B}" name="TowerTrays_Material" dataDxfId="58"/>
  </tableColumns>
  <tableStyleInfo name="TableStyleLight13"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19BE6F92-E6AD-4C63-9670-D36C06D0BCE7}" name="Tabla53" displayName="Tabla53" ref="BR2:BR5" totalsRowShown="0" headerRowDxfId="57" dataDxfId="56">
  <autoFilter ref="BR2:BR5" xr:uid="{B13B6759-3FAA-465E-83CF-5874E1EDB7FB}"/>
  <tableColumns count="1">
    <tableColumn id="1" xr3:uid="{0EFF8D7E-2021-421C-9E45-BEA1D2662BF2}" name="TowerPacking_Material" dataDxfId="55"/>
  </tableColumns>
  <tableStyleInfo name="TableStyleLight13"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E959DE8-5AD9-43F3-98E9-7BD01ACA700A}" name="Tabla66" displayName="Tabla66" ref="BT2:BT11" totalsRowShown="0" headerRowDxfId="54" dataDxfId="53">
  <autoFilter ref="BT2:BT11" xr:uid="{E3C5F55A-7C6C-419A-895E-82CFD49B5A29}"/>
  <tableColumns count="1">
    <tableColumn id="1" xr3:uid="{F6926670-A301-4C59-AAD1-51B1A395C252}" name="HeatExchanger_DoublePipe_Material" dataDxfId="52"/>
  </tableColumns>
  <tableStyleInfo name="TableStyleLight13"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26079596-31C4-43C1-BF41-4A0783863AB3}" name="Tabla67" displayName="Tabla67" ref="BU2:BU11" totalsRowShown="0" headerRowDxfId="51" dataDxfId="50">
  <autoFilter ref="BU2:BU11" xr:uid="{1F5EADEB-1772-441D-B696-A4B6B763580B}"/>
  <tableColumns count="1">
    <tableColumn id="1" xr3:uid="{216670CF-A765-4E7F-954B-8B26A99E30E1}" name="HeatExchanger_MultiplePipe_Material" dataDxfId="49"/>
  </tableColumns>
  <tableStyleInfo name="TableStyleLight13"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7B75EBC-2D4A-4A4C-A431-DC55D4EBB148}" name="Tabla68" displayName="Tabla68" ref="BV2:BV11" totalsRowShown="0" headerRowDxfId="48" dataDxfId="47">
  <autoFilter ref="BV2:BV11" xr:uid="{5450ECFF-2C43-40CF-BE10-892B639FED0B}"/>
  <tableColumns count="1">
    <tableColumn id="1" xr3:uid="{8F8A0B74-E310-465B-8423-53845402702F}" name="HeatExchanger_FixedtubesheetorUtube_Material" dataDxfId="46"/>
  </tableColumns>
  <tableStyleInfo name="TableStyleLight13"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12124E3-0470-4A3F-8A55-E8763A463CC0}" name="Tabla69" displayName="Tabla69" ref="BW2:BW11" totalsRowShown="0" headerRowDxfId="45" dataDxfId="44">
  <autoFilter ref="BW2:BW11" xr:uid="{8205E09C-AEA4-4B62-B511-9C270E082690}"/>
  <tableColumns count="1">
    <tableColumn id="1" xr3:uid="{5EA2DDB4-2753-409A-BC48-701EF4995E4D}" name="HeatExchanger_FloatingHead_Material" dataDxfId="43"/>
  </tableColumns>
  <tableStyleInfo name="TableStyleLight13"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174BBFA-D008-4D42-865F-8CF969C8C0A9}" name="Tabla70" displayName="Tabla70" ref="BX2:BX11" totalsRowShown="0" headerRowDxfId="42" dataDxfId="41">
  <autoFilter ref="BX2:BX11" xr:uid="{611F9890-68CC-46BF-85D7-F630187C5CE0}"/>
  <tableColumns count="1">
    <tableColumn id="1" xr3:uid="{DD41E2CC-8C06-4C79-98D0-8F52C65B48B4}" name="HeatExchanger_Bayonet_Material" dataDxfId="40"/>
  </tableColumns>
  <tableStyleInfo name="TableStyleLight1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3A1A2C7B-840F-48AD-97C0-D9F4EBA07184}" name="Tabla73" displayName="Tabla73" ref="BY2:BY11" totalsRowShown="0" headerRowDxfId="39" dataDxfId="38">
  <autoFilter ref="BY2:BY11" xr:uid="{B925832A-D17D-4D82-900B-6B5700792FBA}"/>
  <tableColumns count="1">
    <tableColumn id="1" xr3:uid="{8BA67C77-C0B1-4F66-B790-9DE6C999612A}" name="HeatExchanger_KettleReboiler_Material" dataDxfId="37"/>
  </tableColumns>
  <tableStyleInfo name="TableStyleLight13"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40F8A374-E2D3-4094-B198-77292597660A}" name="Tabla74" displayName="Tabla74" ref="BZ2:BZ11" totalsRowShown="0" headerRowDxfId="36" dataDxfId="35">
  <autoFilter ref="BZ2:BZ11" xr:uid="{3E8715FD-E60B-44DC-83DA-ED7E87F3003E}"/>
  <tableColumns count="1">
    <tableColumn id="1" xr3:uid="{55918318-7816-46BF-BA6C-8EFF88DD5D21}" name="HeatExchanger_ScrapedWall_Material" dataDxfId="34"/>
  </tableColumns>
  <tableStyleInfo name="TableStyleLight13"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C2E417B9-B90F-46C2-889B-D7E87585638C}" name="Tabla75" displayName="Tabla75" ref="CA2:CA11" totalsRowShown="0" headerRowDxfId="33" dataDxfId="32">
  <autoFilter ref="CA2:CA11" xr:uid="{3F6D41CA-A245-4B4F-90F8-9B2A5B49CEA7}"/>
  <tableColumns count="1">
    <tableColumn id="1" xr3:uid="{AE76EB23-64D5-4345-8D2E-3D2C553B1333}" name="HeatExchanger_SpiralTube_Material" dataDxfId="31"/>
  </tableColumns>
  <tableStyleInfo name="TableStyleLight13"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88CD93BD-DA3E-467E-A700-797F1EA3377C}" name="Tabla76" displayName="Tabla76" ref="CB2:CB7" totalsRowShown="0" headerRowDxfId="30" dataDxfId="29">
  <autoFilter ref="CB2:CB7" xr:uid="{F6765398-4396-4AB9-BEDC-EE3DBA0E969F}"/>
  <tableColumns count="1">
    <tableColumn id="1" xr3:uid="{FCF11394-C08F-4439-B313-9AC0AB0BDC28}" name="HeatExchanger_TeflonTubeExchanger_Material" dataDxfId="28"/>
  </tableColumns>
  <tableStyleInfo name="TableStyleLight13"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219DE307-6018-487F-870B-7D537926BFFE}" name="Tabla77" displayName="Tabla77" ref="CC2:CC7" totalsRowShown="0" headerRowDxfId="27" dataDxfId="26">
  <autoFilter ref="CC2:CC7" xr:uid="{F3B80F41-0219-4BCE-B7CF-B7E0024AC9FA}"/>
  <tableColumns count="1">
    <tableColumn id="1" xr3:uid="{A6F03C1B-D6AB-4395-9686-1625770C469E}" name="HeatExchanger_SpiralPlate_Material" dataDxfId="25"/>
  </tableColumns>
  <tableStyleInfo name="TableStyleLight13"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C598EE5-7AE6-4633-8461-F202B8C628AB}" name="Tabla78" displayName="Tabla78" ref="CD2:CD7" totalsRowShown="0" headerRowDxfId="24" dataDxfId="23">
  <autoFilter ref="CD2:CD7" xr:uid="{4CA2608E-EE6F-44E5-A1A5-09DAFDF35930}"/>
  <tableColumns count="1">
    <tableColumn id="1" xr3:uid="{436E8449-99E6-4AFC-9E99-65CC0F546F11}" name="HeatExchanger_FlatPlate_Material" dataDxfId="22"/>
  </tableColumns>
  <tableStyleInfo name="TableStyleLight13"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F4EB0-82A3-47E8-83F2-815835B02D16}" name="Tabla79" displayName="Tabla79" ref="CE2:CE5" totalsRowShown="0" headerRowDxfId="21" dataDxfId="20">
  <autoFilter ref="CE2:CE5" xr:uid="{CC21315E-32E1-4787-B1C4-8683B488D05E}"/>
  <tableColumns count="1">
    <tableColumn id="1" xr3:uid="{CD6EBE87-5A83-43BE-BABF-685135E28515}" name="HeatExchanger_AirCooler_Material" dataDxfId="19"/>
  </tableColumns>
  <tableStyleInfo name="TableStyleLight13"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2950372-8090-4F01-B21A-C59EF08A8CCF}" name="Task" displayName="Task" ref="C117:C124" totalsRowShown="0" dataDxfId="18">
  <autoFilter ref="C117:C124" xr:uid="{46A1D7A4-BE3E-4947-B1C1-38355474925A}"/>
  <tableColumns count="1">
    <tableColumn id="1" xr3:uid="{99C2C3CF-62D2-445E-93E5-98B3BE357141}" name="Task" dataDxfId="17"/>
  </tableColumns>
  <tableStyleInfo name="TableStyleLight13"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B70A8C-6C72-4EB3-B4DA-B7E537145C53}" name="Tabla55" displayName="Tabla55" ref="E117:E132" totalsRowShown="0" headerRowDxfId="16" dataDxfId="14" headerRowBorderDxfId="15" tableBorderDxfId="13">
  <autoFilter ref="E117:E132" xr:uid="{70F5CE4F-8B70-4AB6-8CC8-4E54B0F61FF1}"/>
  <tableColumns count="1">
    <tableColumn id="1" xr3:uid="{8628757C-0544-46E0-9AD7-33B4529D916B}" name="Location" dataDxfId="12"/>
  </tableColumns>
  <tableStyleInfo name="TableStyleLight13"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CCB8F6A-A675-4AFE-8734-8F4B65D5176F}" name="Tabla56" displayName="Tabla56" ref="D117:D119" totalsRowShown="0" dataDxfId="11">
  <autoFilter ref="D117:D119" xr:uid="{7DDBE83D-0F4B-4F3C-9C79-A4E8F2A39A6E}"/>
  <tableColumns count="1">
    <tableColumn id="1" xr3:uid="{BF69723D-AB47-42C9-B913-9D73B33B2253}" name="Currency" dataDxfId="10"/>
  </tableColumns>
  <tableStyleInfo name="TableStyleLight13"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A3FFCB2-543D-4A61-8B38-DCD4E3EB6BC6}" name="Tabla80" displayName="Tabla80" ref="F117:F163" totalsRowShown="0" headerRowDxfId="9" dataDxfId="8" tableBorderDxfId="7">
  <autoFilter ref="F117:F163" xr:uid="{8CFBE97A-94B7-444F-BAD8-E248B6015D83}"/>
  <tableColumns count="1">
    <tableColumn id="1" xr3:uid="{4621CF8A-6729-4673-AA22-5A4D210AF45C}" name="Year" dataDxfId="6"/>
  </tableColumns>
  <tableStyleInfo name="TableStyleLight13"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3E0DBBA8-B3AE-485C-8B21-87AAAC7B7D8F}" name="Tabla81" displayName="Tabla81" ref="G117:G121" totalsRowShown="0" headerRowDxfId="5" dataDxfId="4">
  <autoFilter ref="G117:G121" xr:uid="{66FB7830-C886-44BF-8166-542CEEA9E03F}"/>
  <tableColumns count="1">
    <tableColumn id="1" xr3:uid="{7876CA10-89A5-44DC-A00C-44F5E19665CD}" name="Construction" dataDxfId="3"/>
  </tableColumns>
  <tableStyleInfo name="TableStyleLight13"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9F58BED4-9748-472D-8714-BF472EDFAFA6}" name="Tabla82" displayName="Tabla82" ref="H117:H157" totalsRowShown="0" headerRowDxfId="2" dataDxfId="1">
  <autoFilter ref="H117:H157" xr:uid="{06959F78-E382-4AA1-92EF-A26697999ABE}"/>
  <tableColumns count="1">
    <tableColumn id="1" xr3:uid="{1C0A23DF-8133-426F-AD18-99A958C1AAB3}" name="Lifetime" dataDxfId="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D42" dT="2021-03-30T15:48:48.03" personId="{6E65B61A-4FC2-4E8C-BD4C-7248342FB643}" id="{16BF6486-501E-48AD-B3C8-D0E67B4B92F3}">
    <text>deltaP in kPa</text>
  </threadedComment>
</ThreadedComments>
</file>

<file path=xl/threadedComments/threadedComment2.xml><?xml version="1.0" encoding="utf-8"?>
<ThreadedComments xmlns="http://schemas.microsoft.com/office/spreadsheetml/2018/threadedcomments" xmlns:x="http://schemas.openxmlformats.org/spreadsheetml/2006/main">
  <threadedComment ref="C27" dT="2021-04-17T10:46:55.48" personId="{6E65B61A-4FC2-4E8C-BD4C-7248342FB643}" id="{01A113E8-9F45-4F0C-A8E4-5E8A0F619E48}">
    <text>https://www.reddit.com/r/ChemicalEngineering/comments/fu94v2/does_anyone_have_access_to_the_chemical/</text>
  </threadedComment>
</ThreadedComments>
</file>

<file path=xl/threadedComments/threadedComment3.xml><?xml version="1.0" encoding="utf-8"?>
<ThreadedComments xmlns="http://schemas.microsoft.com/office/spreadsheetml/2018/threadedcomments" xmlns:x="http://schemas.openxmlformats.org/spreadsheetml/2006/main">
  <threadedComment ref="F5" dT="2021-03-10T18:33:36.59" personId="{6E65B61A-4FC2-4E8C-BD4C-7248342FB643}" id="{B325F225-0A9C-4421-AB25-90D1BF09A142}">
    <text>These can be added as a checklist</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hyperlink" Target="https://github.com/SINTEF/Scale-Coupled-Open-Innovation-Network/blob/12636de3aeb5a79d16a7ab21e49b7be7fed9e6e1/Economics/SEA%20Tool%20-%20User%20Guide.docx" TargetMode="External"/><Relationship Id="rId1" Type="http://schemas.openxmlformats.org/officeDocument/2006/relationships/hyperlink" Target="https://www.gnu.org/licenses/gpl-3.0.txt"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3.xml"/><Relationship Id="rId2" Type="http://schemas.openxmlformats.org/officeDocument/2006/relationships/drawing" Target="../drawings/drawing1.xml"/><Relationship Id="rId16" Type="http://schemas.openxmlformats.org/officeDocument/2006/relationships/table" Target="../tables/table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1.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table" Target="../tables/table9.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8" Type="http://schemas.openxmlformats.org/officeDocument/2006/relationships/table" Target="../tables/table10.xml"/><Relationship Id="rId3" Type="http://schemas.openxmlformats.org/officeDocument/2006/relationships/vmlDrawing" Target="../drawings/vmlDrawing7.vml"/><Relationship Id="rId7" Type="http://schemas.openxmlformats.org/officeDocument/2006/relationships/ctrlProp" Target="../ctrlProps/ctrlProp19.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 Id="rId9" Type="http://schemas.openxmlformats.org/officeDocument/2006/relationships/table" Target="../tables/table11.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4.xml"/><Relationship Id="rId13" Type="http://schemas.openxmlformats.org/officeDocument/2006/relationships/table" Target="../tables/table14.xml"/><Relationship Id="rId3" Type="http://schemas.openxmlformats.org/officeDocument/2006/relationships/vmlDrawing" Target="../drawings/vmlDrawing8.vml"/><Relationship Id="rId7" Type="http://schemas.openxmlformats.org/officeDocument/2006/relationships/ctrlProp" Target="../ctrlProps/ctrlProp23.xml"/><Relationship Id="rId12" Type="http://schemas.openxmlformats.org/officeDocument/2006/relationships/table" Target="../tables/table13.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2.xml"/><Relationship Id="rId11" Type="http://schemas.openxmlformats.org/officeDocument/2006/relationships/table" Target="../tables/table12.xml"/><Relationship Id="rId5" Type="http://schemas.openxmlformats.org/officeDocument/2006/relationships/ctrlProp" Target="../ctrlProps/ctrlProp21.xml"/><Relationship Id="rId10" Type="http://schemas.openxmlformats.org/officeDocument/2006/relationships/ctrlProp" Target="../ctrlProps/ctrlProp26.xml"/><Relationship Id="rId4" Type="http://schemas.openxmlformats.org/officeDocument/2006/relationships/ctrlProp" Target="../ctrlProps/ctrlProp20.xml"/><Relationship Id="rId9" Type="http://schemas.openxmlformats.org/officeDocument/2006/relationships/ctrlProp" Target="../ctrlProps/ctrlProp25.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9.vml"/><Relationship Id="rId1" Type="http://schemas.openxmlformats.org/officeDocument/2006/relationships/drawing" Target="../drawings/drawing8.xml"/><Relationship Id="rId6" Type="http://schemas.openxmlformats.org/officeDocument/2006/relationships/comments" Target="../comments3.xml"/><Relationship Id="rId5" Type="http://schemas.openxmlformats.org/officeDocument/2006/relationships/table" Target="../tables/table15.xml"/><Relationship Id="rId4" Type="http://schemas.openxmlformats.org/officeDocument/2006/relationships/ctrlProp" Target="../ctrlProps/ctrlProp2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table" Target="../tables/table16.x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32.xml"/><Relationship Id="rId2" Type="http://schemas.openxmlformats.org/officeDocument/2006/relationships/vmlDrawing" Target="../drawings/vmlDrawing11.vml"/><Relationship Id="rId1" Type="http://schemas.openxmlformats.org/officeDocument/2006/relationships/drawing" Target="../drawings/drawing10.xml"/><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24.xml"/><Relationship Id="rId18" Type="http://schemas.openxmlformats.org/officeDocument/2006/relationships/table" Target="../tables/table29.xml"/><Relationship Id="rId26" Type="http://schemas.openxmlformats.org/officeDocument/2006/relationships/table" Target="../tables/table37.xml"/><Relationship Id="rId39" Type="http://schemas.openxmlformats.org/officeDocument/2006/relationships/table" Target="../tables/table50.xml"/><Relationship Id="rId21" Type="http://schemas.openxmlformats.org/officeDocument/2006/relationships/table" Target="../tables/table32.xml"/><Relationship Id="rId34" Type="http://schemas.openxmlformats.org/officeDocument/2006/relationships/table" Target="../tables/table45.xml"/><Relationship Id="rId42" Type="http://schemas.openxmlformats.org/officeDocument/2006/relationships/table" Target="../tables/table53.xml"/><Relationship Id="rId47" Type="http://schemas.openxmlformats.org/officeDocument/2006/relationships/table" Target="../tables/table58.xml"/><Relationship Id="rId50" Type="http://schemas.openxmlformats.org/officeDocument/2006/relationships/table" Target="../tables/table61.xml"/><Relationship Id="rId55" Type="http://schemas.openxmlformats.org/officeDocument/2006/relationships/table" Target="../tables/table66.xml"/><Relationship Id="rId63" Type="http://schemas.openxmlformats.org/officeDocument/2006/relationships/table" Target="../tables/table74.xml"/><Relationship Id="rId7" Type="http://schemas.openxmlformats.org/officeDocument/2006/relationships/table" Target="../tables/table18.xml"/><Relationship Id="rId2" Type="http://schemas.openxmlformats.org/officeDocument/2006/relationships/printerSettings" Target="../printerSettings/printerSettings9.bin"/><Relationship Id="rId16" Type="http://schemas.openxmlformats.org/officeDocument/2006/relationships/table" Target="../tables/table27.xml"/><Relationship Id="rId20" Type="http://schemas.openxmlformats.org/officeDocument/2006/relationships/table" Target="../tables/table31.xml"/><Relationship Id="rId29" Type="http://schemas.openxmlformats.org/officeDocument/2006/relationships/table" Target="../tables/table40.xml"/><Relationship Id="rId41" Type="http://schemas.openxmlformats.org/officeDocument/2006/relationships/table" Target="../tables/table52.xml"/><Relationship Id="rId54" Type="http://schemas.openxmlformats.org/officeDocument/2006/relationships/table" Target="../tables/table65.xml"/><Relationship Id="rId62" Type="http://schemas.openxmlformats.org/officeDocument/2006/relationships/table" Target="../tables/table73.xml"/><Relationship Id="rId1" Type="http://schemas.openxmlformats.org/officeDocument/2006/relationships/hyperlink" Target="https://richardturton.faculty.wvu.edu/publications/analysis-synthesis-and-design-of-chemical-processes-5th-edition" TargetMode="External"/><Relationship Id="rId6" Type="http://schemas.openxmlformats.org/officeDocument/2006/relationships/table" Target="../tables/table17.xml"/><Relationship Id="rId11" Type="http://schemas.openxmlformats.org/officeDocument/2006/relationships/table" Target="../tables/table22.xml"/><Relationship Id="rId24" Type="http://schemas.openxmlformats.org/officeDocument/2006/relationships/table" Target="../tables/table35.xml"/><Relationship Id="rId32" Type="http://schemas.openxmlformats.org/officeDocument/2006/relationships/table" Target="../tables/table43.xml"/><Relationship Id="rId37" Type="http://schemas.openxmlformats.org/officeDocument/2006/relationships/table" Target="../tables/table48.xml"/><Relationship Id="rId40" Type="http://schemas.openxmlformats.org/officeDocument/2006/relationships/table" Target="../tables/table51.xml"/><Relationship Id="rId45" Type="http://schemas.openxmlformats.org/officeDocument/2006/relationships/table" Target="../tables/table56.xml"/><Relationship Id="rId53" Type="http://schemas.openxmlformats.org/officeDocument/2006/relationships/table" Target="../tables/table64.xml"/><Relationship Id="rId58" Type="http://schemas.openxmlformats.org/officeDocument/2006/relationships/table" Target="../tables/table69.xml"/><Relationship Id="rId66" Type="http://schemas.microsoft.com/office/2017/10/relationships/threadedComment" Target="../threadedComments/threadedComment1.xml"/><Relationship Id="rId5" Type="http://schemas.openxmlformats.org/officeDocument/2006/relationships/ctrlProp" Target="../ctrlProps/ctrlProp35.xml"/><Relationship Id="rId15" Type="http://schemas.openxmlformats.org/officeDocument/2006/relationships/table" Target="../tables/table26.xml"/><Relationship Id="rId23" Type="http://schemas.openxmlformats.org/officeDocument/2006/relationships/table" Target="../tables/table34.xml"/><Relationship Id="rId28" Type="http://schemas.openxmlformats.org/officeDocument/2006/relationships/table" Target="../tables/table39.xml"/><Relationship Id="rId36" Type="http://schemas.openxmlformats.org/officeDocument/2006/relationships/table" Target="../tables/table47.xml"/><Relationship Id="rId49" Type="http://schemas.openxmlformats.org/officeDocument/2006/relationships/table" Target="../tables/table60.xml"/><Relationship Id="rId57" Type="http://schemas.openxmlformats.org/officeDocument/2006/relationships/table" Target="../tables/table68.xml"/><Relationship Id="rId61" Type="http://schemas.openxmlformats.org/officeDocument/2006/relationships/table" Target="../tables/table72.xml"/><Relationship Id="rId10" Type="http://schemas.openxmlformats.org/officeDocument/2006/relationships/table" Target="../tables/table21.xml"/><Relationship Id="rId19" Type="http://schemas.openxmlformats.org/officeDocument/2006/relationships/table" Target="../tables/table30.xml"/><Relationship Id="rId31" Type="http://schemas.openxmlformats.org/officeDocument/2006/relationships/table" Target="../tables/table42.xml"/><Relationship Id="rId44" Type="http://schemas.openxmlformats.org/officeDocument/2006/relationships/table" Target="../tables/table55.xml"/><Relationship Id="rId52" Type="http://schemas.openxmlformats.org/officeDocument/2006/relationships/table" Target="../tables/table63.xml"/><Relationship Id="rId60" Type="http://schemas.openxmlformats.org/officeDocument/2006/relationships/table" Target="../tables/table71.xml"/><Relationship Id="rId65" Type="http://schemas.openxmlformats.org/officeDocument/2006/relationships/comments" Target="../comments4.xml"/><Relationship Id="rId4" Type="http://schemas.openxmlformats.org/officeDocument/2006/relationships/vmlDrawing" Target="../drawings/vmlDrawing12.vml"/><Relationship Id="rId9" Type="http://schemas.openxmlformats.org/officeDocument/2006/relationships/table" Target="../tables/table20.xml"/><Relationship Id="rId14" Type="http://schemas.openxmlformats.org/officeDocument/2006/relationships/table" Target="../tables/table25.xml"/><Relationship Id="rId22" Type="http://schemas.openxmlformats.org/officeDocument/2006/relationships/table" Target="../tables/table33.xml"/><Relationship Id="rId27" Type="http://schemas.openxmlformats.org/officeDocument/2006/relationships/table" Target="../tables/table38.xml"/><Relationship Id="rId30" Type="http://schemas.openxmlformats.org/officeDocument/2006/relationships/table" Target="../tables/table41.xml"/><Relationship Id="rId35" Type="http://schemas.openxmlformats.org/officeDocument/2006/relationships/table" Target="../tables/table46.xml"/><Relationship Id="rId43" Type="http://schemas.openxmlformats.org/officeDocument/2006/relationships/table" Target="../tables/table54.xml"/><Relationship Id="rId48" Type="http://schemas.openxmlformats.org/officeDocument/2006/relationships/table" Target="../tables/table59.xml"/><Relationship Id="rId56" Type="http://schemas.openxmlformats.org/officeDocument/2006/relationships/table" Target="../tables/table67.xml"/><Relationship Id="rId64" Type="http://schemas.openxmlformats.org/officeDocument/2006/relationships/table" Target="../tables/table75.xml"/><Relationship Id="rId8" Type="http://schemas.openxmlformats.org/officeDocument/2006/relationships/table" Target="../tables/table19.xml"/><Relationship Id="rId51" Type="http://schemas.openxmlformats.org/officeDocument/2006/relationships/table" Target="../tables/table62.xml"/><Relationship Id="rId3" Type="http://schemas.openxmlformats.org/officeDocument/2006/relationships/drawing" Target="../drawings/drawing11.xml"/><Relationship Id="rId12" Type="http://schemas.openxmlformats.org/officeDocument/2006/relationships/table" Target="../tables/table23.xml"/><Relationship Id="rId17" Type="http://schemas.openxmlformats.org/officeDocument/2006/relationships/table" Target="../tables/table28.xml"/><Relationship Id="rId25" Type="http://schemas.openxmlformats.org/officeDocument/2006/relationships/table" Target="../tables/table36.xml"/><Relationship Id="rId33" Type="http://schemas.openxmlformats.org/officeDocument/2006/relationships/table" Target="../tables/table44.xml"/><Relationship Id="rId38" Type="http://schemas.openxmlformats.org/officeDocument/2006/relationships/table" Target="../tables/table49.xml"/><Relationship Id="rId46" Type="http://schemas.openxmlformats.org/officeDocument/2006/relationships/table" Target="../tables/table57.xml"/><Relationship Id="rId59" Type="http://schemas.openxmlformats.org/officeDocument/2006/relationships/table" Target="../tables/table70.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5.xml"/><Relationship Id="rId1" Type="http://schemas.openxmlformats.org/officeDocument/2006/relationships/vmlDrawing" Target="../drawings/vmlDrawing13.vml"/></Relationships>
</file>

<file path=xl/worksheets/_rels/sheet15.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table" Target="../tables/table77.xml"/><Relationship Id="rId7" Type="http://schemas.openxmlformats.org/officeDocument/2006/relationships/table" Target="../tables/table81.xml"/><Relationship Id="rId2" Type="http://schemas.openxmlformats.org/officeDocument/2006/relationships/table" Target="../tables/table76.xml"/><Relationship Id="rId1" Type="http://schemas.openxmlformats.org/officeDocument/2006/relationships/vmlDrawing" Target="../drawings/vmlDrawing14.vml"/><Relationship Id="rId6" Type="http://schemas.openxmlformats.org/officeDocument/2006/relationships/table" Target="../tables/table80.xml"/><Relationship Id="rId5" Type="http://schemas.openxmlformats.org/officeDocument/2006/relationships/table" Target="../tables/table79.xml"/><Relationship Id="rId4" Type="http://schemas.openxmlformats.org/officeDocument/2006/relationships/table" Target="../tables/table78.xml"/><Relationship Id="rId9" Type="http://schemas.microsoft.com/office/2017/10/relationships/threadedComment" Target="../threadedComments/threadedComment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2A1CB-BDE4-42CB-96A6-2046333298F2}">
  <sheetPr codeName="Sheet1">
    <tabColor theme="2"/>
  </sheetPr>
  <dimension ref="B1:AF41"/>
  <sheetViews>
    <sheetView showGridLines="0" tabSelected="1" zoomScale="70" zoomScaleNormal="70" workbookViewId="0">
      <selection activeCell="C3" sqref="C3:Y5"/>
    </sheetView>
  </sheetViews>
  <sheetFormatPr defaultRowHeight="14.4" x14ac:dyDescent="0.3"/>
  <cols>
    <col min="1" max="3" width="2.88671875" customWidth="1"/>
    <col min="4" max="16" width="9.33203125" customWidth="1"/>
    <col min="17" max="19" width="2.88671875" customWidth="1"/>
    <col min="20" max="24" width="9.33203125" customWidth="1"/>
    <col min="25" max="26" width="2.88671875" customWidth="1"/>
    <col min="27" max="27" width="3.44140625" customWidth="1"/>
    <col min="28" max="30" width="32.5546875" customWidth="1"/>
    <col min="31" max="31" width="6.33203125" customWidth="1"/>
    <col min="32" max="32" width="8.88671875" customWidth="1"/>
    <col min="33" max="33" width="4" customWidth="1"/>
  </cols>
  <sheetData>
    <row r="1" spans="2:32" ht="18" customHeight="1" x14ac:dyDescent="0.3"/>
    <row r="2" spans="2:32" ht="18" customHeight="1" x14ac:dyDescent="0.3">
      <c r="B2" s="618"/>
      <c r="C2" s="329"/>
      <c r="D2" s="662"/>
      <c r="E2" s="662"/>
      <c r="F2" s="662"/>
      <c r="G2" s="662"/>
      <c r="H2" s="662"/>
      <c r="I2" s="662"/>
      <c r="J2" s="662"/>
      <c r="K2" s="662"/>
      <c r="L2" s="662"/>
      <c r="M2" s="662"/>
      <c r="N2" s="662"/>
      <c r="O2" s="662"/>
      <c r="P2" s="662"/>
      <c r="Q2" s="662"/>
      <c r="R2" s="662"/>
      <c r="S2" s="662"/>
      <c r="T2" s="662"/>
      <c r="U2" s="662"/>
      <c r="V2" s="662"/>
      <c r="W2" s="662"/>
      <c r="X2" s="662"/>
      <c r="Y2" s="662"/>
      <c r="Z2" s="663"/>
      <c r="AA2" s="739"/>
      <c r="AB2" s="809" t="s">
        <v>743</v>
      </c>
      <c r="AC2" s="810"/>
      <c r="AD2" s="811"/>
      <c r="AE2" s="739"/>
      <c r="AF2" s="739"/>
    </row>
    <row r="3" spans="2:32" ht="18" customHeight="1" x14ac:dyDescent="0.3">
      <c r="B3" s="91"/>
      <c r="C3" s="812" t="s">
        <v>704</v>
      </c>
      <c r="D3" s="813"/>
      <c r="E3" s="813"/>
      <c r="F3" s="813"/>
      <c r="G3" s="813"/>
      <c r="H3" s="813"/>
      <c r="I3" s="813"/>
      <c r="J3" s="813"/>
      <c r="K3" s="813"/>
      <c r="L3" s="813"/>
      <c r="M3" s="813"/>
      <c r="N3" s="813"/>
      <c r="O3" s="813"/>
      <c r="P3" s="813"/>
      <c r="Q3" s="813"/>
      <c r="R3" s="813"/>
      <c r="S3" s="813"/>
      <c r="T3" s="813"/>
      <c r="U3" s="813"/>
      <c r="V3" s="813"/>
      <c r="W3" s="813"/>
      <c r="X3" s="813"/>
      <c r="Y3" s="814"/>
      <c r="Z3" s="673"/>
      <c r="AA3" s="740"/>
      <c r="AB3" s="188" t="s">
        <v>360</v>
      </c>
      <c r="AC3" s="188" t="s">
        <v>744</v>
      </c>
      <c r="AD3" s="188" t="s">
        <v>745</v>
      </c>
      <c r="AE3" s="740"/>
      <c r="AF3" s="739"/>
    </row>
    <row r="4" spans="2:32" ht="18" customHeight="1" x14ac:dyDescent="0.3">
      <c r="B4" s="91"/>
      <c r="C4" s="815"/>
      <c r="D4" s="816"/>
      <c r="E4" s="816"/>
      <c r="F4" s="816"/>
      <c r="G4" s="816"/>
      <c r="H4" s="816"/>
      <c r="I4" s="816"/>
      <c r="J4" s="816"/>
      <c r="K4" s="816"/>
      <c r="L4" s="816"/>
      <c r="M4" s="816"/>
      <c r="N4" s="816"/>
      <c r="O4" s="816"/>
      <c r="P4" s="816"/>
      <c r="Q4" s="816"/>
      <c r="R4" s="816"/>
      <c r="S4" s="816"/>
      <c r="T4" s="816"/>
      <c r="U4" s="816"/>
      <c r="V4" s="816"/>
      <c r="W4" s="816"/>
      <c r="X4" s="816"/>
      <c r="Y4" s="817"/>
      <c r="Z4" s="664"/>
      <c r="AA4" s="739"/>
      <c r="AB4" s="775"/>
      <c r="AC4" s="778"/>
      <c r="AD4" s="737"/>
      <c r="AE4" s="739"/>
      <c r="AF4" s="739"/>
    </row>
    <row r="5" spans="2:32" ht="18" customHeight="1" x14ac:dyDescent="0.3">
      <c r="B5" s="91"/>
      <c r="C5" s="818"/>
      <c r="D5" s="819"/>
      <c r="E5" s="819"/>
      <c r="F5" s="819"/>
      <c r="G5" s="819"/>
      <c r="H5" s="819"/>
      <c r="I5" s="819"/>
      <c r="J5" s="819"/>
      <c r="K5" s="819"/>
      <c r="L5" s="819"/>
      <c r="M5" s="819"/>
      <c r="N5" s="819"/>
      <c r="O5" s="819"/>
      <c r="P5" s="819"/>
      <c r="Q5" s="819"/>
      <c r="R5" s="819"/>
      <c r="S5" s="819"/>
      <c r="T5" s="819"/>
      <c r="U5" s="819"/>
      <c r="V5" s="819"/>
      <c r="W5" s="819"/>
      <c r="X5" s="819"/>
      <c r="Y5" s="820"/>
      <c r="Z5" s="664"/>
      <c r="AA5" s="739"/>
      <c r="AB5" s="776"/>
      <c r="AC5" s="779"/>
      <c r="AD5" s="737"/>
      <c r="AE5" s="739"/>
      <c r="AF5" s="739"/>
    </row>
    <row r="6" spans="2:32" ht="18" customHeight="1" x14ac:dyDescent="0.3">
      <c r="B6" s="91"/>
      <c r="C6" s="739"/>
      <c r="D6" s="739"/>
      <c r="E6" s="739"/>
      <c r="F6" s="739"/>
      <c r="G6" s="739"/>
      <c r="H6" s="739"/>
      <c r="I6" s="739"/>
      <c r="J6" s="739"/>
      <c r="M6" s="741"/>
      <c r="N6" s="741"/>
      <c r="O6" s="741"/>
      <c r="P6" s="739"/>
      <c r="R6" s="739"/>
      <c r="S6" s="739"/>
      <c r="T6" s="739"/>
      <c r="Y6" s="739"/>
      <c r="Z6" s="664"/>
      <c r="AA6" s="739"/>
      <c r="AB6" s="776"/>
      <c r="AC6" s="779"/>
      <c r="AD6" s="737"/>
      <c r="AE6" s="739"/>
      <c r="AF6" s="739"/>
    </row>
    <row r="7" spans="2:32" ht="18" customHeight="1" x14ac:dyDescent="0.35">
      <c r="B7" s="91"/>
      <c r="C7" s="739"/>
      <c r="D7" s="739"/>
      <c r="E7" s="739"/>
      <c r="H7" s="742"/>
      <c r="I7" s="743"/>
      <c r="J7" s="677"/>
      <c r="K7" s="744"/>
      <c r="L7" s="745" t="s">
        <v>709</v>
      </c>
      <c r="M7" s="744"/>
      <c r="N7" s="744"/>
      <c r="O7" s="744"/>
      <c r="P7" s="677"/>
      <c r="R7" s="743"/>
      <c r="S7" s="743"/>
      <c r="T7" s="743"/>
      <c r="Y7" s="739"/>
      <c r="Z7" s="664"/>
      <c r="AA7" s="739"/>
      <c r="AB7" s="776"/>
      <c r="AC7" s="779"/>
      <c r="AD7" s="737"/>
      <c r="AE7" s="739"/>
      <c r="AF7" s="739"/>
    </row>
    <row r="8" spans="2:32" ht="18" customHeight="1" x14ac:dyDescent="0.35">
      <c r="B8" s="91"/>
      <c r="C8" s="739"/>
      <c r="J8" s="677"/>
      <c r="K8" s="744"/>
      <c r="L8" s="745" t="s">
        <v>701</v>
      </c>
      <c r="M8" s="744"/>
      <c r="N8" s="744"/>
      <c r="O8" s="744"/>
      <c r="P8" s="677"/>
      <c r="Z8" s="84"/>
      <c r="AB8" s="776"/>
      <c r="AC8" s="779"/>
      <c r="AD8" s="737"/>
      <c r="AF8" s="739"/>
    </row>
    <row r="9" spans="2:32" ht="18" customHeight="1" x14ac:dyDescent="0.35">
      <c r="B9" s="91"/>
      <c r="C9" s="739"/>
      <c r="J9" s="744"/>
      <c r="K9" s="744"/>
      <c r="L9" s="745" t="s">
        <v>702</v>
      </c>
      <c r="M9" s="677"/>
      <c r="N9" s="677"/>
      <c r="O9" s="677"/>
      <c r="P9" s="677"/>
      <c r="Z9" s="84"/>
      <c r="AB9" s="776"/>
      <c r="AC9" s="779"/>
      <c r="AD9" s="737"/>
      <c r="AF9" s="739"/>
    </row>
    <row r="10" spans="2:32" ht="18" customHeight="1" x14ac:dyDescent="0.3">
      <c r="B10" s="91"/>
      <c r="C10" s="739"/>
      <c r="D10" s="739"/>
      <c r="E10" s="739"/>
      <c r="F10" s="739"/>
      <c r="L10" s="742"/>
      <c r="R10" s="743"/>
      <c r="S10" s="743"/>
      <c r="T10" s="743"/>
      <c r="U10" s="743"/>
      <c r="V10" s="743"/>
      <c r="W10" s="743"/>
      <c r="X10" s="739"/>
      <c r="Y10" s="739"/>
      <c r="Z10" s="664"/>
      <c r="AA10" s="739"/>
      <c r="AB10" s="776"/>
      <c r="AC10" s="779"/>
      <c r="AD10" s="737"/>
      <c r="AE10" s="739"/>
      <c r="AF10" s="739"/>
    </row>
    <row r="11" spans="2:32" ht="18" customHeight="1" x14ac:dyDescent="0.35">
      <c r="B11" s="91"/>
      <c r="C11" s="739"/>
      <c r="D11" s="739"/>
      <c r="E11" s="739"/>
      <c r="F11" s="739"/>
      <c r="G11" s="739"/>
      <c r="H11" s="739"/>
      <c r="I11" s="746"/>
      <c r="J11" s="676"/>
      <c r="K11" s="676"/>
      <c r="L11" s="747" t="s">
        <v>746</v>
      </c>
      <c r="M11" s="747"/>
      <c r="N11" s="747"/>
      <c r="O11" s="747"/>
      <c r="P11" s="747"/>
      <c r="Q11" s="747"/>
      <c r="R11" s="742"/>
      <c r="S11" s="250"/>
      <c r="T11" s="739"/>
      <c r="U11" s="739"/>
      <c r="V11" s="739"/>
      <c r="W11" s="739"/>
      <c r="X11" s="739"/>
      <c r="Y11" s="739"/>
      <c r="Z11" s="664"/>
      <c r="AA11" s="739"/>
      <c r="AB11" s="776"/>
      <c r="AC11" s="779"/>
      <c r="AD11" s="737"/>
      <c r="AE11" s="739"/>
      <c r="AF11" s="739"/>
    </row>
    <row r="12" spans="2:32" ht="18" customHeight="1" x14ac:dyDescent="0.35">
      <c r="B12" s="91"/>
      <c r="C12" s="739"/>
      <c r="I12" s="674"/>
      <c r="J12" s="748"/>
      <c r="K12" s="676"/>
      <c r="L12" s="747" t="s">
        <v>703</v>
      </c>
      <c r="M12" s="749"/>
      <c r="N12" s="749"/>
      <c r="O12" s="749"/>
      <c r="P12" s="749"/>
      <c r="Q12" s="749"/>
      <c r="R12" s="750"/>
      <c r="S12" s="250"/>
      <c r="T12" s="739"/>
      <c r="U12" s="739"/>
      <c r="V12" s="739"/>
      <c r="W12" s="739"/>
      <c r="X12" s="739"/>
      <c r="Y12" s="739"/>
      <c r="Z12" s="664"/>
      <c r="AA12" s="739"/>
      <c r="AB12" s="776"/>
      <c r="AC12" s="779"/>
      <c r="AD12" s="737"/>
      <c r="AE12" s="739"/>
      <c r="AF12" s="739"/>
    </row>
    <row r="13" spans="2:32" ht="18" customHeight="1" x14ac:dyDescent="0.3">
      <c r="B13" s="91"/>
      <c r="C13" s="739"/>
      <c r="I13" s="675"/>
      <c r="J13" s="751"/>
      <c r="K13" s="675"/>
      <c r="L13" s="752" t="s">
        <v>716</v>
      </c>
      <c r="M13" s="752"/>
      <c r="N13" s="752"/>
      <c r="O13" s="752"/>
      <c r="P13" s="752"/>
      <c r="Q13" s="752"/>
      <c r="R13" s="752"/>
      <c r="S13" s="752"/>
      <c r="T13" s="751"/>
      <c r="U13" s="739"/>
      <c r="V13" s="739"/>
      <c r="W13" s="739"/>
      <c r="X13" s="739"/>
      <c r="Y13" s="739"/>
      <c r="Z13" s="664"/>
      <c r="AA13" s="739"/>
      <c r="AB13" s="776"/>
      <c r="AC13" s="779"/>
      <c r="AD13" s="737"/>
      <c r="AE13" s="739"/>
      <c r="AF13" s="739"/>
    </row>
    <row r="14" spans="2:32" ht="18" customHeight="1" x14ac:dyDescent="0.3">
      <c r="B14" s="91"/>
      <c r="C14" s="739"/>
      <c r="J14" s="739"/>
      <c r="K14" s="739"/>
      <c r="L14" s="739"/>
      <c r="M14" s="739"/>
      <c r="N14" s="739"/>
      <c r="O14" s="739"/>
      <c r="P14" s="739"/>
      <c r="Q14" s="739"/>
      <c r="R14" s="739"/>
      <c r="S14" s="739"/>
      <c r="Y14" s="739"/>
      <c r="Z14" s="664"/>
      <c r="AA14" s="739"/>
      <c r="AB14" s="776"/>
      <c r="AC14" s="779"/>
      <c r="AD14" s="737"/>
      <c r="AE14" s="739"/>
      <c r="AF14" s="739"/>
    </row>
    <row r="15" spans="2:32" ht="18" customHeight="1" x14ac:dyDescent="0.3">
      <c r="B15" s="91"/>
      <c r="C15" s="829" t="s">
        <v>719</v>
      </c>
      <c r="D15" s="830"/>
      <c r="E15" s="831"/>
      <c r="F15" s="832" t="s">
        <v>762</v>
      </c>
      <c r="G15" s="833"/>
      <c r="H15" s="833"/>
      <c r="I15" s="833"/>
      <c r="J15" s="833"/>
      <c r="K15" s="833"/>
      <c r="L15" s="833"/>
      <c r="M15" s="833"/>
      <c r="N15" s="833"/>
      <c r="O15" s="833"/>
      <c r="P15" s="833"/>
      <c r="Q15" s="833"/>
      <c r="R15" s="833"/>
      <c r="S15" s="833"/>
      <c r="T15" s="833"/>
      <c r="U15" s="833"/>
      <c r="V15" s="833"/>
      <c r="W15" s="833"/>
      <c r="X15" s="833"/>
      <c r="Y15" s="834"/>
      <c r="Z15" s="84"/>
      <c r="AB15" s="776"/>
      <c r="AC15" s="779"/>
      <c r="AD15" s="737"/>
      <c r="AF15" s="739"/>
    </row>
    <row r="16" spans="2:32" ht="18" customHeight="1" x14ac:dyDescent="0.3">
      <c r="B16" s="91"/>
      <c r="C16" s="739"/>
      <c r="D16" s="739"/>
      <c r="E16" s="739"/>
      <c r="F16" s="739"/>
      <c r="G16" s="739"/>
      <c r="H16" s="739"/>
      <c r="I16" s="739"/>
      <c r="J16" s="739"/>
      <c r="K16" s="739"/>
      <c r="L16" s="739"/>
      <c r="M16" s="739"/>
      <c r="N16" s="739"/>
      <c r="O16" s="739"/>
      <c r="P16" s="739"/>
      <c r="Q16" s="739"/>
      <c r="R16" s="739"/>
      <c r="S16" s="739"/>
      <c r="T16" s="739"/>
      <c r="U16" s="739"/>
      <c r="V16" s="739"/>
      <c r="W16" s="739"/>
      <c r="X16" s="739"/>
      <c r="Y16" s="739"/>
      <c r="Z16" s="664"/>
      <c r="AA16" s="739"/>
      <c r="AB16" s="776"/>
      <c r="AC16" s="779"/>
      <c r="AD16" s="737"/>
      <c r="AE16" s="739"/>
      <c r="AF16" s="739"/>
    </row>
    <row r="17" spans="2:32" ht="18" customHeight="1" x14ac:dyDescent="0.3">
      <c r="B17" s="91"/>
      <c r="C17" s="410"/>
      <c r="D17" s="662"/>
      <c r="E17" s="662"/>
      <c r="F17" s="662"/>
      <c r="G17" s="662"/>
      <c r="H17" s="662"/>
      <c r="I17" s="662"/>
      <c r="J17" s="662"/>
      <c r="K17" s="662"/>
      <c r="L17" s="662"/>
      <c r="M17" s="662"/>
      <c r="N17" s="662"/>
      <c r="O17" s="662"/>
      <c r="P17" s="662"/>
      <c r="Q17" s="663"/>
      <c r="R17" s="739"/>
      <c r="S17" s="410"/>
      <c r="T17" s="662"/>
      <c r="U17" s="662"/>
      <c r="V17" s="662"/>
      <c r="W17" s="662"/>
      <c r="X17" s="662"/>
      <c r="Y17" s="663"/>
      <c r="Z17" s="664"/>
      <c r="AA17" s="739"/>
      <c r="AB17" s="776"/>
      <c r="AC17" s="779"/>
      <c r="AD17" s="737"/>
      <c r="AE17" s="739"/>
      <c r="AF17" s="739"/>
    </row>
    <row r="18" spans="2:32" ht="18" customHeight="1" x14ac:dyDescent="0.3">
      <c r="B18" s="91"/>
      <c r="C18" s="398"/>
      <c r="D18" s="809" t="s">
        <v>707</v>
      </c>
      <c r="E18" s="810"/>
      <c r="F18" s="810"/>
      <c r="G18" s="810"/>
      <c r="H18" s="810"/>
      <c r="I18" s="810"/>
      <c r="J18" s="810"/>
      <c r="K18" s="811"/>
      <c r="L18" s="821" t="s">
        <v>705</v>
      </c>
      <c r="M18" s="822"/>
      <c r="N18" s="822"/>
      <c r="O18" s="822"/>
      <c r="P18" s="823"/>
      <c r="Q18" s="664"/>
      <c r="R18" s="739"/>
      <c r="S18" s="398"/>
      <c r="T18" s="824" t="s">
        <v>712</v>
      </c>
      <c r="U18" s="825"/>
      <c r="V18" s="826" t="s">
        <v>710</v>
      </c>
      <c r="W18" s="827"/>
      <c r="X18" s="828"/>
      <c r="Y18" s="664"/>
      <c r="Z18" s="664"/>
      <c r="AA18" s="739"/>
      <c r="AB18" s="776"/>
      <c r="AC18" s="779"/>
      <c r="AD18" s="737"/>
      <c r="AE18" s="739"/>
      <c r="AF18" s="739"/>
    </row>
    <row r="19" spans="2:32" ht="18" customHeight="1" x14ac:dyDescent="0.3">
      <c r="B19" s="91"/>
      <c r="C19" s="398"/>
      <c r="D19" s="739"/>
      <c r="E19" s="739"/>
      <c r="F19" s="739"/>
      <c r="G19" s="739"/>
      <c r="I19" s="743"/>
      <c r="J19" s="743"/>
      <c r="K19" s="743"/>
      <c r="L19" s="743"/>
      <c r="M19" s="743"/>
      <c r="N19" s="743"/>
      <c r="O19" s="743"/>
      <c r="P19" s="743"/>
      <c r="Q19" s="664"/>
      <c r="R19" s="739"/>
      <c r="S19" s="398"/>
      <c r="T19" s="824" t="s">
        <v>713</v>
      </c>
      <c r="U19" s="825"/>
      <c r="V19" s="847" t="s">
        <v>772</v>
      </c>
      <c r="W19" s="848"/>
      <c r="X19" s="849"/>
      <c r="Y19" s="664"/>
      <c r="Z19" s="664"/>
      <c r="AA19" s="739"/>
      <c r="AB19" s="776"/>
      <c r="AC19" s="779"/>
      <c r="AD19" s="737"/>
      <c r="AE19" s="739"/>
      <c r="AF19" s="739"/>
    </row>
    <row r="20" spans="2:32" ht="18" customHeight="1" x14ac:dyDescent="0.3">
      <c r="B20" s="91"/>
      <c r="C20" s="398"/>
      <c r="D20" s="751" t="s">
        <v>751</v>
      </c>
      <c r="E20" s="751"/>
      <c r="F20" s="751"/>
      <c r="G20" s="751"/>
      <c r="H20" s="675"/>
      <c r="I20" s="751"/>
      <c r="J20" s="751"/>
      <c r="K20" s="751"/>
      <c r="L20" s="751"/>
      <c r="M20" s="751"/>
      <c r="N20" s="751"/>
      <c r="O20" s="751"/>
      <c r="P20" s="751"/>
      <c r="Q20" s="664"/>
      <c r="R20" s="739"/>
      <c r="S20" s="398"/>
      <c r="T20" s="824" t="s">
        <v>714</v>
      </c>
      <c r="U20" s="825"/>
      <c r="V20" s="847" t="s">
        <v>761</v>
      </c>
      <c r="W20" s="848"/>
      <c r="X20" s="849"/>
      <c r="Y20" s="664"/>
      <c r="Z20" s="664"/>
      <c r="AA20" s="739"/>
      <c r="AB20" s="776"/>
      <c r="AC20" s="779"/>
      <c r="AD20" s="737"/>
      <c r="AE20" s="739"/>
      <c r="AF20" s="739"/>
    </row>
    <row r="21" spans="2:32" ht="18" customHeight="1" x14ac:dyDescent="0.3">
      <c r="B21" s="91"/>
      <c r="C21" s="398"/>
      <c r="D21" s="751" t="s">
        <v>752</v>
      </c>
      <c r="E21" s="751"/>
      <c r="F21" s="751"/>
      <c r="G21" s="751"/>
      <c r="H21" s="675"/>
      <c r="I21" s="751"/>
      <c r="J21" s="751"/>
      <c r="K21" s="751"/>
      <c r="L21" s="751"/>
      <c r="M21" s="751"/>
      <c r="N21" s="751"/>
      <c r="O21" s="751"/>
      <c r="P21" s="751"/>
      <c r="Q21" s="664"/>
      <c r="R21" s="739"/>
      <c r="S21" s="398"/>
      <c r="T21" s="824" t="s">
        <v>715</v>
      </c>
      <c r="U21" s="825"/>
      <c r="V21" s="821" t="s">
        <v>758</v>
      </c>
      <c r="W21" s="822"/>
      <c r="X21" s="823"/>
      <c r="Y21" s="664"/>
      <c r="Z21" s="664"/>
      <c r="AA21" s="739"/>
      <c r="AB21" s="776"/>
      <c r="AC21" s="779"/>
      <c r="AD21" s="737"/>
      <c r="AE21" s="739"/>
      <c r="AF21" s="739"/>
    </row>
    <row r="22" spans="2:32" ht="18" customHeight="1" x14ac:dyDescent="0.3">
      <c r="B22" s="91"/>
      <c r="C22" s="398"/>
      <c r="E22" s="753" t="s">
        <v>753</v>
      </c>
      <c r="F22" s="753"/>
      <c r="G22" s="753"/>
      <c r="J22" s="751"/>
      <c r="K22" s="751"/>
      <c r="L22" s="751"/>
      <c r="M22" s="751"/>
      <c r="N22" s="751"/>
      <c r="O22" s="751"/>
      <c r="P22" s="751"/>
      <c r="Q22" s="664"/>
      <c r="R22" s="739"/>
      <c r="S22" s="398"/>
      <c r="Y22" s="664"/>
      <c r="Z22" s="664"/>
      <c r="AA22" s="739"/>
      <c r="AB22" s="776"/>
      <c r="AC22" s="779"/>
      <c r="AD22" s="737"/>
      <c r="AE22" s="739"/>
      <c r="AF22" s="739"/>
    </row>
    <row r="23" spans="2:32" ht="18" customHeight="1" x14ac:dyDescent="0.3">
      <c r="B23" s="91"/>
      <c r="C23" s="398"/>
      <c r="E23" s="753" t="s">
        <v>754</v>
      </c>
      <c r="F23" s="753"/>
      <c r="G23" s="753"/>
      <c r="J23" s="751"/>
      <c r="K23" s="751"/>
      <c r="L23" s="751"/>
      <c r="M23" s="751"/>
      <c r="N23" s="751"/>
      <c r="O23" s="751"/>
      <c r="P23" s="751"/>
      <c r="Q23" s="664"/>
      <c r="R23" s="739"/>
      <c r="S23" s="398"/>
      <c r="T23" s="835" t="s">
        <v>711</v>
      </c>
      <c r="U23" s="836"/>
      <c r="V23" s="836"/>
      <c r="W23" s="836"/>
      <c r="X23" s="837"/>
      <c r="Y23" s="664"/>
      <c r="Z23" s="664"/>
      <c r="AA23" s="739"/>
      <c r="AB23" s="776"/>
      <c r="AC23" s="779"/>
      <c r="AD23" s="737"/>
      <c r="AE23" s="739"/>
      <c r="AF23" s="739"/>
    </row>
    <row r="24" spans="2:32" ht="18" customHeight="1" x14ac:dyDescent="0.3">
      <c r="B24" s="91"/>
      <c r="C24" s="398"/>
      <c r="D24" s="751" t="s">
        <v>755</v>
      </c>
      <c r="E24" s="751"/>
      <c r="F24" s="751"/>
      <c r="G24" s="751"/>
      <c r="H24" s="751"/>
      <c r="I24" s="751"/>
      <c r="J24" s="751"/>
      <c r="K24" s="751"/>
      <c r="L24" s="751"/>
      <c r="M24" s="751"/>
      <c r="N24" s="751"/>
      <c r="O24" s="751"/>
      <c r="P24" s="751"/>
      <c r="Q24" s="664"/>
      <c r="R24" s="739"/>
      <c r="S24" s="398"/>
      <c r="T24" s="838" t="s">
        <v>773</v>
      </c>
      <c r="U24" s="839"/>
      <c r="V24" s="839"/>
      <c r="W24" s="839"/>
      <c r="X24" s="840"/>
      <c r="Y24" s="664"/>
      <c r="Z24" s="664"/>
      <c r="AA24" s="739"/>
      <c r="AB24" s="776"/>
      <c r="AC24" s="779"/>
      <c r="AD24" s="737"/>
      <c r="AE24" s="739"/>
      <c r="AF24" s="739"/>
    </row>
    <row r="25" spans="2:32" ht="18" customHeight="1" x14ac:dyDescent="0.3">
      <c r="B25" s="91"/>
      <c r="C25" s="398"/>
      <c r="D25" s="751" t="s">
        <v>747</v>
      </c>
      <c r="E25" s="751"/>
      <c r="F25" s="751"/>
      <c r="G25" s="751"/>
      <c r="H25" s="751"/>
      <c r="I25" s="751"/>
      <c r="J25" s="751"/>
      <c r="K25" s="751"/>
      <c r="L25" s="751"/>
      <c r="M25" s="751"/>
      <c r="N25" s="751"/>
      <c r="O25" s="751"/>
      <c r="P25" s="751"/>
      <c r="Q25" s="664"/>
      <c r="R25" s="739"/>
      <c r="S25" s="398"/>
      <c r="T25" s="841"/>
      <c r="U25" s="842"/>
      <c r="V25" s="842"/>
      <c r="W25" s="842"/>
      <c r="X25" s="843"/>
      <c r="Y25" s="664"/>
      <c r="Z25" s="664"/>
      <c r="AA25" s="739"/>
      <c r="AB25" s="776"/>
      <c r="AC25" s="779"/>
      <c r="AD25" s="737"/>
      <c r="AE25" s="739"/>
      <c r="AF25" s="739"/>
    </row>
    <row r="26" spans="2:32" ht="18" customHeight="1" x14ac:dyDescent="0.3">
      <c r="B26" s="91"/>
      <c r="C26" s="398"/>
      <c r="D26" s="751" t="s">
        <v>756</v>
      </c>
      <c r="E26" s="751"/>
      <c r="F26" s="751"/>
      <c r="G26" s="751"/>
      <c r="H26" s="751"/>
      <c r="I26" s="751"/>
      <c r="J26" s="751"/>
      <c r="K26" s="751"/>
      <c r="L26" s="751"/>
      <c r="M26" s="751"/>
      <c r="N26" s="751"/>
      <c r="O26" s="751"/>
      <c r="P26" s="751"/>
      <c r="Q26" s="664"/>
      <c r="R26" s="739"/>
      <c r="S26" s="398"/>
      <c r="T26" s="841"/>
      <c r="U26" s="842"/>
      <c r="V26" s="842"/>
      <c r="W26" s="842"/>
      <c r="X26" s="843"/>
      <c r="Y26" s="664"/>
      <c r="Z26" s="664"/>
      <c r="AA26" s="739"/>
      <c r="AB26" s="776"/>
      <c r="AC26" s="779"/>
      <c r="AD26" s="737"/>
      <c r="AE26" s="739"/>
      <c r="AF26" s="739"/>
    </row>
    <row r="27" spans="2:32" ht="18" customHeight="1" x14ac:dyDescent="0.3">
      <c r="B27" s="91"/>
      <c r="C27" s="398"/>
      <c r="D27" s="751" t="s">
        <v>757</v>
      </c>
      <c r="E27" s="751"/>
      <c r="F27" s="751"/>
      <c r="G27" s="751"/>
      <c r="H27" s="751"/>
      <c r="I27" s="751"/>
      <c r="J27" s="751"/>
      <c r="K27" s="751"/>
      <c r="L27" s="751"/>
      <c r="M27" s="751"/>
      <c r="N27" s="751"/>
      <c r="O27" s="751"/>
      <c r="P27" s="751"/>
      <c r="Q27" s="664"/>
      <c r="R27" s="739"/>
      <c r="S27" s="398"/>
      <c r="T27" s="844"/>
      <c r="U27" s="845"/>
      <c r="V27" s="845"/>
      <c r="W27" s="845"/>
      <c r="X27" s="846"/>
      <c r="Y27" s="664"/>
      <c r="Z27" s="664"/>
      <c r="AA27" s="739"/>
      <c r="AB27" s="776"/>
      <c r="AC27" s="779"/>
      <c r="AD27" s="737"/>
      <c r="AE27" s="739"/>
      <c r="AF27" s="739"/>
    </row>
    <row r="28" spans="2:32" ht="18" customHeight="1" x14ac:dyDescent="0.3">
      <c r="B28" s="91"/>
      <c r="C28" s="665"/>
      <c r="D28" s="666"/>
      <c r="E28" s="666"/>
      <c r="F28" s="666"/>
      <c r="G28" s="666"/>
      <c r="H28" s="666"/>
      <c r="I28" s="666"/>
      <c r="J28" s="666"/>
      <c r="K28" s="666"/>
      <c r="L28" s="666"/>
      <c r="M28" s="666"/>
      <c r="N28" s="666"/>
      <c r="O28" s="666"/>
      <c r="P28" s="666"/>
      <c r="Q28" s="667"/>
      <c r="R28" s="739"/>
      <c r="S28" s="665"/>
      <c r="T28" s="666"/>
      <c r="U28" s="666"/>
      <c r="V28" s="666"/>
      <c r="W28" s="666"/>
      <c r="X28" s="666"/>
      <c r="Y28" s="667"/>
      <c r="Z28" s="664"/>
      <c r="AA28" s="739"/>
      <c r="AB28" s="776"/>
      <c r="AC28" s="779"/>
      <c r="AD28" s="737"/>
      <c r="AE28" s="739"/>
      <c r="AF28" s="739"/>
    </row>
    <row r="29" spans="2:32" ht="18" customHeight="1" x14ac:dyDescent="0.3">
      <c r="B29" s="394"/>
      <c r="C29" s="666"/>
      <c r="D29" s="666"/>
      <c r="E29" s="666"/>
      <c r="F29" s="666"/>
      <c r="G29" s="666"/>
      <c r="H29" s="666"/>
      <c r="I29" s="666"/>
      <c r="J29" s="666"/>
      <c r="K29" s="666"/>
      <c r="L29" s="666"/>
      <c r="M29" s="666"/>
      <c r="N29" s="666"/>
      <c r="O29" s="666"/>
      <c r="P29" s="666"/>
      <c r="Q29" s="666"/>
      <c r="R29" s="666"/>
      <c r="S29" s="666"/>
      <c r="T29" s="666"/>
      <c r="U29" s="666"/>
      <c r="V29" s="666"/>
      <c r="W29" s="666"/>
      <c r="X29" s="666"/>
      <c r="Y29" s="666"/>
      <c r="Z29" s="667"/>
      <c r="AA29" s="739"/>
      <c r="AB29" s="777"/>
      <c r="AC29" s="780"/>
      <c r="AD29" s="738"/>
      <c r="AE29" s="739"/>
      <c r="AF29" s="739"/>
    </row>
    <row r="30" spans="2:32" ht="18" customHeight="1" x14ac:dyDescent="0.3">
      <c r="C30" s="739"/>
      <c r="D30" s="739"/>
      <c r="E30" s="739"/>
      <c r="F30" s="739"/>
      <c r="G30" s="739"/>
      <c r="H30" s="739"/>
      <c r="I30" s="739"/>
      <c r="J30" s="739"/>
      <c r="K30" s="739"/>
      <c r="L30" s="739"/>
      <c r="M30" s="739"/>
      <c r="N30" s="739"/>
      <c r="O30" s="739"/>
      <c r="P30" s="739"/>
      <c r="Q30" s="739"/>
      <c r="R30" s="739"/>
      <c r="S30" s="739"/>
      <c r="T30" s="739"/>
      <c r="U30" s="739"/>
      <c r="V30" s="739"/>
      <c r="W30" s="739"/>
      <c r="X30" s="739"/>
      <c r="Y30" s="739"/>
      <c r="Z30" s="739"/>
      <c r="AA30" s="739"/>
      <c r="AB30" s="739"/>
      <c r="AC30" s="739"/>
      <c r="AD30" s="739"/>
      <c r="AE30" s="739"/>
      <c r="AF30" s="739"/>
    </row>
    <row r="31" spans="2:32" ht="18" customHeight="1" x14ac:dyDescent="0.3">
      <c r="B31" s="781"/>
      <c r="C31" s="782"/>
      <c r="D31" s="783" t="s">
        <v>748</v>
      </c>
      <c r="E31" s="782"/>
      <c r="F31" s="662"/>
      <c r="G31" s="662"/>
      <c r="H31" s="662"/>
      <c r="I31" s="662"/>
      <c r="J31" s="662"/>
      <c r="K31" s="662"/>
      <c r="L31" s="662"/>
      <c r="M31" s="662"/>
      <c r="N31" s="662"/>
      <c r="O31" s="662"/>
      <c r="P31" s="662"/>
      <c r="Q31" s="662"/>
      <c r="R31" s="662"/>
      <c r="S31" s="662"/>
      <c r="T31" s="662"/>
      <c r="U31" s="662"/>
      <c r="V31" s="662"/>
      <c r="W31" s="662"/>
      <c r="X31" s="662"/>
      <c r="Y31" s="662"/>
      <c r="Z31" s="662"/>
      <c r="AA31" s="662"/>
      <c r="AB31" s="662"/>
      <c r="AC31" s="662"/>
      <c r="AD31" s="663"/>
      <c r="AE31" s="739"/>
      <c r="AF31" s="739"/>
    </row>
    <row r="32" spans="2:32" ht="18" customHeight="1" x14ac:dyDescent="0.3">
      <c r="B32" s="398"/>
      <c r="C32" s="220"/>
      <c r="D32" s="220" t="s">
        <v>749</v>
      </c>
      <c r="E32" s="220"/>
      <c r="F32" s="220"/>
      <c r="G32" s="220"/>
      <c r="H32" s="220"/>
      <c r="I32" s="220"/>
      <c r="J32" s="220"/>
      <c r="K32" s="220"/>
      <c r="L32" s="220"/>
      <c r="M32" s="220"/>
      <c r="N32" s="220"/>
      <c r="O32" s="220"/>
      <c r="P32" s="220"/>
      <c r="Q32" s="220"/>
      <c r="R32" s="220"/>
      <c r="S32" s="220"/>
      <c r="T32" s="220"/>
      <c r="U32" s="220"/>
      <c r="V32" s="220"/>
      <c r="W32" s="220"/>
      <c r="X32" s="220"/>
      <c r="Y32" s="220"/>
      <c r="Z32" s="220"/>
      <c r="AA32" s="220"/>
      <c r="AB32" s="220"/>
      <c r="AC32" s="220"/>
      <c r="AD32" s="664"/>
      <c r="AE32" s="739"/>
      <c r="AF32" s="739"/>
    </row>
    <row r="33" spans="2:32" ht="18" customHeight="1" x14ac:dyDescent="0.3">
      <c r="B33" s="398"/>
      <c r="C33" s="220"/>
      <c r="D33" s="220" t="s">
        <v>750</v>
      </c>
      <c r="E33" s="220"/>
      <c r="F33" s="220"/>
      <c r="G33" s="220"/>
      <c r="H33" s="220"/>
      <c r="I33" s="220"/>
      <c r="J33" s="220"/>
      <c r="K33" s="220"/>
      <c r="L33" s="220"/>
      <c r="M33" s="220"/>
      <c r="N33" s="220"/>
      <c r="O33" s="220"/>
      <c r="P33" s="220"/>
      <c r="Q33" s="220"/>
      <c r="R33" s="220"/>
      <c r="S33" s="220"/>
      <c r="T33" s="220"/>
      <c r="U33" s="220"/>
      <c r="V33" s="220"/>
      <c r="W33" s="220"/>
      <c r="X33" s="220"/>
      <c r="Y33" s="220"/>
      <c r="Z33" s="220"/>
      <c r="AA33" s="220"/>
      <c r="AB33" s="220"/>
      <c r="AC33" s="220"/>
      <c r="AD33" s="664"/>
      <c r="AE33" s="739"/>
      <c r="AF33" s="739"/>
    </row>
    <row r="34" spans="2:32" ht="18" customHeight="1" x14ac:dyDescent="0.3">
      <c r="B34" s="398"/>
      <c r="C34" s="220"/>
      <c r="D34" s="220" t="s">
        <v>760</v>
      </c>
      <c r="E34" s="220"/>
      <c r="F34" s="220"/>
      <c r="G34" s="220"/>
      <c r="H34" s="220"/>
      <c r="I34" s="220"/>
      <c r="J34" s="220"/>
      <c r="K34" s="220"/>
      <c r="L34" s="220"/>
      <c r="M34" s="220"/>
      <c r="N34" s="220"/>
      <c r="O34" s="220"/>
      <c r="P34" s="220"/>
      <c r="Q34" s="220"/>
      <c r="R34" s="220"/>
      <c r="S34" s="220"/>
      <c r="T34" s="220"/>
      <c r="U34" s="220"/>
      <c r="V34" s="220"/>
      <c r="W34" s="220"/>
      <c r="X34" s="220"/>
      <c r="Y34" s="220"/>
      <c r="Z34" s="220"/>
      <c r="AA34" s="220"/>
      <c r="AB34" s="220"/>
      <c r="AC34" s="220"/>
      <c r="AD34" s="664"/>
      <c r="AE34" s="739"/>
      <c r="AF34" s="739"/>
    </row>
    <row r="35" spans="2:32" ht="18" customHeight="1" x14ac:dyDescent="0.3">
      <c r="B35" s="665"/>
      <c r="C35" s="666"/>
      <c r="D35" s="666" t="s">
        <v>759</v>
      </c>
      <c r="E35" s="666"/>
      <c r="F35" s="666"/>
      <c r="G35" s="666"/>
      <c r="H35" s="666"/>
      <c r="I35" s="666"/>
      <c r="J35" s="666"/>
      <c r="K35" s="666"/>
      <c r="L35" s="666"/>
      <c r="M35" s="666"/>
      <c r="N35" s="666"/>
      <c r="O35" s="666"/>
      <c r="P35" s="666"/>
      <c r="Q35" s="666"/>
      <c r="R35" s="666"/>
      <c r="S35" s="666"/>
      <c r="T35" s="666"/>
      <c r="U35" s="666"/>
      <c r="V35" s="666"/>
      <c r="W35" s="666"/>
      <c r="X35" s="666"/>
      <c r="Y35" s="666"/>
      <c r="Z35" s="666"/>
      <c r="AA35" s="666"/>
      <c r="AB35" s="666"/>
      <c r="AC35" s="666"/>
      <c r="AD35" s="667"/>
      <c r="AE35" s="739"/>
      <c r="AF35" s="739"/>
    </row>
    <row r="36" spans="2:32" ht="18" customHeight="1" x14ac:dyDescent="0.3">
      <c r="C36" s="739"/>
      <c r="D36" s="739"/>
      <c r="E36" s="739"/>
      <c r="F36" s="739"/>
      <c r="G36" s="739"/>
      <c r="H36" s="739"/>
      <c r="I36" s="739"/>
      <c r="J36" s="739"/>
      <c r="K36" s="739"/>
      <c r="L36" s="739"/>
      <c r="M36" s="739"/>
      <c r="N36" s="739"/>
      <c r="O36" s="739"/>
      <c r="P36" s="739"/>
      <c r="Q36" s="739"/>
      <c r="R36" s="739"/>
      <c r="S36" s="739"/>
      <c r="T36" s="739"/>
      <c r="U36" s="739"/>
      <c r="V36" s="739"/>
      <c r="W36" s="739"/>
      <c r="X36" s="739"/>
      <c r="Y36" s="739"/>
      <c r="Z36" s="739"/>
      <c r="AA36" s="739"/>
      <c r="AB36" s="739"/>
      <c r="AC36" s="739"/>
      <c r="AD36" s="739"/>
      <c r="AE36" s="739"/>
      <c r="AF36" s="739"/>
    </row>
    <row r="37" spans="2:32" ht="18.600000000000001" customHeight="1" x14ac:dyDescent="0.3">
      <c r="C37" s="739"/>
      <c r="D37" s="739"/>
      <c r="E37" s="739"/>
      <c r="F37" s="739"/>
      <c r="G37" s="739"/>
      <c r="H37" s="739"/>
      <c r="I37" s="739"/>
      <c r="J37" s="739"/>
      <c r="K37" s="739"/>
      <c r="L37" s="739"/>
      <c r="M37" s="739"/>
      <c r="N37" s="739"/>
      <c r="O37" s="739"/>
      <c r="P37" s="739"/>
      <c r="Q37" s="739"/>
      <c r="R37" s="739"/>
      <c r="S37" s="739"/>
      <c r="T37" s="739"/>
      <c r="U37" s="739"/>
      <c r="V37" s="739"/>
      <c r="W37" s="739"/>
      <c r="X37" s="739"/>
      <c r="Y37" s="739"/>
      <c r="Z37" s="739"/>
      <c r="AA37" s="739"/>
      <c r="AB37" s="739"/>
      <c r="AC37" s="739"/>
      <c r="AD37" s="739"/>
      <c r="AE37" s="739"/>
      <c r="AF37" s="739"/>
    </row>
    <row r="38" spans="2:32" ht="18.600000000000001" customHeight="1" x14ac:dyDescent="0.3">
      <c r="C38" s="739"/>
      <c r="D38" s="739"/>
      <c r="E38" s="739"/>
      <c r="F38" s="739"/>
      <c r="G38" s="739"/>
      <c r="H38" s="739"/>
      <c r="I38" s="739"/>
      <c r="J38" s="739"/>
      <c r="K38" s="739"/>
      <c r="L38" s="739"/>
      <c r="M38" s="739"/>
      <c r="N38" s="739"/>
      <c r="O38" s="739"/>
      <c r="P38" s="739"/>
      <c r="Q38" s="739"/>
      <c r="R38" s="739"/>
      <c r="S38" s="739"/>
      <c r="T38" s="739"/>
      <c r="U38" s="739"/>
      <c r="V38" s="739"/>
      <c r="W38" s="739"/>
      <c r="X38" s="739"/>
      <c r="Y38" s="739"/>
      <c r="Z38" s="739"/>
      <c r="AA38" s="739"/>
      <c r="AB38" s="739"/>
      <c r="AC38" s="739"/>
      <c r="AD38" s="739"/>
      <c r="AE38" s="739"/>
      <c r="AF38" s="739"/>
    </row>
    <row r="39" spans="2:32" ht="18.600000000000001" customHeight="1" x14ac:dyDescent="0.3">
      <c r="C39" s="739"/>
      <c r="D39" s="739"/>
      <c r="E39" s="739"/>
      <c r="F39" s="739"/>
      <c r="G39" s="739"/>
      <c r="H39" s="739"/>
      <c r="I39" s="739"/>
      <c r="J39" s="739"/>
      <c r="K39" s="739"/>
      <c r="L39" s="739"/>
      <c r="M39" s="739"/>
      <c r="N39" s="739"/>
      <c r="O39" s="739"/>
      <c r="P39" s="739"/>
      <c r="Q39" s="739"/>
      <c r="R39" s="739"/>
      <c r="S39" s="739"/>
      <c r="T39" s="739"/>
      <c r="U39" s="739"/>
      <c r="V39" s="739"/>
      <c r="W39" s="739"/>
      <c r="X39" s="739"/>
      <c r="Y39" s="739"/>
      <c r="Z39" s="739"/>
      <c r="AA39" s="739"/>
      <c r="AB39" s="739"/>
      <c r="AC39" s="739"/>
      <c r="AD39" s="739"/>
      <c r="AE39" s="739"/>
      <c r="AF39" s="739"/>
    </row>
    <row r="40" spans="2:32" ht="18.600000000000001" customHeight="1" x14ac:dyDescent="0.3">
      <c r="C40" s="739"/>
      <c r="D40" s="739"/>
      <c r="E40" s="739"/>
      <c r="F40" s="739"/>
      <c r="G40" s="739"/>
      <c r="H40" s="739"/>
      <c r="I40" s="739"/>
      <c r="J40" s="739"/>
      <c r="K40" s="739"/>
      <c r="L40" s="739"/>
      <c r="M40" s="739"/>
      <c r="N40" s="739"/>
      <c r="O40" s="739"/>
      <c r="P40" s="739"/>
      <c r="Q40" s="739"/>
      <c r="R40" s="739"/>
      <c r="S40" s="739"/>
      <c r="T40" s="739"/>
      <c r="U40" s="739"/>
      <c r="V40" s="739"/>
      <c r="W40" s="739"/>
      <c r="X40" s="739"/>
      <c r="Y40" s="739"/>
      <c r="Z40" s="739"/>
      <c r="AA40" s="739"/>
      <c r="AB40" s="739"/>
      <c r="AC40" s="739"/>
      <c r="AD40" s="739"/>
      <c r="AE40" s="739"/>
      <c r="AF40" s="739"/>
    </row>
    <row r="41" spans="2:32" ht="18.600000000000001" customHeight="1" x14ac:dyDescent="0.3">
      <c r="C41" s="739"/>
      <c r="D41" s="739"/>
      <c r="E41" s="739"/>
      <c r="F41" s="739"/>
      <c r="G41" s="739"/>
      <c r="H41" s="739"/>
      <c r="I41" s="739"/>
      <c r="J41" s="739"/>
      <c r="K41" s="739"/>
      <c r="L41" s="739"/>
      <c r="M41" s="739"/>
      <c r="N41" s="739"/>
      <c r="O41" s="739"/>
      <c r="P41" s="739"/>
      <c r="Q41" s="739"/>
      <c r="R41" s="739"/>
      <c r="S41" s="739"/>
      <c r="T41" s="739"/>
      <c r="U41" s="739"/>
      <c r="V41" s="739"/>
      <c r="W41" s="739"/>
      <c r="X41" s="739"/>
      <c r="Y41" s="739"/>
      <c r="Z41" s="739"/>
      <c r="AA41" s="739"/>
      <c r="AB41" s="739"/>
      <c r="AC41" s="739"/>
      <c r="AD41" s="739"/>
      <c r="AE41" s="739"/>
      <c r="AF41" s="739"/>
    </row>
  </sheetData>
  <mergeCells count="16">
    <mergeCell ref="T23:X23"/>
    <mergeCell ref="T24:X27"/>
    <mergeCell ref="T19:U19"/>
    <mergeCell ref="V19:X19"/>
    <mergeCell ref="T20:U20"/>
    <mergeCell ref="V20:X20"/>
    <mergeCell ref="T21:U21"/>
    <mergeCell ref="V21:X21"/>
    <mergeCell ref="AB2:AD2"/>
    <mergeCell ref="C3:Y5"/>
    <mergeCell ref="L18:P18"/>
    <mergeCell ref="T18:U18"/>
    <mergeCell ref="V18:X18"/>
    <mergeCell ref="D18:K18"/>
    <mergeCell ref="C15:E15"/>
    <mergeCell ref="F15:Y15"/>
  </mergeCells>
  <hyperlinks>
    <hyperlink ref="V21:X21" r:id="rId1" display="Link" xr:uid="{AE1CA356-A371-46BD-B8DF-FFB3C5FA31AF}"/>
    <hyperlink ref="L18:P18" r:id="rId2" display="Link" xr:uid="{E410CF8C-B5C7-49A0-95F5-97E1D1DC15F7}"/>
  </hyperlinks>
  <pageMargins left="0.7" right="0.7" top="0.75" bottom="0.75" header="0.3" footer="0.3"/>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A4063-2C7A-460D-9CE8-054B711BFE79}">
  <sheetPr codeName="Hoja2"/>
  <dimension ref="A1:BJ91"/>
  <sheetViews>
    <sheetView showGridLines="0" zoomScale="25" zoomScaleNormal="25" workbookViewId="0">
      <selection activeCell="I48" sqref="I48"/>
    </sheetView>
  </sheetViews>
  <sheetFormatPr defaultColWidth="11.109375" defaultRowHeight="14.4" x14ac:dyDescent="0.3"/>
  <cols>
    <col min="1" max="2" width="3.44140625" customWidth="1"/>
    <col min="3" max="3" width="3.6640625" customWidth="1"/>
    <col min="4" max="10" width="22.21875" customWidth="1"/>
    <col min="11" max="14" width="3" customWidth="1"/>
    <col min="15" max="20" width="16.88671875" customWidth="1"/>
    <col min="21" max="21" width="3.5546875" customWidth="1"/>
    <col min="22" max="27" width="16.88671875" customWidth="1"/>
    <col min="28" max="30" width="3" customWidth="1"/>
    <col min="31" max="47" width="20.44140625" customWidth="1"/>
    <col min="48" max="52" width="19.109375" customWidth="1"/>
  </cols>
  <sheetData>
    <row r="1" spans="1:62" ht="15"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105"/>
      <c r="AG1" s="105"/>
      <c r="AH1" s="105"/>
      <c r="AI1" s="105"/>
      <c r="AJ1" s="105"/>
      <c r="AK1" s="105"/>
      <c r="AL1" s="105"/>
      <c r="AM1" s="105"/>
      <c r="AN1" s="83"/>
      <c r="AO1" s="83"/>
      <c r="AP1" s="83"/>
    </row>
    <row r="2" spans="1:62" ht="22.2" customHeight="1" x14ac:dyDescent="0.3">
      <c r="A2" s="83"/>
      <c r="B2" s="101"/>
      <c r="C2" s="102"/>
      <c r="D2" s="102"/>
      <c r="E2" s="102"/>
      <c r="F2" s="102"/>
      <c r="G2" s="102"/>
      <c r="H2" s="102"/>
      <c r="I2" s="102"/>
      <c r="J2" s="102"/>
      <c r="K2" s="102"/>
      <c r="L2" s="103"/>
      <c r="M2" s="105"/>
      <c r="N2" s="117"/>
      <c r="O2" s="118"/>
      <c r="P2" s="118"/>
      <c r="Q2" s="118"/>
      <c r="R2" s="118"/>
      <c r="S2" s="118"/>
      <c r="T2" s="118"/>
      <c r="U2" s="118"/>
      <c r="V2" s="118"/>
      <c r="W2" s="118"/>
      <c r="X2" s="118"/>
      <c r="Y2" s="118"/>
      <c r="Z2" s="118"/>
      <c r="AA2" s="118"/>
      <c r="AB2" s="119"/>
      <c r="AC2" s="105"/>
      <c r="AD2" s="105"/>
      <c r="AE2" s="105"/>
      <c r="AF2" s="105"/>
      <c r="AG2" s="105"/>
      <c r="AH2" s="105"/>
      <c r="AI2" s="105"/>
      <c r="AJ2" s="105"/>
      <c r="AK2" s="105"/>
      <c r="AL2" s="105"/>
      <c r="AM2" s="105"/>
      <c r="AN2" s="105"/>
      <c r="AO2" s="83"/>
      <c r="AP2" s="83"/>
    </row>
    <row r="3" spans="1:62" ht="22.2" customHeight="1" x14ac:dyDescent="0.3">
      <c r="A3" s="83"/>
      <c r="B3" s="104"/>
      <c r="C3" s="879" t="s">
        <v>659</v>
      </c>
      <c r="D3" s="880"/>
      <c r="E3" s="880"/>
      <c r="F3" s="880"/>
      <c r="G3" s="880"/>
      <c r="H3" s="880"/>
      <c r="I3" s="880"/>
      <c r="J3" s="880"/>
      <c r="K3" s="881"/>
      <c r="L3" s="106"/>
      <c r="M3" s="105"/>
      <c r="N3" s="120"/>
      <c r="O3" s="876" t="str">
        <f>+E6&amp;" Diagram"</f>
        <v>Plant A Diagram</v>
      </c>
      <c r="P3" s="877"/>
      <c r="Q3" s="877"/>
      <c r="R3" s="877"/>
      <c r="S3" s="877"/>
      <c r="T3" s="877"/>
      <c r="U3" s="877"/>
      <c r="V3" s="877"/>
      <c r="W3" s="877"/>
      <c r="X3" s="877"/>
      <c r="Y3" s="877"/>
      <c r="Z3" s="877"/>
      <c r="AA3" s="878"/>
      <c r="AB3" s="113"/>
      <c r="AC3" s="105"/>
      <c r="AD3" s="105"/>
      <c r="AE3" s="875" t="str">
        <f>+E6&amp;" Stream Summary"</f>
        <v>Plant A Stream Summary</v>
      </c>
      <c r="AF3" s="875"/>
      <c r="AG3" s="875"/>
      <c r="AH3" s="726"/>
      <c r="AI3" s="726"/>
      <c r="AJ3" s="726"/>
      <c r="AK3" s="726"/>
      <c r="AL3" s="726"/>
      <c r="AM3" s="726"/>
      <c r="AN3" s="726"/>
      <c r="AO3" s="726"/>
      <c r="AP3" s="726"/>
      <c r="AQ3" s="726"/>
      <c r="AR3" s="726"/>
    </row>
    <row r="4" spans="1:62" ht="22.2" customHeight="1" x14ac:dyDescent="0.3">
      <c r="A4" s="83"/>
      <c r="B4" s="104"/>
      <c r="C4" s="105"/>
      <c r="D4" s="105"/>
      <c r="E4" s="105"/>
      <c r="F4" s="105"/>
      <c r="G4" s="105"/>
      <c r="H4" s="105"/>
      <c r="I4" s="105"/>
      <c r="J4" s="105"/>
      <c r="K4" s="105"/>
      <c r="L4" s="106"/>
      <c r="M4" s="105"/>
      <c r="N4" s="120"/>
      <c r="O4" s="112"/>
      <c r="P4" s="112"/>
      <c r="Q4" s="112"/>
      <c r="R4" s="112"/>
      <c r="S4" s="112"/>
      <c r="T4" s="112"/>
      <c r="U4" s="112"/>
      <c r="V4" s="112"/>
      <c r="W4" s="112"/>
      <c r="X4" s="112"/>
      <c r="Y4" s="112"/>
      <c r="Z4" s="112"/>
      <c r="AA4" s="112"/>
      <c r="AB4" s="113"/>
      <c r="AC4" s="105"/>
      <c r="AD4" s="105"/>
      <c r="AE4" s="105"/>
      <c r="AF4" s="105"/>
      <c r="AG4" s="105"/>
      <c r="AH4" s="105"/>
      <c r="AI4" s="105"/>
      <c r="AJ4" s="105"/>
      <c r="AK4" s="105"/>
      <c r="AL4" s="105"/>
      <c r="AM4" s="105"/>
      <c r="AN4" s="105"/>
      <c r="AO4" s="83"/>
      <c r="AP4" s="83"/>
    </row>
    <row r="5" spans="1:62" ht="22.2" customHeight="1" x14ac:dyDescent="0.3">
      <c r="A5" s="83"/>
      <c r="B5" s="104"/>
      <c r="C5" s="105"/>
      <c r="D5" s="884" t="s">
        <v>594</v>
      </c>
      <c r="E5" s="884"/>
      <c r="F5" s="105"/>
      <c r="G5" s="92"/>
      <c r="H5" s="92"/>
      <c r="I5" s="882" t="s">
        <v>267</v>
      </c>
      <c r="J5" s="883"/>
      <c r="K5" s="105"/>
      <c r="L5" s="106"/>
      <c r="M5" s="105"/>
      <c r="N5" s="120"/>
      <c r="O5" s="112"/>
      <c r="P5" s="112"/>
      <c r="Q5" s="112"/>
      <c r="R5" s="112"/>
      <c r="S5" s="112"/>
      <c r="T5" s="112"/>
      <c r="U5" s="112"/>
      <c r="V5" s="112"/>
      <c r="W5" s="112"/>
      <c r="X5" s="112"/>
      <c r="Y5" s="112"/>
      <c r="Z5" s="112"/>
      <c r="AA5" s="112"/>
      <c r="AB5" s="113"/>
      <c r="AC5" s="105"/>
      <c r="AD5" s="92"/>
      <c r="AE5" s="732"/>
      <c r="AF5" s="732"/>
      <c r="AG5" s="732"/>
      <c r="AH5" s="732"/>
      <c r="AI5" s="732"/>
      <c r="AJ5" s="732"/>
      <c r="AK5" s="732"/>
      <c r="AL5" s="732"/>
      <c r="AM5" s="732"/>
      <c r="AN5" s="732"/>
      <c r="AO5" s="732"/>
      <c r="AP5" s="732"/>
      <c r="AQ5" s="732"/>
      <c r="AR5" s="732"/>
    </row>
    <row r="6" spans="1:62" ht="22.2" customHeight="1" x14ac:dyDescent="0.3">
      <c r="A6" s="83"/>
      <c r="B6" s="104"/>
      <c r="C6" s="105"/>
      <c r="D6" s="553" t="s">
        <v>683</v>
      </c>
      <c r="E6" s="541" t="s">
        <v>684</v>
      </c>
      <c r="F6" s="105"/>
      <c r="G6" s="92"/>
      <c r="H6" s="92"/>
      <c r="I6" s="85"/>
      <c r="J6" s="393" t="s">
        <v>262</v>
      </c>
      <c r="K6" s="105"/>
      <c r="L6" s="106"/>
      <c r="M6" s="105"/>
      <c r="N6" s="120"/>
      <c r="O6" s="112"/>
      <c r="P6" s="112"/>
      <c r="Q6" s="112"/>
      <c r="R6" s="112"/>
      <c r="S6" s="112"/>
      <c r="T6" s="112"/>
      <c r="U6" s="112"/>
      <c r="V6" s="112"/>
      <c r="W6" s="112"/>
      <c r="X6" s="112"/>
      <c r="Y6" s="112"/>
      <c r="Z6" s="112"/>
      <c r="AA6" s="112"/>
      <c r="AB6" s="113"/>
      <c r="AC6" s="105"/>
      <c r="AD6" s="105"/>
      <c r="AE6" s="729" t="s">
        <v>739</v>
      </c>
      <c r="AF6" s="728" t="s">
        <v>737</v>
      </c>
      <c r="AG6" s="730" t="s">
        <v>738</v>
      </c>
      <c r="AH6" s="105"/>
      <c r="AI6" s="83"/>
      <c r="AJ6" s="83"/>
    </row>
    <row r="7" spans="1:62" ht="22.2" customHeight="1" x14ac:dyDescent="0.3">
      <c r="A7" s="83"/>
      <c r="B7" s="104"/>
      <c r="C7" s="105"/>
      <c r="D7" s="559" t="s">
        <v>477</v>
      </c>
      <c r="E7" s="592" t="s">
        <v>488</v>
      </c>
      <c r="F7" s="105"/>
      <c r="G7" s="92"/>
      <c r="H7" s="92"/>
      <c r="I7" s="96"/>
      <c r="J7" s="393" t="s">
        <v>263</v>
      </c>
      <c r="K7" s="105"/>
      <c r="L7" s="106"/>
      <c r="M7" s="105"/>
      <c r="N7" s="120"/>
      <c r="O7" s="112"/>
      <c r="P7" s="112"/>
      <c r="Q7" s="112"/>
      <c r="R7" s="112"/>
      <c r="S7" s="112"/>
      <c r="T7" s="112"/>
      <c r="U7" s="112"/>
      <c r="V7" s="112"/>
      <c r="W7" s="112"/>
      <c r="X7" s="112"/>
      <c r="Y7" s="112"/>
      <c r="Z7" s="112"/>
      <c r="AA7" s="112"/>
      <c r="AB7" s="113"/>
      <c r="AC7" s="105"/>
      <c r="AD7" s="105"/>
      <c r="AE7" s="731">
        <v>1</v>
      </c>
      <c r="AF7" s="724"/>
      <c r="AG7" s="724"/>
      <c r="AH7" s="105"/>
      <c r="AI7" s="83"/>
      <c r="AJ7" s="83"/>
    </row>
    <row r="8" spans="1:62" ht="22.2" customHeight="1" x14ac:dyDescent="0.3">
      <c r="A8" s="83"/>
      <c r="B8" s="104"/>
      <c r="C8" s="105"/>
      <c r="D8" s="559" t="s">
        <v>315</v>
      </c>
      <c r="E8" s="593">
        <v>2020</v>
      </c>
      <c r="F8" s="105"/>
      <c r="G8" s="92"/>
      <c r="H8" s="92"/>
      <c r="I8" s="95"/>
      <c r="J8" s="716" t="s">
        <v>264</v>
      </c>
      <c r="K8" s="105"/>
      <c r="L8" s="106"/>
      <c r="M8" s="105"/>
      <c r="N8" s="120"/>
      <c r="O8" s="112"/>
      <c r="P8" s="112"/>
      <c r="Q8" s="112"/>
      <c r="R8" s="112"/>
      <c r="S8" s="112"/>
      <c r="T8" s="112"/>
      <c r="U8" s="112"/>
      <c r="V8" s="112"/>
      <c r="W8" s="112"/>
      <c r="X8" s="112"/>
      <c r="Y8" s="112"/>
      <c r="Z8" s="112"/>
      <c r="AA8" s="112"/>
      <c r="AB8" s="113"/>
      <c r="AC8" s="105"/>
      <c r="AD8" s="105"/>
      <c r="AE8" s="105"/>
      <c r="AF8" s="165"/>
      <c r="AG8" s="105"/>
      <c r="AH8" s="725"/>
      <c r="AI8" s="725"/>
      <c r="AJ8" s="725"/>
      <c r="AK8" s="725"/>
      <c r="AL8" s="725"/>
      <c r="AM8" s="105"/>
      <c r="AN8" s="725"/>
      <c r="AO8" s="725"/>
      <c r="AP8" s="725"/>
      <c r="AQ8" s="725"/>
      <c r="AR8" s="725"/>
      <c r="AS8" s="725"/>
      <c r="AT8" s="105"/>
      <c r="AU8" s="105"/>
      <c r="AV8" s="105"/>
      <c r="AW8" s="725"/>
      <c r="AX8" s="105"/>
      <c r="AY8" s="105"/>
      <c r="AZ8" s="725"/>
      <c r="BA8" s="105"/>
      <c r="BB8" s="105"/>
      <c r="BC8" s="105"/>
      <c r="BD8" s="105"/>
      <c r="BE8" s="105"/>
      <c r="BF8" s="105"/>
      <c r="BG8" s="83"/>
      <c r="BH8" s="83"/>
    </row>
    <row r="9" spans="1:62" ht="22.2" customHeight="1" x14ac:dyDescent="0.3">
      <c r="A9" s="83"/>
      <c r="B9" s="104"/>
      <c r="C9" s="105"/>
      <c r="D9" s="559" t="s">
        <v>573</v>
      </c>
      <c r="E9" s="594" t="s">
        <v>456</v>
      </c>
      <c r="F9" s="105"/>
      <c r="G9" s="92"/>
      <c r="H9" s="92"/>
      <c r="I9" s="110"/>
      <c r="J9" s="721" t="s">
        <v>268</v>
      </c>
      <c r="K9" s="105"/>
      <c r="L9" s="106"/>
      <c r="M9" s="105"/>
      <c r="N9" s="120"/>
      <c r="O9" s="112"/>
      <c r="P9" s="112"/>
      <c r="Q9" s="112"/>
      <c r="R9" s="112"/>
      <c r="S9" s="112"/>
      <c r="T9" s="112"/>
      <c r="U9" s="112"/>
      <c r="V9" s="112"/>
      <c r="W9" s="112"/>
      <c r="X9" s="112"/>
      <c r="Y9" s="112"/>
      <c r="Z9" s="112"/>
      <c r="AA9" s="112"/>
      <c r="AB9" s="113"/>
      <c r="AC9" s="105"/>
      <c r="AD9" s="105"/>
      <c r="AE9" s="105"/>
      <c r="AF9" s="105"/>
      <c r="AG9" s="725"/>
      <c r="AH9" s="725"/>
      <c r="AI9" s="725"/>
      <c r="AJ9" s="725"/>
      <c r="AK9" s="725"/>
      <c r="AL9" s="725"/>
      <c r="AM9" s="105"/>
      <c r="AN9" s="105"/>
      <c r="AO9" s="725"/>
      <c r="AP9" s="725"/>
      <c r="AQ9" s="725"/>
      <c r="AR9" s="725"/>
      <c r="AS9" s="725"/>
      <c r="AT9" s="725"/>
      <c r="AU9" s="725"/>
      <c r="AV9" s="725"/>
      <c r="AW9" s="725"/>
      <c r="AX9" s="105"/>
      <c r="AY9" s="105"/>
      <c r="AZ9" s="725"/>
      <c r="BA9" s="105"/>
      <c r="BB9" s="725"/>
      <c r="BC9" s="105"/>
      <c r="BD9" s="726"/>
      <c r="BE9" s="105"/>
      <c r="BF9" s="105"/>
      <c r="BG9" s="105"/>
      <c r="BH9" s="105"/>
      <c r="BI9" s="83"/>
      <c r="BJ9" s="83"/>
    </row>
    <row r="10" spans="1:62" ht="22.2" customHeight="1" x14ac:dyDescent="0.3">
      <c r="A10" s="83"/>
      <c r="B10" s="104"/>
      <c r="C10" s="105"/>
      <c r="D10" s="105"/>
      <c r="E10" s="105"/>
      <c r="F10" s="105"/>
      <c r="G10" s="105"/>
      <c r="H10" s="105"/>
      <c r="I10" s="105"/>
      <c r="J10" s="105"/>
      <c r="K10" s="105"/>
      <c r="L10" s="106"/>
      <c r="M10" s="105"/>
      <c r="N10" s="120"/>
      <c r="O10" s="112"/>
      <c r="P10" s="112"/>
      <c r="Q10" s="112"/>
      <c r="R10" s="112"/>
      <c r="S10" s="112"/>
      <c r="T10" s="112"/>
      <c r="U10" s="112"/>
      <c r="V10" s="112"/>
      <c r="W10" s="112"/>
      <c r="X10" s="112"/>
      <c r="Y10" s="112"/>
      <c r="Z10" s="112"/>
      <c r="AA10" s="112"/>
      <c r="AB10" s="113"/>
      <c r="AC10" s="105"/>
      <c r="AD10" s="105"/>
      <c r="AE10" s="725"/>
      <c r="AF10" s="105"/>
      <c r="AG10" s="726"/>
      <c r="AH10" s="725"/>
      <c r="AI10" s="725"/>
      <c r="AJ10" s="83"/>
      <c r="AK10" s="725"/>
      <c r="AL10" s="725"/>
      <c r="AM10" s="105"/>
      <c r="AN10" s="105"/>
      <c r="AO10" s="725"/>
      <c r="AP10" s="725"/>
      <c r="AQ10" s="725"/>
      <c r="AR10" s="725"/>
      <c r="AS10" s="725"/>
      <c r="AT10" s="105"/>
      <c r="AU10" s="105"/>
      <c r="AV10" s="726"/>
      <c r="AW10" s="725"/>
      <c r="AX10" s="725"/>
      <c r="AY10" s="725"/>
      <c r="AZ10" s="725"/>
      <c r="BA10" s="725"/>
      <c r="BB10" s="105"/>
      <c r="BC10" s="105"/>
      <c r="BD10" s="83"/>
      <c r="BE10" s="83"/>
    </row>
    <row r="11" spans="1:62" ht="22.2" customHeight="1" x14ac:dyDescent="0.3">
      <c r="A11" s="83"/>
      <c r="B11" s="104"/>
      <c r="C11" s="105"/>
      <c r="D11" s="105"/>
      <c r="E11" s="105"/>
      <c r="F11" s="105"/>
      <c r="G11" s="105"/>
      <c r="H11" s="105"/>
      <c r="I11" s="105"/>
      <c r="J11" s="105"/>
      <c r="K11" s="105"/>
      <c r="L11" s="106"/>
      <c r="M11" s="105"/>
      <c r="N11" s="120"/>
      <c r="O11" s="112"/>
      <c r="P11" s="112"/>
      <c r="Q11" s="112"/>
      <c r="R11" s="112"/>
      <c r="S11" s="112"/>
      <c r="T11" s="112"/>
      <c r="U11" s="112"/>
      <c r="V11" s="112"/>
      <c r="W11" s="112"/>
      <c r="X11" s="112"/>
      <c r="Y11" s="112"/>
      <c r="Z11" s="112"/>
      <c r="AA11" s="112"/>
      <c r="AB11" s="113"/>
      <c r="AC11" s="105"/>
      <c r="AD11" s="105"/>
      <c r="AE11" s="725"/>
      <c r="AF11" s="725"/>
      <c r="AG11" s="725"/>
      <c r="AH11" s="725"/>
      <c r="AI11" s="725"/>
      <c r="AJ11" s="83"/>
      <c r="AK11" s="725"/>
      <c r="AL11" s="725"/>
      <c r="AM11" s="105"/>
      <c r="AN11" s="105"/>
      <c r="AO11" s="725"/>
      <c r="AP11" s="725"/>
      <c r="AQ11" s="725"/>
      <c r="AR11" s="725"/>
      <c r="AS11" s="725"/>
      <c r="AT11" s="105"/>
      <c r="AU11" s="105"/>
      <c r="AV11" s="725"/>
      <c r="AW11" s="726"/>
      <c r="AX11" s="725"/>
      <c r="AY11" s="726"/>
      <c r="AZ11" s="725"/>
      <c r="BA11" s="726"/>
      <c r="BB11" s="105"/>
      <c r="BC11" s="105"/>
      <c r="BD11" s="83"/>
      <c r="BE11" s="83"/>
    </row>
    <row r="12" spans="1:62" ht="22.2" customHeight="1" x14ac:dyDescent="0.3">
      <c r="A12" s="83"/>
      <c r="B12" s="104"/>
      <c r="C12" s="876" t="str">
        <f>+E6&amp;": Mass &amp; Energy Balance"</f>
        <v>Plant A: Mass &amp; Energy Balance</v>
      </c>
      <c r="D12" s="877"/>
      <c r="E12" s="877"/>
      <c r="F12" s="877"/>
      <c r="G12" s="877"/>
      <c r="H12" s="877"/>
      <c r="I12" s="877"/>
      <c r="J12" s="877"/>
      <c r="K12" s="878"/>
      <c r="L12" s="106"/>
      <c r="M12" s="105"/>
      <c r="N12" s="120"/>
      <c r="O12" s="112"/>
      <c r="P12" s="112"/>
      <c r="Q12" s="112"/>
      <c r="R12" s="112"/>
      <c r="S12" s="112"/>
      <c r="T12" s="112"/>
      <c r="U12" s="112"/>
      <c r="V12" s="112"/>
      <c r="W12" s="112"/>
      <c r="X12" s="112"/>
      <c r="Y12" s="112"/>
      <c r="Z12" s="112"/>
      <c r="AA12" s="112"/>
      <c r="AB12" s="113"/>
      <c r="AC12" s="105"/>
      <c r="AD12" s="105"/>
      <c r="AE12" s="725"/>
      <c r="AF12" s="725"/>
      <c r="AG12" s="725"/>
      <c r="AH12" s="725"/>
      <c r="AI12" s="725"/>
      <c r="AJ12" s="83"/>
      <c r="AK12" s="725"/>
      <c r="AL12" s="725"/>
      <c r="AM12" s="105"/>
      <c r="AN12" s="105"/>
      <c r="AO12" s="725"/>
      <c r="AP12" s="725"/>
      <c r="AQ12" s="725"/>
      <c r="AR12" s="725"/>
      <c r="AS12" s="725"/>
      <c r="AT12" s="105"/>
      <c r="AU12" s="105"/>
      <c r="AV12" s="83"/>
      <c r="AW12" s="83"/>
    </row>
    <row r="13" spans="1:62" ht="22.2" customHeight="1" x14ac:dyDescent="0.3">
      <c r="A13" s="83"/>
      <c r="B13" s="104"/>
      <c r="C13" s="148"/>
      <c r="D13" s="154"/>
      <c r="E13" s="154"/>
      <c r="F13" s="154"/>
      <c r="G13" s="154"/>
      <c r="H13" s="154"/>
      <c r="I13" s="154"/>
      <c r="J13" s="154"/>
      <c r="K13" s="155"/>
      <c r="L13" s="106"/>
      <c r="M13" s="105"/>
      <c r="N13" s="120"/>
      <c r="O13" s="112"/>
      <c r="P13" s="112"/>
      <c r="Q13" s="112"/>
      <c r="R13" s="112"/>
      <c r="S13" s="112"/>
      <c r="T13" s="112"/>
      <c r="U13" s="112"/>
      <c r="V13" s="112"/>
      <c r="W13" s="112"/>
      <c r="X13" s="112"/>
      <c r="Y13" s="112"/>
      <c r="Z13" s="112"/>
      <c r="AA13" s="112"/>
      <c r="AB13" s="113"/>
      <c r="AC13" s="105"/>
      <c r="AD13" s="105"/>
      <c r="AE13" s="725"/>
      <c r="AF13" s="725"/>
      <c r="AG13" s="725"/>
      <c r="AH13" s="83"/>
      <c r="AI13" s="725"/>
      <c r="AJ13" s="83"/>
      <c r="AK13" s="725"/>
      <c r="AL13" s="83"/>
      <c r="AM13" s="105"/>
      <c r="AN13" s="105"/>
      <c r="AO13" s="725"/>
      <c r="AP13" s="725"/>
      <c r="AQ13" s="725"/>
      <c r="AR13" s="725"/>
      <c r="AS13" s="725"/>
      <c r="AT13" s="105"/>
      <c r="AU13" s="105"/>
      <c r="AV13" s="83"/>
      <c r="AW13" s="83"/>
    </row>
    <row r="14" spans="1:62" ht="22.2" customHeight="1" x14ac:dyDescent="0.3">
      <c r="A14" s="83"/>
      <c r="B14" s="104"/>
      <c r="C14" s="116"/>
      <c r="D14" s="473"/>
      <c r="E14" s="473"/>
      <c r="F14" s="473"/>
      <c r="G14" s="105"/>
      <c r="H14" s="473"/>
      <c r="I14" s="473"/>
      <c r="J14" s="473"/>
      <c r="K14" s="151"/>
      <c r="L14" s="106"/>
      <c r="M14" s="105"/>
      <c r="N14" s="120"/>
      <c r="O14" s="112"/>
      <c r="P14" s="112"/>
      <c r="Q14" s="112"/>
      <c r="R14" s="112"/>
      <c r="S14" s="112"/>
      <c r="T14" s="112"/>
      <c r="U14" s="112"/>
      <c r="V14" s="112"/>
      <c r="W14" s="112"/>
      <c r="X14" s="112"/>
      <c r="Y14" s="112"/>
      <c r="Z14" s="112"/>
      <c r="AA14" s="112"/>
      <c r="AB14" s="113"/>
      <c r="AC14" s="105"/>
      <c r="AD14" s="105"/>
      <c r="AE14" s="725"/>
      <c r="AF14" s="725"/>
      <c r="AG14" s="725"/>
      <c r="AH14" s="83"/>
      <c r="AI14" s="83"/>
      <c r="AJ14" s="83"/>
      <c r="AK14" s="83"/>
      <c r="AL14" s="83"/>
      <c r="AM14" s="105"/>
      <c r="AN14" s="105"/>
      <c r="AO14" s="83"/>
    </row>
    <row r="15" spans="1:62" ht="22.2" customHeight="1" x14ac:dyDescent="0.3">
      <c r="A15" s="83"/>
      <c r="B15" s="104"/>
      <c r="C15" s="116"/>
      <c r="D15" s="479"/>
      <c r="E15" s="171"/>
      <c r="F15" s="479"/>
      <c r="G15" s="105"/>
      <c r="H15" s="469"/>
      <c r="I15" s="174"/>
      <c r="J15" s="469"/>
      <c r="K15" s="151"/>
      <c r="L15" s="106"/>
      <c r="M15" s="105"/>
      <c r="N15" s="120"/>
      <c r="O15" s="112"/>
      <c r="P15" s="112"/>
      <c r="Q15" s="112"/>
      <c r="R15" s="112"/>
      <c r="S15" s="112"/>
      <c r="T15" s="112"/>
      <c r="U15" s="112"/>
      <c r="V15" s="112"/>
      <c r="W15" s="112"/>
      <c r="X15" s="112"/>
      <c r="Y15" s="112"/>
      <c r="Z15" s="112"/>
      <c r="AA15" s="112"/>
      <c r="AB15" s="113"/>
      <c r="AC15" s="105"/>
      <c r="AD15" s="105"/>
      <c r="AE15" s="725"/>
      <c r="AF15" s="725"/>
      <c r="AG15" s="725"/>
      <c r="AH15" s="83"/>
      <c r="AI15" s="83"/>
      <c r="AJ15" s="83"/>
      <c r="AK15" s="83"/>
      <c r="AL15" s="83"/>
      <c r="AM15" s="105"/>
      <c r="AN15" s="105"/>
      <c r="AO15" s="83"/>
    </row>
    <row r="16" spans="1:62" ht="22.2" customHeight="1" x14ac:dyDescent="0.3">
      <c r="A16" s="83"/>
      <c r="B16" s="104"/>
      <c r="C16" s="116"/>
      <c r="D16" s="479"/>
      <c r="E16" s="171"/>
      <c r="F16" s="479"/>
      <c r="G16" s="105"/>
      <c r="H16" s="469"/>
      <c r="I16" s="174"/>
      <c r="J16" s="469"/>
      <c r="K16" s="151"/>
      <c r="L16" s="106"/>
      <c r="M16" s="105"/>
      <c r="N16" s="120"/>
      <c r="O16" s="112"/>
      <c r="P16" s="112"/>
      <c r="Q16" s="112"/>
      <c r="R16" s="112"/>
      <c r="S16" s="112"/>
      <c r="T16" s="112"/>
      <c r="U16" s="112"/>
      <c r="V16" s="112"/>
      <c r="W16" s="112"/>
      <c r="X16" s="112"/>
      <c r="Y16" s="112"/>
      <c r="Z16" s="112"/>
      <c r="AA16" s="112"/>
      <c r="AB16" s="113"/>
      <c r="AC16" s="105"/>
      <c r="AD16" s="105"/>
      <c r="AE16" s="725"/>
      <c r="AF16" s="725"/>
      <c r="AG16" s="725"/>
      <c r="AH16" s="83"/>
      <c r="AI16" s="83"/>
      <c r="AJ16" s="83"/>
      <c r="AK16" s="83"/>
      <c r="AL16" s="83"/>
      <c r="AM16" s="105"/>
      <c r="AN16" s="105"/>
      <c r="AO16" s="83"/>
    </row>
    <row r="17" spans="1:49" ht="22.2" customHeight="1" x14ac:dyDescent="0.3">
      <c r="A17" s="83"/>
      <c r="B17" s="104"/>
      <c r="C17" s="116"/>
      <c r="D17" s="479"/>
      <c r="E17" s="171"/>
      <c r="F17" s="479"/>
      <c r="G17" s="105"/>
      <c r="H17" s="469"/>
      <c r="I17" s="174"/>
      <c r="J17" s="469"/>
      <c r="K17" s="151"/>
      <c r="L17" s="106"/>
      <c r="M17" s="105"/>
      <c r="N17" s="120"/>
      <c r="O17" s="112"/>
      <c r="P17" s="112"/>
      <c r="Q17" s="112"/>
      <c r="R17" s="112"/>
      <c r="S17" s="112"/>
      <c r="T17" s="112"/>
      <c r="U17" s="112"/>
      <c r="V17" s="112"/>
      <c r="W17" s="112"/>
      <c r="X17" s="112"/>
      <c r="Y17" s="112"/>
      <c r="Z17" s="112"/>
      <c r="AA17" s="112"/>
      <c r="AB17" s="113"/>
      <c r="AC17" s="105"/>
      <c r="AD17" s="105"/>
      <c r="AE17" s="725"/>
      <c r="AF17" s="725"/>
      <c r="AG17" s="725"/>
      <c r="AH17" s="83"/>
      <c r="AI17" s="83"/>
      <c r="AJ17" s="83"/>
      <c r="AK17" s="83"/>
      <c r="AL17" s="83"/>
      <c r="AM17" s="105"/>
      <c r="AN17" s="105"/>
      <c r="AO17" s="83"/>
    </row>
    <row r="18" spans="1:49" ht="22.2" customHeight="1" x14ac:dyDescent="0.3">
      <c r="A18" s="83"/>
      <c r="B18" s="104"/>
      <c r="C18" s="116"/>
      <c r="D18" s="479"/>
      <c r="E18" s="171"/>
      <c r="F18" s="479"/>
      <c r="G18" s="105"/>
      <c r="H18" s="469"/>
      <c r="I18" s="174"/>
      <c r="J18" s="469"/>
      <c r="K18" s="151"/>
      <c r="L18" s="106"/>
      <c r="M18" s="105"/>
      <c r="N18" s="120"/>
      <c r="O18" s="112"/>
      <c r="P18" s="112"/>
      <c r="Q18" s="112"/>
      <c r="R18" s="112"/>
      <c r="S18" s="112"/>
      <c r="T18" s="112"/>
      <c r="U18" s="112"/>
      <c r="V18" s="112"/>
      <c r="W18" s="112"/>
      <c r="X18" s="112"/>
      <c r="Y18" s="112"/>
      <c r="Z18" s="112"/>
      <c r="AA18" s="112"/>
      <c r="AB18" s="113"/>
      <c r="AC18" s="105"/>
      <c r="AD18" s="105"/>
      <c r="AE18" s="725"/>
      <c r="AF18" s="725"/>
      <c r="AG18" s="725"/>
      <c r="AH18" s="83"/>
      <c r="AI18" s="83"/>
      <c r="AJ18" s="83"/>
      <c r="AK18" s="83"/>
      <c r="AL18" s="83"/>
      <c r="AM18" s="105"/>
      <c r="AN18" s="105"/>
      <c r="AO18" s="83"/>
    </row>
    <row r="19" spans="1:49" ht="22.2" customHeight="1" x14ac:dyDescent="0.3">
      <c r="A19" s="83"/>
      <c r="B19" s="104"/>
      <c r="C19" s="116"/>
      <c r="D19" s="479"/>
      <c r="E19" s="171"/>
      <c r="F19" s="479"/>
      <c r="G19" s="105"/>
      <c r="H19" s="469"/>
      <c r="I19" s="174"/>
      <c r="J19" s="469"/>
      <c r="K19" s="151"/>
      <c r="L19" s="106"/>
      <c r="M19" s="105"/>
      <c r="N19" s="120"/>
      <c r="O19" s="112"/>
      <c r="P19" s="112"/>
      <c r="Q19" s="112"/>
      <c r="R19" s="112"/>
      <c r="S19" s="112"/>
      <c r="T19" s="112"/>
      <c r="U19" s="112"/>
      <c r="V19" s="112"/>
      <c r="W19" s="112"/>
      <c r="X19" s="112"/>
      <c r="Y19" s="112"/>
      <c r="Z19" s="112"/>
      <c r="AA19" s="112"/>
      <c r="AB19" s="113"/>
      <c r="AC19" s="105"/>
      <c r="AD19" s="105"/>
      <c r="AE19" s="725"/>
      <c r="AF19" s="725"/>
      <c r="AG19" s="725"/>
      <c r="AH19" s="83"/>
      <c r="AI19" s="83"/>
      <c r="AJ19" s="83"/>
      <c r="AK19" s="83"/>
      <c r="AL19" s="83"/>
      <c r="AM19" s="725"/>
      <c r="AN19" s="105"/>
      <c r="AO19" s="725"/>
      <c r="AP19" s="725"/>
      <c r="AQ19" s="725"/>
      <c r="AR19" s="725"/>
      <c r="AS19" s="725"/>
      <c r="AT19" s="105"/>
      <c r="AU19" s="105"/>
      <c r="AV19" s="83"/>
      <c r="AW19" s="83"/>
    </row>
    <row r="20" spans="1:49" ht="22.2" customHeight="1" x14ac:dyDescent="0.3">
      <c r="A20" s="83"/>
      <c r="B20" s="104"/>
      <c r="C20" s="116"/>
      <c r="D20" s="479"/>
      <c r="E20" s="171"/>
      <c r="F20" s="479"/>
      <c r="G20" s="105"/>
      <c r="H20" s="92"/>
      <c r="I20" s="92"/>
      <c r="J20" s="469"/>
      <c r="K20" s="151"/>
      <c r="L20" s="106"/>
      <c r="M20" s="105"/>
      <c r="N20" s="120"/>
      <c r="O20" s="112"/>
      <c r="P20" s="112"/>
      <c r="Q20" s="112"/>
      <c r="R20" s="112"/>
      <c r="S20" s="112"/>
      <c r="T20" s="112"/>
      <c r="U20" s="112"/>
      <c r="V20" s="112"/>
      <c r="W20" s="112"/>
      <c r="X20" s="112"/>
      <c r="Y20" s="112"/>
      <c r="Z20" s="112"/>
      <c r="AA20" s="112"/>
      <c r="AB20" s="113"/>
      <c r="AC20" s="105"/>
      <c r="AD20" s="105"/>
      <c r="AE20" s="725"/>
      <c r="AF20" s="725"/>
      <c r="AG20" s="725"/>
      <c r="AH20" s="83"/>
      <c r="AI20" s="83"/>
      <c r="AJ20" s="83"/>
      <c r="AK20" s="83"/>
      <c r="AL20" s="83"/>
      <c r="AM20" s="725"/>
      <c r="AN20" s="725"/>
      <c r="AO20" s="725"/>
      <c r="AP20" s="725"/>
      <c r="AQ20" s="725"/>
      <c r="AR20" s="725"/>
      <c r="AS20" s="725"/>
      <c r="AT20" s="105"/>
      <c r="AU20" s="105"/>
      <c r="AV20" s="83"/>
      <c r="AW20" s="83"/>
    </row>
    <row r="21" spans="1:49" ht="22.2" customHeight="1" x14ac:dyDescent="0.3">
      <c r="A21" s="83"/>
      <c r="B21" s="104"/>
      <c r="C21" s="116"/>
      <c r="D21" s="479"/>
      <c r="E21" s="171"/>
      <c r="F21" s="479"/>
      <c r="G21" s="105"/>
      <c r="H21" s="469"/>
      <c r="I21" s="174"/>
      <c r="J21" s="469"/>
      <c r="K21" s="151"/>
      <c r="L21" s="106"/>
      <c r="M21" s="105"/>
      <c r="N21" s="120"/>
      <c r="O21" s="112"/>
      <c r="P21" s="112"/>
      <c r="Q21" s="112"/>
      <c r="R21" s="112"/>
      <c r="S21" s="112"/>
      <c r="T21" s="112"/>
      <c r="U21" s="112"/>
      <c r="V21" s="112"/>
      <c r="W21" s="112"/>
      <c r="X21" s="112"/>
      <c r="Y21" s="112"/>
      <c r="Z21" s="112"/>
      <c r="AA21" s="112"/>
      <c r="AB21" s="113"/>
      <c r="AC21" s="105"/>
      <c r="AD21" s="105"/>
      <c r="AE21" s="725"/>
      <c r="AF21" s="725"/>
      <c r="AG21" s="725"/>
      <c r="AH21" s="83"/>
      <c r="AI21" s="83"/>
      <c r="AJ21" s="83"/>
      <c r="AK21" s="83"/>
      <c r="AL21" s="83"/>
      <c r="AM21" s="725"/>
      <c r="AN21" s="725"/>
      <c r="AO21" s="725"/>
      <c r="AP21" s="725"/>
      <c r="AQ21" s="725"/>
      <c r="AR21" s="725"/>
      <c r="AS21" s="725"/>
      <c r="AT21" s="105"/>
      <c r="AU21" s="105"/>
      <c r="AV21" s="83"/>
      <c r="AW21" s="83"/>
    </row>
    <row r="22" spans="1:49" ht="22.2" customHeight="1" x14ac:dyDescent="0.3">
      <c r="A22" s="83"/>
      <c r="B22" s="104"/>
      <c r="C22" s="116"/>
      <c r="D22" s="479"/>
      <c r="E22" s="171"/>
      <c r="F22" s="479"/>
      <c r="G22" s="105"/>
      <c r="H22" s="469"/>
      <c r="I22" s="174"/>
      <c r="J22" s="469"/>
      <c r="K22" s="151"/>
      <c r="L22" s="106"/>
      <c r="M22" s="105"/>
      <c r="N22" s="120"/>
      <c r="O22" s="112"/>
      <c r="P22" s="112"/>
      <c r="Q22" s="112"/>
      <c r="R22" s="112"/>
      <c r="S22" s="112"/>
      <c r="T22" s="112"/>
      <c r="U22" s="112"/>
      <c r="V22" s="112"/>
      <c r="W22" s="112"/>
      <c r="X22" s="112"/>
      <c r="Y22" s="112"/>
      <c r="Z22" s="112"/>
      <c r="AA22" s="112"/>
      <c r="AB22" s="113"/>
      <c r="AC22" s="105"/>
      <c r="AD22" s="105"/>
      <c r="AE22" s="725"/>
      <c r="AF22" s="725"/>
      <c r="AG22" s="725"/>
      <c r="AH22" s="83"/>
      <c r="AI22" s="83"/>
      <c r="AJ22" s="83"/>
      <c r="AK22" s="83"/>
      <c r="AL22" s="83"/>
      <c r="AM22" s="725"/>
      <c r="AN22" s="725"/>
      <c r="AO22" s="725"/>
      <c r="AP22" s="725"/>
      <c r="AQ22" s="725"/>
      <c r="AR22" s="725"/>
      <c r="AS22" s="725"/>
      <c r="AT22" s="105"/>
      <c r="AU22" s="105"/>
      <c r="AV22" s="83"/>
      <c r="AW22" s="83"/>
    </row>
    <row r="23" spans="1:49" ht="22.2" customHeight="1" x14ac:dyDescent="0.3">
      <c r="A23" s="83"/>
      <c r="B23" s="104"/>
      <c r="C23" s="149"/>
      <c r="D23" s="479"/>
      <c r="E23" s="171"/>
      <c r="F23" s="479"/>
      <c r="G23" s="722"/>
      <c r="H23" s="469"/>
      <c r="I23" s="469"/>
      <c r="J23" s="469"/>
      <c r="K23" s="151"/>
      <c r="L23" s="106"/>
      <c r="M23" s="105"/>
      <c r="N23" s="120"/>
      <c r="O23" s="112"/>
      <c r="P23" s="112"/>
      <c r="Q23" s="112"/>
      <c r="R23" s="112"/>
      <c r="S23" s="112"/>
      <c r="T23" s="112"/>
      <c r="U23" s="112"/>
      <c r="V23" s="112"/>
      <c r="W23" s="112"/>
      <c r="X23" s="112"/>
      <c r="Y23" s="112"/>
      <c r="Z23" s="112"/>
      <c r="AA23" s="112"/>
      <c r="AB23" s="113"/>
      <c r="AC23" s="105"/>
      <c r="AD23" s="105"/>
      <c r="AE23" s="725"/>
      <c r="AF23" s="725"/>
      <c r="AG23" s="725"/>
      <c r="AH23" s="83"/>
      <c r="AI23" s="83"/>
      <c r="AJ23" s="83"/>
      <c r="AK23" s="83"/>
      <c r="AL23" s="83"/>
      <c r="AM23" s="725"/>
      <c r="AN23" s="725"/>
      <c r="AO23" s="725"/>
      <c r="AP23" s="725"/>
      <c r="AQ23" s="725"/>
      <c r="AR23" s="725"/>
      <c r="AS23" s="725"/>
      <c r="AT23" s="105"/>
      <c r="AU23" s="105"/>
      <c r="AV23" s="83"/>
      <c r="AW23" s="83"/>
    </row>
    <row r="24" spans="1:49" ht="22.2" customHeight="1" x14ac:dyDescent="0.3">
      <c r="A24" s="83"/>
      <c r="B24" s="104"/>
      <c r="C24" s="149"/>
      <c r="D24" s="479"/>
      <c r="E24" s="171"/>
      <c r="F24" s="479"/>
      <c r="G24" s="722"/>
      <c r="H24" s="474"/>
      <c r="I24" s="474"/>
      <c r="J24" s="474"/>
      <c r="K24" s="151"/>
      <c r="L24" s="106"/>
      <c r="M24" s="105"/>
      <c r="N24" s="120"/>
      <c r="O24" s="112"/>
      <c r="P24" s="112"/>
      <c r="Q24" s="112"/>
      <c r="R24" s="112"/>
      <c r="S24" s="112"/>
      <c r="T24" s="112"/>
      <c r="U24" s="112"/>
      <c r="V24" s="112"/>
      <c r="W24" s="112"/>
      <c r="X24" s="112"/>
      <c r="Y24" s="112"/>
      <c r="Z24" s="112"/>
      <c r="AA24" s="112"/>
      <c r="AB24" s="113"/>
      <c r="AC24" s="105"/>
      <c r="AD24" s="105"/>
      <c r="AE24" s="725"/>
      <c r="AF24" s="725"/>
      <c r="AG24" s="725"/>
      <c r="AH24" s="83"/>
      <c r="AI24" s="83"/>
      <c r="AJ24" s="83"/>
      <c r="AK24" s="83"/>
      <c r="AL24" s="83"/>
      <c r="AM24" s="725"/>
      <c r="AN24" s="725"/>
      <c r="AO24" s="725"/>
      <c r="AP24" s="725"/>
      <c r="AQ24" s="725"/>
      <c r="AR24" s="725"/>
      <c r="AS24" s="105"/>
      <c r="AT24" s="105"/>
      <c r="AU24" s="83"/>
      <c r="AV24" s="83"/>
    </row>
    <row r="25" spans="1:49" ht="22.2" customHeight="1" x14ac:dyDescent="0.3">
      <c r="A25" s="83"/>
      <c r="B25" s="104"/>
      <c r="C25" s="149"/>
      <c r="D25" s="479"/>
      <c r="E25" s="171"/>
      <c r="F25" s="479"/>
      <c r="G25" s="722"/>
      <c r="H25" s="469"/>
      <c r="I25" s="199"/>
      <c r="J25" s="469"/>
      <c r="K25" s="151"/>
      <c r="L25" s="106"/>
      <c r="M25" s="105"/>
      <c r="N25" s="120"/>
      <c r="O25" s="112"/>
      <c r="P25" s="112"/>
      <c r="Q25" s="112"/>
      <c r="R25" s="112"/>
      <c r="S25" s="112"/>
      <c r="T25" s="112"/>
      <c r="U25" s="112"/>
      <c r="V25" s="112"/>
      <c r="W25" s="112"/>
      <c r="X25" s="112"/>
      <c r="Y25" s="112"/>
      <c r="Z25" s="112"/>
      <c r="AA25" s="112"/>
      <c r="AB25" s="113"/>
      <c r="AC25" s="105"/>
      <c r="AD25" s="105"/>
      <c r="AE25" s="725"/>
      <c r="AF25" s="725"/>
      <c r="AG25" s="725"/>
      <c r="AH25" s="83"/>
      <c r="AI25" s="83"/>
      <c r="AJ25" s="83"/>
      <c r="AK25" s="83"/>
      <c r="AL25" s="83"/>
      <c r="AM25" s="725"/>
      <c r="AN25" s="725"/>
      <c r="AO25" s="83"/>
      <c r="AP25" s="83"/>
    </row>
    <row r="26" spans="1:49" ht="22.2" customHeight="1" x14ac:dyDescent="0.3">
      <c r="A26" s="83"/>
      <c r="B26" s="104"/>
      <c r="C26" s="149"/>
      <c r="D26" s="479"/>
      <c r="E26" s="171"/>
      <c r="F26" s="479"/>
      <c r="G26" s="722"/>
      <c r="H26" s="469"/>
      <c r="I26" s="199"/>
      <c r="J26" s="469"/>
      <c r="K26" s="151"/>
      <c r="L26" s="106"/>
      <c r="M26" s="105"/>
      <c r="N26" s="120"/>
      <c r="O26" s="112"/>
      <c r="P26" s="112"/>
      <c r="Q26" s="112"/>
      <c r="R26" s="112"/>
      <c r="S26" s="112"/>
      <c r="T26" s="112"/>
      <c r="U26" s="112"/>
      <c r="V26" s="112"/>
      <c r="W26" s="112"/>
      <c r="X26" s="112"/>
      <c r="Y26" s="112"/>
      <c r="Z26" s="112"/>
      <c r="AA26" s="112"/>
      <c r="AB26" s="113"/>
      <c r="AC26" s="105"/>
      <c r="AD26" s="105"/>
      <c r="AE26" s="725"/>
      <c r="AF26" s="725"/>
      <c r="AG26" s="725"/>
      <c r="AH26" s="83"/>
      <c r="AI26" s="83"/>
      <c r="AJ26" s="83"/>
      <c r="AK26" s="83"/>
      <c r="AL26" s="83"/>
      <c r="AM26" s="725"/>
      <c r="AN26" s="725"/>
      <c r="AO26" s="83"/>
      <c r="AP26" s="83"/>
    </row>
    <row r="27" spans="1:49" ht="22.2" customHeight="1" x14ac:dyDescent="0.3">
      <c r="A27" s="83"/>
      <c r="B27" s="104"/>
      <c r="C27" s="149"/>
      <c r="D27" s="473"/>
      <c r="E27" s="473"/>
      <c r="F27" s="473"/>
      <c r="G27" s="722"/>
      <c r="H27" s="92"/>
      <c r="I27" s="92"/>
      <c r="J27" s="92"/>
      <c r="K27" s="151"/>
      <c r="L27" s="106"/>
      <c r="M27" s="105"/>
      <c r="N27" s="120"/>
      <c r="O27" s="112"/>
      <c r="P27" s="112"/>
      <c r="Q27" s="112"/>
      <c r="R27" s="112"/>
      <c r="S27" s="112"/>
      <c r="T27" s="112"/>
      <c r="U27" s="112"/>
      <c r="V27" s="112"/>
      <c r="W27" s="112"/>
      <c r="X27" s="112"/>
      <c r="Y27" s="112"/>
      <c r="Z27" s="112"/>
      <c r="AA27" s="112"/>
      <c r="AB27" s="113"/>
      <c r="AC27" s="105"/>
      <c r="AD27" s="105"/>
      <c r="AE27" s="725"/>
      <c r="AF27" s="725"/>
      <c r="AG27" s="725"/>
      <c r="AH27" s="83"/>
      <c r="AI27" s="83"/>
      <c r="AJ27" s="83"/>
      <c r="AK27" s="83"/>
      <c r="AL27" s="83"/>
      <c r="AM27" s="725"/>
      <c r="AN27" s="725"/>
      <c r="AO27" s="83"/>
      <c r="AP27" s="83"/>
    </row>
    <row r="28" spans="1:49" ht="22.2" customHeight="1" x14ac:dyDescent="0.3">
      <c r="A28" s="83"/>
      <c r="B28" s="104"/>
      <c r="C28" s="149"/>
      <c r="D28" s="479"/>
      <c r="E28" s="171"/>
      <c r="F28" s="479"/>
      <c r="G28" s="722"/>
      <c r="H28" s="92"/>
      <c r="I28" s="92"/>
      <c r="J28" s="92"/>
      <c r="K28" s="151"/>
      <c r="L28" s="106"/>
      <c r="M28" s="105"/>
      <c r="N28" s="120"/>
      <c r="O28" s="112"/>
      <c r="P28" s="112"/>
      <c r="Q28" s="112"/>
      <c r="R28" s="112"/>
      <c r="S28" s="112"/>
      <c r="T28" s="112"/>
      <c r="U28" s="112"/>
      <c r="V28" s="112"/>
      <c r="W28" s="112"/>
      <c r="X28" s="112"/>
      <c r="Y28" s="112"/>
      <c r="Z28" s="112"/>
      <c r="AA28" s="112"/>
      <c r="AB28" s="113"/>
      <c r="AC28" s="105"/>
      <c r="AD28" s="105"/>
      <c r="AE28" s="725"/>
      <c r="AF28" s="725"/>
      <c r="AG28" s="725"/>
      <c r="AH28" s="83"/>
      <c r="AI28" s="83"/>
      <c r="AJ28" s="83"/>
      <c r="AK28" s="83"/>
      <c r="AL28" s="83"/>
      <c r="AM28" s="725"/>
      <c r="AN28" s="725"/>
      <c r="AO28" s="83"/>
      <c r="AP28" s="83"/>
    </row>
    <row r="29" spans="1:49" ht="22.2" customHeight="1" x14ac:dyDescent="0.3">
      <c r="A29" s="83"/>
      <c r="B29" s="104"/>
      <c r="C29" s="149"/>
      <c r="D29" s="479"/>
      <c r="E29" s="171"/>
      <c r="F29" s="479"/>
      <c r="G29" s="722"/>
      <c r="H29" s="92"/>
      <c r="I29" s="92"/>
      <c r="J29" s="92"/>
      <c r="K29" s="151"/>
      <c r="L29" s="106"/>
      <c r="M29" s="105"/>
      <c r="N29" s="120"/>
      <c r="O29" s="112"/>
      <c r="P29" s="112"/>
      <c r="Q29" s="112"/>
      <c r="R29" s="112"/>
      <c r="S29" s="112"/>
      <c r="T29" s="112"/>
      <c r="U29" s="112"/>
      <c r="V29" s="112"/>
      <c r="W29" s="112"/>
      <c r="X29" s="112"/>
      <c r="Y29" s="112"/>
      <c r="Z29" s="112"/>
      <c r="AA29" s="112"/>
      <c r="AB29" s="113"/>
      <c r="AC29" s="105"/>
      <c r="AD29" s="105"/>
      <c r="AE29" s="725"/>
      <c r="AF29" s="725"/>
      <c r="AG29" s="83"/>
      <c r="AH29" s="83"/>
      <c r="AI29" s="83"/>
      <c r="AJ29" s="83"/>
      <c r="AK29" s="83"/>
      <c r="AL29" s="83"/>
      <c r="AM29" s="725"/>
      <c r="AN29" s="725"/>
      <c r="AO29" s="83"/>
      <c r="AP29" s="83"/>
    </row>
    <row r="30" spans="1:49" ht="22.2" customHeight="1" x14ac:dyDescent="0.3">
      <c r="A30" s="83"/>
      <c r="B30" s="104"/>
      <c r="C30" s="149"/>
      <c r="D30" s="479"/>
      <c r="E30" s="171"/>
      <c r="F30" s="479"/>
      <c r="G30" s="722"/>
      <c r="H30" s="92"/>
      <c r="I30" s="92"/>
      <c r="J30" s="92"/>
      <c r="K30" s="151"/>
      <c r="L30" s="106"/>
      <c r="M30" s="105"/>
      <c r="N30" s="120"/>
      <c r="O30" s="112"/>
      <c r="P30" s="112"/>
      <c r="Q30" s="112"/>
      <c r="R30" s="112"/>
      <c r="S30" s="112"/>
      <c r="T30" s="112"/>
      <c r="U30" s="112"/>
      <c r="V30" s="112"/>
      <c r="W30" s="112"/>
      <c r="X30" s="112"/>
      <c r="Y30" s="112"/>
      <c r="Z30" s="112"/>
      <c r="AA30" s="112"/>
      <c r="AB30" s="113"/>
      <c r="AC30" s="105"/>
      <c r="AD30" s="105"/>
      <c r="AE30" s="83"/>
      <c r="AF30" s="725"/>
      <c r="AG30" s="83"/>
      <c r="AH30" s="83"/>
      <c r="AI30" s="83"/>
      <c r="AJ30" s="83"/>
      <c r="AK30" s="83"/>
      <c r="AL30" s="83"/>
      <c r="AM30" s="725"/>
      <c r="AN30" s="725"/>
      <c r="AO30" s="83"/>
      <c r="AP30" s="83"/>
    </row>
    <row r="31" spans="1:49" ht="22.2" customHeight="1" x14ac:dyDescent="0.3">
      <c r="A31" s="83"/>
      <c r="B31" s="104"/>
      <c r="C31" s="149"/>
      <c r="D31" s="479"/>
      <c r="E31" s="171"/>
      <c r="F31" s="479"/>
      <c r="G31" s="722"/>
      <c r="H31" s="553" t="s">
        <v>360</v>
      </c>
      <c r="I31" s="553" t="s">
        <v>667</v>
      </c>
      <c r="J31" s="530" t="s">
        <v>235</v>
      </c>
      <c r="K31" s="151"/>
      <c r="L31" s="106"/>
      <c r="M31" s="105"/>
      <c r="N31" s="121"/>
      <c r="O31" s="122"/>
      <c r="P31" s="122"/>
      <c r="Q31" s="122"/>
      <c r="R31" s="122"/>
      <c r="S31" s="122"/>
      <c r="T31" s="122"/>
      <c r="U31" s="122"/>
      <c r="V31" s="122"/>
      <c r="W31" s="122"/>
      <c r="X31" s="122"/>
      <c r="Y31" s="122"/>
      <c r="Z31" s="122"/>
      <c r="AA31" s="122"/>
      <c r="AB31" s="123"/>
      <c r="AC31" s="105"/>
      <c r="AD31" s="105"/>
      <c r="AE31" s="83"/>
      <c r="AF31" s="83"/>
      <c r="AG31" s="83"/>
      <c r="AH31" s="83"/>
      <c r="AI31" s="83"/>
      <c r="AJ31" s="83"/>
      <c r="AK31" s="83"/>
      <c r="AL31" s="83"/>
      <c r="AM31" s="725"/>
      <c r="AN31" s="725"/>
      <c r="AO31" s="83"/>
      <c r="AP31" s="83"/>
    </row>
    <row r="32" spans="1:49" ht="22.2" customHeight="1" x14ac:dyDescent="0.3">
      <c r="A32" s="83"/>
      <c r="B32" s="104"/>
      <c r="C32" s="149"/>
      <c r="D32" s="479"/>
      <c r="E32" s="171"/>
      <c r="F32" s="479"/>
      <c r="G32" s="722"/>
      <c r="H32" s="613" t="s">
        <v>671</v>
      </c>
      <c r="I32" s="541"/>
      <c r="J32" s="541" t="s">
        <v>690</v>
      </c>
      <c r="K32" s="151"/>
      <c r="L32" s="106"/>
      <c r="M32" s="105"/>
      <c r="N32" s="92"/>
      <c r="O32" s="112"/>
      <c r="P32" s="112"/>
      <c r="Q32" s="112"/>
      <c r="R32" s="112"/>
      <c r="S32" s="112"/>
      <c r="T32" s="112"/>
      <c r="U32" s="112"/>
      <c r="V32" s="112"/>
      <c r="W32" s="112"/>
      <c r="X32" s="112"/>
      <c r="Y32" s="112"/>
      <c r="Z32" s="112"/>
      <c r="AA32" s="112"/>
      <c r="AB32" s="112"/>
      <c r="AC32" s="105"/>
      <c r="AD32" s="105"/>
      <c r="AE32" s="83"/>
      <c r="AF32" s="83"/>
      <c r="AG32" s="83"/>
      <c r="AH32" s="83"/>
      <c r="AI32" s="83"/>
      <c r="AJ32" s="83"/>
      <c r="AK32" s="83"/>
      <c r="AL32" s="83"/>
      <c r="AM32" s="725"/>
      <c r="AN32" s="725"/>
      <c r="AO32" s="83"/>
      <c r="AP32" s="83"/>
    </row>
    <row r="33" spans="1:42" ht="22.2" customHeight="1" x14ac:dyDescent="0.3">
      <c r="A33" s="83"/>
      <c r="B33" s="104"/>
      <c r="C33" s="150"/>
      <c r="D33" s="152"/>
      <c r="E33" s="152"/>
      <c r="F33" s="152"/>
      <c r="G33" s="152"/>
      <c r="H33" s="152"/>
      <c r="I33" s="152"/>
      <c r="J33" s="152"/>
      <c r="K33" s="153"/>
      <c r="L33" s="106"/>
      <c r="M33" s="105"/>
      <c r="N33" s="117"/>
      <c r="O33" s="118"/>
      <c r="P33" s="118"/>
      <c r="Q33" s="118"/>
      <c r="R33" s="118"/>
      <c r="S33" s="118"/>
      <c r="T33" s="118"/>
      <c r="U33" s="118"/>
      <c r="V33" s="118"/>
      <c r="W33" s="118"/>
      <c r="X33" s="118"/>
      <c r="Y33" s="118"/>
      <c r="Z33" s="118"/>
      <c r="AA33" s="118"/>
      <c r="AB33" s="119"/>
      <c r="AC33" s="105"/>
      <c r="AD33" s="105"/>
      <c r="AE33" s="83"/>
      <c r="AF33" s="83"/>
      <c r="AG33" s="83"/>
      <c r="AH33" s="83"/>
      <c r="AI33" s="83"/>
      <c r="AJ33" s="83"/>
      <c r="AK33" s="83"/>
      <c r="AL33" s="83"/>
      <c r="AM33" s="725"/>
      <c r="AN33" s="725"/>
      <c r="AO33" s="83"/>
      <c r="AP33" s="83"/>
    </row>
    <row r="34" spans="1:42" ht="22.2" customHeight="1" x14ac:dyDescent="0.3">
      <c r="A34" s="83"/>
      <c r="B34" s="104"/>
      <c r="C34" s="876" t="str">
        <f>+E6&amp;": Environmental Performance"</f>
        <v>Plant A: Environmental Performance</v>
      </c>
      <c r="D34" s="877"/>
      <c r="E34" s="877"/>
      <c r="F34" s="877"/>
      <c r="G34" s="877"/>
      <c r="H34" s="877"/>
      <c r="I34" s="877"/>
      <c r="J34" s="877"/>
      <c r="K34" s="878"/>
      <c r="L34" s="106"/>
      <c r="M34" s="105"/>
      <c r="N34" s="116"/>
      <c r="O34" s="876" t="str">
        <f>+E6</f>
        <v>Plant A</v>
      </c>
      <c r="P34" s="877"/>
      <c r="Q34" s="877"/>
      <c r="R34" s="877"/>
      <c r="S34" s="877"/>
      <c r="T34" s="878"/>
      <c r="U34" s="92"/>
      <c r="V34" s="876" t="s">
        <v>696</v>
      </c>
      <c r="W34" s="877"/>
      <c r="X34" s="877"/>
      <c r="Y34" s="877"/>
      <c r="Z34" s="877"/>
      <c r="AA34" s="878"/>
      <c r="AB34" s="113"/>
      <c r="AC34" s="105"/>
      <c r="AD34" s="725"/>
      <c r="AE34" s="83"/>
      <c r="AF34" s="83"/>
      <c r="AG34" s="83"/>
      <c r="AH34" s="83"/>
      <c r="AI34" s="83"/>
      <c r="AJ34" s="83"/>
      <c r="AK34" s="83"/>
      <c r="AL34" s="83"/>
      <c r="AM34" s="725"/>
      <c r="AN34" s="725"/>
      <c r="AO34" s="83"/>
      <c r="AP34" s="83"/>
    </row>
    <row r="35" spans="1:42" ht="22.2" customHeight="1" x14ac:dyDescent="0.3">
      <c r="A35" s="83"/>
      <c r="B35" s="104"/>
      <c r="C35" s="156"/>
      <c r="D35" s="157"/>
      <c r="E35" s="157"/>
      <c r="F35" s="157"/>
      <c r="G35" s="157"/>
      <c r="H35" s="157"/>
      <c r="I35" s="157"/>
      <c r="J35" s="157"/>
      <c r="K35" s="370"/>
      <c r="L35" s="106"/>
      <c r="M35" s="105"/>
      <c r="N35" s="120"/>
      <c r="O35" s="112"/>
      <c r="P35" s="112"/>
      <c r="Q35" s="112"/>
      <c r="R35" s="112"/>
      <c r="S35" s="92"/>
      <c r="T35" s="112"/>
      <c r="U35" s="112"/>
      <c r="V35" s="112"/>
      <c r="W35" s="112"/>
      <c r="X35" s="112"/>
      <c r="Y35" s="112"/>
      <c r="Z35" s="112"/>
      <c r="AA35" s="112"/>
      <c r="AB35" s="113"/>
      <c r="AC35" s="105"/>
      <c r="AD35" s="725"/>
      <c r="AE35" s="83"/>
      <c r="AF35" s="83"/>
      <c r="AG35" s="83"/>
      <c r="AH35" s="83"/>
      <c r="AI35" s="83"/>
      <c r="AJ35" s="83"/>
      <c r="AK35" s="83"/>
      <c r="AL35" s="83"/>
      <c r="AM35" s="725"/>
      <c r="AN35" s="725"/>
      <c r="AO35" s="83"/>
      <c r="AP35" s="83"/>
    </row>
    <row r="36" spans="1:42" ht="22.2" customHeight="1" x14ac:dyDescent="0.3">
      <c r="A36" s="83"/>
      <c r="B36" s="104"/>
      <c r="C36" s="116"/>
      <c r="D36" s="147"/>
      <c r="E36" s="147"/>
      <c r="F36" s="147"/>
      <c r="G36" s="105"/>
      <c r="H36" s="473"/>
      <c r="I36" s="473"/>
      <c r="J36" s="473"/>
      <c r="K36" s="151"/>
      <c r="L36" s="106"/>
      <c r="M36" s="105"/>
      <c r="N36" s="120"/>
      <c r="O36" s="835" t="s">
        <v>580</v>
      </c>
      <c r="P36" s="836"/>
      <c r="Q36" s="836"/>
      <c r="R36" s="836"/>
      <c r="S36" s="836"/>
      <c r="T36" s="837"/>
      <c r="U36" s="92"/>
      <c r="V36" s="591" t="s">
        <v>360</v>
      </c>
      <c r="W36" s="652" t="s">
        <v>589</v>
      </c>
      <c r="X36" s="871" t="s">
        <v>357</v>
      </c>
      <c r="Y36" s="871"/>
      <c r="Z36" s="871"/>
      <c r="AA36" s="872"/>
      <c r="AB36" s="113"/>
      <c r="AC36" s="105"/>
      <c r="AD36" s="725"/>
      <c r="AE36" s="83"/>
      <c r="AF36" s="83"/>
      <c r="AG36" s="83"/>
      <c r="AH36" s="83"/>
      <c r="AI36" s="83"/>
      <c r="AJ36" s="83"/>
      <c r="AK36" s="83"/>
      <c r="AL36" s="83"/>
      <c r="AM36" s="725"/>
      <c r="AN36" s="725"/>
      <c r="AO36" s="83"/>
      <c r="AP36" s="83"/>
    </row>
    <row r="37" spans="1:42" ht="22.2" customHeight="1" x14ac:dyDescent="0.3">
      <c r="A37" s="83"/>
      <c r="B37" s="104"/>
      <c r="C37" s="116"/>
      <c r="D37" s="129"/>
      <c r="E37" s="257"/>
      <c r="F37" s="257"/>
      <c r="G37" s="105"/>
      <c r="H37" s="147"/>
      <c r="I37" s="129"/>
      <c r="J37" s="147"/>
      <c r="K37" s="151"/>
      <c r="L37" s="106"/>
      <c r="M37" s="105"/>
      <c r="N37" s="120"/>
      <c r="O37" s="862"/>
      <c r="P37" s="863"/>
      <c r="Q37" s="863"/>
      <c r="R37" s="863"/>
      <c r="S37" s="863"/>
      <c r="T37" s="864"/>
      <c r="U37" s="112"/>
      <c r="V37" s="720" t="s">
        <v>679</v>
      </c>
      <c r="W37" s="541" t="s">
        <v>240</v>
      </c>
      <c r="X37" s="873"/>
      <c r="Y37" s="873"/>
      <c r="Z37" s="873"/>
      <c r="AA37" s="874"/>
      <c r="AB37" s="113"/>
      <c r="AC37" s="105"/>
      <c r="AD37" s="725"/>
      <c r="AF37" s="83"/>
      <c r="AG37" s="83"/>
      <c r="AH37" s="83"/>
      <c r="AI37" s="83"/>
      <c r="AJ37" s="83"/>
      <c r="AK37" s="83"/>
      <c r="AL37" s="83"/>
      <c r="AM37" s="725"/>
      <c r="AN37" s="725"/>
      <c r="AO37" s="83"/>
      <c r="AP37" s="83"/>
    </row>
    <row r="38" spans="1:42" ht="22.2" customHeight="1" x14ac:dyDescent="0.3">
      <c r="A38" s="83"/>
      <c r="B38" s="104"/>
      <c r="C38" s="116"/>
      <c r="D38" s="257"/>
      <c r="E38" s="175"/>
      <c r="F38" s="257"/>
      <c r="G38" s="105"/>
      <c r="H38" s="257"/>
      <c r="I38" s="200"/>
      <c r="J38" s="257"/>
      <c r="K38" s="151"/>
      <c r="L38" s="106"/>
      <c r="M38" s="105"/>
      <c r="N38" s="120"/>
      <c r="O38" s="865"/>
      <c r="P38" s="866"/>
      <c r="Q38" s="866"/>
      <c r="R38" s="866"/>
      <c r="S38" s="866"/>
      <c r="T38" s="867"/>
      <c r="U38" s="112"/>
      <c r="V38" s="720" t="s">
        <v>680</v>
      </c>
      <c r="W38" s="541" t="s">
        <v>453</v>
      </c>
      <c r="X38" s="873"/>
      <c r="Y38" s="873"/>
      <c r="Z38" s="873"/>
      <c r="AA38" s="874"/>
      <c r="AB38" s="113"/>
      <c r="AC38" s="105"/>
      <c r="AD38" s="725"/>
      <c r="AG38" s="83"/>
      <c r="AH38" s="83"/>
      <c r="AI38" s="83"/>
      <c r="AJ38" s="83"/>
      <c r="AK38" s="83"/>
      <c r="AL38" s="83"/>
      <c r="AM38" s="725"/>
      <c r="AN38" s="725"/>
      <c r="AO38" s="83"/>
      <c r="AP38" s="83"/>
    </row>
    <row r="39" spans="1:42" ht="22.2" customHeight="1" x14ac:dyDescent="0.3">
      <c r="A39" s="83"/>
      <c r="B39" s="104"/>
      <c r="C39" s="116"/>
      <c r="D39" s="257"/>
      <c r="E39" s="175"/>
      <c r="F39" s="257"/>
      <c r="G39" s="105"/>
      <c r="H39" s="147"/>
      <c r="I39" s="147"/>
      <c r="J39" s="147"/>
      <c r="K39" s="151"/>
      <c r="L39" s="106"/>
      <c r="M39" s="105"/>
      <c r="N39" s="120"/>
      <c r="O39" s="865"/>
      <c r="P39" s="866"/>
      <c r="Q39" s="866"/>
      <c r="R39" s="866"/>
      <c r="S39" s="866"/>
      <c r="T39" s="867"/>
      <c r="U39" s="112"/>
      <c r="V39" s="720" t="s">
        <v>681</v>
      </c>
      <c r="W39" s="541" t="s">
        <v>454</v>
      </c>
      <c r="X39" s="860"/>
      <c r="Y39" s="860"/>
      <c r="Z39" s="860"/>
      <c r="AA39" s="861"/>
      <c r="AB39" s="113"/>
      <c r="AC39" s="105"/>
      <c r="AD39" s="725"/>
      <c r="AG39" s="83"/>
      <c r="AH39" s="83"/>
      <c r="AI39" s="83"/>
      <c r="AJ39" s="83"/>
      <c r="AK39" s="83"/>
      <c r="AL39" s="83"/>
      <c r="AM39" s="725"/>
      <c r="AN39" s="725"/>
      <c r="AO39" s="83"/>
      <c r="AP39" s="83"/>
    </row>
    <row r="40" spans="1:42" ht="22.2" customHeight="1" x14ac:dyDescent="0.3">
      <c r="A40" s="83"/>
      <c r="B40" s="104"/>
      <c r="C40" s="116"/>
      <c r="D40" s="257"/>
      <c r="E40" s="175"/>
      <c r="F40" s="257"/>
      <c r="G40" s="105"/>
      <c r="H40" s="147"/>
      <c r="I40" s="147"/>
      <c r="J40" s="147"/>
      <c r="K40" s="151"/>
      <c r="L40" s="106"/>
      <c r="M40" s="105"/>
      <c r="N40" s="120"/>
      <c r="O40" s="865"/>
      <c r="P40" s="866"/>
      <c r="Q40" s="866"/>
      <c r="R40" s="866"/>
      <c r="S40" s="866"/>
      <c r="T40" s="867"/>
      <c r="U40" s="112"/>
      <c r="V40" s="720" t="s">
        <v>682</v>
      </c>
      <c r="W40" s="541" t="s">
        <v>455</v>
      </c>
      <c r="X40" s="873"/>
      <c r="Y40" s="873"/>
      <c r="Z40" s="873"/>
      <c r="AA40" s="874"/>
      <c r="AB40" s="113"/>
      <c r="AC40" s="105"/>
      <c r="AD40" s="725"/>
      <c r="AG40" s="83"/>
      <c r="AH40" s="83"/>
      <c r="AI40" s="83"/>
      <c r="AJ40" s="83"/>
      <c r="AK40" s="83"/>
      <c r="AL40" s="83"/>
      <c r="AM40" s="725"/>
      <c r="AN40" s="725"/>
      <c r="AO40" s="83"/>
      <c r="AP40" s="83"/>
    </row>
    <row r="41" spans="1:42" ht="22.2" customHeight="1" x14ac:dyDescent="0.3">
      <c r="A41" s="83"/>
      <c r="B41" s="104"/>
      <c r="C41" s="116"/>
      <c r="D41" s="257"/>
      <c r="E41" s="175"/>
      <c r="F41" s="257"/>
      <c r="G41" s="105"/>
      <c r="H41" s="147"/>
      <c r="I41" s="147"/>
      <c r="J41" s="147"/>
      <c r="K41" s="151"/>
      <c r="L41" s="106"/>
      <c r="M41" s="105"/>
      <c r="N41" s="120"/>
      <c r="O41" s="865"/>
      <c r="P41" s="866"/>
      <c r="Q41" s="866"/>
      <c r="R41" s="866"/>
      <c r="S41" s="866"/>
      <c r="T41" s="867"/>
      <c r="U41" s="112"/>
      <c r="V41" s="717"/>
      <c r="W41" s="192"/>
      <c r="X41" s="860"/>
      <c r="Y41" s="860"/>
      <c r="Z41" s="860"/>
      <c r="AA41" s="861"/>
      <c r="AB41" s="719"/>
      <c r="AC41" s="105"/>
      <c r="AD41" s="725"/>
      <c r="AG41" s="83"/>
      <c r="AH41" s="83"/>
      <c r="AI41" s="83"/>
      <c r="AK41" s="83"/>
      <c r="AL41" s="83"/>
      <c r="AM41" s="725"/>
      <c r="AN41" s="725"/>
      <c r="AO41" s="83"/>
      <c r="AP41" s="83"/>
    </row>
    <row r="42" spans="1:42" ht="22.2" customHeight="1" x14ac:dyDescent="0.3">
      <c r="A42" s="83"/>
      <c r="B42" s="104"/>
      <c r="C42" s="149"/>
      <c r="D42" s="257"/>
      <c r="E42" s="175"/>
      <c r="F42" s="257"/>
      <c r="G42" s="105"/>
      <c r="H42" s="147"/>
      <c r="I42" s="147"/>
      <c r="J42" s="147"/>
      <c r="K42" s="151"/>
      <c r="L42" s="106"/>
      <c r="M42" s="105"/>
      <c r="N42" s="120"/>
      <c r="O42" s="865"/>
      <c r="P42" s="866"/>
      <c r="Q42" s="866"/>
      <c r="R42" s="866"/>
      <c r="S42" s="866"/>
      <c r="T42" s="867"/>
      <c r="U42" s="112"/>
      <c r="V42" s="717"/>
      <c r="W42" s="192"/>
      <c r="X42" s="860"/>
      <c r="Y42" s="860"/>
      <c r="Z42" s="860"/>
      <c r="AA42" s="861"/>
      <c r="AB42" s="113"/>
      <c r="AC42" s="105"/>
      <c r="AD42" s="725"/>
      <c r="AG42" s="83"/>
      <c r="AH42" s="83"/>
      <c r="AI42" s="83"/>
      <c r="AK42" s="83"/>
      <c r="AL42" s="83"/>
      <c r="AM42" s="83"/>
      <c r="AN42" s="725"/>
      <c r="AO42" s="83"/>
      <c r="AP42" s="83"/>
    </row>
    <row r="43" spans="1:42" ht="22.2" customHeight="1" x14ac:dyDescent="0.3">
      <c r="A43" s="83"/>
      <c r="B43" s="104"/>
      <c r="C43" s="149"/>
      <c r="D43" s="469"/>
      <c r="E43" s="175"/>
      <c r="F43" s="257"/>
      <c r="G43" s="722"/>
      <c r="H43" s="722"/>
      <c r="I43" s="722"/>
      <c r="J43" s="722"/>
      <c r="K43" s="151"/>
      <c r="L43" s="106"/>
      <c r="M43" s="105"/>
      <c r="N43" s="120"/>
      <c r="O43" s="865"/>
      <c r="P43" s="866"/>
      <c r="Q43" s="866"/>
      <c r="R43" s="866"/>
      <c r="S43" s="866"/>
      <c r="T43" s="867"/>
      <c r="U43" s="112"/>
      <c r="V43" s="717"/>
      <c r="W43" s="192"/>
      <c r="X43" s="860"/>
      <c r="Y43" s="860"/>
      <c r="Z43" s="860"/>
      <c r="AA43" s="861"/>
      <c r="AB43" s="113"/>
      <c r="AC43" s="105"/>
      <c r="AD43" s="725"/>
      <c r="AG43" s="83"/>
      <c r="AH43" s="83"/>
      <c r="AI43" s="83"/>
      <c r="AK43" s="83"/>
      <c r="AL43" s="83"/>
      <c r="AM43" s="83"/>
      <c r="AN43" s="83"/>
      <c r="AO43" s="83"/>
      <c r="AP43" s="83"/>
    </row>
    <row r="44" spans="1:42" ht="22.2" customHeight="1" x14ac:dyDescent="0.3">
      <c r="A44" s="83"/>
      <c r="B44" s="104"/>
      <c r="C44" s="149"/>
      <c r="D44" s="722"/>
      <c r="E44" s="722"/>
      <c r="F44" s="479"/>
      <c r="G44" s="722"/>
      <c r="H44" s="722"/>
      <c r="I44" s="722"/>
      <c r="J44" s="722"/>
      <c r="K44" s="151"/>
      <c r="L44" s="106"/>
      <c r="M44" s="105"/>
      <c r="N44" s="120"/>
      <c r="O44" s="865"/>
      <c r="P44" s="866"/>
      <c r="Q44" s="866"/>
      <c r="R44" s="866"/>
      <c r="S44" s="866"/>
      <c r="T44" s="867"/>
      <c r="U44" s="112"/>
      <c r="V44" s="717"/>
      <c r="W44" s="192"/>
      <c r="X44" s="860"/>
      <c r="Y44" s="860"/>
      <c r="Z44" s="860"/>
      <c r="AA44" s="861"/>
      <c r="AB44" s="113"/>
      <c r="AC44" s="105"/>
      <c r="AD44" s="725"/>
      <c r="AG44" s="83"/>
      <c r="AI44" s="83"/>
      <c r="AK44" s="83"/>
      <c r="AM44" s="83"/>
      <c r="AN44" s="83"/>
      <c r="AO44" s="83"/>
      <c r="AP44" s="83"/>
    </row>
    <row r="45" spans="1:42" ht="22.2" customHeight="1" x14ac:dyDescent="0.3">
      <c r="A45" s="83"/>
      <c r="B45" s="104"/>
      <c r="C45" s="149"/>
      <c r="D45" s="209"/>
      <c r="E45" s="209"/>
      <c r="F45" s="209"/>
      <c r="G45" s="722"/>
      <c r="H45" s="722"/>
      <c r="I45" s="722"/>
      <c r="J45" s="722"/>
      <c r="K45" s="151"/>
      <c r="L45" s="106"/>
      <c r="M45" s="105"/>
      <c r="N45" s="120"/>
      <c r="O45" s="865"/>
      <c r="P45" s="866"/>
      <c r="Q45" s="866"/>
      <c r="R45" s="866"/>
      <c r="S45" s="866"/>
      <c r="T45" s="867"/>
      <c r="U45" s="112"/>
      <c r="V45" s="717"/>
      <c r="W45" s="192"/>
      <c r="X45" s="860"/>
      <c r="Y45" s="860"/>
      <c r="Z45" s="860"/>
      <c r="AA45" s="861"/>
      <c r="AB45" s="113"/>
      <c r="AC45" s="105"/>
      <c r="AD45" s="725"/>
      <c r="AG45" s="83"/>
      <c r="AM45" s="83"/>
      <c r="AN45" s="83"/>
      <c r="AO45" s="83"/>
      <c r="AP45" s="83"/>
    </row>
    <row r="46" spans="1:42" ht="22.2" customHeight="1" x14ac:dyDescent="0.3">
      <c r="A46" s="83"/>
      <c r="B46" s="104"/>
      <c r="C46" s="149"/>
      <c r="D46" s="469"/>
      <c r="E46" s="199"/>
      <c r="F46" s="469"/>
      <c r="G46" s="722"/>
      <c r="H46" s="722"/>
      <c r="I46" s="722"/>
      <c r="J46" s="722"/>
      <c r="K46" s="151"/>
      <c r="L46" s="106"/>
      <c r="M46" s="105"/>
      <c r="N46" s="120"/>
      <c r="O46" s="865"/>
      <c r="P46" s="866"/>
      <c r="Q46" s="866"/>
      <c r="R46" s="866"/>
      <c r="S46" s="866"/>
      <c r="T46" s="867"/>
      <c r="U46" s="112"/>
      <c r="V46" s="717"/>
      <c r="W46" s="192"/>
      <c r="X46" s="718"/>
      <c r="Y46" s="718"/>
      <c r="Z46" s="736"/>
      <c r="AA46" s="113"/>
      <c r="AB46" s="113"/>
      <c r="AC46" s="105"/>
      <c r="AD46" s="725"/>
      <c r="AG46" s="83"/>
      <c r="AM46" s="83"/>
      <c r="AN46" s="83"/>
      <c r="AO46" s="83"/>
      <c r="AP46" s="83"/>
    </row>
    <row r="47" spans="1:42" ht="22.2" customHeight="1" x14ac:dyDescent="0.3">
      <c r="A47" s="83"/>
      <c r="B47" s="104"/>
      <c r="C47" s="149"/>
      <c r="D47" s="469"/>
      <c r="E47" s="199"/>
      <c r="F47" s="469"/>
      <c r="G47" s="722"/>
      <c r="H47" s="92"/>
      <c r="I47" s="92"/>
      <c r="J47" s="92"/>
      <c r="K47" s="151"/>
      <c r="L47" s="106"/>
      <c r="M47" s="105"/>
      <c r="N47" s="120"/>
      <c r="O47" s="865"/>
      <c r="P47" s="866"/>
      <c r="Q47" s="866"/>
      <c r="R47" s="866"/>
      <c r="S47" s="866"/>
      <c r="T47" s="867"/>
      <c r="U47" s="112"/>
      <c r="V47" s="717"/>
      <c r="W47" s="192"/>
      <c r="X47" s="718"/>
      <c r="Y47" s="718"/>
      <c r="Z47" s="736"/>
      <c r="AA47" s="113"/>
      <c r="AB47" s="113"/>
      <c r="AC47" s="105"/>
      <c r="AD47" s="725"/>
      <c r="AG47" s="83"/>
      <c r="AM47" s="83"/>
      <c r="AN47" s="83"/>
      <c r="AO47" s="83"/>
      <c r="AP47" s="83"/>
    </row>
    <row r="48" spans="1:42" ht="22.2" customHeight="1" x14ac:dyDescent="0.3">
      <c r="A48" s="83"/>
      <c r="B48" s="104"/>
      <c r="C48" s="149"/>
      <c r="D48" s="469"/>
      <c r="E48" s="175"/>
      <c r="F48" s="469"/>
      <c r="G48" s="722"/>
      <c r="H48" s="92"/>
      <c r="I48" s="92"/>
      <c r="J48" s="92"/>
      <c r="K48" s="151"/>
      <c r="L48" s="106"/>
      <c r="M48" s="105"/>
      <c r="N48" s="120"/>
      <c r="O48" s="865"/>
      <c r="P48" s="866"/>
      <c r="Q48" s="866"/>
      <c r="R48" s="866"/>
      <c r="S48" s="866"/>
      <c r="T48" s="867"/>
      <c r="U48" s="112"/>
      <c r="V48" s="717"/>
      <c r="W48" s="192"/>
      <c r="X48" s="718"/>
      <c r="Y48" s="718"/>
      <c r="Z48" s="736"/>
      <c r="AA48" s="113"/>
      <c r="AB48" s="113"/>
      <c r="AC48" s="105"/>
      <c r="AD48" s="725"/>
      <c r="AG48" s="83"/>
      <c r="AM48" s="83"/>
      <c r="AN48" s="83"/>
      <c r="AO48" s="83"/>
      <c r="AP48" s="83"/>
    </row>
    <row r="49" spans="1:42" ht="22.2" customHeight="1" x14ac:dyDescent="0.3">
      <c r="A49" s="83"/>
      <c r="B49" s="104"/>
      <c r="C49" s="149"/>
      <c r="D49" s="469"/>
      <c r="E49" s="175"/>
      <c r="F49" s="469"/>
      <c r="G49" s="722"/>
      <c r="H49" s="92"/>
      <c r="I49" s="92"/>
      <c r="J49" s="92"/>
      <c r="K49" s="151"/>
      <c r="L49" s="106"/>
      <c r="M49" s="105"/>
      <c r="N49" s="120"/>
      <c r="O49" s="865"/>
      <c r="P49" s="866"/>
      <c r="Q49" s="866"/>
      <c r="R49" s="866"/>
      <c r="S49" s="866"/>
      <c r="T49" s="867"/>
      <c r="U49" s="112"/>
      <c r="V49" s="717"/>
      <c r="W49" s="192"/>
      <c r="X49" s="718"/>
      <c r="Y49" s="718"/>
      <c r="Z49" s="736"/>
      <c r="AA49" s="113"/>
      <c r="AB49" s="113"/>
      <c r="AC49" s="105"/>
      <c r="AD49" s="725"/>
      <c r="AG49" s="83"/>
      <c r="AM49" s="83"/>
      <c r="AN49" s="83"/>
      <c r="AO49" s="83"/>
      <c r="AP49" s="83"/>
    </row>
    <row r="50" spans="1:42" ht="22.2" customHeight="1" x14ac:dyDescent="0.3">
      <c r="A50" s="83"/>
      <c r="B50" s="104"/>
      <c r="C50" s="149"/>
      <c r="D50" s="722"/>
      <c r="E50" s="722"/>
      <c r="F50" s="722"/>
      <c r="G50" s="722"/>
      <c r="H50" s="92"/>
      <c r="I50" s="92"/>
      <c r="J50" s="92"/>
      <c r="K50" s="151"/>
      <c r="L50" s="106"/>
      <c r="M50" s="105"/>
      <c r="N50" s="120"/>
      <c r="O50" s="865"/>
      <c r="P50" s="866"/>
      <c r="Q50" s="866"/>
      <c r="R50" s="866"/>
      <c r="S50" s="866"/>
      <c r="T50" s="867"/>
      <c r="U50" s="112"/>
      <c r="V50" s="717"/>
      <c r="W50" s="192"/>
      <c r="X50" s="718"/>
      <c r="Y50" s="718"/>
      <c r="Z50" s="736"/>
      <c r="AA50" s="113"/>
      <c r="AB50" s="113"/>
      <c r="AC50" s="105"/>
      <c r="AD50" s="725"/>
      <c r="AG50" s="83"/>
      <c r="AM50" s="83"/>
      <c r="AN50" s="83"/>
      <c r="AO50" s="83"/>
      <c r="AP50" s="83"/>
    </row>
    <row r="51" spans="1:42" ht="22.2" customHeight="1" x14ac:dyDescent="0.3">
      <c r="A51" s="83"/>
      <c r="B51" s="104"/>
      <c r="C51" s="149"/>
      <c r="D51" s="722"/>
      <c r="E51" s="722"/>
      <c r="F51" s="722"/>
      <c r="G51" s="722"/>
      <c r="H51" s="553" t="s">
        <v>360</v>
      </c>
      <c r="I51" s="553" t="s">
        <v>667</v>
      </c>
      <c r="J51" s="530" t="s">
        <v>235</v>
      </c>
      <c r="K51" s="151"/>
      <c r="L51" s="106"/>
      <c r="M51" s="105"/>
      <c r="N51" s="120"/>
      <c r="O51" s="865"/>
      <c r="P51" s="866"/>
      <c r="Q51" s="866"/>
      <c r="R51" s="866"/>
      <c r="S51" s="866"/>
      <c r="T51" s="867"/>
      <c r="U51" s="112"/>
      <c r="V51" s="717"/>
      <c r="W51" s="192"/>
      <c r="X51" s="718"/>
      <c r="Y51" s="718"/>
      <c r="Z51" s="736"/>
      <c r="AA51" s="113"/>
      <c r="AB51" s="113"/>
      <c r="AC51" s="105"/>
      <c r="AD51" s="725"/>
      <c r="AG51" s="83"/>
      <c r="AM51" s="83"/>
      <c r="AN51" s="83"/>
      <c r="AO51" s="83"/>
      <c r="AP51" s="83"/>
    </row>
    <row r="52" spans="1:42" ht="22.2" customHeight="1" x14ac:dyDescent="0.3">
      <c r="A52" s="83"/>
      <c r="B52" s="104"/>
      <c r="C52" s="149"/>
      <c r="D52" s="722"/>
      <c r="E52" s="722"/>
      <c r="F52" s="722"/>
      <c r="G52" s="722"/>
      <c r="H52" s="613" t="s">
        <v>670</v>
      </c>
      <c r="I52" s="541"/>
      <c r="J52" s="541" t="s">
        <v>764</v>
      </c>
      <c r="K52" s="151"/>
      <c r="L52" s="106"/>
      <c r="M52" s="105"/>
      <c r="N52" s="120"/>
      <c r="O52" s="865"/>
      <c r="P52" s="866"/>
      <c r="Q52" s="866"/>
      <c r="R52" s="866"/>
      <c r="S52" s="866"/>
      <c r="T52" s="867"/>
      <c r="U52" s="112"/>
      <c r="V52" s="717"/>
      <c r="W52" s="192"/>
      <c r="X52" s="718"/>
      <c r="Y52" s="718"/>
      <c r="Z52" s="736"/>
      <c r="AA52" s="113"/>
      <c r="AB52" s="113"/>
      <c r="AC52" s="105"/>
      <c r="AD52" s="725"/>
      <c r="AG52" s="83"/>
      <c r="AM52" s="83"/>
      <c r="AN52" s="83"/>
      <c r="AO52" s="83"/>
      <c r="AP52" s="83"/>
    </row>
    <row r="53" spans="1:42" ht="22.2" customHeight="1" x14ac:dyDescent="0.3">
      <c r="A53" s="83"/>
      <c r="B53" s="104"/>
      <c r="C53" s="150"/>
      <c r="D53" s="152"/>
      <c r="E53" s="152"/>
      <c r="F53" s="152"/>
      <c r="G53" s="152"/>
      <c r="H53" s="152"/>
      <c r="I53" s="152"/>
      <c r="J53" s="152"/>
      <c r="K53" s="153"/>
      <c r="L53" s="106"/>
      <c r="M53" s="105"/>
      <c r="N53" s="120"/>
      <c r="O53" s="868"/>
      <c r="P53" s="869"/>
      <c r="Q53" s="869"/>
      <c r="R53" s="869"/>
      <c r="S53" s="869"/>
      <c r="T53" s="870"/>
      <c r="U53" s="112"/>
      <c r="V53" s="121"/>
      <c r="W53" s="723"/>
      <c r="X53" s="122"/>
      <c r="Y53" s="122"/>
      <c r="Z53" s="122"/>
      <c r="AA53" s="123"/>
      <c r="AB53" s="113"/>
      <c r="AC53" s="105"/>
      <c r="AD53" s="725"/>
      <c r="AG53" s="83"/>
      <c r="AM53" s="83"/>
      <c r="AN53" s="83"/>
      <c r="AO53" s="83"/>
      <c r="AP53" s="83"/>
    </row>
    <row r="54" spans="1:42" ht="22.2" customHeight="1" x14ac:dyDescent="0.3">
      <c r="A54" s="83"/>
      <c r="B54" s="104"/>
      <c r="C54" s="876" t="str">
        <f>+E6&amp;" Fuel / Raw Materials"</f>
        <v>Plant A Fuel / Raw Materials</v>
      </c>
      <c r="D54" s="877"/>
      <c r="E54" s="877"/>
      <c r="F54" s="877"/>
      <c r="G54" s="877"/>
      <c r="H54" s="877"/>
      <c r="I54" s="877"/>
      <c r="J54" s="877"/>
      <c r="K54" s="878"/>
      <c r="L54" s="106"/>
      <c r="M54" s="105"/>
      <c r="N54" s="120"/>
      <c r="O54" s="112"/>
      <c r="P54" s="112"/>
      <c r="Q54" s="112"/>
      <c r="R54" s="112"/>
      <c r="S54" s="112"/>
      <c r="T54" s="112"/>
      <c r="U54" s="112"/>
      <c r="V54" s="112"/>
      <c r="W54" s="112"/>
      <c r="X54" s="112"/>
      <c r="Y54" s="112"/>
      <c r="Z54" s="112"/>
      <c r="AA54" s="112"/>
      <c r="AB54" s="113"/>
      <c r="AC54" s="105"/>
      <c r="AD54" s="725"/>
      <c r="AE54" s="83"/>
      <c r="AG54" s="83"/>
      <c r="AM54" s="83"/>
      <c r="AN54" s="83"/>
      <c r="AO54" s="83"/>
      <c r="AP54" s="83"/>
    </row>
    <row r="55" spans="1:42" ht="22.2" customHeight="1" x14ac:dyDescent="0.3">
      <c r="A55" s="83"/>
      <c r="B55" s="104"/>
      <c r="C55" s="156"/>
      <c r="D55" s="157"/>
      <c r="E55" s="157"/>
      <c r="F55" s="157"/>
      <c r="G55" s="157"/>
      <c r="H55" s="157"/>
      <c r="I55" s="157"/>
      <c r="J55" s="157"/>
      <c r="K55" s="370"/>
      <c r="L55" s="106"/>
      <c r="M55" s="83"/>
      <c r="N55" s="104"/>
      <c r="O55" s="876" t="s">
        <v>733</v>
      </c>
      <c r="P55" s="877"/>
      <c r="Q55" s="877"/>
      <c r="R55" s="877"/>
      <c r="S55" s="877"/>
      <c r="T55" s="878"/>
      <c r="U55" s="105"/>
      <c r="V55" s="879" t="s">
        <v>741</v>
      </c>
      <c r="W55" s="880"/>
      <c r="X55" s="880"/>
      <c r="Y55" s="880"/>
      <c r="Z55" s="880"/>
      <c r="AA55" s="881"/>
      <c r="AB55" s="106"/>
      <c r="AC55" s="105"/>
      <c r="AD55" s="83"/>
      <c r="AE55" s="83"/>
      <c r="AF55" s="83"/>
      <c r="AG55" s="83"/>
      <c r="AM55" s="83"/>
      <c r="AN55" s="83"/>
      <c r="AO55" s="83"/>
      <c r="AP55" s="83"/>
    </row>
    <row r="56" spans="1:42" ht="22.2" customHeight="1" x14ac:dyDescent="0.3">
      <c r="A56" s="83"/>
      <c r="B56" s="91"/>
      <c r="C56" s="116"/>
      <c r="D56" s="147"/>
      <c r="E56" s="147"/>
      <c r="F56" s="147"/>
      <c r="G56" s="105"/>
      <c r="H56" s="473"/>
      <c r="I56" s="473"/>
      <c r="J56" s="473"/>
      <c r="K56" s="151"/>
      <c r="L56" s="106"/>
      <c r="M56" s="83"/>
      <c r="N56" s="91"/>
      <c r="O56" s="402"/>
      <c r="P56" s="403"/>
      <c r="Q56" s="403"/>
      <c r="R56" s="403"/>
      <c r="S56" s="403"/>
      <c r="T56" s="404"/>
      <c r="U56" s="105"/>
      <c r="V56" s="104"/>
      <c r="W56" s="105"/>
      <c r="X56" s="105"/>
      <c r="Y56" s="105"/>
      <c r="Z56" s="105"/>
      <c r="AA56" s="106"/>
      <c r="AB56" s="106"/>
      <c r="AC56" s="83"/>
      <c r="AD56" s="83"/>
      <c r="AE56" s="83"/>
      <c r="AF56" s="83"/>
      <c r="AG56" s="83"/>
      <c r="AM56" s="83"/>
      <c r="AN56" s="83"/>
      <c r="AO56" s="83"/>
      <c r="AP56" s="83"/>
    </row>
    <row r="57" spans="1:42" ht="22.2" customHeight="1" x14ac:dyDescent="0.3">
      <c r="A57" s="83"/>
      <c r="B57" s="91"/>
      <c r="C57" s="116"/>
      <c r="D57" s="129"/>
      <c r="E57" s="257"/>
      <c r="F57" s="257"/>
      <c r="G57" s="105"/>
      <c r="H57" s="147"/>
      <c r="I57" s="129"/>
      <c r="J57" s="147"/>
      <c r="K57" s="151"/>
      <c r="L57" s="106"/>
      <c r="M57" s="83"/>
      <c r="N57" s="104"/>
      <c r="O57" s="91"/>
      <c r="T57" s="84"/>
      <c r="U57" s="105"/>
      <c r="V57" s="104"/>
      <c r="W57" s="892" t="s">
        <v>734</v>
      </c>
      <c r="X57" s="892"/>
      <c r="Y57" s="892"/>
      <c r="Z57" s="556" t="s">
        <v>342</v>
      </c>
      <c r="AA57" s="106"/>
      <c r="AB57" s="106"/>
      <c r="AC57" s="83"/>
      <c r="AD57" s="83"/>
      <c r="AE57" s="83"/>
      <c r="AF57" s="83"/>
      <c r="AG57" s="83"/>
      <c r="AM57" s="83"/>
      <c r="AN57" s="83"/>
      <c r="AO57" s="83"/>
      <c r="AP57" s="83"/>
    </row>
    <row r="58" spans="1:42" ht="22.2" customHeight="1" x14ac:dyDescent="0.3">
      <c r="A58" s="83"/>
      <c r="B58" s="91"/>
      <c r="C58" s="116"/>
      <c r="D58" s="257"/>
      <c r="E58" s="175"/>
      <c r="F58" s="257"/>
      <c r="G58" s="105"/>
      <c r="H58" s="257"/>
      <c r="I58" s="200"/>
      <c r="J58" s="257"/>
      <c r="K58" s="151"/>
      <c r="L58" s="106"/>
      <c r="M58" s="83"/>
      <c r="N58" s="104"/>
      <c r="O58" s="91"/>
      <c r="P58" s="850" t="s">
        <v>767</v>
      </c>
      <c r="Q58" s="851"/>
      <c r="R58" s="852"/>
      <c r="S58" s="856"/>
      <c r="T58" s="84"/>
      <c r="U58" s="105"/>
      <c r="V58" s="104"/>
      <c r="W58" s="893" t="s">
        <v>578</v>
      </c>
      <c r="X58" s="734"/>
      <c r="Y58" s="895" t="s">
        <v>579</v>
      </c>
      <c r="Z58" s="897">
        <v>1</v>
      </c>
      <c r="AA58" s="106"/>
      <c r="AB58" s="106"/>
      <c r="AC58" s="83"/>
      <c r="AD58" s="83"/>
      <c r="AE58" s="83"/>
      <c r="AF58" s="83"/>
      <c r="AG58" s="83"/>
      <c r="AM58" s="83"/>
      <c r="AN58" s="83"/>
      <c r="AO58" s="83"/>
      <c r="AP58" s="83"/>
    </row>
    <row r="59" spans="1:42" ht="22.2" customHeight="1" x14ac:dyDescent="0.3">
      <c r="A59" s="83"/>
      <c r="B59" s="91"/>
      <c r="C59" s="116"/>
      <c r="D59" s="257"/>
      <c r="E59" s="175"/>
      <c r="F59" s="257"/>
      <c r="G59" s="105"/>
      <c r="H59" s="147"/>
      <c r="I59" s="147"/>
      <c r="J59" s="147"/>
      <c r="K59" s="151"/>
      <c r="L59" s="106"/>
      <c r="M59" s="83"/>
      <c r="N59" s="104"/>
      <c r="O59" s="91"/>
      <c r="P59" s="853"/>
      <c r="Q59" s="854"/>
      <c r="R59" s="855"/>
      <c r="S59" s="857"/>
      <c r="T59" s="84"/>
      <c r="U59" s="105"/>
      <c r="V59" s="104"/>
      <c r="W59" s="894"/>
      <c r="X59" s="735"/>
      <c r="Y59" s="896"/>
      <c r="Z59" s="898"/>
      <c r="AA59" s="106"/>
      <c r="AB59" s="106"/>
      <c r="AC59" s="83"/>
      <c r="AD59" s="83"/>
      <c r="AE59" s="83"/>
      <c r="AF59" s="83"/>
      <c r="AG59" s="83"/>
      <c r="AM59" s="83"/>
      <c r="AN59" s="83"/>
      <c r="AO59" s="83"/>
      <c r="AP59" s="83"/>
    </row>
    <row r="60" spans="1:42" ht="22.2" customHeight="1" x14ac:dyDescent="0.35">
      <c r="A60" s="83"/>
      <c r="B60" s="91"/>
      <c r="C60" s="116"/>
      <c r="D60" s="257"/>
      <c r="E60" s="175"/>
      <c r="F60" s="257"/>
      <c r="G60" s="105"/>
      <c r="H60" s="147"/>
      <c r="I60" s="147"/>
      <c r="J60" s="147"/>
      <c r="K60" s="151"/>
      <c r="L60" s="106"/>
      <c r="M60" s="83"/>
      <c r="N60" s="104"/>
      <c r="O60" s="91"/>
      <c r="P60" s="801"/>
      <c r="Q60" s="801"/>
      <c r="R60" s="674"/>
      <c r="T60" s="84"/>
      <c r="U60" s="105"/>
      <c r="V60" s="104"/>
      <c r="AA60" s="106"/>
      <c r="AB60" s="106"/>
      <c r="AC60" s="83"/>
      <c r="AD60" s="83"/>
      <c r="AE60" s="83"/>
      <c r="AF60" s="83"/>
      <c r="AM60" s="83"/>
      <c r="AN60" s="83"/>
      <c r="AO60" s="83"/>
      <c r="AP60" s="83"/>
    </row>
    <row r="61" spans="1:42" ht="22.2" customHeight="1" x14ac:dyDescent="0.3">
      <c r="A61" s="83"/>
      <c r="B61" s="91"/>
      <c r="C61" s="116"/>
      <c r="D61" s="257"/>
      <c r="E61" s="175"/>
      <c r="F61" s="257"/>
      <c r="G61" s="105"/>
      <c r="H61" s="147"/>
      <c r="I61" s="147"/>
      <c r="J61" s="147"/>
      <c r="K61" s="151"/>
      <c r="L61" s="106"/>
      <c r="M61" s="83"/>
      <c r="N61" s="104"/>
      <c r="O61" s="91"/>
      <c r="P61" s="850" t="s">
        <v>768</v>
      </c>
      <c r="Q61" s="851"/>
      <c r="R61" s="852"/>
      <c r="S61" s="856"/>
      <c r="T61" s="84"/>
      <c r="U61" s="105"/>
      <c r="V61" s="104"/>
      <c r="W61" s="889" t="s">
        <v>736</v>
      </c>
      <c r="X61" s="890"/>
      <c r="Y61" s="891"/>
      <c r="Z61" s="610" t="s">
        <v>342</v>
      </c>
      <c r="AA61" s="106"/>
      <c r="AB61" s="106"/>
      <c r="AC61" s="83"/>
      <c r="AD61" s="83"/>
      <c r="AF61" s="83"/>
      <c r="AM61" s="83"/>
      <c r="AN61" s="83"/>
      <c r="AO61" s="83"/>
      <c r="AP61" s="83"/>
    </row>
    <row r="62" spans="1:42" ht="22.2" customHeight="1" x14ac:dyDescent="0.3">
      <c r="A62" s="83"/>
      <c r="B62" s="91"/>
      <c r="C62" s="149"/>
      <c r="D62" s="257"/>
      <c r="E62" s="175"/>
      <c r="F62" s="257"/>
      <c r="G62" s="105"/>
      <c r="H62" s="147"/>
      <c r="I62" s="147"/>
      <c r="J62" s="147"/>
      <c r="K62" s="151"/>
      <c r="L62" s="106"/>
      <c r="M62" s="83"/>
      <c r="N62" s="104"/>
      <c r="O62" s="91"/>
      <c r="P62" s="853"/>
      <c r="Q62" s="854"/>
      <c r="R62" s="855"/>
      <c r="S62" s="857"/>
      <c r="T62" s="84"/>
      <c r="U62" s="105"/>
      <c r="V62" s="104"/>
      <c r="W62" s="893" t="str">
        <f>+W58</f>
        <v>ADD</v>
      </c>
      <c r="X62" s="885"/>
      <c r="Y62" s="895" t="str">
        <f>+Y58</f>
        <v>REMOVE</v>
      </c>
      <c r="Z62" s="897">
        <v>1</v>
      </c>
      <c r="AA62" s="106"/>
      <c r="AB62" s="106"/>
      <c r="AC62" s="83"/>
      <c r="AD62" s="83"/>
      <c r="AM62" s="83"/>
      <c r="AN62" s="83"/>
      <c r="AO62" s="83"/>
      <c r="AP62" s="83"/>
    </row>
    <row r="63" spans="1:42" ht="22.2" customHeight="1" x14ac:dyDescent="0.35">
      <c r="A63" s="83"/>
      <c r="B63" s="91"/>
      <c r="C63" s="149"/>
      <c r="D63" s="469"/>
      <c r="E63" s="175"/>
      <c r="F63" s="257"/>
      <c r="G63" s="722"/>
      <c r="H63" s="722"/>
      <c r="I63" s="722"/>
      <c r="J63" s="722"/>
      <c r="K63" s="151"/>
      <c r="L63" s="106"/>
      <c r="M63" s="83"/>
      <c r="N63" s="104"/>
      <c r="O63" s="91"/>
      <c r="P63" s="674"/>
      <c r="Q63" s="674"/>
      <c r="R63" s="674"/>
      <c r="T63" s="84"/>
      <c r="U63" s="105"/>
      <c r="V63" s="104"/>
      <c r="W63" s="894"/>
      <c r="X63" s="886"/>
      <c r="Y63" s="896"/>
      <c r="Z63" s="898"/>
      <c r="AA63" s="106"/>
      <c r="AB63" s="106"/>
      <c r="AC63" s="83"/>
      <c r="AD63" s="83"/>
      <c r="AM63" s="83"/>
      <c r="AN63" s="83"/>
      <c r="AO63" s="83"/>
      <c r="AP63" s="83"/>
    </row>
    <row r="64" spans="1:42" ht="22.2" customHeight="1" x14ac:dyDescent="0.3">
      <c r="A64" s="83"/>
      <c r="B64" s="91"/>
      <c r="C64" s="149"/>
      <c r="D64" s="722"/>
      <c r="E64" s="722"/>
      <c r="F64" s="479"/>
      <c r="G64" s="722"/>
      <c r="H64" s="722"/>
      <c r="I64" s="722"/>
      <c r="J64" s="722"/>
      <c r="K64" s="151"/>
      <c r="L64" s="106"/>
      <c r="M64" s="83"/>
      <c r="N64" s="104"/>
      <c r="O64" s="91"/>
      <c r="P64" s="859" t="s">
        <v>769</v>
      </c>
      <c r="Q64" s="859"/>
      <c r="R64" s="859"/>
      <c r="S64" s="856"/>
      <c r="T64" s="84"/>
      <c r="U64" s="105"/>
      <c r="V64" s="104"/>
      <c r="W64" s="105"/>
      <c r="X64" s="105"/>
      <c r="Y64" s="105"/>
      <c r="Z64" s="105"/>
      <c r="AA64" s="106"/>
      <c r="AB64" s="106"/>
      <c r="AC64" s="83"/>
      <c r="AD64" s="83"/>
      <c r="AM64" s="83"/>
      <c r="AN64" s="83"/>
      <c r="AO64" s="83"/>
      <c r="AP64" s="83"/>
    </row>
    <row r="65" spans="1:42" ht="22.2" customHeight="1" x14ac:dyDescent="0.3">
      <c r="A65" s="83"/>
      <c r="B65" s="91"/>
      <c r="C65" s="149"/>
      <c r="D65" s="209"/>
      <c r="E65" s="209"/>
      <c r="F65" s="209"/>
      <c r="G65" s="722"/>
      <c r="H65" s="722"/>
      <c r="I65" s="722"/>
      <c r="J65" s="722"/>
      <c r="K65" s="151"/>
      <c r="L65" s="106"/>
      <c r="M65" s="83"/>
      <c r="N65" s="104"/>
      <c r="O65" s="91"/>
      <c r="P65" s="859"/>
      <c r="Q65" s="859"/>
      <c r="R65" s="859"/>
      <c r="S65" s="857"/>
      <c r="T65" s="84"/>
      <c r="U65" s="105"/>
      <c r="V65" s="104"/>
      <c r="W65" s="889" t="s">
        <v>735</v>
      </c>
      <c r="X65" s="890"/>
      <c r="Y65" s="891"/>
      <c r="Z65" s="610" t="s">
        <v>342</v>
      </c>
      <c r="AA65" s="106"/>
      <c r="AB65" s="106"/>
      <c r="AC65" s="83"/>
      <c r="AD65" s="83"/>
      <c r="AM65" s="83"/>
      <c r="AN65" s="83"/>
      <c r="AO65" s="83"/>
      <c r="AP65" s="83"/>
    </row>
    <row r="66" spans="1:42" ht="22.2" customHeight="1" x14ac:dyDescent="0.35">
      <c r="A66" s="83"/>
      <c r="B66" s="91"/>
      <c r="C66" s="149"/>
      <c r="D66" s="469"/>
      <c r="E66" s="199"/>
      <c r="F66" s="469"/>
      <c r="G66" s="722"/>
      <c r="H66" s="722"/>
      <c r="I66" s="722"/>
      <c r="J66" s="722"/>
      <c r="K66" s="151"/>
      <c r="L66" s="106"/>
      <c r="M66" s="83"/>
      <c r="N66" s="104"/>
      <c r="O66" s="91"/>
      <c r="P66" s="802"/>
      <c r="Q66" s="802"/>
      <c r="R66" s="674"/>
      <c r="T66" s="84"/>
      <c r="U66" s="105"/>
      <c r="V66" s="104"/>
      <c r="W66" s="893" t="str">
        <f>+W62</f>
        <v>ADD</v>
      </c>
      <c r="X66" s="885"/>
      <c r="Y66" s="895" t="str">
        <f>+Y62</f>
        <v>REMOVE</v>
      </c>
      <c r="Z66" s="897">
        <v>1</v>
      </c>
      <c r="AA66" s="106"/>
      <c r="AB66" s="106"/>
      <c r="AC66" s="83"/>
      <c r="AD66" s="83"/>
      <c r="AM66" s="83"/>
      <c r="AN66" s="83"/>
      <c r="AO66" s="83"/>
      <c r="AP66" s="83"/>
    </row>
    <row r="67" spans="1:42" ht="22.2" customHeight="1" x14ac:dyDescent="0.3">
      <c r="A67" s="83"/>
      <c r="B67" s="91"/>
      <c r="C67" s="149"/>
      <c r="D67" s="469"/>
      <c r="E67" s="199"/>
      <c r="F67" s="469"/>
      <c r="G67" s="722"/>
      <c r="H67" s="92"/>
      <c r="I67" s="92"/>
      <c r="J67" s="92"/>
      <c r="K67" s="151"/>
      <c r="L67" s="106"/>
      <c r="M67" s="83"/>
      <c r="N67" s="104"/>
      <c r="O67" s="803"/>
      <c r="P67" s="850" t="s">
        <v>770</v>
      </c>
      <c r="Q67" s="851"/>
      <c r="R67" s="852"/>
      <c r="S67" s="856"/>
      <c r="T67" s="84"/>
      <c r="U67" s="105"/>
      <c r="V67" s="104"/>
      <c r="W67" s="894"/>
      <c r="X67" s="886"/>
      <c r="Y67" s="896"/>
      <c r="Z67" s="898"/>
      <c r="AA67" s="106"/>
      <c r="AB67" s="106"/>
      <c r="AC67" s="83"/>
      <c r="AD67" s="83"/>
      <c r="AM67" s="83"/>
      <c r="AN67" s="83"/>
      <c r="AO67" s="83"/>
      <c r="AP67" s="83"/>
    </row>
    <row r="68" spans="1:42" ht="22.2" customHeight="1" x14ac:dyDescent="0.3">
      <c r="A68" s="83"/>
      <c r="B68" s="91"/>
      <c r="C68" s="149"/>
      <c r="D68" s="469"/>
      <c r="E68" s="175"/>
      <c r="F68" s="469"/>
      <c r="G68" s="722"/>
      <c r="H68" s="92"/>
      <c r="I68" s="92"/>
      <c r="J68" s="92"/>
      <c r="K68" s="151"/>
      <c r="L68" s="106"/>
      <c r="M68" s="83"/>
      <c r="N68" s="104"/>
      <c r="O68" s="803"/>
      <c r="P68" s="853"/>
      <c r="Q68" s="854"/>
      <c r="R68" s="855"/>
      <c r="S68" s="857"/>
      <c r="T68" s="84"/>
      <c r="U68" s="105"/>
      <c r="V68" s="104"/>
      <c r="AA68" s="106"/>
      <c r="AB68" s="106"/>
      <c r="AC68" s="83"/>
      <c r="AD68" s="83"/>
      <c r="AM68" s="83"/>
      <c r="AN68" s="83"/>
      <c r="AO68" s="83"/>
      <c r="AP68" s="83"/>
    </row>
    <row r="69" spans="1:42" ht="22.2" customHeight="1" x14ac:dyDescent="0.35">
      <c r="A69" s="83"/>
      <c r="B69" s="91"/>
      <c r="C69" s="149"/>
      <c r="D69" s="469"/>
      <c r="E69" s="175"/>
      <c r="F69" s="469"/>
      <c r="G69" s="722"/>
      <c r="H69" s="92"/>
      <c r="I69" s="92"/>
      <c r="J69" s="92"/>
      <c r="K69" s="151"/>
      <c r="L69" s="106"/>
      <c r="M69" s="83"/>
      <c r="N69" s="104"/>
      <c r="O69" s="803"/>
      <c r="P69" s="674"/>
      <c r="Q69" s="674"/>
      <c r="R69" s="674"/>
      <c r="T69" s="84"/>
      <c r="U69" s="105"/>
      <c r="V69" s="104"/>
      <c r="W69" s="888" t="s">
        <v>268</v>
      </c>
      <c r="X69" s="888"/>
      <c r="Y69" s="888"/>
      <c r="Z69" s="888"/>
      <c r="AA69" s="106"/>
      <c r="AB69" s="106"/>
      <c r="AC69" s="83"/>
      <c r="AD69" s="83"/>
      <c r="AM69" s="83"/>
      <c r="AN69" s="83"/>
      <c r="AO69" s="83"/>
      <c r="AP69" s="83"/>
    </row>
    <row r="70" spans="1:42" ht="22.2" customHeight="1" x14ac:dyDescent="0.3">
      <c r="A70" s="83"/>
      <c r="B70" s="91"/>
      <c r="C70" s="149"/>
      <c r="D70" s="722"/>
      <c r="E70" s="722"/>
      <c r="F70" s="722"/>
      <c r="G70" s="722"/>
      <c r="H70" s="553" t="s">
        <v>360</v>
      </c>
      <c r="I70" s="553" t="s">
        <v>667</v>
      </c>
      <c r="J70" s="530" t="s">
        <v>235</v>
      </c>
      <c r="K70" s="151"/>
      <c r="L70" s="106"/>
      <c r="M70" s="83"/>
      <c r="N70" s="104"/>
      <c r="O70" s="91"/>
      <c r="P70" s="850" t="s">
        <v>771</v>
      </c>
      <c r="Q70" s="851"/>
      <c r="R70" s="852"/>
      <c r="S70" s="858"/>
      <c r="T70" s="84"/>
      <c r="U70" s="105"/>
      <c r="V70" s="104"/>
      <c r="W70" s="887" t="s">
        <v>740</v>
      </c>
      <c r="X70" s="887"/>
      <c r="Y70" s="887"/>
      <c r="Z70" s="887"/>
      <c r="AA70" s="106"/>
      <c r="AB70" s="106"/>
      <c r="AC70" s="83"/>
      <c r="AD70" s="83"/>
      <c r="AM70" s="83"/>
      <c r="AN70" s="83"/>
      <c r="AO70" s="83"/>
      <c r="AP70" s="83"/>
    </row>
    <row r="71" spans="1:42" ht="22.2" customHeight="1" x14ac:dyDescent="0.3">
      <c r="A71" s="83"/>
      <c r="B71" s="91"/>
      <c r="C71" s="149"/>
      <c r="D71" s="722"/>
      <c r="E71" s="722"/>
      <c r="F71" s="722"/>
      <c r="G71" s="722"/>
      <c r="H71" s="613" t="s">
        <v>661</v>
      </c>
      <c r="I71" s="541"/>
      <c r="J71" s="541" t="s">
        <v>689</v>
      </c>
      <c r="K71" s="151"/>
      <c r="L71" s="106"/>
      <c r="M71" s="83"/>
      <c r="N71" s="104"/>
      <c r="O71" s="91"/>
      <c r="P71" s="853"/>
      <c r="Q71" s="854"/>
      <c r="R71" s="855"/>
      <c r="S71" s="858"/>
      <c r="T71" s="84"/>
      <c r="U71" s="105"/>
      <c r="V71" s="104"/>
      <c r="W71" s="887"/>
      <c r="X71" s="887"/>
      <c r="Y71" s="887"/>
      <c r="Z71" s="887"/>
      <c r="AA71" s="106"/>
      <c r="AB71" s="106"/>
      <c r="AC71" s="83"/>
      <c r="AD71" s="83"/>
      <c r="AN71" s="83"/>
      <c r="AO71" s="83"/>
      <c r="AP71" s="83"/>
    </row>
    <row r="72" spans="1:42" ht="22.2" customHeight="1" x14ac:dyDescent="0.3">
      <c r="A72" s="83"/>
      <c r="B72" s="91"/>
      <c r="C72" s="149"/>
      <c r="D72" s="722"/>
      <c r="E72" s="722"/>
      <c r="F72" s="722"/>
      <c r="G72" s="722"/>
      <c r="H72" s="613" t="s">
        <v>662</v>
      </c>
      <c r="I72" s="541"/>
      <c r="J72" s="541"/>
      <c r="K72" s="151"/>
      <c r="L72" s="106"/>
      <c r="M72" s="83"/>
      <c r="N72" s="104"/>
      <c r="O72" s="91"/>
      <c r="P72" s="805"/>
      <c r="Q72" s="805"/>
      <c r="T72" s="84"/>
      <c r="U72" s="105"/>
      <c r="V72" s="104"/>
      <c r="W72" s="887"/>
      <c r="X72" s="887"/>
      <c r="Y72" s="887"/>
      <c r="Z72" s="887"/>
      <c r="AA72" s="106"/>
      <c r="AB72" s="106"/>
      <c r="AC72" s="83"/>
      <c r="AD72" s="83"/>
      <c r="AO72" s="83"/>
      <c r="AP72" s="83"/>
    </row>
    <row r="73" spans="1:42" ht="22.2" customHeight="1" x14ac:dyDescent="0.3">
      <c r="A73" s="83"/>
      <c r="B73" s="91"/>
      <c r="C73" s="150"/>
      <c r="D73" s="152"/>
      <c r="E73" s="152"/>
      <c r="F73" s="152"/>
      <c r="G73" s="152"/>
      <c r="H73" s="152"/>
      <c r="I73" s="152"/>
      <c r="J73" s="152"/>
      <c r="K73" s="153"/>
      <c r="L73" s="106"/>
      <c r="M73" s="83"/>
      <c r="N73" s="104"/>
      <c r="O73" s="394"/>
      <c r="P73" s="806"/>
      <c r="Q73" s="806"/>
      <c r="R73" s="395"/>
      <c r="S73" s="395"/>
      <c r="T73" s="397"/>
      <c r="U73" s="105"/>
      <c r="V73" s="107"/>
      <c r="W73" s="108"/>
      <c r="X73" s="108"/>
      <c r="Y73" s="108"/>
      <c r="Z73" s="108"/>
      <c r="AA73" s="109"/>
      <c r="AB73" s="106"/>
      <c r="AC73" s="83"/>
      <c r="AD73" s="83"/>
      <c r="AO73" s="83"/>
      <c r="AP73" s="83"/>
    </row>
    <row r="74" spans="1:42" ht="18" customHeight="1" x14ac:dyDescent="0.3">
      <c r="A74" s="83"/>
      <c r="B74" s="394"/>
      <c r="C74" s="395"/>
      <c r="D74" s="395"/>
      <c r="E74" s="395"/>
      <c r="F74" s="395"/>
      <c r="G74" s="395"/>
      <c r="H74" s="395"/>
      <c r="I74" s="108"/>
      <c r="J74" s="108"/>
      <c r="K74" s="108"/>
      <c r="L74" s="109"/>
      <c r="M74" s="83"/>
      <c r="N74" s="107"/>
      <c r="O74" s="727"/>
      <c r="P74" s="727"/>
      <c r="Q74" s="727"/>
      <c r="R74" s="108"/>
      <c r="S74" s="108"/>
      <c r="T74" s="108"/>
      <c r="U74" s="108"/>
      <c r="V74" s="108"/>
      <c r="W74" s="108"/>
      <c r="X74" s="108"/>
      <c r="Y74" s="108"/>
      <c r="Z74" s="108"/>
      <c r="AA74" s="108"/>
      <c r="AB74" s="109"/>
      <c r="AC74" s="83"/>
      <c r="AD74" s="83"/>
      <c r="AO74" s="83"/>
      <c r="AP74" s="83"/>
    </row>
    <row r="75" spans="1:42" ht="18" customHeight="1" x14ac:dyDescent="0.3">
      <c r="A75" s="83"/>
      <c r="I75" s="83"/>
      <c r="J75" s="83"/>
      <c r="K75" s="83"/>
      <c r="L75" s="83"/>
      <c r="M75" s="83"/>
      <c r="N75" s="105"/>
      <c r="O75" s="444"/>
      <c r="P75" s="444"/>
      <c r="Q75" s="444"/>
      <c r="R75" s="105"/>
      <c r="S75" s="105"/>
      <c r="T75" s="105"/>
      <c r="U75" s="83"/>
      <c r="V75" s="83"/>
      <c r="W75" s="83"/>
      <c r="X75" s="83"/>
      <c r="Y75" s="83"/>
      <c r="Z75" s="83"/>
      <c r="AA75" s="83"/>
      <c r="AB75" s="83"/>
      <c r="AC75" s="83"/>
      <c r="AD75" s="83"/>
      <c r="AO75" s="83"/>
      <c r="AP75" s="83"/>
    </row>
    <row r="76" spans="1:42" ht="18" customHeight="1" x14ac:dyDescent="0.3">
      <c r="A76" s="83"/>
      <c r="I76" s="83"/>
      <c r="J76" s="83"/>
      <c r="K76" s="83"/>
      <c r="L76" s="83"/>
      <c r="M76" s="83"/>
      <c r="N76" s="105"/>
      <c r="P76" s="444"/>
      <c r="Q76" s="444"/>
      <c r="R76" s="105"/>
      <c r="S76" s="105"/>
      <c r="T76" s="105"/>
      <c r="U76" s="83"/>
      <c r="V76" s="83"/>
      <c r="W76" s="83"/>
      <c r="X76" s="83"/>
      <c r="Y76" s="83"/>
      <c r="Z76" s="83"/>
      <c r="AA76" s="83"/>
      <c r="AB76" s="83"/>
      <c r="AC76" s="83"/>
      <c r="AD76" s="83"/>
      <c r="AO76" s="83"/>
      <c r="AP76" s="83"/>
    </row>
    <row r="77" spans="1:42" ht="18" customHeight="1" x14ac:dyDescent="0.3">
      <c r="A77" s="83"/>
      <c r="I77" s="83"/>
      <c r="J77" s="83"/>
      <c r="K77" s="83"/>
      <c r="L77" s="83"/>
      <c r="M77" s="83"/>
      <c r="N77" s="105"/>
      <c r="O77" s="92"/>
      <c r="P77" s="105"/>
      <c r="Q77" s="105"/>
      <c r="R77" s="105"/>
      <c r="S77" s="105"/>
      <c r="T77" s="105"/>
      <c r="U77" s="83"/>
      <c r="V77" s="83"/>
      <c r="W77" s="83"/>
      <c r="X77" s="83"/>
      <c r="Y77" s="83"/>
      <c r="Z77" s="83"/>
      <c r="AA77" s="83"/>
      <c r="AB77" s="83"/>
      <c r="AC77" s="83"/>
      <c r="AD77" s="83"/>
      <c r="AO77" s="83"/>
      <c r="AP77" s="83"/>
    </row>
    <row r="78" spans="1:42" ht="18" customHeight="1" x14ac:dyDescent="0.3">
      <c r="A78" s="83"/>
      <c r="I78" s="83"/>
      <c r="J78" s="83"/>
      <c r="K78" s="83"/>
      <c r="L78" s="83"/>
      <c r="M78" s="83"/>
      <c r="N78" s="105"/>
      <c r="O78" s="105"/>
      <c r="P78" s="105"/>
      <c r="Q78" s="105"/>
      <c r="R78" s="105"/>
      <c r="S78" s="105"/>
      <c r="T78" s="105"/>
      <c r="U78" s="83"/>
      <c r="V78" s="83"/>
      <c r="W78" s="83"/>
      <c r="X78" s="83"/>
      <c r="Y78" s="83"/>
      <c r="Z78" s="83"/>
      <c r="AA78" s="83"/>
      <c r="AB78" s="83"/>
      <c r="AC78" s="83"/>
      <c r="AD78" s="83"/>
      <c r="AO78" s="83"/>
      <c r="AP78" s="83"/>
    </row>
    <row r="79" spans="1:42" ht="18" customHeight="1" x14ac:dyDescent="0.3">
      <c r="A79" s="83"/>
      <c r="I79" s="83"/>
      <c r="J79" s="83"/>
      <c r="K79" s="83"/>
      <c r="L79" s="83"/>
      <c r="M79" s="83"/>
      <c r="N79" s="105"/>
      <c r="O79" s="105"/>
      <c r="P79" s="105"/>
      <c r="Q79" s="105"/>
      <c r="R79" s="105"/>
      <c r="S79" s="105"/>
      <c r="T79" s="105"/>
      <c r="U79" s="83"/>
      <c r="V79" s="83"/>
      <c r="W79" s="83"/>
      <c r="X79" s="83"/>
      <c r="Y79" s="83"/>
      <c r="Z79" s="83"/>
      <c r="AA79" s="83"/>
      <c r="AB79" s="83"/>
      <c r="AC79" s="83"/>
      <c r="AD79" s="83"/>
      <c r="AO79" s="83"/>
      <c r="AP79" s="83"/>
    </row>
    <row r="80" spans="1:42" ht="18" customHeight="1" x14ac:dyDescent="0.3">
      <c r="A80" s="83"/>
      <c r="I80" s="83"/>
      <c r="J80" s="83"/>
      <c r="K80" s="83"/>
      <c r="L80" s="83"/>
      <c r="M80" s="83"/>
      <c r="N80" s="105"/>
      <c r="O80" s="105"/>
      <c r="P80" s="105"/>
      <c r="Q80" s="105"/>
      <c r="R80" s="105"/>
      <c r="S80" s="105"/>
      <c r="T80" s="105"/>
      <c r="U80" s="83"/>
      <c r="V80" s="83"/>
      <c r="W80" s="83"/>
      <c r="X80" s="83"/>
      <c r="Y80" s="83"/>
      <c r="Z80" s="83"/>
      <c r="AA80" s="83"/>
      <c r="AB80" s="83"/>
      <c r="AC80" s="83"/>
      <c r="AD80" s="83"/>
      <c r="AO80" s="83"/>
      <c r="AP80" s="83"/>
    </row>
    <row r="81" spans="1:42" ht="15" customHeight="1" x14ac:dyDescent="0.3">
      <c r="A81" s="83"/>
      <c r="B81" s="105"/>
      <c r="C81" s="105"/>
      <c r="D81" s="105"/>
      <c r="E81" s="105"/>
      <c r="F81" s="105"/>
      <c r="G81" s="105"/>
      <c r="H81" s="105"/>
      <c r="I81" s="83"/>
      <c r="J81" s="83"/>
      <c r="K81" s="83"/>
      <c r="L81" s="83"/>
      <c r="M81" s="83"/>
      <c r="N81" s="83"/>
      <c r="O81" s="83"/>
      <c r="P81" s="83"/>
      <c r="Q81" s="83"/>
      <c r="R81" s="83"/>
      <c r="S81" s="83"/>
      <c r="T81" s="83"/>
      <c r="U81" s="83"/>
      <c r="V81" s="83"/>
      <c r="W81" s="83"/>
      <c r="X81" s="83"/>
      <c r="Y81" s="83"/>
      <c r="Z81" s="83"/>
      <c r="AA81" s="83"/>
      <c r="AB81" s="83"/>
      <c r="AC81" s="83"/>
      <c r="AD81" s="83"/>
      <c r="AO81" s="83"/>
      <c r="AP81" s="83"/>
    </row>
    <row r="82" spans="1:42" x14ac:dyDescent="0.3">
      <c r="A82" s="83"/>
      <c r="B82" s="105"/>
      <c r="C82" s="105"/>
      <c r="D82" s="105"/>
      <c r="E82" s="105"/>
      <c r="F82" s="105"/>
      <c r="G82" s="105"/>
      <c r="H82" s="105"/>
      <c r="I82" s="83"/>
      <c r="J82" s="83"/>
      <c r="K82" s="83"/>
      <c r="L82" s="83"/>
      <c r="M82" s="83"/>
      <c r="N82" s="83"/>
      <c r="O82" s="83"/>
      <c r="P82" s="83"/>
      <c r="Q82" s="83"/>
      <c r="R82" s="83"/>
      <c r="S82" s="83"/>
      <c r="T82" s="83"/>
      <c r="U82" s="83"/>
      <c r="V82" s="83"/>
      <c r="W82" s="83"/>
      <c r="X82" s="83"/>
      <c r="Y82" s="83"/>
      <c r="Z82" s="83"/>
      <c r="AA82" s="83"/>
      <c r="AB82" s="83"/>
      <c r="AC82" s="83"/>
      <c r="AD82" s="83"/>
      <c r="AO82" s="83"/>
      <c r="AP82" s="83"/>
    </row>
    <row r="83" spans="1:42"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O83" s="83"/>
      <c r="AP83" s="83"/>
    </row>
    <row r="84" spans="1:42"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O84" s="83"/>
      <c r="AP84" s="83"/>
    </row>
    <row r="85" spans="1:42"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O85" s="83"/>
      <c r="AP85" s="83"/>
    </row>
    <row r="86" spans="1:42" x14ac:dyDescent="0.3">
      <c r="AO86" s="83"/>
    </row>
    <row r="87" spans="1:42" x14ac:dyDescent="0.3">
      <c r="AO87" s="83"/>
    </row>
    <row r="88" spans="1:42" x14ac:dyDescent="0.3">
      <c r="AO88" s="83"/>
    </row>
    <row r="89" spans="1:42" x14ac:dyDescent="0.3">
      <c r="AO89" s="83"/>
    </row>
    <row r="90" spans="1:42" x14ac:dyDescent="0.3">
      <c r="AO90" s="83"/>
    </row>
    <row r="91" spans="1:42" x14ac:dyDescent="0.3">
      <c r="AO91" s="83"/>
    </row>
  </sheetData>
  <mergeCells count="50">
    <mergeCell ref="X62:X63"/>
    <mergeCell ref="W70:Z72"/>
    <mergeCell ref="W69:Z69"/>
    <mergeCell ref="W61:Y61"/>
    <mergeCell ref="W57:Y57"/>
    <mergeCell ref="W65:Y65"/>
    <mergeCell ref="W58:W59"/>
    <mergeCell ref="Y58:Y59"/>
    <mergeCell ref="Z58:Z59"/>
    <mergeCell ref="Z62:Z63"/>
    <mergeCell ref="Z66:Z67"/>
    <mergeCell ref="Y66:Y67"/>
    <mergeCell ref="W66:W67"/>
    <mergeCell ref="W62:W63"/>
    <mergeCell ref="Y62:Y63"/>
    <mergeCell ref="X66:X67"/>
    <mergeCell ref="AE3:AG3"/>
    <mergeCell ref="C54:K54"/>
    <mergeCell ref="O55:T55"/>
    <mergeCell ref="V55:AA55"/>
    <mergeCell ref="O36:T36"/>
    <mergeCell ref="C3:K3"/>
    <mergeCell ref="O3:AA3"/>
    <mergeCell ref="I5:J5"/>
    <mergeCell ref="D5:E5"/>
    <mergeCell ref="C12:K12"/>
    <mergeCell ref="C34:K34"/>
    <mergeCell ref="O34:T34"/>
    <mergeCell ref="V34:AA34"/>
    <mergeCell ref="X39:AA39"/>
    <mergeCell ref="X43:AA43"/>
    <mergeCell ref="X44:AA44"/>
    <mergeCell ref="X45:AA45"/>
    <mergeCell ref="O37:T53"/>
    <mergeCell ref="X36:AA36"/>
    <mergeCell ref="X37:AA37"/>
    <mergeCell ref="X38:AA38"/>
    <mergeCell ref="X42:AA42"/>
    <mergeCell ref="X40:AA40"/>
    <mergeCell ref="X41:AA41"/>
    <mergeCell ref="P67:R68"/>
    <mergeCell ref="S67:S68"/>
    <mergeCell ref="P70:R71"/>
    <mergeCell ref="S70:S71"/>
    <mergeCell ref="P58:R59"/>
    <mergeCell ref="S58:S59"/>
    <mergeCell ref="P61:R62"/>
    <mergeCell ref="S61:S62"/>
    <mergeCell ref="P64:R65"/>
    <mergeCell ref="S64:S65"/>
  </mergeCells>
  <phoneticPr fontId="14" type="noConversion"/>
  <dataValidations count="3">
    <dataValidation type="list" allowBlank="1" showInputMessage="1" showErrorMessage="1" sqref="E8" xr:uid="{41B5DABE-E522-4814-BAD4-96683FA3E02A}">
      <formula1>Year</formula1>
    </dataValidation>
    <dataValidation type="list" allowBlank="1" showInputMessage="1" showErrorMessage="1" sqref="E9" xr:uid="{8115C832-C02F-41D0-94F9-E00A07530674}">
      <formula1>Currency</formula1>
    </dataValidation>
    <dataValidation type="list" allowBlank="1" showInputMessage="1" showErrorMessage="1" sqref="E7" xr:uid="{C98C98DB-57DE-4E5B-9722-ED63E7711E62}">
      <formula1>Location</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0710" r:id="rId4" name="Button 6">
              <controlPr defaultSize="0" print="0" autoFill="0" autoPict="0" macro="[0]!Streamup">
                <anchor moveWithCells="1" sizeWithCells="1">
                  <from>
                    <xdr:col>23</xdr:col>
                    <xdr:colOff>38100</xdr:colOff>
                    <xdr:row>57</xdr:row>
                    <xdr:rowOff>22860</xdr:rowOff>
                  </from>
                  <to>
                    <xdr:col>23</xdr:col>
                    <xdr:colOff>609600</xdr:colOff>
                    <xdr:row>58</xdr:row>
                    <xdr:rowOff>251460</xdr:rowOff>
                  </to>
                </anchor>
              </controlPr>
            </control>
          </mc:Choice>
        </mc:AlternateContent>
        <mc:AlternateContent xmlns:mc="http://schemas.openxmlformats.org/markup-compatibility/2006">
          <mc:Choice Requires="x14">
            <control shapeId="200711" r:id="rId5" name="Button 7">
              <controlPr defaultSize="0" print="0" autoFill="0" autoPict="0" macro="[0]!Streamdw">
                <anchor moveWithCells="1" sizeWithCells="1">
                  <from>
                    <xdr:col>23</xdr:col>
                    <xdr:colOff>678180</xdr:colOff>
                    <xdr:row>57</xdr:row>
                    <xdr:rowOff>30480</xdr:rowOff>
                  </from>
                  <to>
                    <xdr:col>23</xdr:col>
                    <xdr:colOff>1226820</xdr:colOff>
                    <xdr:row>58</xdr:row>
                    <xdr:rowOff>251460</xdr:rowOff>
                  </to>
                </anchor>
              </controlPr>
            </control>
          </mc:Choice>
        </mc:AlternateContent>
        <mc:AlternateContent xmlns:mc="http://schemas.openxmlformats.org/markup-compatibility/2006">
          <mc:Choice Requires="x14">
            <control shapeId="200715" r:id="rId6" name="Button 11">
              <controlPr defaultSize="0" print="0" autoFill="0" autoPict="0" macro="[0]!Propertyup">
                <anchor moveWithCells="1" sizeWithCells="1">
                  <from>
                    <xdr:col>23</xdr:col>
                    <xdr:colOff>38100</xdr:colOff>
                    <xdr:row>61</xdr:row>
                    <xdr:rowOff>22860</xdr:rowOff>
                  </from>
                  <to>
                    <xdr:col>23</xdr:col>
                    <xdr:colOff>609600</xdr:colOff>
                    <xdr:row>62</xdr:row>
                    <xdr:rowOff>251460</xdr:rowOff>
                  </to>
                </anchor>
              </controlPr>
            </control>
          </mc:Choice>
        </mc:AlternateContent>
        <mc:AlternateContent xmlns:mc="http://schemas.openxmlformats.org/markup-compatibility/2006">
          <mc:Choice Requires="x14">
            <control shapeId="200716" r:id="rId7" name="Button 12">
              <controlPr defaultSize="0" print="0" autoFill="0" autoPict="0" macro="[0]!Propertydw">
                <anchor moveWithCells="1" sizeWithCells="1">
                  <from>
                    <xdr:col>23</xdr:col>
                    <xdr:colOff>678180</xdr:colOff>
                    <xdr:row>61</xdr:row>
                    <xdr:rowOff>30480</xdr:rowOff>
                  </from>
                  <to>
                    <xdr:col>23</xdr:col>
                    <xdr:colOff>1226820</xdr:colOff>
                    <xdr:row>62</xdr:row>
                    <xdr:rowOff>251460</xdr:rowOff>
                  </to>
                </anchor>
              </controlPr>
            </control>
          </mc:Choice>
        </mc:AlternateContent>
        <mc:AlternateContent xmlns:mc="http://schemas.openxmlformats.org/markup-compatibility/2006">
          <mc:Choice Requires="x14">
            <control shapeId="200720" r:id="rId8" name="Button 16">
              <controlPr defaultSize="0" print="0" autoFill="0" autoPict="0" macro="[0]!Componentup">
                <anchor moveWithCells="1" sizeWithCells="1">
                  <from>
                    <xdr:col>23</xdr:col>
                    <xdr:colOff>38100</xdr:colOff>
                    <xdr:row>65</xdr:row>
                    <xdr:rowOff>22860</xdr:rowOff>
                  </from>
                  <to>
                    <xdr:col>23</xdr:col>
                    <xdr:colOff>609600</xdr:colOff>
                    <xdr:row>66</xdr:row>
                    <xdr:rowOff>251460</xdr:rowOff>
                  </to>
                </anchor>
              </controlPr>
            </control>
          </mc:Choice>
        </mc:AlternateContent>
        <mc:AlternateContent xmlns:mc="http://schemas.openxmlformats.org/markup-compatibility/2006">
          <mc:Choice Requires="x14">
            <control shapeId="200721" r:id="rId9" name="Button 17">
              <controlPr defaultSize="0" print="0" autoFill="0" autoPict="0" macro="[0]!Componentdw">
                <anchor moveWithCells="1" sizeWithCells="1">
                  <from>
                    <xdr:col>23</xdr:col>
                    <xdr:colOff>678180</xdr:colOff>
                    <xdr:row>65</xdr:row>
                    <xdr:rowOff>30480</xdr:rowOff>
                  </from>
                  <to>
                    <xdr:col>23</xdr:col>
                    <xdr:colOff>1226820</xdr:colOff>
                    <xdr:row>66</xdr:row>
                    <xdr:rowOff>251460</xdr:rowOff>
                  </to>
                </anchor>
              </controlPr>
            </control>
          </mc:Choice>
        </mc:AlternateContent>
        <mc:AlternateContent xmlns:mc="http://schemas.openxmlformats.org/markup-compatibility/2006">
          <mc:Choice Requires="x14">
            <control shapeId="200727" r:id="rId10" name="Button 23">
              <controlPr defaultSize="0" print="0" autoFill="0" autoPict="0" macro="[0]!CAPEX">
                <anchor moveWithCells="1" sizeWithCells="1">
                  <from>
                    <xdr:col>18</xdr:col>
                    <xdr:colOff>15240</xdr:colOff>
                    <xdr:row>57</xdr:row>
                    <xdr:rowOff>7620</xdr:rowOff>
                  </from>
                  <to>
                    <xdr:col>18</xdr:col>
                    <xdr:colOff>1150620</xdr:colOff>
                    <xdr:row>59</xdr:row>
                    <xdr:rowOff>0</xdr:rowOff>
                  </to>
                </anchor>
              </controlPr>
            </control>
          </mc:Choice>
        </mc:AlternateContent>
        <mc:AlternateContent xmlns:mc="http://schemas.openxmlformats.org/markup-compatibility/2006">
          <mc:Choice Requires="x14">
            <control shapeId="200728" r:id="rId11" name="Button 24">
              <controlPr defaultSize="0" print="0" autoFill="0" autoPict="0" macro="[0]!OPEX">
                <anchor moveWithCells="1" sizeWithCells="1">
                  <from>
                    <xdr:col>18</xdr:col>
                    <xdr:colOff>7620</xdr:colOff>
                    <xdr:row>60</xdr:row>
                    <xdr:rowOff>7620</xdr:rowOff>
                  </from>
                  <to>
                    <xdr:col>18</xdr:col>
                    <xdr:colOff>1150620</xdr:colOff>
                    <xdr:row>61</xdr:row>
                    <xdr:rowOff>281940</xdr:rowOff>
                  </to>
                </anchor>
              </controlPr>
            </control>
          </mc:Choice>
        </mc:AlternateContent>
        <mc:AlternateContent xmlns:mc="http://schemas.openxmlformats.org/markup-compatibility/2006">
          <mc:Choice Requires="x14">
            <control shapeId="200729" r:id="rId12" name="Button 25">
              <controlPr defaultSize="0" print="0" autoFill="0" autoPict="0" macro="[0]!CashFlow">
                <anchor moveWithCells="1" sizeWithCells="1">
                  <from>
                    <xdr:col>18</xdr:col>
                    <xdr:colOff>15240</xdr:colOff>
                    <xdr:row>63</xdr:row>
                    <xdr:rowOff>0</xdr:rowOff>
                  </from>
                  <to>
                    <xdr:col>18</xdr:col>
                    <xdr:colOff>1143000</xdr:colOff>
                    <xdr:row>64</xdr:row>
                    <xdr:rowOff>274320</xdr:rowOff>
                  </to>
                </anchor>
              </controlPr>
            </control>
          </mc:Choice>
        </mc:AlternateContent>
        <mc:AlternateContent xmlns:mc="http://schemas.openxmlformats.org/markup-compatibility/2006">
          <mc:Choice Requires="x14">
            <control shapeId="200730" r:id="rId13" name="Button 26">
              <controlPr defaultSize="0" print="0" autoFill="0" autoPict="0" macro="[0]!gobenchmark">
                <anchor moveWithCells="1" sizeWithCells="1">
                  <from>
                    <xdr:col>18</xdr:col>
                    <xdr:colOff>22860</xdr:colOff>
                    <xdr:row>66</xdr:row>
                    <xdr:rowOff>7620</xdr:rowOff>
                  </from>
                  <to>
                    <xdr:col>18</xdr:col>
                    <xdr:colOff>1150620</xdr:colOff>
                    <xdr:row>67</xdr:row>
                    <xdr:rowOff>274320</xdr:rowOff>
                  </to>
                </anchor>
              </controlPr>
            </control>
          </mc:Choice>
        </mc:AlternateContent>
        <mc:AlternateContent xmlns:mc="http://schemas.openxmlformats.org/markup-compatibility/2006">
          <mc:Choice Requires="x14">
            <control shapeId="200731" r:id="rId14" name="Button 27">
              <controlPr defaultSize="0" print="0" autoFill="0" autoPict="0" macro="[0]!SSM">
                <anchor moveWithCells="1" sizeWithCells="1">
                  <from>
                    <xdr:col>18</xdr:col>
                    <xdr:colOff>15240</xdr:colOff>
                    <xdr:row>69</xdr:row>
                    <xdr:rowOff>7620</xdr:rowOff>
                  </from>
                  <to>
                    <xdr:col>18</xdr:col>
                    <xdr:colOff>1143000</xdr:colOff>
                    <xdr:row>70</xdr:row>
                    <xdr:rowOff>274320</xdr:rowOff>
                  </to>
                </anchor>
              </controlPr>
            </control>
          </mc:Choice>
        </mc:AlternateContent>
      </controls>
    </mc:Choice>
  </mc:AlternateContent>
  <tableParts count="3">
    <tablePart r:id="rId15"/>
    <tablePart r:id="rId16"/>
    <tablePart r:id="rId1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3B81-0603-4A6E-BC2E-E29A685D8AD6}">
  <sheetPr codeName="Hoja23"/>
  <dimension ref="A1:BE100"/>
  <sheetViews>
    <sheetView showGridLines="0" zoomScale="25" zoomScaleNormal="25" workbookViewId="0">
      <selection activeCell="P94" sqref="P94"/>
    </sheetView>
  </sheetViews>
  <sheetFormatPr defaultColWidth="11.109375" defaultRowHeight="14.4" x14ac:dyDescent="0.3"/>
  <cols>
    <col min="1" max="2" width="3.21875" customWidth="1"/>
    <col min="3" max="19" width="19.6640625" customWidth="1"/>
    <col min="20" max="22" width="4" customWidth="1"/>
    <col min="23" max="40" width="12.88671875" customWidth="1"/>
    <col min="41" max="41" width="3.109375" customWidth="1"/>
    <col min="43" max="43" width="11.109375" style="452"/>
    <col min="44" max="44" width="11.109375" style="452"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1"/>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1"/>
    </row>
    <row r="3" spans="1:44" ht="16.2" customHeight="1" x14ac:dyDescent="0.3">
      <c r="A3" s="83"/>
      <c r="B3" s="104"/>
      <c r="C3" s="879" t="s">
        <v>270</v>
      </c>
      <c r="D3" s="880"/>
      <c r="E3" s="880"/>
      <c r="F3" s="880"/>
      <c r="G3" s="879" t="s">
        <v>229</v>
      </c>
      <c r="H3" s="881"/>
      <c r="I3" s="92"/>
      <c r="J3" s="879" t="s">
        <v>672</v>
      </c>
      <c r="K3" s="880"/>
      <c r="L3" s="880"/>
      <c r="M3" s="881"/>
      <c r="N3" s="210"/>
      <c r="O3" s="879" t="str">
        <f>+E6</f>
        <v>Unit 1</v>
      </c>
      <c r="P3" s="880"/>
      <c r="Q3" s="880"/>
      <c r="R3" s="880"/>
      <c r="S3" s="881"/>
      <c r="T3" s="106"/>
      <c r="U3" s="106"/>
      <c r="V3" s="112"/>
      <c r="W3" s="919" t="str">
        <f>+E6&amp;" Diagram"</f>
        <v>Unit 1 Diagram</v>
      </c>
      <c r="X3" s="920"/>
      <c r="Y3" s="920"/>
      <c r="Z3" s="920"/>
      <c r="AA3" s="920"/>
      <c r="AB3" s="920"/>
      <c r="AC3" s="920"/>
      <c r="AD3" s="920"/>
      <c r="AE3" s="920"/>
      <c r="AF3" s="920"/>
      <c r="AG3" s="920"/>
      <c r="AH3" s="920"/>
      <c r="AI3" s="920"/>
      <c r="AJ3" s="920"/>
      <c r="AK3" s="920"/>
      <c r="AL3" s="920"/>
      <c r="AM3" s="920"/>
      <c r="AN3" s="921"/>
      <c r="AO3" s="113"/>
      <c r="AP3" s="83"/>
      <c r="AQ3" s="241"/>
      <c r="AR3" s="451"/>
    </row>
    <row r="4" spans="1:44" ht="16.2" customHeight="1" x14ac:dyDescent="0.3">
      <c r="A4" s="83"/>
      <c r="B4" s="104"/>
      <c r="C4" s="105"/>
      <c r="D4" s="105"/>
      <c r="E4" s="105"/>
      <c r="F4" s="105"/>
      <c r="G4" s="105"/>
      <c r="H4" s="105"/>
      <c r="I4" s="105"/>
      <c r="J4" s="105"/>
      <c r="K4" s="105"/>
      <c r="L4" s="105"/>
      <c r="M4" s="105"/>
      <c r="N4" s="179"/>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1"/>
    </row>
    <row r="5" spans="1:44" ht="16.2" customHeight="1" x14ac:dyDescent="0.3">
      <c r="A5" s="83"/>
      <c r="B5" s="104"/>
      <c r="C5" s="105"/>
      <c r="D5" s="882" t="s">
        <v>265</v>
      </c>
      <c r="E5" s="883"/>
      <c r="F5" s="105"/>
      <c r="G5" s="882" t="s">
        <v>267</v>
      </c>
      <c r="H5" s="883"/>
      <c r="I5" s="92"/>
      <c r="J5" s="926"/>
      <c r="K5" s="927"/>
      <c r="L5" s="214" t="s">
        <v>470</v>
      </c>
      <c r="M5" s="505" t="s">
        <v>504</v>
      </c>
      <c r="N5" s="506"/>
      <c r="O5" s="835" t="s">
        <v>580</v>
      </c>
      <c r="P5" s="836"/>
      <c r="Q5" s="836"/>
      <c r="R5" s="836"/>
      <c r="S5" s="837"/>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1"/>
    </row>
    <row r="6" spans="1:44" ht="16.2" customHeight="1" x14ac:dyDescent="0.3">
      <c r="A6" s="83"/>
      <c r="B6" s="104"/>
      <c r="C6" s="904" t="s">
        <v>496</v>
      </c>
      <c r="D6" s="277" t="s">
        <v>687</v>
      </c>
      <c r="E6" s="554" t="str">
        <f>+'Plant Overview'!V37</f>
        <v>Unit 1</v>
      </c>
      <c r="F6" s="105"/>
      <c r="G6" s="85"/>
      <c r="H6" s="393" t="s">
        <v>262</v>
      </c>
      <c r="I6" s="92"/>
      <c r="J6" s="928"/>
      <c r="K6" s="929"/>
      <c r="L6" s="188" t="s">
        <v>471</v>
      </c>
      <c r="M6" s="86" t="s">
        <v>505</v>
      </c>
      <c r="N6" s="506"/>
      <c r="O6" s="638"/>
      <c r="P6" s="506"/>
      <c r="Q6" s="506"/>
      <c r="R6" s="506"/>
      <c r="S6" s="639"/>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1"/>
    </row>
    <row r="7" spans="1:44" ht="16.2" customHeight="1" x14ac:dyDescent="0.3">
      <c r="A7" s="83"/>
      <c r="B7" s="104"/>
      <c r="C7" s="905"/>
      <c r="D7" s="277" t="s">
        <v>686</v>
      </c>
      <c r="E7" s="554" t="str">
        <f>+'Plant Overview'!W37</f>
        <v>U-100</v>
      </c>
      <c r="F7" s="105"/>
      <c r="G7" s="96"/>
      <c r="H7" s="393" t="s">
        <v>263</v>
      </c>
      <c r="I7" s="92"/>
      <c r="J7" s="928"/>
      <c r="K7" s="929"/>
      <c r="L7" s="214" t="s">
        <v>465</v>
      </c>
      <c r="M7" s="505" t="s">
        <v>503</v>
      </c>
      <c r="N7" s="506"/>
      <c r="O7" s="638"/>
      <c r="P7" s="506"/>
      <c r="Q7" s="506"/>
      <c r="R7" s="506"/>
      <c r="S7" s="639"/>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1"/>
    </row>
    <row r="8" spans="1:44" ht="16.2" customHeight="1" x14ac:dyDescent="0.3">
      <c r="A8" s="83"/>
      <c r="B8" s="104"/>
      <c r="C8" s="885"/>
      <c r="D8" s="909" t="s">
        <v>312</v>
      </c>
      <c r="E8" s="911"/>
      <c r="F8" s="105"/>
      <c r="G8" s="95"/>
      <c r="H8" s="759" t="s">
        <v>264</v>
      </c>
      <c r="I8" s="92"/>
      <c r="J8" s="928"/>
      <c r="K8" s="929"/>
      <c r="L8" s="214" t="s">
        <v>466</v>
      </c>
      <c r="M8" s="505" t="s">
        <v>501</v>
      </c>
      <c r="N8" s="506"/>
      <c r="O8" s="638"/>
      <c r="P8" s="506"/>
      <c r="Q8" s="506"/>
      <c r="R8" s="506"/>
      <c r="S8" s="639"/>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1"/>
    </row>
    <row r="9" spans="1:44" ht="16.2" customHeight="1" x14ac:dyDescent="0.3">
      <c r="A9" s="83"/>
      <c r="B9" s="104"/>
      <c r="C9" s="886"/>
      <c r="D9" s="910"/>
      <c r="E9" s="912"/>
      <c r="F9" s="105"/>
      <c r="G9" s="110"/>
      <c r="H9" s="760" t="s">
        <v>268</v>
      </c>
      <c r="I9" s="92"/>
      <c r="J9" s="930"/>
      <c r="K9" s="931"/>
      <c r="L9" s="214" t="s">
        <v>467</v>
      </c>
      <c r="M9" s="505" t="s">
        <v>502</v>
      </c>
      <c r="N9" s="506"/>
      <c r="O9" s="640"/>
      <c r="P9" s="641"/>
      <c r="Q9" s="641"/>
      <c r="R9" s="641"/>
      <c r="S9" s="642"/>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1"/>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1"/>
    </row>
    <row r="11" spans="1:44" ht="16.2" customHeight="1" x14ac:dyDescent="0.3">
      <c r="A11" s="83"/>
      <c r="B11" s="104"/>
      <c r="C11" s="105"/>
      <c r="D11" s="879" t="s">
        <v>572</v>
      </c>
      <c r="E11" s="880"/>
      <c r="F11" s="880"/>
      <c r="G11" s="880"/>
      <c r="H11" s="880"/>
      <c r="I11" s="880"/>
      <c r="J11" s="880"/>
      <c r="K11" s="880"/>
      <c r="L11" s="881"/>
      <c r="M11" s="879" t="s">
        <v>581</v>
      </c>
      <c r="N11" s="880"/>
      <c r="O11" s="880"/>
      <c r="P11" s="880"/>
      <c r="Q11" s="880"/>
      <c r="R11" s="881"/>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1"/>
    </row>
    <row r="12" spans="1:44" ht="16.2" customHeight="1" x14ac:dyDescent="0.3">
      <c r="A12" s="83"/>
      <c r="B12" s="104"/>
      <c r="C12" s="761" t="s">
        <v>239</v>
      </c>
      <c r="D12" s="768" t="s">
        <v>229</v>
      </c>
      <c r="E12" s="768" t="s">
        <v>348</v>
      </c>
      <c r="F12" s="546" t="s">
        <v>234</v>
      </c>
      <c r="G12" s="546" t="s">
        <v>476</v>
      </c>
      <c r="H12" s="547" t="s">
        <v>235</v>
      </c>
      <c r="I12" s="768" t="s">
        <v>236</v>
      </c>
      <c r="J12" s="763" t="s">
        <v>341</v>
      </c>
      <c r="K12" s="546" t="s">
        <v>340</v>
      </c>
      <c r="L12" s="546" t="s">
        <v>535</v>
      </c>
      <c r="M12" s="548" t="s">
        <v>230</v>
      </c>
      <c r="N12" s="548" t="s">
        <v>231</v>
      </c>
      <c r="O12" s="548" t="s">
        <v>232</v>
      </c>
      <c r="P12" s="548" t="s">
        <v>225</v>
      </c>
      <c r="Q12" s="548" t="s">
        <v>233</v>
      </c>
      <c r="R12" s="548" t="s">
        <v>266</v>
      </c>
      <c r="S12" s="610" t="s">
        <v>660</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1"/>
    </row>
    <row r="13" spans="1:44" ht="16.2" customHeight="1" x14ac:dyDescent="0.3">
      <c r="A13" s="83"/>
      <c r="B13" s="104"/>
      <c r="C13" s="442"/>
      <c r="D13" s="233"/>
      <c r="E13" s="268"/>
      <c r="F13" s="390"/>
      <c r="G13" s="390"/>
      <c r="H13" s="518" t="str">
        <f>IF(Tabla278891121136[[#This Row],[Subtype]]="","",VLOOKUP(Tabla278891121136[[#This Row],[Subtype]],'Unit-X00 Equipment'!$E$13:$H$107,4,FALSE))</f>
        <v/>
      </c>
      <c r="I13" s="756"/>
      <c r="J13" s="756"/>
      <c r="K13" s="756"/>
      <c r="L13" s="756"/>
      <c r="M13" s="357"/>
      <c r="N13" s="219"/>
      <c r="O13" s="219"/>
      <c r="P13" s="219"/>
      <c r="Q13" s="219"/>
      <c r="R13" s="507"/>
      <c r="S13" s="223" t="str">
        <f>+IF(Tabla258790120135[[#This Row],[Equipment]]="","",Q13*R13/10^6)</f>
        <v/>
      </c>
      <c r="T13" s="784" t="e">
        <f ca="1">+$S$52/$R$52*S13</f>
        <v>#VALUE!</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1"/>
    </row>
    <row r="14" spans="1:44" ht="16.2" customHeight="1" x14ac:dyDescent="0.3">
      <c r="A14" s="83"/>
      <c r="B14" s="104"/>
      <c r="C14" s="100"/>
      <c r="D14" s="233"/>
      <c r="E14" s="268"/>
      <c r="F14" s="390"/>
      <c r="G14" s="390"/>
      <c r="H14" s="518" t="str">
        <f>IF(Tabla278891121136[[#This Row],[Subtype]]="","",VLOOKUP(Tabla278891121136[[#This Row],[Subtype]],'Unit-X00 Equipment'!$E$13:$H$107,4,FALSE))</f>
        <v/>
      </c>
      <c r="I14" s="756"/>
      <c r="J14" s="756"/>
      <c r="K14" s="756"/>
      <c r="L14" s="756"/>
      <c r="M14" s="269"/>
      <c r="N14" s="390"/>
      <c r="O14" s="390"/>
      <c r="P14" s="390"/>
      <c r="Q14" s="390"/>
      <c r="R14" s="508"/>
      <c r="S14" s="217" t="str">
        <f>+IF(Tabla258790120135[[#This Row],[Equipment]]="","",Q14*R14/10^6)</f>
        <v/>
      </c>
      <c r="T14" s="784" t="e">
        <f t="shared" ref="T14:T43" ca="1" si="0">+$S$52/$R$52*S14</f>
        <v>#VALUE!</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1"/>
    </row>
    <row r="15" spans="1:44" ht="16.2" customHeight="1" x14ac:dyDescent="0.3">
      <c r="A15" s="83"/>
      <c r="B15" s="104"/>
      <c r="C15" s="256"/>
      <c r="D15" s="268"/>
      <c r="E15" s="268"/>
      <c r="F15" s="756"/>
      <c r="G15" s="756"/>
      <c r="H15" s="518" t="str">
        <f>IF(Tabla278891121136[[#This Row],[Subtype]]="","",VLOOKUP(Tabla278891121136[[#This Row],[Subtype]],'Unit-X00 Equipment'!$E$13:$H$107,4,FALSE))</f>
        <v/>
      </c>
      <c r="I15" s="756"/>
      <c r="J15" s="756"/>
      <c r="K15" s="756"/>
      <c r="L15" s="756"/>
      <c r="M15" s="170"/>
      <c r="N15" s="756"/>
      <c r="O15" s="390"/>
      <c r="P15" s="166"/>
      <c r="Q15" s="167"/>
      <c r="R15" s="508"/>
      <c r="S15" s="217" t="str">
        <f>+IF(Tabla258790120135[[#This Row],[Equipment]]="","",Q15*R15/10^6)</f>
        <v/>
      </c>
      <c r="T15" s="784" t="e">
        <f t="shared" ca="1" si="0"/>
        <v>#VALUE!</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1"/>
    </row>
    <row r="16" spans="1:44" ht="16.2" customHeight="1" x14ac:dyDescent="0.3">
      <c r="A16" s="83"/>
      <c r="B16" s="104"/>
      <c r="C16" s="256"/>
      <c r="D16" s="233"/>
      <c r="E16" s="268"/>
      <c r="F16" s="390"/>
      <c r="G16" s="390"/>
      <c r="H16" s="518" t="str">
        <f>IF(Tabla278891121136[[#This Row],[Subtype]]="","",VLOOKUP(Tabla278891121136[[#This Row],[Subtype]],'Unit-X00 Equipment'!$E$13:$H$107,4,FALSE))</f>
        <v/>
      </c>
      <c r="I16" s="756"/>
      <c r="J16" s="756"/>
      <c r="K16" s="756"/>
      <c r="L16" s="756"/>
      <c r="M16" s="269"/>
      <c r="N16" s="390"/>
      <c r="O16" s="390"/>
      <c r="P16" s="390"/>
      <c r="Q16" s="390"/>
      <c r="R16" s="508"/>
      <c r="S16" s="217" t="str">
        <f>+IF(Tabla258790120135[[#This Row],[Equipment]]="","",Q16*R16/10^6)</f>
        <v/>
      </c>
      <c r="T16" s="784" t="e">
        <f t="shared" ca="1" si="0"/>
        <v>#VALUE!</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1"/>
    </row>
    <row r="17" spans="1:44" ht="16.2" customHeight="1" x14ac:dyDescent="0.3">
      <c r="A17" s="83"/>
      <c r="B17" s="104"/>
      <c r="C17" s="100"/>
      <c r="D17" s="233"/>
      <c r="E17" s="267"/>
      <c r="F17" s="390"/>
      <c r="G17" s="390"/>
      <c r="H17" s="518" t="str">
        <f>IF(Tabla278891121136[[#This Row],[Subtype]]="","",VLOOKUP(Tabla278891121136[[#This Row],[Subtype]],'Unit-X00 Equipment'!$E$13:$H$107,4,FALSE))</f>
        <v/>
      </c>
      <c r="I17" s="756"/>
      <c r="J17" s="756"/>
      <c r="K17" s="756"/>
      <c r="L17" s="756"/>
      <c r="M17" s="269"/>
      <c r="N17" s="390"/>
      <c r="O17" s="390"/>
      <c r="P17" s="390"/>
      <c r="Q17" s="390"/>
      <c r="R17" s="508"/>
      <c r="S17" s="217" t="str">
        <f>+IF(Tabla258790120135[[#This Row],[Equipment]]="","",Q17*R17/10^6)</f>
        <v/>
      </c>
      <c r="T17" s="784" t="e">
        <f t="shared" ca="1" si="0"/>
        <v>#VALUE!</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1"/>
    </row>
    <row r="18" spans="1:44" ht="16.2" customHeight="1" x14ac:dyDescent="0.3">
      <c r="A18" s="83"/>
      <c r="B18" s="104"/>
      <c r="C18" s="100"/>
      <c r="D18" s="233"/>
      <c r="E18" s="268"/>
      <c r="F18" s="390"/>
      <c r="G18" s="390"/>
      <c r="H18" s="518" t="str">
        <f>IF(Tabla278891121136[[#This Row],[Subtype]]="","",VLOOKUP(Tabla278891121136[[#This Row],[Subtype]],'Unit-X00 Equipment'!$E$13:$H$107,4,FALSE))</f>
        <v/>
      </c>
      <c r="I18" s="756"/>
      <c r="J18" s="756"/>
      <c r="K18" s="756"/>
      <c r="L18" s="390"/>
      <c r="M18" s="269"/>
      <c r="N18" s="390"/>
      <c r="O18" s="390"/>
      <c r="P18" s="390"/>
      <c r="Q18" s="390"/>
      <c r="R18" s="508"/>
      <c r="S18" s="217" t="str">
        <f>+IF(Tabla258790120135[[#This Row],[Equipment]]="","",Q18*R18/10^6)</f>
        <v/>
      </c>
      <c r="T18" s="784" t="e">
        <f t="shared" ca="1" si="0"/>
        <v>#VALUE!</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1"/>
    </row>
    <row r="19" spans="1:44" ht="16.2" customHeight="1" x14ac:dyDescent="0.3">
      <c r="A19" s="83"/>
      <c r="B19" s="104"/>
      <c r="C19" s="100"/>
      <c r="D19" s="233"/>
      <c r="E19" s="268"/>
      <c r="F19" s="390"/>
      <c r="G19" s="390"/>
      <c r="H19" s="518" t="str">
        <f>IF(Tabla278891121136[[#This Row],[Subtype]]="","",VLOOKUP(Tabla278891121136[[#This Row],[Subtype]],'Unit-X00 Equipment'!$E$13:$H$107,4,FALSE))</f>
        <v/>
      </c>
      <c r="I19" s="756"/>
      <c r="J19" s="756"/>
      <c r="K19" s="756"/>
      <c r="L19" s="390"/>
      <c r="M19" s="269"/>
      <c r="N19" s="390"/>
      <c r="O19" s="390"/>
      <c r="P19" s="390"/>
      <c r="Q19" s="390"/>
      <c r="R19" s="508"/>
      <c r="S19" s="217" t="str">
        <f>+IF(Tabla258790120135[[#This Row],[Equipment]]="","",Q19*R19/10^6)</f>
        <v/>
      </c>
      <c r="T19" s="784" t="e">
        <f t="shared" ca="1" si="0"/>
        <v>#VALUE!</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1"/>
    </row>
    <row r="20" spans="1:44" ht="16.2" customHeight="1" x14ac:dyDescent="0.3">
      <c r="A20" s="83"/>
      <c r="B20" s="104"/>
      <c r="C20" s="100"/>
      <c r="D20" s="233"/>
      <c r="E20" s="268"/>
      <c r="F20" s="390"/>
      <c r="G20" s="390"/>
      <c r="H20" s="518" t="str">
        <f>IF(Tabla278891121136[[#This Row],[Subtype]]="","",VLOOKUP(Tabla278891121136[[#This Row],[Subtype]],'Unit-X00 Equipment'!$E$13:$H$107,4,FALSE))</f>
        <v/>
      </c>
      <c r="I20" s="756"/>
      <c r="J20" s="756"/>
      <c r="K20" s="756"/>
      <c r="L20" s="756"/>
      <c r="M20" s="269"/>
      <c r="N20" s="390"/>
      <c r="O20" s="390"/>
      <c r="P20" s="390"/>
      <c r="Q20" s="390"/>
      <c r="R20" s="508"/>
      <c r="S20" s="217" t="str">
        <f>+IF(Tabla258790120135[[#This Row],[Equipment]]="","",Q20*R20/10^6)</f>
        <v/>
      </c>
      <c r="T20" s="784" t="e">
        <f t="shared" ca="1" si="0"/>
        <v>#VALUE!</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1"/>
    </row>
    <row r="21" spans="1:44" ht="16.2" customHeight="1" x14ac:dyDescent="0.3">
      <c r="A21" s="83"/>
      <c r="B21" s="104"/>
      <c r="C21" s="100"/>
      <c r="D21" s="233"/>
      <c r="E21" s="268"/>
      <c r="F21" s="390"/>
      <c r="G21" s="390"/>
      <c r="H21" s="518" t="str">
        <f>IF(Tabla278891121136[[#This Row],[Subtype]]="","",VLOOKUP(Tabla278891121136[[#This Row],[Subtype]],'Unit-X00 Equipment'!$E$13:$H$107,4,FALSE))</f>
        <v/>
      </c>
      <c r="I21" s="756"/>
      <c r="J21" s="756"/>
      <c r="K21" s="756"/>
      <c r="L21" s="756"/>
      <c r="M21" s="269"/>
      <c r="N21" s="390"/>
      <c r="O21" s="390"/>
      <c r="P21" s="390"/>
      <c r="Q21" s="390"/>
      <c r="R21" s="508"/>
      <c r="S21" s="217" t="str">
        <f>+IF(Tabla258790120135[[#This Row],[Equipment]]="","",Q21*R21/10^6)</f>
        <v/>
      </c>
      <c r="T21" s="784" t="e">
        <f t="shared" ca="1" si="0"/>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1"/>
    </row>
    <row r="22" spans="1:44" ht="16.2" customHeight="1" x14ac:dyDescent="0.3">
      <c r="A22" s="83"/>
      <c r="B22" s="104"/>
      <c r="C22" s="100"/>
      <c r="D22" s="233"/>
      <c r="E22" s="268"/>
      <c r="F22" s="390"/>
      <c r="G22" s="390"/>
      <c r="H22" s="518" t="str">
        <f>IF(Tabla278891121136[[#This Row],[Subtype]]="","",VLOOKUP(Tabla278891121136[[#This Row],[Subtype]],'Unit-X00 Equipment'!$E$13:$H$107,4,FALSE))</f>
        <v/>
      </c>
      <c r="I22" s="756"/>
      <c r="J22" s="756"/>
      <c r="K22" s="756"/>
      <c r="L22" s="756"/>
      <c r="M22" s="269"/>
      <c r="N22" s="390"/>
      <c r="O22" s="390"/>
      <c r="P22" s="390"/>
      <c r="Q22" s="390"/>
      <c r="R22" s="508"/>
      <c r="S22" s="217" t="str">
        <f>+IF(Tabla258790120135[[#This Row],[Equipment]]="","",Q22*R22/10^6)</f>
        <v/>
      </c>
      <c r="T22" s="784" t="e">
        <f t="shared" ca="1" si="0"/>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1"/>
    </row>
    <row r="23" spans="1:44" ht="16.2" customHeight="1" x14ac:dyDescent="0.3">
      <c r="A23" s="83"/>
      <c r="B23" s="104"/>
      <c r="C23" s="100"/>
      <c r="D23" s="268"/>
      <c r="E23" s="268"/>
      <c r="F23" s="390"/>
      <c r="G23" s="756"/>
      <c r="H23" s="518" t="str">
        <f>IF(Tabla278891121136[[#This Row],[Subtype]]="","",VLOOKUP(Tabla278891121136[[#This Row],[Subtype]],'Unit-X00 Equipment'!$E$13:$H$107,4,FALSE))</f>
        <v/>
      </c>
      <c r="I23" s="756"/>
      <c r="J23" s="756"/>
      <c r="K23" s="756"/>
      <c r="L23" s="756"/>
      <c r="M23" s="269"/>
      <c r="N23" s="390"/>
      <c r="O23" s="390"/>
      <c r="P23" s="390"/>
      <c r="Q23" s="390"/>
      <c r="R23" s="508"/>
      <c r="S23" s="217" t="str">
        <f>+IF(Tabla258790120135[[#This Row],[Equipment]]="","",Q23*R23/10^6)</f>
        <v/>
      </c>
      <c r="T23" s="784" t="e">
        <f t="shared" ca="1" si="0"/>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1"/>
    </row>
    <row r="24" spans="1:44" ht="16.2" customHeight="1" x14ac:dyDescent="0.3">
      <c r="A24" s="83"/>
      <c r="B24" s="104"/>
      <c r="C24" s="100"/>
      <c r="D24" s="233"/>
      <c r="E24" s="268"/>
      <c r="F24" s="390"/>
      <c r="G24" s="390"/>
      <c r="H24" s="518" t="str">
        <f>IF(Tabla278891121136[[#This Row],[Subtype]]="","",VLOOKUP(Tabla278891121136[[#This Row],[Subtype]],'Unit-X00 Equipment'!$E$13:$H$107,4,FALSE))</f>
        <v/>
      </c>
      <c r="I24" s="756"/>
      <c r="J24" s="756"/>
      <c r="K24" s="756"/>
      <c r="L24" s="756"/>
      <c r="M24" s="269"/>
      <c r="N24" s="390"/>
      <c r="O24" s="390"/>
      <c r="P24" s="390"/>
      <c r="Q24" s="390"/>
      <c r="R24" s="508"/>
      <c r="S24" s="217" t="str">
        <f>+IF(Tabla258790120135[[#This Row],[Equipment]]="","",Q24*R24/10^6)</f>
        <v/>
      </c>
      <c r="T24" s="784" t="e">
        <f t="shared" ca="1" si="0"/>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1"/>
    </row>
    <row r="25" spans="1:44" ht="16.2" customHeight="1" x14ac:dyDescent="0.3">
      <c r="A25" s="83"/>
      <c r="B25" s="104"/>
      <c r="C25" s="100"/>
      <c r="D25" s="233"/>
      <c r="E25" s="268"/>
      <c r="F25" s="390"/>
      <c r="G25" s="390"/>
      <c r="H25" s="518" t="str">
        <f>IF(Tabla278891121136[[#This Row],[Subtype]]="","",VLOOKUP(Tabla278891121136[[#This Row],[Subtype]],'Unit-X00 Equipment'!$E$13:$H$107,4,FALSE))</f>
        <v/>
      </c>
      <c r="I25" s="756"/>
      <c r="J25" s="756"/>
      <c r="K25" s="756"/>
      <c r="L25" s="756"/>
      <c r="M25" s="269"/>
      <c r="N25" s="390"/>
      <c r="O25" s="390"/>
      <c r="P25" s="390"/>
      <c r="Q25" s="390"/>
      <c r="R25" s="508"/>
      <c r="S25" s="217" t="str">
        <f>+IF(Tabla258790120135[[#This Row],[Equipment]]="","",Q25*R25/10^6)</f>
        <v/>
      </c>
      <c r="T25" s="784" t="e">
        <f t="shared" ca="1" si="0"/>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1"/>
    </row>
    <row r="26" spans="1:44" ht="16.2" customHeight="1" x14ac:dyDescent="0.3">
      <c r="A26" s="83"/>
      <c r="B26" s="104"/>
      <c r="C26" s="100"/>
      <c r="D26" s="233"/>
      <c r="E26" s="268"/>
      <c r="F26" s="390"/>
      <c r="G26" s="390"/>
      <c r="H26" s="518" t="str">
        <f>IF(Tabla278891121136[[#This Row],[Subtype]]="","",VLOOKUP(Tabla278891121136[[#This Row],[Subtype]],'Unit-X00 Equipment'!$E$13:$H$107,4,FALSE))</f>
        <v/>
      </c>
      <c r="I26" s="756"/>
      <c r="J26" s="756"/>
      <c r="K26" s="756"/>
      <c r="L26" s="756"/>
      <c r="M26" s="269"/>
      <c r="N26" s="390"/>
      <c r="O26" s="390"/>
      <c r="P26" s="390"/>
      <c r="Q26" s="390"/>
      <c r="R26" s="508"/>
      <c r="S26" s="217" t="str">
        <f>+IF(Tabla258790120135[[#This Row],[Equipment]]="","",Q26*R26/10^6)</f>
        <v/>
      </c>
      <c r="T26" s="784" t="e">
        <f t="shared" ca="1" si="0"/>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1"/>
    </row>
    <row r="27" spans="1:44" ht="16.2" customHeight="1" x14ac:dyDescent="0.3">
      <c r="A27" s="83"/>
      <c r="B27" s="104"/>
      <c r="C27" s="100"/>
      <c r="D27" s="233"/>
      <c r="E27" s="268"/>
      <c r="F27" s="390"/>
      <c r="G27" s="390"/>
      <c r="H27" s="518" t="str">
        <f>IF(Tabla278891121136[[#This Row],[Subtype]]="","",VLOOKUP(Tabla278891121136[[#This Row],[Subtype]],'Unit-X00 Equipment'!$E$13:$H$107,4,FALSE))</f>
        <v/>
      </c>
      <c r="I27" s="756"/>
      <c r="J27" s="756"/>
      <c r="K27" s="756"/>
      <c r="L27" s="756"/>
      <c r="M27" s="269"/>
      <c r="N27" s="390"/>
      <c r="O27" s="390"/>
      <c r="P27" s="390"/>
      <c r="Q27" s="390"/>
      <c r="R27" s="508"/>
      <c r="S27" s="217" t="str">
        <f>+IF(Tabla258790120135[[#This Row],[Equipment]]="","",Q27*R27/10^6)</f>
        <v/>
      </c>
      <c r="T27" s="784" t="e">
        <f t="shared" ca="1" si="0"/>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1"/>
    </row>
    <row r="28" spans="1:44" ht="16.2" customHeight="1" x14ac:dyDescent="0.3">
      <c r="A28" s="83"/>
      <c r="B28" s="104"/>
      <c r="C28" s="100"/>
      <c r="D28" s="233"/>
      <c r="E28" s="268"/>
      <c r="F28" s="390"/>
      <c r="G28" s="390"/>
      <c r="H28" s="518" t="str">
        <f>IF(Tabla278891121136[[#This Row],[Subtype]]="","",VLOOKUP(Tabla278891121136[[#This Row],[Subtype]],'Unit-X00 Equipment'!$E$13:$H$107,4,FALSE))</f>
        <v/>
      </c>
      <c r="I28" s="756"/>
      <c r="J28" s="756"/>
      <c r="K28" s="756"/>
      <c r="L28" s="756"/>
      <c r="M28" s="269"/>
      <c r="N28" s="390"/>
      <c r="O28" s="390"/>
      <c r="P28" s="390"/>
      <c r="Q28" s="390"/>
      <c r="R28" s="508"/>
      <c r="S28" s="217" t="str">
        <f>+IF(Tabla258790120135[[#This Row],[Equipment]]="","",Q28*R28/10^6)</f>
        <v/>
      </c>
      <c r="T28" s="784" t="e">
        <f t="shared" ca="1" si="0"/>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1"/>
    </row>
    <row r="29" spans="1:44" ht="16.2" customHeight="1" x14ac:dyDescent="0.3">
      <c r="A29" s="83"/>
      <c r="B29" s="104"/>
      <c r="C29" s="100"/>
      <c r="D29" s="233"/>
      <c r="E29" s="268"/>
      <c r="F29" s="390"/>
      <c r="G29" s="390"/>
      <c r="H29" s="518" t="str">
        <f>IF(Tabla278891121136[[#This Row],[Subtype]]="","",VLOOKUP(Tabla278891121136[[#This Row],[Subtype]],'Unit-X00 Equipment'!$E$13:$H$107,4,FALSE))</f>
        <v/>
      </c>
      <c r="I29" s="756"/>
      <c r="J29" s="756"/>
      <c r="K29" s="756"/>
      <c r="L29" s="756"/>
      <c r="M29" s="269"/>
      <c r="N29" s="390"/>
      <c r="O29" s="390"/>
      <c r="P29" s="390"/>
      <c r="Q29" s="390"/>
      <c r="R29" s="508"/>
      <c r="S29" s="217" t="str">
        <f>+IF(Tabla258790120135[[#This Row],[Equipment]]="","",Q29*R29/10^6)</f>
        <v/>
      </c>
      <c r="T29" s="784" t="e">
        <f t="shared" ca="1" si="0"/>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1"/>
    </row>
    <row r="30" spans="1:44" ht="16.2" customHeight="1" x14ac:dyDescent="0.3">
      <c r="A30" s="83"/>
      <c r="B30" s="104"/>
      <c r="C30" s="100"/>
      <c r="D30" s="233"/>
      <c r="E30" s="268"/>
      <c r="F30" s="390"/>
      <c r="G30" s="390"/>
      <c r="H30" s="518" t="str">
        <f>IF(Tabla278891121136[[#This Row],[Subtype]]="","",VLOOKUP(Tabla278891121136[[#This Row],[Subtype]],'Unit-X00 Equipment'!$E$13:$H$107,4,FALSE))</f>
        <v/>
      </c>
      <c r="I30" s="756"/>
      <c r="J30" s="756"/>
      <c r="K30" s="756"/>
      <c r="L30" s="756"/>
      <c r="M30" s="269"/>
      <c r="N30" s="390"/>
      <c r="O30" s="390"/>
      <c r="P30" s="390"/>
      <c r="Q30" s="390"/>
      <c r="R30" s="508"/>
      <c r="S30" s="217" t="str">
        <f>+IF(Tabla258790120135[[#This Row],[Equipment]]="","",Q30*R30/10^6)</f>
        <v/>
      </c>
      <c r="T30" s="784" t="e">
        <f t="shared" ca="1" si="0"/>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1"/>
    </row>
    <row r="31" spans="1:44" ht="16.2" customHeight="1" x14ac:dyDescent="0.3">
      <c r="A31" s="83"/>
      <c r="B31" s="104"/>
      <c r="C31" s="100"/>
      <c r="D31" s="233"/>
      <c r="E31" s="268"/>
      <c r="F31" s="390"/>
      <c r="G31" s="390"/>
      <c r="H31" s="518" t="str">
        <f>IF(Tabla278891121136[[#This Row],[Subtype]]="","",VLOOKUP(Tabla278891121136[[#This Row],[Subtype]],'Unit-X00 Equipment'!$E$13:$H$107,4,FALSE))</f>
        <v/>
      </c>
      <c r="I31" s="756"/>
      <c r="J31" s="756"/>
      <c r="K31" s="756"/>
      <c r="L31" s="756"/>
      <c r="M31" s="269"/>
      <c r="N31" s="390"/>
      <c r="O31" s="390"/>
      <c r="P31" s="390"/>
      <c r="Q31" s="390"/>
      <c r="R31" s="508"/>
      <c r="S31" s="217" t="str">
        <f>+IF(Tabla258790120135[[#This Row],[Equipment]]="","",Q31*R31/10^6)</f>
        <v/>
      </c>
      <c r="T31" s="784" t="e">
        <f t="shared" ca="1" si="0"/>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1"/>
    </row>
    <row r="32" spans="1:44" ht="16.2" customHeight="1" x14ac:dyDescent="0.3">
      <c r="A32" s="83"/>
      <c r="B32" s="104"/>
      <c r="C32" s="256"/>
      <c r="D32" s="233"/>
      <c r="E32" s="268"/>
      <c r="F32" s="390"/>
      <c r="G32" s="390"/>
      <c r="H32" s="518" t="str">
        <f>IF(Tabla278891121136[[#This Row],[Subtype]]="","",VLOOKUP(Tabla278891121136[[#This Row],[Subtype]],'Unit-X00 Equipment'!$E$13:$H$107,4,FALSE))</f>
        <v/>
      </c>
      <c r="I32" s="756"/>
      <c r="J32" s="756"/>
      <c r="K32" s="756"/>
      <c r="L32" s="756"/>
      <c r="M32" s="170"/>
      <c r="N32" s="756"/>
      <c r="O32" s="756"/>
      <c r="P32" s="166"/>
      <c r="Q32" s="167"/>
      <c r="R32" s="508"/>
      <c r="S32" s="217" t="str">
        <f>+IF(Tabla258790120135[[#This Row],[Equipment]]="","",Q32*R32/10^6)</f>
        <v/>
      </c>
      <c r="T32" s="784" t="e">
        <f t="shared" ca="1" si="0"/>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1"/>
    </row>
    <row r="33" spans="1:44" ht="16.2" customHeight="1" x14ac:dyDescent="0.3">
      <c r="A33" s="83"/>
      <c r="B33" s="104"/>
      <c r="C33" s="256"/>
      <c r="D33" s="233"/>
      <c r="E33" s="268"/>
      <c r="F33" s="390"/>
      <c r="G33" s="390"/>
      <c r="H33" s="518" t="str">
        <f>IF(Tabla278891121136[[#This Row],[Subtype]]="","",VLOOKUP(Tabla278891121136[[#This Row],[Subtype]],'Unit-X00 Equipment'!$E$13:$H$107,4,FALSE))</f>
        <v/>
      </c>
      <c r="I33" s="756"/>
      <c r="J33" s="756"/>
      <c r="K33" s="756"/>
      <c r="L33" s="756"/>
      <c r="M33" s="170"/>
      <c r="N33" s="756"/>
      <c r="O33" s="756"/>
      <c r="P33" s="390"/>
      <c r="Q33" s="167"/>
      <c r="R33" s="508"/>
      <c r="S33" s="217" t="str">
        <f>+IF(Tabla258790120135[[#This Row],[Equipment]]="","",Q33*R33/10^6)</f>
        <v/>
      </c>
      <c r="T33" s="784" t="e">
        <f t="shared" ca="1" si="0"/>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1"/>
    </row>
    <row r="34" spans="1:44" ht="16.2" customHeight="1" x14ac:dyDescent="0.3">
      <c r="A34" s="83"/>
      <c r="B34" s="104"/>
      <c r="C34" s="438"/>
      <c r="D34" s="233"/>
      <c r="E34" s="268"/>
      <c r="F34" s="390"/>
      <c r="G34" s="390"/>
      <c r="H34" s="518" t="str">
        <f>IF(Tabla278891121136[[#This Row],[Subtype]]="","",VLOOKUP(Tabla278891121136[[#This Row],[Subtype]],'Unit-X00 Equipment'!$E$13:$H$107,4,FALSE))</f>
        <v/>
      </c>
      <c r="I34" s="756"/>
      <c r="J34" s="756"/>
      <c r="K34" s="756"/>
      <c r="L34" s="756"/>
      <c r="M34" s="170"/>
      <c r="N34" s="756"/>
      <c r="O34" s="756"/>
      <c r="P34" s="756"/>
      <c r="Q34" s="167"/>
      <c r="R34" s="508"/>
      <c r="S34" s="217" t="str">
        <f>+IF(Tabla258790120135[[#This Row],[Equipment]]="","",Q34*R34/10^6)</f>
        <v/>
      </c>
      <c r="T34" s="784" t="e">
        <f t="shared" ca="1" si="0"/>
        <v>#VALUE!</v>
      </c>
      <c r="U34" s="105"/>
      <c r="V34" s="116"/>
      <c r="W34" s="876" t="str">
        <f>+E6&amp;" Calculations"</f>
        <v>Unit 1 Calculations</v>
      </c>
      <c r="X34" s="877"/>
      <c r="Y34" s="877"/>
      <c r="Z34" s="877"/>
      <c r="AA34" s="877"/>
      <c r="AB34" s="877"/>
      <c r="AC34" s="877"/>
      <c r="AD34" s="877"/>
      <c r="AE34" s="877"/>
      <c r="AF34" s="877"/>
      <c r="AG34" s="877"/>
      <c r="AH34" s="877"/>
      <c r="AI34" s="877"/>
      <c r="AJ34" s="877"/>
      <c r="AK34" s="877"/>
      <c r="AL34" s="877"/>
      <c r="AM34" s="877"/>
      <c r="AN34" s="878"/>
      <c r="AO34" s="113"/>
      <c r="AP34" s="105"/>
      <c r="AQ34" s="241"/>
      <c r="AR34" s="451"/>
    </row>
    <row r="35" spans="1:44" ht="16.2" customHeight="1" x14ac:dyDescent="0.3">
      <c r="A35" s="83"/>
      <c r="B35" s="104"/>
      <c r="C35" s="438"/>
      <c r="D35" s="233"/>
      <c r="E35" s="268"/>
      <c r="F35" s="390"/>
      <c r="G35" s="390"/>
      <c r="H35" s="518" t="str">
        <f>IF(Tabla278891121136[[#This Row],[Subtype]]="","",VLOOKUP(Tabla278891121136[[#This Row],[Subtype]],'Unit-X00 Equipment'!$E$13:$H$107,4,FALSE))</f>
        <v/>
      </c>
      <c r="I35" s="756"/>
      <c r="J35" s="756"/>
      <c r="K35" s="756"/>
      <c r="L35" s="756"/>
      <c r="M35" s="170"/>
      <c r="N35" s="756"/>
      <c r="O35" s="756"/>
      <c r="P35" s="756"/>
      <c r="Q35" s="167"/>
      <c r="R35" s="508"/>
      <c r="S35" s="217" t="str">
        <f>+IF(Tabla258790120135[[#This Row],[Equipment]]="","",Q35*R35/10^6)</f>
        <v/>
      </c>
      <c r="T35" s="784" t="e">
        <f t="shared" ca="1" si="0"/>
        <v>#VALUE!</v>
      </c>
      <c r="U35" s="105"/>
      <c r="V35" s="498"/>
      <c r="W35" s="514"/>
      <c r="X35" s="514"/>
      <c r="Y35" s="514"/>
      <c r="Z35" s="514"/>
      <c r="AA35" s="514"/>
      <c r="AB35" s="517"/>
      <c r="AC35" s="514"/>
      <c r="AD35" s="514"/>
      <c r="AE35" s="514"/>
      <c r="AF35" s="514"/>
      <c r="AG35" s="514"/>
      <c r="AH35" s="514"/>
      <c r="AI35" s="514"/>
      <c r="AJ35" s="514"/>
      <c r="AK35" s="514"/>
      <c r="AL35" s="514"/>
      <c r="AM35" s="514"/>
      <c r="AN35" s="514"/>
      <c r="AO35" s="113"/>
      <c r="AP35" s="105"/>
      <c r="AQ35" s="241"/>
      <c r="AR35" s="451"/>
    </row>
    <row r="36" spans="1:44" ht="16.2" customHeight="1" x14ac:dyDescent="0.3">
      <c r="A36" s="83"/>
      <c r="B36" s="104"/>
      <c r="C36" s="438"/>
      <c r="D36" s="233"/>
      <c r="E36" s="268"/>
      <c r="F36" s="390"/>
      <c r="G36" s="390"/>
      <c r="H36" s="518" t="str">
        <f>IF(Tabla278891121136[[#This Row],[Subtype]]="","",VLOOKUP(Tabla278891121136[[#This Row],[Subtype]],'Unit-X00 Equipment'!$E$13:$H$107,4,FALSE))</f>
        <v/>
      </c>
      <c r="I36" s="756"/>
      <c r="J36" s="756"/>
      <c r="K36" s="756"/>
      <c r="L36" s="756"/>
      <c r="M36" s="170"/>
      <c r="N36" s="756"/>
      <c r="O36" s="756"/>
      <c r="P36" s="756"/>
      <c r="Q36" s="167"/>
      <c r="R36" s="508"/>
      <c r="S36" s="217" t="str">
        <f>+IF(Tabla258790120135[[#This Row],[Equipment]]="","",Q36*R36/10^6)</f>
        <v/>
      </c>
      <c r="T36" s="784" t="e">
        <f t="shared" ca="1" si="0"/>
        <v>#VALUE!</v>
      </c>
      <c r="U36" s="105"/>
      <c r="V36" s="498"/>
      <c r="W36" s="445"/>
      <c r="X36" s="445"/>
      <c r="Y36" s="445"/>
      <c r="Z36" s="445"/>
      <c r="AA36" s="515"/>
      <c r="AB36" s="445"/>
      <c r="AC36" s="445"/>
      <c r="AD36" s="445"/>
      <c r="AE36" s="445"/>
      <c r="AF36" s="445"/>
      <c r="AG36" s="445"/>
      <c r="AH36" s="445"/>
      <c r="AI36" s="445"/>
      <c r="AJ36" s="445"/>
      <c r="AK36" s="445"/>
      <c r="AL36" s="445"/>
      <c r="AM36" s="445"/>
      <c r="AN36" s="445"/>
      <c r="AO36" s="113"/>
      <c r="AP36" s="105"/>
      <c r="AQ36" s="241"/>
      <c r="AR36" s="451"/>
    </row>
    <row r="37" spans="1:44" ht="16.2" customHeight="1" x14ac:dyDescent="0.3">
      <c r="A37" s="83"/>
      <c r="B37" s="104"/>
      <c r="C37" s="438"/>
      <c r="D37" s="233"/>
      <c r="E37" s="268"/>
      <c r="F37" s="390"/>
      <c r="G37" s="390"/>
      <c r="H37" s="518" t="str">
        <f>IF(Tabla278891121136[[#This Row],[Subtype]]="","",VLOOKUP(Tabla278891121136[[#This Row],[Subtype]],'Unit-X00 Equipment'!$E$13:$H$107,4,FALSE))</f>
        <v/>
      </c>
      <c r="I37" s="756"/>
      <c r="J37" s="756"/>
      <c r="K37" s="756"/>
      <c r="L37" s="756"/>
      <c r="M37" s="170"/>
      <c r="N37" s="756"/>
      <c r="O37" s="756"/>
      <c r="P37" s="756"/>
      <c r="Q37" s="167"/>
      <c r="R37" s="508"/>
      <c r="S37" s="217" t="str">
        <f>+IF(Tabla258790120135[[#This Row],[Equipment]]="","",Q37*R37/10^6)</f>
        <v/>
      </c>
      <c r="T37" s="784" t="e">
        <f t="shared" ca="1" si="0"/>
        <v>#VALUE!</v>
      </c>
      <c r="U37" s="105"/>
      <c r="V37" s="498"/>
      <c r="W37" s="514"/>
      <c r="X37" s="514"/>
      <c r="Y37" s="514"/>
      <c r="Z37" s="514"/>
      <c r="AA37" s="514"/>
      <c r="AB37" s="520"/>
      <c r="AC37" s="520"/>
      <c r="AD37" s="520"/>
      <c r="AE37" s="520"/>
      <c r="AF37" s="520"/>
      <c r="AG37" s="520"/>
      <c r="AH37" s="520"/>
      <c r="AI37" s="520"/>
      <c r="AJ37" s="520"/>
      <c r="AK37" s="520"/>
      <c r="AL37" s="520"/>
      <c r="AM37" s="520"/>
      <c r="AN37" s="520"/>
      <c r="AO37" s="113"/>
      <c r="AP37" s="105"/>
      <c r="AQ37" s="241"/>
      <c r="AR37" s="451"/>
    </row>
    <row r="38" spans="1:44" ht="16.2" customHeight="1" x14ac:dyDescent="0.3">
      <c r="A38" s="83"/>
      <c r="B38" s="104"/>
      <c r="C38" s="438"/>
      <c r="D38" s="233"/>
      <c r="E38" s="268"/>
      <c r="F38" s="390"/>
      <c r="G38" s="390"/>
      <c r="H38" s="518" t="str">
        <f>IF(Tabla278891121136[[#This Row],[Subtype]]="","",VLOOKUP(Tabla278891121136[[#This Row],[Subtype]],'Unit-X00 Equipment'!$E$13:$H$107,4,FALSE))</f>
        <v/>
      </c>
      <c r="I38" s="756"/>
      <c r="J38" s="756"/>
      <c r="K38" s="756"/>
      <c r="L38" s="756"/>
      <c r="M38" s="170"/>
      <c r="N38" s="756"/>
      <c r="O38" s="756"/>
      <c r="P38" s="756"/>
      <c r="Q38" s="167"/>
      <c r="R38" s="508"/>
      <c r="S38" s="217" t="str">
        <f>+IF(Tabla258790120135[[#This Row],[Equipment]]="","",Q38*R38/10^6)</f>
        <v/>
      </c>
      <c r="T38" s="784" t="e">
        <f t="shared" ca="1" si="0"/>
        <v>#VALUE!</v>
      </c>
      <c r="U38" s="105"/>
      <c r="V38" s="498"/>
      <c r="W38" s="514"/>
      <c r="X38" s="514"/>
      <c r="Y38" s="514"/>
      <c r="Z38" s="514"/>
      <c r="AA38" s="514"/>
      <c r="AB38" s="512"/>
      <c r="AC38" s="512"/>
      <c r="AD38" s="512"/>
      <c r="AE38" s="512"/>
      <c r="AF38" s="521"/>
      <c r="AG38" s="521"/>
      <c r="AH38" s="521"/>
      <c r="AI38" s="521"/>
      <c r="AJ38" s="522"/>
      <c r="AK38" s="522"/>
      <c r="AL38" s="522"/>
      <c r="AM38" s="522"/>
      <c r="AN38" s="520"/>
      <c r="AO38" s="84"/>
      <c r="AP38" s="105"/>
      <c r="AQ38" s="241"/>
      <c r="AR38" s="451"/>
    </row>
    <row r="39" spans="1:44" ht="16.2" customHeight="1" x14ac:dyDescent="0.3">
      <c r="A39" s="83"/>
      <c r="B39" s="104"/>
      <c r="C39" s="93"/>
      <c r="D39" s="234"/>
      <c r="E39" s="785"/>
      <c r="F39" s="786"/>
      <c r="G39" s="786"/>
      <c r="H39" s="518" t="str">
        <f>IF(Tabla278891121136[[#This Row],[Subtype]]="","",VLOOKUP(Tabla278891121136[[#This Row],[Subtype]],'Unit-X00 Equipment'!$E$13:$H$107,4,FALSE))</f>
        <v/>
      </c>
      <c r="I39" s="92"/>
      <c r="J39" s="92"/>
      <c r="K39" s="92"/>
      <c r="L39" s="92"/>
      <c r="M39" s="270"/>
      <c r="N39" s="92"/>
      <c r="O39" s="92"/>
      <c r="P39" s="92"/>
      <c r="Q39" s="271"/>
      <c r="R39" s="509"/>
      <c r="S39" s="217" t="str">
        <f>+IF(Tabla258790120135[[#This Row],[Equipment]]="","",Q39*R39/10^6)</f>
        <v/>
      </c>
      <c r="T39" s="784" t="e">
        <f t="shared" ca="1" si="0"/>
        <v>#VALUE!</v>
      </c>
      <c r="U39" s="105"/>
      <c r="V39" s="498"/>
      <c r="W39" s="514"/>
      <c r="X39" s="247"/>
      <c r="Y39" s="247"/>
      <c r="Z39" s="514"/>
      <c r="AA39" s="514"/>
      <c r="AB39" s="514"/>
      <c r="AC39" s="514"/>
      <c r="AD39" s="514"/>
      <c r="AE39" s="514"/>
      <c r="AF39" s="384"/>
      <c r="AG39" s="384"/>
      <c r="AH39" s="384"/>
      <c r="AI39" s="384"/>
      <c r="AJ39" s="384"/>
      <c r="AK39" s="384"/>
      <c r="AL39" s="384"/>
      <c r="AM39" s="384"/>
      <c r="AN39" s="514"/>
      <c r="AO39" s="113"/>
      <c r="AP39" s="105"/>
      <c r="AQ39" s="241"/>
      <c r="AR39" s="451"/>
    </row>
    <row r="40" spans="1:44" ht="16.2" customHeight="1" x14ac:dyDescent="0.3">
      <c r="A40" s="83"/>
      <c r="B40" s="104"/>
      <c r="C40" s="93"/>
      <c r="D40" s="234"/>
      <c r="E40" s="785"/>
      <c r="F40" s="786"/>
      <c r="G40" s="786"/>
      <c r="H40" s="518" t="str">
        <f>IF(Tabla278891121136[[#This Row],[Subtype]]="","",VLOOKUP(Tabla278891121136[[#This Row],[Subtype]],'Unit-X00 Equipment'!$E$13:$H$107,4,FALSE))</f>
        <v/>
      </c>
      <c r="I40" s="92"/>
      <c r="J40" s="92"/>
      <c r="K40" s="92"/>
      <c r="L40" s="92"/>
      <c r="M40" s="270"/>
      <c r="N40" s="92"/>
      <c r="O40" s="92"/>
      <c r="P40" s="92"/>
      <c r="Q40" s="271"/>
      <c r="R40" s="509"/>
      <c r="S40" s="217" t="str">
        <f>+IF(Tabla258790120135[[#This Row],[Equipment]]="","",Q40*R40/10^6)</f>
        <v/>
      </c>
      <c r="T40" s="784" t="e">
        <f t="shared" ca="1" si="0"/>
        <v>#VALUE!</v>
      </c>
      <c r="U40" s="105"/>
      <c r="V40" s="498"/>
      <c r="W40" s="514"/>
      <c r="X40" s="247"/>
      <c r="Y40" s="247"/>
      <c r="Z40" s="514"/>
      <c r="AA40" s="514"/>
      <c r="AB40" s="514"/>
      <c r="AC40" s="446"/>
      <c r="AD40" s="514"/>
      <c r="AE40" s="514"/>
      <c r="AF40" s="514"/>
      <c r="AG40" s="383"/>
      <c r="AH40" s="514"/>
      <c r="AI40" s="383"/>
      <c r="AJ40" s="514"/>
      <c r="AK40" s="383"/>
      <c r="AL40" s="514"/>
      <c r="AM40" s="511"/>
      <c r="AN40" s="383"/>
      <c r="AO40" s="113"/>
      <c r="AP40" s="105"/>
      <c r="AQ40" s="241"/>
      <c r="AR40" s="451"/>
    </row>
    <row r="41" spans="1:44" ht="16.2" customHeight="1" x14ac:dyDescent="0.3">
      <c r="A41" s="83"/>
      <c r="B41" s="104"/>
      <c r="C41" s="256"/>
      <c r="D41" s="233"/>
      <c r="E41" s="268"/>
      <c r="F41" s="390"/>
      <c r="G41" s="390"/>
      <c r="H41" s="518" t="str">
        <f>IF(Tabla278891121136[[#This Row],[Subtype]]="","",VLOOKUP(Tabla278891121136[[#This Row],[Subtype]],'Unit-X00 Equipment'!$E$13:$H$107,4,FALSE))</f>
        <v/>
      </c>
      <c r="I41" s="756"/>
      <c r="J41" s="756"/>
      <c r="K41" s="756"/>
      <c r="L41" s="756"/>
      <c r="M41" s="170"/>
      <c r="N41" s="756"/>
      <c r="O41" s="756"/>
      <c r="P41" s="166"/>
      <c r="Q41" s="167"/>
      <c r="R41" s="508"/>
      <c r="S41" s="217" t="str">
        <f>+IF(Tabla258790120135[[#This Row],[Equipment]]="","",Q41*R41/10^6)</f>
        <v/>
      </c>
      <c r="T41" s="784" t="e">
        <f t="shared" ca="1" si="0"/>
        <v>#VALUE!</v>
      </c>
      <c r="U41" s="105"/>
      <c r="V41" s="498"/>
      <c r="W41" s="514"/>
      <c r="X41" s="511"/>
      <c r="Y41" s="511"/>
      <c r="Z41" s="514"/>
      <c r="AA41" s="514"/>
      <c r="AB41" s="514"/>
      <c r="AC41" s="514"/>
      <c r="AD41" s="514"/>
      <c r="AE41" s="514"/>
      <c r="AF41" s="514"/>
      <c r="AG41" s="383"/>
      <c r="AH41" s="514"/>
      <c r="AI41" s="383"/>
      <c r="AJ41" s="514"/>
      <c r="AK41" s="514"/>
      <c r="AL41" s="514"/>
      <c r="AM41" s="514"/>
      <c r="AN41" s="383"/>
      <c r="AO41" s="113"/>
      <c r="AP41" s="105"/>
      <c r="AQ41" s="241"/>
      <c r="AR41" s="451"/>
    </row>
    <row r="42" spans="1:44" ht="16.2" customHeight="1" x14ac:dyDescent="0.3">
      <c r="A42" s="83"/>
      <c r="B42" s="104"/>
      <c r="C42" s="256"/>
      <c r="D42" s="233"/>
      <c r="E42" s="268"/>
      <c r="F42" s="390"/>
      <c r="G42" s="390"/>
      <c r="H42" s="518" t="str">
        <f>IF(Tabla278891121136[[#This Row],[Subtype]]="","",VLOOKUP(Tabla278891121136[[#This Row],[Subtype]],'Unit-X00 Equipment'!$E$13:$H$107,4,FALSE))</f>
        <v/>
      </c>
      <c r="I42" s="756"/>
      <c r="J42" s="756"/>
      <c r="K42" s="756"/>
      <c r="L42" s="756"/>
      <c r="M42" s="170"/>
      <c r="N42" s="756"/>
      <c r="O42" s="756"/>
      <c r="P42" s="390"/>
      <c r="Q42" s="167"/>
      <c r="R42" s="508"/>
      <c r="S42" s="217" t="str">
        <f>+IF(Tabla258790120135[[#This Row],[Equipment]]="","",Q42*R42/10^6)</f>
        <v/>
      </c>
      <c r="T42" s="784" t="e">
        <f t="shared" ca="1" si="0"/>
        <v>#VALUE!</v>
      </c>
      <c r="U42" s="105"/>
      <c r="V42" s="498"/>
      <c r="W42" s="514"/>
      <c r="X42" s="511"/>
      <c r="Y42" s="511"/>
      <c r="Z42" s="514"/>
      <c r="AA42" s="514"/>
      <c r="AB42" s="514"/>
      <c r="AC42" s="514"/>
      <c r="AD42" s="514"/>
      <c r="AE42" s="514"/>
      <c r="AF42" s="514"/>
      <c r="AG42" s="383"/>
      <c r="AH42" s="514"/>
      <c r="AI42" s="514"/>
      <c r="AJ42" s="514"/>
      <c r="AK42" s="514"/>
      <c r="AL42" s="514"/>
      <c r="AM42" s="514"/>
      <c r="AN42" s="383"/>
      <c r="AO42" s="113"/>
      <c r="AP42" s="105"/>
      <c r="AQ42" s="241"/>
      <c r="AR42" s="451"/>
    </row>
    <row r="43" spans="1:44" ht="16.2" customHeight="1" x14ac:dyDescent="0.3">
      <c r="A43" s="83"/>
      <c r="B43" s="104"/>
      <c r="C43" s="438"/>
      <c r="D43" s="233"/>
      <c r="E43" s="268"/>
      <c r="F43" s="390"/>
      <c r="G43" s="390"/>
      <c r="H43" s="518" t="str">
        <f>IF(Tabla278891121136[[#This Row],[Subtype]]="","",VLOOKUP(Tabla278891121136[[#This Row],[Subtype]],'Unit-X00 Equipment'!$E$13:$H$107,4,FALSE))</f>
        <v/>
      </c>
      <c r="I43" s="756"/>
      <c r="J43" s="756"/>
      <c r="K43" s="756"/>
      <c r="L43" s="756"/>
      <c r="M43" s="331"/>
      <c r="N43" s="758"/>
      <c r="O43" s="758"/>
      <c r="P43" s="758"/>
      <c r="Q43" s="332"/>
      <c r="R43" s="510"/>
      <c r="S43" s="217" t="str">
        <f>+IF(Tabla258790120135[[#This Row],[Equipment]]="","",Q43*R43/10^6)</f>
        <v/>
      </c>
      <c r="T43" s="784" t="e">
        <f t="shared" ca="1" si="0"/>
        <v>#VALUE!</v>
      </c>
      <c r="U43" s="105"/>
      <c r="V43" s="498"/>
      <c r="W43" s="514"/>
      <c r="X43" s="247"/>
      <c r="Y43" s="247"/>
      <c r="Z43" s="514"/>
      <c r="AA43" s="514"/>
      <c r="AB43" s="514"/>
      <c r="AC43" s="514"/>
      <c r="AD43" s="514"/>
      <c r="AE43" s="514"/>
      <c r="AF43" s="511"/>
      <c r="AG43" s="383"/>
      <c r="AH43" s="514"/>
      <c r="AI43" s="514"/>
      <c r="AJ43" s="514"/>
      <c r="AK43" s="514"/>
      <c r="AL43" s="514"/>
      <c r="AM43" s="514"/>
      <c r="AN43" s="383"/>
      <c r="AO43" s="113"/>
      <c r="AP43" s="105"/>
      <c r="AQ43" s="241"/>
      <c r="AR43" s="451"/>
    </row>
    <row r="44" spans="1:44" ht="16.2" customHeight="1" x14ac:dyDescent="0.3">
      <c r="A44" s="83"/>
      <c r="B44" s="104"/>
      <c r="C44" s="439"/>
      <c r="D44" s="880" t="s">
        <v>537</v>
      </c>
      <c r="E44" s="880"/>
      <c r="F44" s="880"/>
      <c r="G44" s="880"/>
      <c r="H44" s="880"/>
      <c r="I44" s="880"/>
      <c r="J44" s="880"/>
      <c r="K44" s="880"/>
      <c r="L44" s="880"/>
      <c r="M44" s="925"/>
      <c r="N44" s="925"/>
      <c r="O44" s="925"/>
      <c r="P44" s="925"/>
      <c r="Q44" s="925"/>
      <c r="R44" s="925"/>
      <c r="S44" s="441"/>
      <c r="T44" s="106"/>
      <c r="U44" s="105"/>
      <c r="V44" s="498"/>
      <c r="W44" s="514"/>
      <c r="X44" s="247"/>
      <c r="Y44" s="247"/>
      <c r="Z44" s="514"/>
      <c r="AA44" s="514"/>
      <c r="AB44" s="514"/>
      <c r="AC44" s="514"/>
      <c r="AD44" s="514"/>
      <c r="AE44" s="514"/>
      <c r="AF44" s="511"/>
      <c r="AG44" s="383"/>
      <c r="AH44" s="514"/>
      <c r="AI44" s="514"/>
      <c r="AJ44" s="514"/>
      <c r="AK44" s="514"/>
      <c r="AL44" s="514"/>
      <c r="AM44" s="514"/>
      <c r="AN44" s="383"/>
      <c r="AO44" s="113"/>
      <c r="AP44" s="105"/>
      <c r="AQ44" s="241"/>
      <c r="AR44" s="451"/>
    </row>
    <row r="45" spans="1:44" ht="16.2" customHeight="1" x14ac:dyDescent="0.3">
      <c r="A45" s="83"/>
      <c r="B45" s="104"/>
      <c r="C45" s="550" t="s">
        <v>582</v>
      </c>
      <c r="D45" s="544" t="s">
        <v>499</v>
      </c>
      <c r="E45" s="544" t="s">
        <v>498</v>
      </c>
      <c r="F45" s="767" t="s">
        <v>464</v>
      </c>
      <c r="G45" s="767" t="s">
        <v>315</v>
      </c>
      <c r="H45" s="767" t="s">
        <v>509</v>
      </c>
      <c r="I45" s="544" t="s">
        <v>506</v>
      </c>
      <c r="J45" s="544" t="s">
        <v>235</v>
      </c>
      <c r="K45" s="544" t="s">
        <v>466</v>
      </c>
      <c r="L45" s="544" t="s">
        <v>467</v>
      </c>
      <c r="M45" s="551" t="s">
        <v>586</v>
      </c>
      <c r="N45" s="552" t="s">
        <v>469</v>
      </c>
      <c r="O45" s="548" t="s">
        <v>468</v>
      </c>
      <c r="P45" s="544" t="s">
        <v>465</v>
      </c>
      <c r="Q45" s="544" t="s">
        <v>471</v>
      </c>
      <c r="R45" s="610" t="s">
        <v>470</v>
      </c>
      <c r="S45" s="610" t="s">
        <v>497</v>
      </c>
      <c r="T45" s="106"/>
      <c r="U45" s="105"/>
      <c r="V45" s="498"/>
      <c r="W45" s="514"/>
      <c r="X45" s="247"/>
      <c r="Y45" s="247"/>
      <c r="Z45" s="514"/>
      <c r="AA45" s="514"/>
      <c r="AB45" s="514"/>
      <c r="AC45" s="514"/>
      <c r="AD45" s="514"/>
      <c r="AE45" s="514"/>
      <c r="AF45" s="511"/>
      <c r="AG45" s="383"/>
      <c r="AH45" s="514"/>
      <c r="AI45" s="514"/>
      <c r="AJ45" s="514"/>
      <c r="AK45" s="514"/>
      <c r="AL45" s="514"/>
      <c r="AM45" s="514"/>
      <c r="AN45" s="383"/>
      <c r="AO45" s="113"/>
      <c r="AP45" s="105"/>
      <c r="AQ45" s="241"/>
      <c r="AR45" s="451"/>
    </row>
    <row r="46" spans="1:44" ht="16.2" customHeight="1" x14ac:dyDescent="0.3">
      <c r="A46" s="83"/>
      <c r="B46" s="104"/>
      <c r="C46" s="382"/>
      <c r="D46" s="470"/>
      <c r="E46" s="754"/>
      <c r="F46" s="381"/>
      <c r="G46" s="381"/>
      <c r="H46" s="381"/>
      <c r="I46" s="381"/>
      <c r="J46" s="279"/>
      <c r="K46" s="754"/>
      <c r="L46" s="754"/>
      <c r="M46" s="470"/>
      <c r="N46" s="754"/>
      <c r="O46" s="754"/>
      <c r="P46" s="754"/>
      <c r="Q46" s="754"/>
      <c r="R46" s="217" t="str">
        <f t="shared" ref="R46:R50" si="1">IF(ISBLANK(Q46),"",(P46/M46)^K46*O46*((Q46/P46)/(N46/M46))^L46)</f>
        <v/>
      </c>
      <c r="S46" s="217" t="str" cm="1">
        <f t="array" aca="1" ref="S46" ca="1">IF(ISBLANK(Q46),"",IF(R46&gt;0,R46*INDIRECT(ADDRESS(MATCH(G46,'Cost Conversion'!$B$3:$B$48,0)+2,4,1,1,"Cost conversion"))*INDIRECT(ADDRESS(MATCH(H46,'Cost Conversion'!$F$3:$F$22,0)+2,8,1,1,"Cost conversion"))/IF(F46="$",'Cost Conversion'!$L$2,1),0))</f>
        <v/>
      </c>
      <c r="T46" s="787" t="str">
        <f ca="1">+S46</f>
        <v/>
      </c>
      <c r="U46" s="105"/>
      <c r="V46" s="498"/>
      <c r="W46" s="514"/>
      <c r="X46" s="247"/>
      <c r="Y46" s="247"/>
      <c r="Z46" s="514"/>
      <c r="AA46" s="514"/>
      <c r="AB46" s="514"/>
      <c r="AC46" s="514"/>
      <c r="AD46" s="514"/>
      <c r="AE46" s="514"/>
      <c r="AF46" s="511"/>
      <c r="AG46" s="383"/>
      <c r="AH46" s="514"/>
      <c r="AI46" s="514"/>
      <c r="AJ46" s="514"/>
      <c r="AK46" s="514"/>
      <c r="AL46" s="514"/>
      <c r="AM46" s="514"/>
      <c r="AN46" s="383"/>
      <c r="AO46" s="113"/>
      <c r="AP46" s="105"/>
      <c r="AQ46" s="241"/>
      <c r="AR46" s="451"/>
    </row>
    <row r="47" spans="1:44" ht="16.2" customHeight="1" x14ac:dyDescent="0.3">
      <c r="A47" s="83"/>
      <c r="B47" s="104"/>
      <c r="C47" s="382"/>
      <c r="D47" s="755"/>
      <c r="E47" s="756"/>
      <c r="F47" s="255"/>
      <c r="G47" s="255"/>
      <c r="H47" s="255"/>
      <c r="I47" s="391"/>
      <c r="J47" s="391"/>
      <c r="K47" s="756"/>
      <c r="L47" s="756"/>
      <c r="M47" s="755"/>
      <c r="N47" s="756"/>
      <c r="O47" s="756"/>
      <c r="P47" s="756"/>
      <c r="Q47" s="756"/>
      <c r="R47" s="217" t="str">
        <f t="shared" si="1"/>
        <v/>
      </c>
      <c r="S47" s="217" t="str" cm="1">
        <f t="array" aca="1" ref="S47" ca="1">IF(ISBLANK(Q47),"",IF(R47&gt;0,R47*INDIRECT(ADDRESS(MATCH(G47,'Cost Conversion'!$B$3:$B$48,0)+2,4,1,1,"Cost conversion"))*INDIRECT(ADDRESS(MATCH(H47,'Cost Conversion'!$F$3:$F$22,0)+2,8,1,1,"Cost conversion"))/IF(F47="$",'Cost Conversion'!$L$2,1),0))</f>
        <v/>
      </c>
      <c r="T47" s="787" t="str">
        <f t="shared" ref="T47:T50" ca="1" si="2">+S47</f>
        <v/>
      </c>
      <c r="U47" s="105"/>
      <c r="V47" s="498"/>
      <c r="W47" s="514"/>
      <c r="X47" s="247"/>
      <c r="Y47" s="247"/>
      <c r="Z47" s="514"/>
      <c r="AA47" s="514"/>
      <c r="AB47" s="514"/>
      <c r="AC47" s="514"/>
      <c r="AD47" s="514"/>
      <c r="AE47" s="514"/>
      <c r="AF47" s="514"/>
      <c r="AG47" s="514"/>
      <c r="AH47" s="514"/>
      <c r="AI47" s="514"/>
      <c r="AJ47" s="514"/>
      <c r="AK47" s="513"/>
      <c r="AL47" s="513"/>
      <c r="AM47" s="513"/>
      <c r="AN47" s="514"/>
      <c r="AO47" s="113"/>
      <c r="AP47" s="105"/>
      <c r="AQ47" s="241"/>
      <c r="AR47" s="451"/>
    </row>
    <row r="48" spans="1:44" ht="16.2" customHeight="1" x14ac:dyDescent="0.3">
      <c r="A48" s="83"/>
      <c r="B48" s="104"/>
      <c r="C48" s="216"/>
      <c r="D48" s="755"/>
      <c r="E48" s="756"/>
      <c r="F48" s="255"/>
      <c r="G48" s="255"/>
      <c r="H48" s="255"/>
      <c r="I48" s="756"/>
      <c r="J48" s="756"/>
      <c r="K48" s="756"/>
      <c r="L48" s="756"/>
      <c r="M48" s="755"/>
      <c r="N48" s="756"/>
      <c r="O48" s="756"/>
      <c r="P48" s="756"/>
      <c r="Q48" s="756"/>
      <c r="R48" s="217" t="str">
        <f t="shared" si="1"/>
        <v/>
      </c>
      <c r="S48" s="217" t="str" cm="1">
        <f t="array" aca="1" ref="S48" ca="1">IF(ISBLANK(Q48),"",IF(R48&gt;0,R48*INDIRECT(ADDRESS(MATCH(G48,'Cost Conversion'!$B$3:$B$48,0)+2,4,1,1,"Cost conversion"))*INDIRECT(ADDRESS(MATCH(H48,'Cost Conversion'!$F$3:$F$22,0)+2,8,1,1,"Cost conversion"))/IF(F48="$",'Cost Conversion'!$L$2,1),0))</f>
        <v/>
      </c>
      <c r="T48" s="787" t="str">
        <f t="shared" ca="1" si="2"/>
        <v/>
      </c>
      <c r="U48" s="105"/>
      <c r="V48" s="120"/>
      <c r="W48" s="512"/>
      <c r="X48" s="512"/>
      <c r="Y48" s="512"/>
      <c r="Z48" s="512"/>
      <c r="AA48" s="512"/>
      <c r="AB48" s="512"/>
      <c r="AC48" s="512"/>
      <c r="AD48" s="512"/>
      <c r="AE48" s="512"/>
      <c r="AF48" s="523"/>
      <c r="AG48" s="263" t="s">
        <v>699</v>
      </c>
      <c r="AH48" s="263" t="s">
        <v>360</v>
      </c>
      <c r="AI48" s="922" t="s">
        <v>580</v>
      </c>
      <c r="AJ48" s="923"/>
      <c r="AK48" s="923"/>
      <c r="AL48" s="923"/>
      <c r="AM48" s="923"/>
      <c r="AN48" s="924"/>
      <c r="AO48" s="113"/>
      <c r="AP48" s="105"/>
      <c r="AQ48" s="241"/>
      <c r="AR48" s="451"/>
    </row>
    <row r="49" spans="1:57" ht="16.2" customHeight="1" x14ac:dyDescent="0.3">
      <c r="A49" s="83"/>
      <c r="B49" s="104"/>
      <c r="C49" s="216"/>
      <c r="D49" s="755"/>
      <c r="E49" s="756"/>
      <c r="F49" s="255"/>
      <c r="G49" s="255"/>
      <c r="H49" s="255"/>
      <c r="I49" s="756"/>
      <c r="J49" s="756"/>
      <c r="K49" s="756"/>
      <c r="L49" s="756"/>
      <c r="M49" s="755"/>
      <c r="N49" s="756"/>
      <c r="O49" s="756"/>
      <c r="P49" s="756"/>
      <c r="Q49" s="756"/>
      <c r="R49" s="217" t="str">
        <f t="shared" si="1"/>
        <v/>
      </c>
      <c r="S49" s="217" t="str" cm="1">
        <f t="array" aca="1" ref="S49" ca="1">IF(ISBLANK(Q49),"",IF(R49&gt;0,R49*INDIRECT(ADDRESS(MATCH(G49,'Cost Conversion'!$B$3:$B$48,0)+2,4,1,1,"Cost conversion"))*INDIRECT(ADDRESS(MATCH(H49,'Cost Conversion'!$F$3:$F$22,0)+2,8,1,1,"Cost conversion"))/IF(F49="$",'Cost Conversion'!$L$2,1),0))</f>
        <v/>
      </c>
      <c r="T49" s="787" t="str">
        <f t="shared" ca="1" si="2"/>
        <v/>
      </c>
      <c r="U49" s="105"/>
      <c r="V49" s="120"/>
      <c r="W49" s="512"/>
      <c r="X49" s="512"/>
      <c r="Y49" s="512"/>
      <c r="Z49" s="512"/>
      <c r="AA49" s="512"/>
      <c r="AB49" s="512"/>
      <c r="AC49" s="512"/>
      <c r="AD49" s="512"/>
      <c r="AE49" s="512"/>
      <c r="AF49" s="523"/>
      <c r="AG49" s="643"/>
      <c r="AH49" s="644"/>
      <c r="AI49" s="645"/>
      <c r="AJ49" s="645"/>
      <c r="AK49" s="645"/>
      <c r="AL49" s="645"/>
      <c r="AM49" s="645"/>
      <c r="AN49" s="646"/>
      <c r="AO49" s="113"/>
      <c r="AP49" s="105"/>
      <c r="AQ49" s="241"/>
      <c r="AR49" s="451"/>
    </row>
    <row r="50" spans="1:57" ht="16.2" customHeight="1" x14ac:dyDescent="0.3">
      <c r="A50" s="83"/>
      <c r="B50" s="104"/>
      <c r="C50" s="216"/>
      <c r="D50" s="755"/>
      <c r="E50" s="756"/>
      <c r="F50" s="255"/>
      <c r="G50" s="255"/>
      <c r="H50" s="255"/>
      <c r="I50" s="756"/>
      <c r="J50" s="756"/>
      <c r="K50" s="756"/>
      <c r="L50" s="756"/>
      <c r="M50" s="757"/>
      <c r="N50" s="758"/>
      <c r="O50" s="758"/>
      <c r="P50" s="758"/>
      <c r="Q50" s="758"/>
      <c r="R50" s="217" t="str">
        <f t="shared" si="1"/>
        <v/>
      </c>
      <c r="S50" s="217" t="str" cm="1">
        <f t="array" aca="1" ref="S50" ca="1">IF(ISBLANK(Q50),"",IF(R50&gt;0,R50*INDIRECT(ADDRESS(MATCH(G50,'Cost Conversion'!$B$3:$B$48,0)+2,4,1,1,"Cost conversion"))*INDIRECT(ADDRESS(MATCH(H50,'Cost Conversion'!$F$3:$F$22,0)+2,8,1,1,"Cost conversion"))/IF(F50="$",'Cost Conversion'!$L$2,1),0))</f>
        <v/>
      </c>
      <c r="T50" s="787" t="str">
        <f t="shared" ca="1" si="2"/>
        <v/>
      </c>
      <c r="U50" s="105"/>
      <c r="V50" s="120"/>
      <c r="W50" s="512"/>
      <c r="X50" s="512"/>
      <c r="Y50" s="512"/>
      <c r="Z50" s="512"/>
      <c r="AA50" s="512"/>
      <c r="AB50" s="512"/>
      <c r="AC50" s="512"/>
      <c r="AD50" s="512"/>
      <c r="AE50" s="512"/>
      <c r="AF50" s="523"/>
      <c r="AG50" s="638"/>
      <c r="AH50" s="647"/>
      <c r="AI50" s="506"/>
      <c r="AJ50" s="506"/>
      <c r="AK50" s="506"/>
      <c r="AL50" s="506"/>
      <c r="AM50" s="506"/>
      <c r="AN50" s="639"/>
      <c r="AO50" s="113"/>
      <c r="AP50" s="105"/>
      <c r="AQ50" s="241"/>
      <c r="AR50" s="451"/>
    </row>
    <row r="51" spans="1:57" ht="16.2" customHeight="1" x14ac:dyDescent="0.3">
      <c r="A51" s="83"/>
      <c r="B51" s="104"/>
      <c r="C51" s="224"/>
      <c r="D51" s="757"/>
      <c r="E51" s="758"/>
      <c r="F51" s="758"/>
      <c r="G51" s="758"/>
      <c r="H51" s="758"/>
      <c r="I51" s="758"/>
      <c r="J51" s="758"/>
      <c r="K51" s="758"/>
      <c r="L51" s="759"/>
      <c r="M51" s="555" t="s">
        <v>585</v>
      </c>
      <c r="N51" s="547" t="s">
        <v>464</v>
      </c>
      <c r="O51" s="764" t="s">
        <v>315</v>
      </c>
      <c r="P51" s="902" t="s">
        <v>477</v>
      </c>
      <c r="Q51" s="903"/>
      <c r="R51" s="610" t="s">
        <v>640</v>
      </c>
      <c r="S51" s="556" t="s">
        <v>639</v>
      </c>
      <c r="T51" s="106"/>
      <c r="U51" s="105"/>
      <c r="V51" s="120"/>
      <c r="W51" s="512"/>
      <c r="X51" s="512"/>
      <c r="Y51" s="512"/>
      <c r="Z51" s="512"/>
      <c r="AA51" s="512"/>
      <c r="AB51" s="512"/>
      <c r="AC51" s="512"/>
      <c r="AD51" s="512"/>
      <c r="AE51" s="512"/>
      <c r="AF51" s="523"/>
      <c r="AG51" s="638"/>
      <c r="AH51" s="647"/>
      <c r="AI51" s="506"/>
      <c r="AJ51" s="506"/>
      <c r="AK51" s="506"/>
      <c r="AL51" s="506"/>
      <c r="AM51" s="506"/>
      <c r="AN51" s="639"/>
      <c r="AO51" s="113"/>
      <c r="AP51" s="105"/>
      <c r="AQ51" s="241"/>
      <c r="AR51" s="451"/>
    </row>
    <row r="52" spans="1:57" ht="16.2" customHeight="1" x14ac:dyDescent="0.3">
      <c r="A52" s="83"/>
      <c r="B52" s="104"/>
      <c r="C52" s="774"/>
      <c r="D52" s="769"/>
      <c r="E52" s="769"/>
      <c r="F52" s="769"/>
      <c r="G52" s="769"/>
      <c r="H52" s="769"/>
      <c r="I52" s="769"/>
      <c r="J52" s="769"/>
      <c r="K52" s="769"/>
      <c r="L52" s="770"/>
      <c r="M52" s="765" t="s">
        <v>489</v>
      </c>
      <c r="N52" s="537" t="s">
        <v>487</v>
      </c>
      <c r="O52" s="766">
        <v>2001</v>
      </c>
      <c r="P52" s="832" t="s">
        <v>478</v>
      </c>
      <c r="Q52" s="834"/>
      <c r="R52" s="557" t="str">
        <f>+IF(SUM(S13:S43)&gt;0,IF(G3="Equipment",SUM(S13:S43),"NaN"),"")</f>
        <v/>
      </c>
      <c r="S52" s="558" t="str" cm="1">
        <f t="array" aca="1" ref="S52" ca="1">+IF(R52="","",R52*INDIRECT(ADDRESS(MATCH(O52,'Cost Conversion'!$B$3:$B$48,0)+2,4,1,1,"Cost conversion"))*INDIRECT(ADDRESS(MATCH(P52,'Cost Conversion'!$F$3:$F$22,0)+2,8,1,1,"Cost conversion"))/IF(N52="$",'Cost Conversion'!$L$2,1))</f>
        <v/>
      </c>
      <c r="T52" s="106"/>
      <c r="U52" s="105"/>
      <c r="V52" s="120"/>
      <c r="W52" s="512"/>
      <c r="X52" s="512"/>
      <c r="Y52" s="512"/>
      <c r="Z52" s="512"/>
      <c r="AA52" s="512"/>
      <c r="AB52" s="512"/>
      <c r="AC52" s="512"/>
      <c r="AD52" s="512"/>
      <c r="AE52" s="512"/>
      <c r="AF52" s="523"/>
      <c r="AG52" s="638"/>
      <c r="AH52" s="647"/>
      <c r="AI52" s="506"/>
      <c r="AJ52" s="506"/>
      <c r="AK52" s="506"/>
      <c r="AL52" s="506"/>
      <c r="AM52" s="506"/>
      <c r="AN52" s="639"/>
      <c r="AO52" s="113"/>
      <c r="AP52" s="105"/>
      <c r="AQ52" s="241"/>
      <c r="AR52" s="451"/>
    </row>
    <row r="53" spans="1:57" ht="16.2" customHeight="1" x14ac:dyDescent="0.3">
      <c r="A53" s="83"/>
      <c r="B53" s="104"/>
      <c r="C53" s="771"/>
      <c r="D53" s="772"/>
      <c r="E53" s="772"/>
      <c r="F53" s="772"/>
      <c r="G53" s="772"/>
      <c r="H53" s="772"/>
      <c r="I53" s="772"/>
      <c r="J53" s="772"/>
      <c r="K53" s="772"/>
      <c r="L53" s="773"/>
      <c r="M53" s="537" t="s">
        <v>641</v>
      </c>
      <c r="N53" s="139"/>
      <c r="O53" s="145"/>
      <c r="P53" s="832"/>
      <c r="Q53" s="834"/>
      <c r="R53" s="557" t="s">
        <v>354</v>
      </c>
      <c r="S53" s="558" t="str">
        <f ca="1">+IF(SUM(S46:S50)&gt;0,SUM(S46:S50),"")</f>
        <v/>
      </c>
      <c r="T53" s="106"/>
      <c r="U53" s="105"/>
      <c r="V53" s="120"/>
      <c r="W53" s="512"/>
      <c r="X53" s="512"/>
      <c r="Y53" s="512"/>
      <c r="Z53" s="512"/>
      <c r="AA53" s="512"/>
      <c r="AB53" s="512"/>
      <c r="AC53" s="512"/>
      <c r="AD53" s="512"/>
      <c r="AE53" s="512"/>
      <c r="AF53" s="523"/>
      <c r="AG53" s="640"/>
      <c r="AH53" s="648"/>
      <c r="AI53" s="641"/>
      <c r="AJ53" s="641"/>
      <c r="AK53" s="641"/>
      <c r="AL53" s="641"/>
      <c r="AM53" s="641"/>
      <c r="AN53" s="642"/>
      <c r="AO53" s="113"/>
      <c r="AP53" s="105"/>
      <c r="AQ53" s="241"/>
      <c r="AR53" s="451"/>
    </row>
    <row r="54" spans="1:57" ht="16.2" customHeight="1" x14ac:dyDescent="0.3">
      <c r="A54" s="83"/>
      <c r="B54" s="107"/>
      <c r="C54" s="108"/>
      <c r="D54" s="108"/>
      <c r="E54" s="108"/>
      <c r="F54" s="108"/>
      <c r="G54" s="108"/>
      <c r="H54" s="108"/>
      <c r="I54" s="108"/>
      <c r="J54" s="108"/>
      <c r="K54" s="108"/>
      <c r="L54" s="108"/>
      <c r="M54" s="108"/>
      <c r="N54" s="108"/>
      <c r="O54" s="108"/>
      <c r="P54" s="108"/>
      <c r="Q54" s="108"/>
      <c r="R54" s="108"/>
      <c r="S54" s="108"/>
      <c r="T54" s="109"/>
      <c r="U54" s="105"/>
      <c r="V54" s="121"/>
      <c r="W54" s="122"/>
      <c r="X54" s="122"/>
      <c r="Y54" s="122"/>
      <c r="Z54" s="122"/>
      <c r="AA54" s="122"/>
      <c r="AB54" s="122"/>
      <c r="AC54" s="122"/>
      <c r="AD54" s="122"/>
      <c r="AE54" s="122"/>
      <c r="AF54" s="122"/>
      <c r="AG54" s="122"/>
      <c r="AH54" s="122"/>
      <c r="AI54" s="122"/>
      <c r="AJ54" s="122"/>
      <c r="AK54" s="122"/>
      <c r="AL54" s="122"/>
      <c r="AM54" s="122"/>
      <c r="AN54" s="122"/>
      <c r="AO54" s="123"/>
      <c r="AP54" s="105"/>
      <c r="AQ54" s="241"/>
      <c r="AR54" s="451"/>
    </row>
    <row r="55" spans="1:57" ht="16.2" customHeight="1" x14ac:dyDescent="0.3">
      <c r="A55" s="83"/>
      <c r="B55" s="83"/>
      <c r="C55" s="83"/>
      <c r="D55" s="83"/>
      <c r="E55" s="83"/>
      <c r="F55" s="83"/>
      <c r="G55" s="83"/>
      <c r="H55" s="83"/>
      <c r="I55" s="83"/>
      <c r="J55" s="83"/>
      <c r="K55" s="83"/>
      <c r="L55" s="83"/>
      <c r="M55" s="83"/>
      <c r="N55" s="83"/>
      <c r="O55" s="83"/>
      <c r="P55" s="83"/>
      <c r="Q55" s="83"/>
      <c r="R55" s="83"/>
      <c r="S55" s="83"/>
      <c r="T55" s="83"/>
      <c r="U55" s="83"/>
      <c r="V55" s="105"/>
      <c r="W55" s="105"/>
      <c r="X55" s="105"/>
      <c r="Y55" s="105"/>
      <c r="Z55" s="105"/>
      <c r="AA55" s="105"/>
      <c r="AB55" s="105"/>
      <c r="AC55" s="105"/>
      <c r="AD55" s="105"/>
      <c r="AE55" s="105"/>
      <c r="AF55" s="105"/>
      <c r="AG55" s="105"/>
      <c r="AH55" s="105"/>
      <c r="AI55" s="105"/>
      <c r="AJ55" s="105"/>
      <c r="AK55" s="105"/>
      <c r="AL55" s="105"/>
      <c r="AM55" s="105"/>
      <c r="AN55" s="105"/>
      <c r="AO55" s="105"/>
      <c r="AP55" s="105"/>
      <c r="AQ55" s="241"/>
      <c r="AR55" s="451"/>
    </row>
    <row r="56" spans="1:57" ht="16.2" customHeight="1" x14ac:dyDescent="0.3">
      <c r="A56" s="83"/>
      <c r="B56" s="879" t="str">
        <f>+"BEC Distribution: "&amp;E6</f>
        <v>BEC Distribution: Unit 1</v>
      </c>
      <c r="C56" s="880"/>
      <c r="D56" s="880"/>
      <c r="E56" s="880"/>
      <c r="F56" s="880"/>
      <c r="G56" s="881"/>
      <c r="H56" s="879" t="str">
        <f>"Estimate Benchmark: "&amp;E6</f>
        <v>Estimate Benchmark: Unit 1</v>
      </c>
      <c r="I56" s="880"/>
      <c r="J56" s="880"/>
      <c r="K56" s="880"/>
      <c r="L56" s="880"/>
      <c r="M56" s="880"/>
      <c r="N56" s="881"/>
      <c r="O56" s="198"/>
      <c r="P56" s="198"/>
      <c r="Q56" s="198"/>
      <c r="R56" s="198"/>
      <c r="S56" s="198"/>
      <c r="T56" s="198"/>
      <c r="U56" s="198"/>
      <c r="V56" s="198"/>
      <c r="W56" s="198"/>
      <c r="X56" s="198"/>
      <c r="Y56" s="198"/>
      <c r="Z56" s="197"/>
      <c r="AA56" s="197"/>
      <c r="AB56" s="197"/>
      <c r="AC56" s="197"/>
      <c r="AD56" s="197"/>
      <c r="AE56" s="197"/>
      <c r="AF56" s="197"/>
      <c r="AG56" s="197"/>
      <c r="AH56" s="197"/>
      <c r="AI56" s="197"/>
      <c r="AJ56" s="197"/>
      <c r="AK56" s="197"/>
      <c r="AL56" s="197"/>
      <c r="AM56" s="197"/>
      <c r="AN56" s="197"/>
      <c r="AO56" s="197"/>
      <c r="AP56" s="83"/>
      <c r="AQ56" s="241"/>
      <c r="AR56" s="451"/>
    </row>
    <row r="57" spans="1:57" ht="16.2" customHeight="1" x14ac:dyDescent="0.3">
      <c r="A57" s="83"/>
      <c r="B57" s="101"/>
      <c r="C57" s="102"/>
      <c r="D57" s="102"/>
      <c r="E57" s="102"/>
      <c r="F57" s="102"/>
      <c r="G57" s="103"/>
      <c r="H57" s="352"/>
      <c r="I57" s="353"/>
      <c r="J57" s="353"/>
      <c r="K57" s="353"/>
      <c r="L57" s="353"/>
      <c r="M57" s="353"/>
      <c r="N57" s="354"/>
      <c r="O57" s="180"/>
      <c r="P57" s="456"/>
      <c r="Q57" s="456"/>
      <c r="R57" s="242"/>
      <c r="S57" s="452"/>
      <c r="T57" s="242"/>
      <c r="U57" s="242"/>
      <c r="V57" s="242"/>
      <c r="W57" s="242"/>
      <c r="X57" s="242"/>
      <c r="Y57" s="242"/>
      <c r="Z57" s="241"/>
      <c r="AA57" s="241"/>
      <c r="AB57" s="241"/>
      <c r="AC57" s="241"/>
      <c r="AD57" s="241"/>
      <c r="AE57" s="241"/>
      <c r="AF57" s="241"/>
      <c r="AG57" s="241"/>
      <c r="AH57" s="241"/>
      <c r="AI57" s="241"/>
      <c r="AJ57" s="241"/>
      <c r="AK57" s="241"/>
      <c r="AL57" s="241"/>
      <c r="AM57" s="241"/>
      <c r="AN57" s="241"/>
      <c r="AO57" s="241"/>
      <c r="AP57" s="241"/>
      <c r="AQ57" s="241"/>
      <c r="AR57" s="451"/>
      <c r="AS57" s="452"/>
      <c r="AT57" s="452"/>
      <c r="AU57" s="452"/>
      <c r="AV57" s="452"/>
      <c r="AW57" s="452"/>
      <c r="AX57" s="452"/>
      <c r="AY57" s="452"/>
      <c r="AZ57" s="452"/>
      <c r="BA57" s="452"/>
      <c r="BB57" s="452"/>
      <c r="BC57" s="452"/>
      <c r="BD57" s="452"/>
      <c r="BE57" s="452"/>
    </row>
    <row r="58" spans="1:57" ht="16.2" customHeight="1" x14ac:dyDescent="0.3">
      <c r="A58" s="83"/>
      <c r="B58" s="104"/>
      <c r="C58" s="105"/>
      <c r="D58" s="105"/>
      <c r="E58" s="105"/>
      <c r="F58" s="105"/>
      <c r="G58" s="106"/>
      <c r="H58" s="355"/>
      <c r="I58" s="280"/>
      <c r="J58" s="280"/>
      <c r="K58" s="280"/>
      <c r="L58" s="280"/>
      <c r="M58" s="280"/>
      <c r="N58" s="356"/>
      <c r="O58" s="183"/>
      <c r="P58" s="456"/>
      <c r="Q58" s="456"/>
      <c r="R58" s="242"/>
      <c r="S58" s="452"/>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1"/>
      <c r="AS58" s="452"/>
      <c r="AT58" s="452"/>
      <c r="AU58" s="452"/>
      <c r="AV58" s="452"/>
      <c r="AW58" s="452"/>
      <c r="AX58" s="452"/>
      <c r="AY58" s="452"/>
      <c r="AZ58" s="452"/>
      <c r="BA58" s="452"/>
      <c r="BB58" s="452"/>
      <c r="BC58" s="452"/>
      <c r="BD58" s="452"/>
      <c r="BE58" s="452"/>
    </row>
    <row r="59" spans="1:57" ht="16.2" customHeight="1" x14ac:dyDescent="0.3">
      <c r="A59" s="83"/>
      <c r="B59" s="104"/>
      <c r="C59" s="105"/>
      <c r="D59" s="105"/>
      <c r="E59" s="105"/>
      <c r="F59" s="105"/>
      <c r="G59" s="106"/>
      <c r="H59" s="355"/>
      <c r="I59" s="280"/>
      <c r="J59" s="280"/>
      <c r="K59" s="280"/>
      <c r="L59" s="280"/>
      <c r="M59" s="280"/>
      <c r="N59" s="356"/>
      <c r="O59" s="177"/>
      <c r="P59" s="242"/>
      <c r="Q59" s="242"/>
      <c r="R59" s="242"/>
      <c r="S59" s="242"/>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1"/>
      <c r="AS59" s="452"/>
      <c r="AT59" s="452"/>
      <c r="AU59" s="452"/>
      <c r="AV59" s="452"/>
      <c r="AW59" s="452"/>
      <c r="AX59" s="452"/>
      <c r="AY59" s="452"/>
      <c r="AZ59" s="452"/>
      <c r="BA59" s="452"/>
      <c r="BB59" s="452"/>
      <c r="BC59" s="452"/>
      <c r="BD59" s="452"/>
      <c r="BE59" s="452"/>
    </row>
    <row r="60" spans="1:57" ht="16.2" customHeight="1" x14ac:dyDescent="0.3">
      <c r="A60" s="83"/>
      <c r="B60" s="104"/>
      <c r="C60" s="105"/>
      <c r="D60" s="105"/>
      <c r="E60" s="105"/>
      <c r="F60" s="105"/>
      <c r="G60" s="106"/>
      <c r="H60" s="355"/>
      <c r="I60" s="280"/>
      <c r="J60" s="280"/>
      <c r="K60" s="280"/>
      <c r="L60" s="280"/>
      <c r="M60" s="280"/>
      <c r="N60" s="356"/>
      <c r="O60" s="105"/>
      <c r="P60" s="242"/>
      <c r="Q60" s="242"/>
      <c r="R60" s="242"/>
      <c r="S60" s="242"/>
      <c r="T60" s="242"/>
      <c r="U60" s="242"/>
      <c r="V60" s="45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1"/>
      <c r="AS60" s="452"/>
      <c r="AT60" s="452"/>
      <c r="AU60" s="452"/>
      <c r="AV60" s="452"/>
      <c r="AW60" s="452"/>
      <c r="AX60" s="452"/>
      <c r="AY60" s="452"/>
      <c r="AZ60" s="452"/>
      <c r="BA60" s="452"/>
      <c r="BB60" s="452"/>
      <c r="BC60" s="452"/>
      <c r="BD60" s="452"/>
      <c r="BE60" s="452"/>
    </row>
    <row r="61" spans="1:57" ht="16.2" customHeight="1" x14ac:dyDescent="0.3">
      <c r="A61" s="83"/>
      <c r="B61" s="104"/>
      <c r="C61" s="105"/>
      <c r="D61" s="105"/>
      <c r="E61" s="105"/>
      <c r="F61" s="105"/>
      <c r="G61" s="106"/>
      <c r="H61" s="355"/>
      <c r="I61" s="280"/>
      <c r="J61" s="280"/>
      <c r="K61" s="280"/>
      <c r="L61" s="280"/>
      <c r="M61" s="280"/>
      <c r="N61" s="356"/>
      <c r="O61" s="105"/>
      <c r="P61" s="242"/>
      <c r="Q61" s="242"/>
      <c r="R61" s="242"/>
      <c r="S61" s="242"/>
      <c r="T61" s="242"/>
      <c r="U61" s="242"/>
      <c r="V61" s="242"/>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1"/>
      <c r="AS61" s="452"/>
      <c r="AT61" s="452"/>
      <c r="AU61" s="452"/>
      <c r="AV61" s="452"/>
      <c r="AW61" s="452"/>
      <c r="AX61" s="452"/>
      <c r="AY61" s="452"/>
      <c r="AZ61" s="452"/>
      <c r="BA61" s="452"/>
      <c r="BB61" s="452"/>
      <c r="BC61" s="452"/>
      <c r="BD61" s="452"/>
      <c r="BE61" s="452"/>
    </row>
    <row r="62" spans="1:57" ht="16.2" customHeight="1" x14ac:dyDescent="0.3">
      <c r="A62" s="83"/>
      <c r="B62" s="104"/>
      <c r="C62" s="105"/>
      <c r="D62" s="105"/>
      <c r="E62" s="105"/>
      <c r="F62" s="105"/>
      <c r="G62" s="106"/>
      <c r="H62" s="355"/>
      <c r="I62" s="280"/>
      <c r="J62" s="280"/>
      <c r="K62" s="280"/>
      <c r="L62" s="280"/>
      <c r="M62" s="280"/>
      <c r="N62" s="356"/>
      <c r="O62" s="105"/>
      <c r="P62" s="242"/>
      <c r="Q62" s="242"/>
      <c r="R62" s="242"/>
      <c r="S62" s="242"/>
      <c r="T62" s="456"/>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1"/>
      <c r="AS62" s="452"/>
      <c r="AT62" s="452"/>
      <c r="AU62" s="452"/>
      <c r="AV62" s="452"/>
      <c r="AW62" s="452"/>
      <c r="AX62" s="452"/>
      <c r="AY62" s="452"/>
      <c r="AZ62" s="452"/>
      <c r="BA62" s="452"/>
      <c r="BB62" s="452"/>
      <c r="BC62" s="452"/>
      <c r="BD62" s="452"/>
      <c r="BE62" s="452"/>
    </row>
    <row r="63" spans="1:57" ht="16.2" customHeight="1" x14ac:dyDescent="0.3">
      <c r="A63" s="83"/>
      <c r="B63" s="104"/>
      <c r="C63" s="105"/>
      <c r="D63" s="105"/>
      <c r="E63" s="105"/>
      <c r="F63" s="105"/>
      <c r="G63" s="106"/>
      <c r="H63" s="355"/>
      <c r="I63" s="280"/>
      <c r="J63" s="280"/>
      <c r="K63" s="280"/>
      <c r="L63" s="280"/>
      <c r="M63" s="280"/>
      <c r="N63" s="356"/>
      <c r="O63" s="105"/>
      <c r="P63" s="242"/>
      <c r="Q63" s="242"/>
      <c r="R63" s="242"/>
      <c r="S63" s="242"/>
      <c r="T63" s="456"/>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1"/>
      <c r="AS63" s="452"/>
      <c r="AT63" s="452"/>
      <c r="AU63" s="452"/>
      <c r="AV63" s="452"/>
      <c r="AW63" s="452"/>
      <c r="AX63" s="452"/>
      <c r="AY63" s="452"/>
      <c r="AZ63" s="452"/>
      <c r="BA63" s="452"/>
      <c r="BB63" s="452"/>
      <c r="BC63" s="452"/>
      <c r="BD63" s="452"/>
      <c r="BE63" s="452"/>
    </row>
    <row r="64" spans="1:57" ht="16.2" customHeight="1" x14ac:dyDescent="0.3">
      <c r="A64" s="83"/>
      <c r="B64" s="104"/>
      <c r="C64" s="105"/>
      <c r="D64" s="105"/>
      <c r="E64" s="105"/>
      <c r="F64" s="105"/>
      <c r="G64" s="106"/>
      <c r="H64" s="355"/>
      <c r="I64" s="280"/>
      <c r="J64" s="280"/>
      <c r="K64" s="280"/>
      <c r="L64" s="280"/>
      <c r="M64" s="280"/>
      <c r="N64" s="356"/>
      <c r="O64" s="105"/>
      <c r="P64" s="242"/>
      <c r="Q64" s="242"/>
      <c r="R64" s="242"/>
      <c r="S64" s="242"/>
      <c r="T64" s="242"/>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1"/>
      <c r="AS64" s="452"/>
      <c r="AT64" s="452"/>
      <c r="AU64" s="452"/>
      <c r="AV64" s="452"/>
      <c r="AW64" s="452"/>
      <c r="AX64" s="452"/>
      <c r="AY64" s="452"/>
      <c r="AZ64" s="452"/>
      <c r="BA64" s="452"/>
      <c r="BB64" s="452"/>
      <c r="BC64" s="452"/>
      <c r="BD64" s="452"/>
      <c r="BE64" s="452"/>
    </row>
    <row r="65" spans="1:57" ht="16.2" customHeight="1" x14ac:dyDescent="0.3">
      <c r="A65" s="83"/>
      <c r="B65" s="104"/>
      <c r="C65" s="105"/>
      <c r="D65" s="105"/>
      <c r="E65" s="105"/>
      <c r="F65" s="105"/>
      <c r="G65" s="106"/>
      <c r="H65" s="355"/>
      <c r="I65" s="280"/>
      <c r="J65" s="280"/>
      <c r="K65" s="280"/>
      <c r="L65" s="280"/>
      <c r="M65" s="280"/>
      <c r="N65" s="356"/>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1"/>
      <c r="AS65" s="452"/>
      <c r="AT65" s="452"/>
      <c r="AU65" s="452"/>
      <c r="AV65" s="452"/>
      <c r="AW65" s="452"/>
      <c r="AX65" s="452"/>
      <c r="AY65" s="452"/>
      <c r="AZ65" s="452"/>
      <c r="BA65" s="452"/>
      <c r="BB65" s="452"/>
      <c r="BC65" s="452"/>
      <c r="BD65" s="452"/>
      <c r="BE65" s="452"/>
    </row>
    <row r="66" spans="1:57" ht="16.2" customHeight="1" x14ac:dyDescent="0.3">
      <c r="A66" s="83"/>
      <c r="B66" s="104"/>
      <c r="C66" s="105"/>
      <c r="D66" s="105"/>
      <c r="E66" s="105"/>
      <c r="F66" s="105"/>
      <c r="G66" s="106"/>
      <c r="H66" s="355"/>
      <c r="I66" s="280"/>
      <c r="J66" s="280"/>
      <c r="K66" s="280"/>
      <c r="L66" s="280"/>
      <c r="M66" s="280"/>
      <c r="N66" s="356"/>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1"/>
      <c r="AS66" s="452"/>
      <c r="AT66" s="452"/>
      <c r="AU66" s="452"/>
      <c r="AV66" s="452"/>
      <c r="AW66" s="452"/>
      <c r="AX66" s="452"/>
      <c r="AY66" s="452"/>
      <c r="AZ66" s="452"/>
      <c r="BA66" s="452"/>
      <c r="BB66" s="452"/>
      <c r="BC66" s="452"/>
      <c r="BD66" s="452"/>
      <c r="BE66" s="452"/>
    </row>
    <row r="67" spans="1:57" ht="16.2" customHeight="1" x14ac:dyDescent="0.3">
      <c r="A67" s="83"/>
      <c r="B67" s="104"/>
      <c r="C67" s="105"/>
      <c r="D67" s="105"/>
      <c r="E67" s="105"/>
      <c r="F67" s="105"/>
      <c r="G67" s="106"/>
      <c r="H67" s="355"/>
      <c r="I67" s="280"/>
      <c r="J67" s="280"/>
      <c r="K67" s="280"/>
      <c r="L67" s="280"/>
      <c r="M67" s="280"/>
      <c r="N67" s="356"/>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1"/>
      <c r="AS67" s="452"/>
      <c r="AT67" s="452"/>
      <c r="AU67" s="452"/>
      <c r="AV67" s="452"/>
      <c r="AW67" s="452"/>
      <c r="AX67" s="452"/>
      <c r="AY67" s="452"/>
      <c r="AZ67" s="452"/>
      <c r="BA67" s="452"/>
      <c r="BB67" s="452"/>
      <c r="BC67" s="452"/>
      <c r="BD67" s="452"/>
      <c r="BE67" s="452"/>
    </row>
    <row r="68" spans="1:57" ht="16.2" customHeight="1" x14ac:dyDescent="0.3">
      <c r="A68" s="83"/>
      <c r="B68" s="104"/>
      <c r="C68" s="105"/>
      <c r="D68" s="105"/>
      <c r="E68" s="105"/>
      <c r="F68" s="105"/>
      <c r="G68" s="106"/>
      <c r="H68" s="355"/>
      <c r="I68" s="280"/>
      <c r="J68" s="280"/>
      <c r="K68" s="280"/>
      <c r="L68" s="280"/>
      <c r="M68" s="280"/>
      <c r="N68" s="356"/>
      <c r="O68" s="180"/>
      <c r="P68" s="456"/>
      <c r="Q68" s="456"/>
      <c r="R68" s="456"/>
      <c r="S68" s="456"/>
      <c r="T68" s="456"/>
      <c r="U68" s="457"/>
      <c r="V68" s="458"/>
      <c r="W68" s="458"/>
      <c r="X68" s="458"/>
      <c r="Y68" s="242"/>
      <c r="Z68" s="241"/>
      <c r="AA68" s="241"/>
      <c r="AB68" s="241"/>
      <c r="AC68" s="241"/>
      <c r="AD68" s="241"/>
      <c r="AE68" s="241"/>
      <c r="AF68" s="241"/>
      <c r="AG68" s="241"/>
      <c r="AH68" s="241"/>
      <c r="AI68" s="241"/>
      <c r="AJ68" s="241"/>
      <c r="AK68" s="241"/>
      <c r="AL68" s="241"/>
      <c r="AM68" s="241"/>
      <c r="AN68" s="241"/>
      <c r="AO68" s="241"/>
      <c r="AP68" s="241"/>
      <c r="AQ68" s="241"/>
      <c r="AR68" s="451"/>
      <c r="AS68" s="452"/>
      <c r="AT68" s="452"/>
      <c r="AU68" s="452"/>
      <c r="AV68" s="452"/>
      <c r="AW68" s="452"/>
      <c r="AX68" s="452"/>
      <c r="AY68" s="452"/>
      <c r="AZ68" s="452"/>
      <c r="BA68" s="452"/>
      <c r="BB68" s="452"/>
      <c r="BC68" s="452"/>
      <c r="BD68" s="452"/>
      <c r="BE68" s="452"/>
    </row>
    <row r="69" spans="1:57" ht="16.2" customHeight="1" x14ac:dyDescent="0.3">
      <c r="A69" s="83"/>
      <c r="B69" s="104"/>
      <c r="C69" s="105"/>
      <c r="D69" s="105"/>
      <c r="E69" s="105"/>
      <c r="F69" s="105"/>
      <c r="G69" s="106"/>
      <c r="H69" s="355"/>
      <c r="I69" s="280"/>
      <c r="J69" s="280"/>
      <c r="K69" s="280"/>
      <c r="L69" s="280"/>
      <c r="M69" s="280"/>
      <c r="N69" s="356"/>
      <c r="O69" s="180"/>
      <c r="P69" s="456"/>
      <c r="Q69" s="456"/>
      <c r="R69" s="456"/>
      <c r="S69" s="456"/>
      <c r="T69" s="456"/>
      <c r="U69" s="456"/>
      <c r="V69" s="456"/>
      <c r="W69" s="456"/>
      <c r="X69" s="456"/>
      <c r="Y69" s="242"/>
      <c r="Z69" s="241"/>
      <c r="AA69" s="241"/>
      <c r="AB69" s="241"/>
      <c r="AC69" s="241"/>
      <c r="AD69" s="241"/>
      <c r="AE69" s="241"/>
      <c r="AF69" s="241"/>
      <c r="AG69" s="241"/>
      <c r="AH69" s="241"/>
      <c r="AI69" s="241"/>
      <c r="AJ69" s="241"/>
      <c r="AK69" s="241"/>
      <c r="AL69" s="241"/>
      <c r="AM69" s="241"/>
      <c r="AN69" s="241"/>
      <c r="AO69" s="241"/>
      <c r="AP69" s="241"/>
      <c r="AQ69" s="241"/>
      <c r="AR69" s="451"/>
      <c r="AS69" s="452"/>
      <c r="AT69" s="452"/>
      <c r="AU69" s="452"/>
      <c r="AV69" s="452"/>
      <c r="AW69" s="452"/>
      <c r="AX69" s="452"/>
      <c r="AY69" s="452"/>
      <c r="AZ69" s="452"/>
      <c r="BA69" s="452"/>
      <c r="BB69" s="452"/>
      <c r="BC69" s="452"/>
      <c r="BD69" s="452"/>
      <c r="BE69" s="452"/>
    </row>
    <row r="70" spans="1:57" ht="16.2" customHeight="1" x14ac:dyDescent="0.3">
      <c r="A70" s="83"/>
      <c r="B70" s="104"/>
      <c r="C70" s="105"/>
      <c r="D70" s="105"/>
      <c r="E70" s="105"/>
      <c r="F70" s="105"/>
      <c r="G70" s="106"/>
      <c r="H70" s="355"/>
      <c r="I70" s="280"/>
      <c r="J70" s="280"/>
      <c r="K70" s="280"/>
      <c r="L70" s="280"/>
      <c r="M70" s="280"/>
      <c r="N70" s="356"/>
      <c r="O70" s="180"/>
      <c r="P70" s="454"/>
      <c r="Q70" s="456"/>
      <c r="R70" s="457"/>
      <c r="S70" s="457"/>
      <c r="T70" s="457"/>
      <c r="U70" s="457"/>
      <c r="V70" s="457"/>
      <c r="W70" s="456"/>
      <c r="X70" s="456"/>
      <c r="Y70" s="242"/>
      <c r="Z70" s="241"/>
      <c r="AA70" s="241"/>
      <c r="AB70" s="241"/>
      <c r="AC70" s="241"/>
      <c r="AD70" s="241"/>
      <c r="AE70" s="241"/>
      <c r="AF70" s="241"/>
      <c r="AG70" s="241"/>
      <c r="AH70" s="241"/>
      <c r="AI70" s="241"/>
      <c r="AJ70" s="241"/>
      <c r="AK70" s="241"/>
      <c r="AL70" s="241"/>
      <c r="AM70" s="241"/>
      <c r="AN70" s="241"/>
      <c r="AO70" s="241"/>
      <c r="AP70" s="241"/>
      <c r="AQ70" s="241"/>
      <c r="AR70" s="451"/>
      <c r="AS70" s="452"/>
      <c r="AT70" s="452"/>
      <c r="AU70" s="452"/>
      <c r="AV70" s="452"/>
      <c r="AW70" s="452"/>
      <c r="AX70" s="452"/>
      <c r="AY70" s="452"/>
      <c r="AZ70" s="452"/>
      <c r="BA70" s="452"/>
      <c r="BB70" s="452"/>
      <c r="BC70" s="452"/>
      <c r="BD70" s="452"/>
      <c r="BE70" s="452"/>
    </row>
    <row r="71" spans="1:57" ht="16.2" customHeight="1" x14ac:dyDescent="0.3">
      <c r="A71" s="83"/>
      <c r="B71" s="104"/>
      <c r="C71" s="105"/>
      <c r="D71" s="105"/>
      <c r="E71" s="105"/>
      <c r="F71" s="105"/>
      <c r="G71" s="106"/>
      <c r="H71" s="355"/>
      <c r="I71" s="280"/>
      <c r="J71" s="280"/>
      <c r="K71" s="280"/>
      <c r="L71" s="280"/>
      <c r="M71" s="280"/>
      <c r="N71" s="356"/>
      <c r="O71" s="198"/>
      <c r="P71" s="242"/>
      <c r="Q71" s="242"/>
      <c r="R71" s="242"/>
      <c r="S71" s="242"/>
      <c r="T71" s="242"/>
      <c r="U71" s="242"/>
      <c r="V71" s="242"/>
      <c r="W71" s="242"/>
      <c r="X71" s="242"/>
      <c r="Y71" s="242"/>
      <c r="Z71" s="241"/>
      <c r="AA71" s="241"/>
      <c r="AB71" s="241"/>
      <c r="AC71" s="241"/>
      <c r="AD71" s="241"/>
      <c r="AE71" s="241"/>
      <c r="AF71" s="241"/>
      <c r="AG71" s="241"/>
      <c r="AH71" s="241"/>
      <c r="AI71" s="241"/>
      <c r="AJ71" s="241"/>
      <c r="AK71" s="241"/>
      <c r="AL71" s="241"/>
      <c r="AM71" s="241"/>
      <c r="AN71" s="241"/>
      <c r="AO71" s="241"/>
      <c r="AP71" s="241"/>
      <c r="AQ71" s="241"/>
      <c r="AR71" s="451"/>
      <c r="AS71" s="452"/>
      <c r="AT71" s="452"/>
      <c r="AU71" s="452"/>
      <c r="AV71" s="452"/>
      <c r="AW71" s="452"/>
      <c r="AX71" s="452"/>
      <c r="AY71" s="452"/>
      <c r="AZ71" s="452"/>
      <c r="BA71" s="452"/>
      <c r="BB71" s="452"/>
      <c r="BC71" s="452"/>
      <c r="BD71" s="452"/>
      <c r="BE71" s="452"/>
    </row>
    <row r="72" spans="1:57" ht="16.2" customHeight="1" x14ac:dyDescent="0.3">
      <c r="A72" s="83"/>
      <c r="B72" s="104"/>
      <c r="C72" s="105"/>
      <c r="D72" s="105"/>
      <c r="E72" s="105"/>
      <c r="F72" s="105"/>
      <c r="G72" s="106"/>
      <c r="H72" s="355"/>
      <c r="I72" s="280"/>
      <c r="J72" s="280"/>
      <c r="K72" s="280"/>
      <c r="L72" s="280"/>
      <c r="M72" s="280"/>
      <c r="N72" s="356"/>
      <c r="O72" s="181"/>
      <c r="P72" s="458"/>
      <c r="Q72" s="458"/>
      <c r="R72" s="458"/>
      <c r="S72" s="458"/>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1"/>
      <c r="AS72" s="452"/>
      <c r="AT72" s="452"/>
      <c r="AU72" s="452"/>
      <c r="AV72" s="452"/>
      <c r="AW72" s="452"/>
      <c r="AX72" s="452"/>
      <c r="AY72" s="452"/>
      <c r="AZ72" s="452"/>
      <c r="BA72" s="452"/>
      <c r="BB72" s="452"/>
      <c r="BC72" s="452"/>
      <c r="BD72" s="452"/>
      <c r="BE72" s="452"/>
    </row>
    <row r="73" spans="1:57" ht="16.2" customHeight="1" x14ac:dyDescent="0.3">
      <c r="A73" s="83"/>
      <c r="B73" s="104"/>
      <c r="C73" s="105"/>
      <c r="D73" s="105"/>
      <c r="E73" s="105"/>
      <c r="F73" s="105"/>
      <c r="G73" s="106"/>
      <c r="H73" s="355"/>
      <c r="I73" s="280"/>
      <c r="J73" s="280"/>
      <c r="K73" s="280"/>
      <c r="L73" s="280"/>
      <c r="M73" s="280"/>
      <c r="N73" s="356"/>
      <c r="O73" s="181"/>
      <c r="P73" s="458"/>
      <c r="Q73" s="458"/>
      <c r="R73" s="458"/>
      <c r="S73" s="458"/>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1"/>
      <c r="AS73" s="452"/>
      <c r="AT73" s="452"/>
      <c r="AU73" s="452"/>
      <c r="AV73" s="452"/>
      <c r="AW73" s="452"/>
      <c r="AX73" s="452"/>
      <c r="AY73" s="452"/>
      <c r="AZ73" s="452"/>
      <c r="BA73" s="452"/>
      <c r="BB73" s="452"/>
      <c r="BC73" s="452"/>
      <c r="BD73" s="452"/>
      <c r="BE73" s="452"/>
    </row>
    <row r="74" spans="1:57" ht="16.2" customHeight="1" x14ac:dyDescent="0.3">
      <c r="A74" s="83"/>
      <c r="B74" s="104"/>
      <c r="C74" s="105"/>
      <c r="D74" s="105"/>
      <c r="E74" s="105"/>
      <c r="F74" s="105"/>
      <c r="G74" s="106"/>
      <c r="H74" s="355"/>
      <c r="I74" s="280"/>
      <c r="J74" s="280"/>
      <c r="K74" s="280"/>
      <c r="L74" s="280"/>
      <c r="M74" s="280"/>
      <c r="N74" s="356"/>
      <c r="O74" s="180"/>
      <c r="P74" s="456"/>
      <c r="Q74" s="456"/>
      <c r="R74" s="456"/>
      <c r="S74" s="456"/>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1"/>
      <c r="AS74" s="452"/>
      <c r="AT74" s="452"/>
      <c r="AU74" s="452"/>
      <c r="AV74" s="452"/>
      <c r="AW74" s="452"/>
      <c r="AX74" s="452"/>
      <c r="AY74" s="452"/>
      <c r="AZ74" s="452"/>
      <c r="BA74" s="452"/>
      <c r="BB74" s="452"/>
      <c r="BC74" s="452"/>
      <c r="BD74" s="452"/>
      <c r="BE74" s="452"/>
    </row>
    <row r="75" spans="1:57" ht="16.2" customHeight="1" x14ac:dyDescent="0.3">
      <c r="A75" s="83"/>
      <c r="B75" s="104"/>
      <c r="C75" s="105"/>
      <c r="D75" s="105"/>
      <c r="E75" s="105"/>
      <c r="F75" s="105"/>
      <c r="G75" s="106"/>
      <c r="H75" s="355"/>
      <c r="I75" s="280"/>
      <c r="J75" s="280"/>
      <c r="K75" s="280"/>
      <c r="L75" s="280"/>
      <c r="M75" s="280"/>
      <c r="N75" s="356"/>
      <c r="O75" s="182"/>
      <c r="P75" s="453"/>
      <c r="Q75" s="457"/>
      <c r="R75" s="456"/>
      <c r="S75" s="456"/>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1"/>
      <c r="AS75" s="452"/>
      <c r="AT75" s="452"/>
      <c r="AU75" s="452"/>
      <c r="AV75" s="452"/>
      <c r="AW75" s="452"/>
      <c r="AX75" s="452"/>
      <c r="AY75" s="452"/>
      <c r="AZ75" s="452"/>
      <c r="BA75" s="452"/>
      <c r="BB75" s="452"/>
      <c r="BC75" s="452"/>
      <c r="BD75" s="452"/>
      <c r="BE75" s="452"/>
    </row>
    <row r="76" spans="1:57" ht="16.2" customHeight="1" x14ac:dyDescent="0.3">
      <c r="A76" s="83"/>
      <c r="B76" s="104"/>
      <c r="C76" s="105"/>
      <c r="D76" s="105"/>
      <c r="E76" s="105"/>
      <c r="F76" s="105"/>
      <c r="G76" s="106"/>
      <c r="H76" s="355"/>
      <c r="I76" s="280"/>
      <c r="J76" s="280"/>
      <c r="K76" s="280"/>
      <c r="L76" s="280"/>
      <c r="M76" s="280"/>
      <c r="N76" s="356"/>
      <c r="O76" s="181"/>
      <c r="P76" s="458"/>
      <c r="Q76" s="458"/>
      <c r="R76" s="458"/>
      <c r="S76" s="458"/>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1"/>
      <c r="AS76" s="452"/>
      <c r="AT76" s="452"/>
      <c r="AU76" s="452"/>
      <c r="AV76" s="452"/>
      <c r="AW76" s="452"/>
      <c r="AX76" s="452"/>
      <c r="AY76" s="452"/>
      <c r="AZ76" s="452"/>
      <c r="BA76" s="452"/>
      <c r="BB76" s="452"/>
      <c r="BC76" s="452"/>
      <c r="BD76" s="452"/>
      <c r="BE76" s="452"/>
    </row>
    <row r="77" spans="1:57" ht="16.2" customHeight="1" x14ac:dyDescent="0.3">
      <c r="A77" s="83"/>
      <c r="B77" s="104"/>
      <c r="C77" s="105"/>
      <c r="D77" s="105"/>
      <c r="E77" s="105"/>
      <c r="F77" s="105"/>
      <c r="G77" s="106"/>
      <c r="H77" s="355"/>
      <c r="I77" s="280"/>
      <c r="J77" s="280"/>
      <c r="K77" s="280"/>
      <c r="L77" s="280"/>
      <c r="M77" s="280"/>
      <c r="N77" s="356"/>
      <c r="O77" s="181"/>
      <c r="P77" s="458"/>
      <c r="Q77" s="458"/>
      <c r="R77" s="458"/>
      <c r="S77" s="458"/>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1"/>
      <c r="AS77" s="452"/>
      <c r="AT77" s="452"/>
      <c r="AU77" s="452"/>
      <c r="AV77" s="452"/>
      <c r="AW77" s="452"/>
      <c r="AX77" s="452"/>
      <c r="AY77" s="452"/>
      <c r="AZ77" s="452"/>
      <c r="BA77" s="452"/>
      <c r="BB77" s="452"/>
      <c r="BC77" s="452"/>
      <c r="BD77" s="452"/>
      <c r="BE77" s="452"/>
    </row>
    <row r="78" spans="1:57" ht="16.2" customHeight="1" x14ac:dyDescent="0.3">
      <c r="A78" s="83"/>
      <c r="B78" s="104"/>
      <c r="C78" s="105"/>
      <c r="D78" s="105"/>
      <c r="E78" s="105"/>
      <c r="F78" s="105"/>
      <c r="G78" s="106"/>
      <c r="H78" s="355"/>
      <c r="I78" s="280"/>
      <c r="J78" s="280"/>
      <c r="K78" s="280"/>
      <c r="L78" s="280"/>
      <c r="M78" s="280"/>
      <c r="N78" s="356"/>
      <c r="O78" s="181"/>
      <c r="P78" s="458"/>
      <c r="Q78" s="458"/>
      <c r="R78" s="458"/>
      <c r="S78" s="458"/>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1"/>
      <c r="AS78" s="452"/>
      <c r="AT78" s="452"/>
      <c r="AU78" s="452"/>
      <c r="AV78" s="452"/>
      <c r="AW78" s="452"/>
      <c r="AX78" s="452"/>
      <c r="AY78" s="452"/>
      <c r="AZ78" s="452"/>
      <c r="BA78" s="452"/>
      <c r="BB78" s="452"/>
      <c r="BC78" s="452"/>
      <c r="BD78" s="452"/>
      <c r="BE78" s="452"/>
    </row>
    <row r="79" spans="1:57" ht="16.2" customHeight="1" x14ac:dyDescent="0.3">
      <c r="A79" s="83"/>
      <c r="B79" s="104"/>
      <c r="C79" s="105"/>
      <c r="D79" s="105"/>
      <c r="E79" s="105"/>
      <c r="F79" s="105"/>
      <c r="G79" s="106"/>
      <c r="H79" s="355"/>
      <c r="I79" s="280"/>
      <c r="J79" s="280"/>
      <c r="K79" s="280"/>
      <c r="L79" s="280"/>
      <c r="M79" s="280"/>
      <c r="N79" s="356"/>
      <c r="O79" s="181"/>
      <c r="P79" s="458"/>
      <c r="Q79" s="458"/>
      <c r="R79" s="458"/>
      <c r="S79" s="458"/>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1"/>
      <c r="AS79" s="452"/>
      <c r="AT79" s="452"/>
      <c r="AU79" s="452"/>
      <c r="AV79" s="452"/>
      <c r="AW79" s="452"/>
      <c r="AX79" s="452"/>
      <c r="AY79" s="452"/>
      <c r="AZ79" s="452"/>
      <c r="BA79" s="452"/>
      <c r="BB79" s="452"/>
      <c r="BC79" s="452"/>
      <c r="BD79" s="452"/>
      <c r="BE79" s="452"/>
    </row>
    <row r="80" spans="1:57" ht="16.2" customHeight="1" x14ac:dyDescent="0.3">
      <c r="A80" s="83"/>
      <c r="B80" s="913" t="s">
        <v>763</v>
      </c>
      <c r="C80" s="914"/>
      <c r="D80" s="914"/>
      <c r="E80" s="914"/>
      <c r="F80" s="914"/>
      <c r="G80" s="915"/>
      <c r="H80" s="127" t="s">
        <v>699</v>
      </c>
      <c r="I80" s="128" t="s">
        <v>360</v>
      </c>
      <c r="J80" s="906" t="s">
        <v>580</v>
      </c>
      <c r="K80" s="907"/>
      <c r="L80" s="907"/>
      <c r="M80" s="907"/>
      <c r="N80" s="908"/>
      <c r="O80" s="181"/>
      <c r="P80" s="458"/>
      <c r="Q80" s="458"/>
      <c r="R80" s="458"/>
      <c r="S80" s="458"/>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1"/>
      <c r="AS80" s="452"/>
      <c r="AT80" s="452"/>
      <c r="AU80" s="452"/>
      <c r="AV80" s="452"/>
      <c r="AW80" s="452"/>
      <c r="AX80" s="452"/>
      <c r="AY80" s="452"/>
      <c r="AZ80" s="452"/>
      <c r="BA80" s="452"/>
      <c r="BB80" s="452"/>
      <c r="BC80" s="452"/>
      <c r="BD80" s="452"/>
      <c r="BE80" s="452"/>
    </row>
    <row r="81" spans="1:57" ht="16.2" customHeight="1" x14ac:dyDescent="0.3">
      <c r="A81" s="83"/>
      <c r="B81" s="916"/>
      <c r="C81" s="917"/>
      <c r="D81" s="917"/>
      <c r="E81" s="917"/>
      <c r="F81" s="917"/>
      <c r="G81" s="918"/>
      <c r="H81" s="649"/>
      <c r="I81" s="650"/>
      <c r="J81" s="899"/>
      <c r="K81" s="900"/>
      <c r="L81" s="900"/>
      <c r="M81" s="900"/>
      <c r="N81" s="901"/>
      <c r="O81" s="198"/>
      <c r="P81" s="242"/>
      <c r="Q81" s="242"/>
      <c r="R81" s="242"/>
      <c r="S81" s="242"/>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1"/>
      <c r="AS81" s="452"/>
      <c r="AT81" s="452"/>
      <c r="AU81" s="452"/>
      <c r="AV81" s="452"/>
      <c r="AW81" s="452"/>
      <c r="AX81" s="452"/>
      <c r="AY81" s="452"/>
      <c r="AZ81" s="452"/>
      <c r="BA81" s="452"/>
      <c r="BB81" s="452"/>
      <c r="BC81" s="452"/>
      <c r="BD81" s="452"/>
      <c r="BE81" s="452"/>
    </row>
    <row r="82" spans="1:57" ht="16.2" customHeight="1" x14ac:dyDescent="0.3">
      <c r="A82" s="83"/>
      <c r="B82" s="83"/>
      <c r="C82" s="83"/>
      <c r="D82" s="83"/>
      <c r="E82" s="83"/>
      <c r="F82" s="83"/>
      <c r="G82" s="83"/>
      <c r="H82" s="197"/>
      <c r="I82" s="198"/>
      <c r="J82" s="198"/>
      <c r="K82" s="198"/>
      <c r="L82" s="198"/>
      <c r="M82" s="181"/>
      <c r="N82" s="184"/>
      <c r="O82" s="198"/>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1"/>
      <c r="AS82" s="452"/>
      <c r="AT82" s="452"/>
      <c r="AU82" s="452"/>
      <c r="AV82" s="452"/>
      <c r="AW82" s="452"/>
      <c r="AX82" s="452"/>
      <c r="AY82" s="452"/>
      <c r="AZ82" s="452"/>
      <c r="BA82" s="452"/>
      <c r="BB82" s="452"/>
      <c r="BC82" s="452"/>
      <c r="BD82" s="452"/>
      <c r="BE82" s="452"/>
    </row>
    <row r="83" spans="1:57" x14ac:dyDescent="0.3">
      <c r="A83" s="83"/>
      <c r="B83" s="83"/>
      <c r="C83" s="83"/>
      <c r="D83" s="83"/>
      <c r="E83" s="83"/>
      <c r="F83" s="83"/>
      <c r="G83" s="83"/>
      <c r="H83" s="197"/>
      <c r="I83" s="198"/>
      <c r="J83" s="198"/>
      <c r="K83" s="198"/>
      <c r="L83" s="198"/>
      <c r="M83" s="181"/>
      <c r="N83" s="184"/>
      <c r="O83" s="198"/>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1"/>
      <c r="AS83" s="452"/>
      <c r="AT83" s="452"/>
      <c r="AU83" s="452"/>
      <c r="AV83" s="452"/>
      <c r="AW83" s="452"/>
      <c r="AX83" s="452"/>
      <c r="AY83" s="452"/>
      <c r="AZ83" s="452"/>
      <c r="BA83" s="452"/>
      <c r="BB83" s="452"/>
      <c r="BC83" s="452"/>
      <c r="BD83" s="452"/>
      <c r="BE83" s="452"/>
    </row>
    <row r="84" spans="1:57" x14ac:dyDescent="0.3">
      <c r="P84" s="452"/>
      <c r="Q84" s="452"/>
      <c r="R84" s="452"/>
      <c r="S84" s="452"/>
      <c r="T84" s="452"/>
      <c r="U84" s="452"/>
      <c r="V84" s="452"/>
      <c r="W84" s="452"/>
      <c r="X84" s="452"/>
      <c r="Y84" s="452"/>
      <c r="Z84" s="452"/>
      <c r="AA84" s="452"/>
      <c r="AB84" s="452"/>
      <c r="AC84" s="452"/>
      <c r="AD84" s="452"/>
      <c r="AE84" s="452"/>
      <c r="AF84" s="452"/>
      <c r="AG84" s="452"/>
      <c r="AH84" s="452"/>
      <c r="AI84" s="452"/>
      <c r="AJ84" s="452"/>
      <c r="AK84" s="452"/>
      <c r="AL84" s="452"/>
      <c r="AM84" s="452"/>
      <c r="AN84" s="452"/>
      <c r="AO84" s="452"/>
      <c r="AP84" s="452"/>
      <c r="AS84" s="452"/>
      <c r="AT84" s="452"/>
      <c r="AU84" s="452"/>
      <c r="AV84" s="452"/>
      <c r="AW84" s="452"/>
      <c r="AX84" s="452"/>
      <c r="AY84" s="452"/>
      <c r="AZ84" s="452"/>
      <c r="BA84" s="452"/>
      <c r="BB84" s="452"/>
      <c r="BC84" s="452"/>
      <c r="BD84" s="452"/>
      <c r="BE84" s="452"/>
    </row>
    <row r="85" spans="1:57" x14ac:dyDescent="0.3">
      <c r="P85" s="452"/>
      <c r="Q85" s="452"/>
      <c r="R85" s="452"/>
      <c r="S85" s="452"/>
      <c r="T85" s="452"/>
      <c r="U85" s="452"/>
      <c r="V85" s="452"/>
      <c r="W85" s="452"/>
      <c r="X85" s="452"/>
      <c r="Y85" s="452"/>
      <c r="Z85" s="452"/>
      <c r="AA85" s="452"/>
      <c r="AB85" s="452"/>
      <c r="AC85" s="452"/>
      <c r="AD85" s="452"/>
      <c r="AE85" s="452"/>
      <c r="AF85" s="452"/>
      <c r="AG85" s="452"/>
      <c r="AH85" s="452"/>
      <c r="AI85" s="452"/>
      <c r="AJ85" s="452"/>
      <c r="AK85" s="452"/>
      <c r="AL85" s="452"/>
      <c r="AM85" s="452"/>
      <c r="AN85" s="452"/>
      <c r="AO85" s="452"/>
      <c r="AP85" s="452"/>
      <c r="AS85" s="452"/>
      <c r="AT85" s="452"/>
      <c r="AU85" s="452"/>
      <c r="AV85" s="452"/>
      <c r="AW85" s="452"/>
      <c r="AX85" s="452"/>
      <c r="AY85" s="452"/>
      <c r="AZ85" s="452"/>
      <c r="BA85" s="452"/>
      <c r="BB85" s="452"/>
      <c r="BC85" s="452"/>
      <c r="BD85" s="452"/>
      <c r="BE85" s="452"/>
    </row>
    <row r="86" spans="1:57" x14ac:dyDescent="0.3">
      <c r="P86" s="452"/>
      <c r="Q86" s="452"/>
      <c r="R86" s="452"/>
      <c r="S86" s="452"/>
      <c r="T86" s="452"/>
      <c r="U86" s="452"/>
      <c r="V86" s="452"/>
      <c r="W86" s="452"/>
      <c r="X86" s="452"/>
      <c r="Y86" s="452"/>
      <c r="Z86" s="452"/>
      <c r="AA86" s="452"/>
      <c r="AB86" s="452"/>
      <c r="AC86" s="452"/>
      <c r="AD86" s="452"/>
      <c r="AE86" s="452"/>
      <c r="AF86" s="452"/>
      <c r="AG86" s="452"/>
      <c r="AH86" s="452"/>
      <c r="AI86" s="452"/>
      <c r="AJ86" s="452"/>
      <c r="AK86" s="452"/>
      <c r="AL86" s="452"/>
      <c r="AM86" s="452"/>
      <c r="AN86" s="452"/>
      <c r="AO86" s="452"/>
      <c r="AP86" s="452"/>
      <c r="AS86" s="452"/>
      <c r="AT86" s="452"/>
      <c r="AU86" s="452"/>
      <c r="AV86" s="452"/>
      <c r="AW86" s="452"/>
      <c r="AX86" s="452"/>
      <c r="AY86" s="452"/>
      <c r="AZ86" s="452"/>
      <c r="BA86" s="452"/>
      <c r="BB86" s="452"/>
      <c r="BC86" s="452"/>
      <c r="BD86" s="452"/>
      <c r="BE86" s="452"/>
    </row>
    <row r="87" spans="1:57" x14ac:dyDescent="0.3">
      <c r="P87" s="452"/>
      <c r="Q87" s="452"/>
      <c r="R87" s="452"/>
      <c r="S87" s="452"/>
      <c r="T87" s="452"/>
      <c r="U87" s="452"/>
      <c r="V87" s="452"/>
      <c r="W87" s="452"/>
      <c r="X87" s="452"/>
      <c r="Y87" s="452"/>
      <c r="Z87" s="452"/>
      <c r="AA87" s="452"/>
      <c r="AB87" s="452"/>
      <c r="AC87" s="452"/>
      <c r="AD87" s="452"/>
      <c r="AE87" s="452"/>
      <c r="AF87" s="452"/>
      <c r="AG87" s="452"/>
      <c r="AH87" s="452"/>
      <c r="AI87" s="452"/>
      <c r="AJ87" s="452"/>
      <c r="AK87" s="452"/>
      <c r="AL87" s="452"/>
      <c r="AM87" s="452"/>
      <c r="AN87" s="452"/>
      <c r="AO87" s="452"/>
      <c r="AP87" s="452"/>
      <c r="AS87" s="452"/>
      <c r="AT87" s="452"/>
      <c r="AU87" s="452"/>
      <c r="AV87" s="452"/>
      <c r="AW87" s="452"/>
      <c r="AX87" s="452"/>
      <c r="AY87" s="452"/>
      <c r="AZ87" s="452"/>
      <c r="BA87" s="452"/>
      <c r="BB87" s="452"/>
      <c r="BC87" s="452"/>
      <c r="BD87" s="452"/>
      <c r="BE87" s="452"/>
    </row>
    <row r="88" spans="1:57" x14ac:dyDescent="0.3">
      <c r="P88" s="452"/>
      <c r="Q88" s="452"/>
      <c r="R88" s="452"/>
      <c r="S88" s="452"/>
      <c r="T88" s="452"/>
      <c r="U88" s="452"/>
      <c r="V88" s="452"/>
      <c r="W88" s="452"/>
      <c r="X88" s="452"/>
      <c r="Y88" s="452"/>
      <c r="Z88" s="452"/>
      <c r="AA88" s="452"/>
      <c r="AB88" s="452"/>
      <c r="AC88" s="452"/>
      <c r="AD88" s="452"/>
      <c r="AE88" s="452"/>
      <c r="AF88" s="452"/>
      <c r="AG88" s="452"/>
      <c r="AH88" s="452"/>
      <c r="AI88" s="452"/>
      <c r="AJ88" s="452"/>
      <c r="AK88" s="452"/>
      <c r="AL88" s="452"/>
      <c r="AM88" s="452"/>
      <c r="AN88" s="452"/>
      <c r="AO88" s="452"/>
      <c r="AP88" s="452"/>
      <c r="AS88" s="452"/>
      <c r="AT88" s="452"/>
      <c r="AU88" s="452"/>
      <c r="AV88" s="452"/>
      <c r="AW88" s="452"/>
      <c r="AX88" s="452"/>
      <c r="AY88" s="452"/>
      <c r="AZ88" s="452"/>
      <c r="BA88" s="452"/>
      <c r="BB88" s="452"/>
      <c r="BC88" s="452"/>
      <c r="BD88" s="452"/>
      <c r="BE88" s="452"/>
    </row>
    <row r="89" spans="1:57" x14ac:dyDescent="0.3">
      <c r="P89" s="452"/>
      <c r="Q89" s="452"/>
      <c r="R89" s="452"/>
      <c r="S89" s="452"/>
      <c r="T89" s="452"/>
      <c r="U89" s="452"/>
      <c r="V89" s="452"/>
      <c r="W89" s="452"/>
      <c r="X89" s="452"/>
      <c r="Y89" s="452"/>
      <c r="Z89" s="452"/>
      <c r="AA89" s="452"/>
      <c r="AB89" s="452"/>
      <c r="AC89" s="452"/>
      <c r="AD89" s="452"/>
      <c r="AE89" s="452"/>
      <c r="AF89" s="452"/>
      <c r="AG89" s="452"/>
      <c r="AH89" s="452"/>
      <c r="AI89" s="452"/>
      <c r="AJ89" s="452"/>
      <c r="AK89" s="452"/>
      <c r="AL89" s="452"/>
      <c r="AM89" s="452"/>
      <c r="AN89" s="452"/>
      <c r="AO89" s="452"/>
      <c r="AP89" s="452"/>
      <c r="AS89" s="452"/>
      <c r="AT89" s="452"/>
      <c r="AU89" s="452"/>
      <c r="AV89" s="452"/>
      <c r="AW89" s="452"/>
      <c r="AX89" s="452"/>
      <c r="AY89" s="452"/>
      <c r="AZ89" s="452"/>
      <c r="BA89" s="452"/>
      <c r="BB89" s="452"/>
      <c r="BC89" s="452"/>
      <c r="BD89" s="452"/>
      <c r="BE89" s="452"/>
    </row>
    <row r="90" spans="1:57" x14ac:dyDescent="0.3">
      <c r="P90" s="452"/>
      <c r="Q90" s="452"/>
      <c r="R90" s="452"/>
      <c r="S90" s="452"/>
      <c r="T90" s="452"/>
      <c r="U90" s="452"/>
      <c r="V90" s="452"/>
      <c r="W90" s="452"/>
      <c r="X90" s="452"/>
      <c r="Y90" s="452"/>
      <c r="Z90" s="452"/>
      <c r="AA90" s="452"/>
      <c r="AB90" s="452"/>
      <c r="AC90" s="452"/>
      <c r="AD90" s="452"/>
      <c r="AE90" s="452"/>
      <c r="AF90" s="452"/>
      <c r="AG90" s="452"/>
      <c r="AH90" s="452"/>
      <c r="AI90" s="452"/>
      <c r="AJ90" s="452"/>
      <c r="AK90" s="452"/>
      <c r="AL90" s="452"/>
      <c r="AM90" s="452"/>
      <c r="AN90" s="452"/>
      <c r="AO90" s="452"/>
      <c r="AP90" s="452"/>
      <c r="AS90" s="452"/>
      <c r="AT90" s="452"/>
      <c r="AU90" s="452"/>
      <c r="AV90" s="452"/>
      <c r="AW90" s="452"/>
      <c r="AX90" s="452"/>
      <c r="AY90" s="452"/>
      <c r="AZ90" s="452"/>
      <c r="BA90" s="452"/>
      <c r="BB90" s="452"/>
      <c r="BC90" s="452"/>
      <c r="BD90" s="452"/>
      <c r="BE90" s="452"/>
    </row>
    <row r="91" spans="1:57" x14ac:dyDescent="0.3">
      <c r="P91" s="452"/>
      <c r="Q91" s="452"/>
      <c r="R91" s="452"/>
      <c r="S91" s="452"/>
      <c r="T91" s="452"/>
      <c r="U91" s="452"/>
      <c r="V91" s="452"/>
      <c r="W91" s="452"/>
      <c r="X91" s="452"/>
      <c r="Y91" s="452"/>
      <c r="Z91" s="452"/>
      <c r="AA91" s="452"/>
      <c r="AB91" s="452"/>
      <c r="AC91" s="452"/>
      <c r="AD91" s="452"/>
      <c r="AE91" s="452"/>
      <c r="AF91" s="452"/>
      <c r="AG91" s="452"/>
      <c r="AH91" s="452"/>
      <c r="AI91" s="452"/>
      <c r="AJ91" s="452"/>
      <c r="AK91" s="452"/>
      <c r="AL91" s="452"/>
      <c r="AM91" s="452"/>
      <c r="AN91" s="452"/>
      <c r="AO91" s="452"/>
      <c r="AP91" s="452"/>
      <c r="AS91" s="452"/>
      <c r="AT91" s="452"/>
      <c r="AU91" s="452"/>
      <c r="AV91" s="452"/>
      <c r="AW91" s="452"/>
      <c r="AX91" s="452"/>
      <c r="AY91" s="452"/>
      <c r="AZ91" s="452"/>
      <c r="BA91" s="452"/>
      <c r="BB91" s="452"/>
      <c r="BC91" s="452"/>
      <c r="BD91" s="452"/>
      <c r="BE91" s="452"/>
    </row>
    <row r="92" spans="1:57" x14ac:dyDescent="0.3">
      <c r="P92" s="452"/>
      <c r="Q92" s="452"/>
      <c r="R92" s="452"/>
      <c r="S92" s="452"/>
      <c r="T92" s="452"/>
      <c r="U92" s="452"/>
      <c r="V92" s="452"/>
      <c r="W92" s="452"/>
      <c r="X92" s="452"/>
      <c r="Y92" s="452"/>
      <c r="Z92" s="452"/>
      <c r="AA92" s="452"/>
      <c r="AB92" s="452"/>
      <c r="AC92" s="452"/>
      <c r="AD92" s="452"/>
      <c r="AE92" s="452"/>
      <c r="AF92" s="452"/>
      <c r="AG92" s="452"/>
      <c r="AH92" s="452"/>
      <c r="AI92" s="452"/>
      <c r="AJ92" s="452"/>
      <c r="AK92" s="452"/>
      <c r="AL92" s="452"/>
      <c r="AM92" s="452"/>
      <c r="AN92" s="452"/>
      <c r="AO92" s="452"/>
      <c r="AP92" s="452"/>
      <c r="AS92" s="452"/>
      <c r="AT92" s="452"/>
      <c r="AU92" s="452"/>
      <c r="AV92" s="452"/>
      <c r="AW92" s="452"/>
      <c r="AX92" s="452"/>
      <c r="AY92" s="452"/>
      <c r="AZ92" s="452"/>
      <c r="BA92" s="452"/>
      <c r="BB92" s="452"/>
      <c r="BC92" s="452"/>
      <c r="BD92" s="452"/>
      <c r="BE92" s="452"/>
    </row>
    <row r="93" spans="1:57" x14ac:dyDescent="0.3">
      <c r="P93" s="452"/>
      <c r="Q93" s="452"/>
      <c r="R93" s="452"/>
      <c r="S93" s="452"/>
      <c r="T93" s="452"/>
      <c r="U93" s="452"/>
      <c r="V93" s="452"/>
      <c r="W93" s="452"/>
      <c r="X93" s="452"/>
      <c r="Y93" s="452"/>
      <c r="Z93" s="452"/>
      <c r="AA93" s="452"/>
      <c r="AB93" s="452"/>
      <c r="AC93" s="452"/>
      <c r="AD93" s="452"/>
      <c r="AE93" s="452"/>
      <c r="AF93" s="452"/>
      <c r="AG93" s="452"/>
      <c r="AH93" s="452"/>
      <c r="AI93" s="452"/>
      <c r="AJ93" s="452"/>
      <c r="AK93" s="452"/>
      <c r="AL93" s="452"/>
      <c r="AM93" s="452"/>
      <c r="AN93" s="452"/>
      <c r="AO93" s="452"/>
      <c r="AP93" s="452"/>
      <c r="AS93" s="452"/>
      <c r="AT93" s="452"/>
      <c r="AU93" s="452"/>
      <c r="AV93" s="452"/>
      <c r="AW93" s="452"/>
      <c r="AX93" s="452"/>
      <c r="AY93" s="452"/>
      <c r="AZ93" s="452"/>
      <c r="BA93" s="452"/>
      <c r="BB93" s="452"/>
      <c r="BC93" s="452"/>
      <c r="BD93" s="452"/>
      <c r="BE93" s="452"/>
    </row>
    <row r="94" spans="1:57" x14ac:dyDescent="0.3">
      <c r="P94" s="452"/>
      <c r="Q94" s="452"/>
      <c r="R94" s="452"/>
      <c r="S94" s="452"/>
      <c r="T94" s="452"/>
      <c r="U94" s="452"/>
      <c r="V94" s="452"/>
      <c r="W94" s="452"/>
      <c r="X94" s="452"/>
      <c r="Y94" s="452"/>
      <c r="Z94" s="452"/>
      <c r="AA94" s="452"/>
      <c r="AB94" s="452"/>
      <c r="AC94" s="452"/>
      <c r="AD94" s="452"/>
      <c r="AE94" s="452"/>
      <c r="AF94" s="452"/>
      <c r="AG94" s="452"/>
      <c r="AH94" s="452"/>
      <c r="AI94" s="452"/>
      <c r="AJ94" s="452"/>
      <c r="AK94" s="452"/>
      <c r="AL94" s="452"/>
      <c r="AM94" s="452"/>
      <c r="AN94" s="452"/>
      <c r="AO94" s="452"/>
      <c r="AP94" s="452"/>
      <c r="AS94" s="452"/>
      <c r="AT94" s="452"/>
      <c r="AU94" s="452"/>
      <c r="AV94" s="452"/>
      <c r="AW94" s="452"/>
      <c r="AX94" s="452"/>
      <c r="AY94" s="452"/>
      <c r="AZ94" s="452"/>
      <c r="BA94" s="452"/>
      <c r="BB94" s="452"/>
      <c r="BC94" s="452"/>
      <c r="BD94" s="452"/>
      <c r="BE94" s="452"/>
    </row>
    <row r="95" spans="1:57" x14ac:dyDescent="0.3">
      <c r="P95" s="452"/>
      <c r="Q95" s="452"/>
      <c r="R95" s="452"/>
      <c r="S95" s="452"/>
      <c r="T95" s="452"/>
      <c r="U95" s="452"/>
      <c r="V95" s="452"/>
      <c r="W95" s="452"/>
      <c r="X95" s="452"/>
      <c r="Y95" s="452"/>
      <c r="Z95" s="452"/>
      <c r="AA95" s="452"/>
      <c r="AB95" s="452"/>
      <c r="AC95" s="452"/>
      <c r="AD95" s="452"/>
      <c r="AE95" s="452"/>
      <c r="AF95" s="452"/>
      <c r="AG95" s="452"/>
      <c r="AH95" s="452"/>
      <c r="AI95" s="452"/>
      <c r="AJ95" s="452"/>
      <c r="AK95" s="452"/>
      <c r="AL95" s="452"/>
      <c r="AM95" s="452"/>
      <c r="AN95" s="452"/>
      <c r="AO95" s="452"/>
      <c r="AP95" s="452"/>
      <c r="AS95" s="452"/>
      <c r="AT95" s="452"/>
      <c r="AU95" s="452"/>
      <c r="AV95" s="452"/>
      <c r="AW95" s="452"/>
      <c r="AX95" s="452"/>
      <c r="AY95" s="452"/>
      <c r="AZ95" s="452"/>
      <c r="BA95" s="452"/>
      <c r="BB95" s="452"/>
      <c r="BC95" s="452"/>
      <c r="BD95" s="452"/>
      <c r="BE95" s="452"/>
    </row>
    <row r="96" spans="1:57" x14ac:dyDescent="0.3">
      <c r="P96" s="452"/>
      <c r="Q96" s="452"/>
      <c r="R96" s="452"/>
      <c r="S96" s="452"/>
      <c r="T96" s="452"/>
      <c r="U96" s="452"/>
      <c r="V96" s="452"/>
      <c r="W96" s="452"/>
      <c r="X96" s="452"/>
      <c r="Y96" s="452"/>
      <c r="Z96" s="452"/>
      <c r="AA96" s="452"/>
      <c r="AB96" s="452"/>
      <c r="AC96" s="452"/>
      <c r="AD96" s="452"/>
      <c r="AE96" s="452"/>
      <c r="AF96" s="452"/>
      <c r="AG96" s="452"/>
      <c r="AH96" s="452"/>
      <c r="AI96" s="452"/>
      <c r="AJ96" s="452"/>
      <c r="AK96" s="452"/>
      <c r="AL96" s="452"/>
      <c r="AM96" s="452"/>
      <c r="AN96" s="452"/>
      <c r="AO96" s="452"/>
      <c r="AP96" s="452"/>
      <c r="AS96" s="452"/>
      <c r="AT96" s="452"/>
      <c r="AU96" s="452"/>
      <c r="AV96" s="452"/>
      <c r="AW96" s="452"/>
      <c r="AX96" s="452"/>
      <c r="AY96" s="452"/>
      <c r="AZ96" s="452"/>
      <c r="BA96" s="452"/>
      <c r="BB96" s="452"/>
      <c r="BC96" s="452"/>
      <c r="BD96" s="452"/>
      <c r="BE96" s="452"/>
    </row>
    <row r="97" spans="16:57" x14ac:dyDescent="0.3">
      <c r="P97" s="452"/>
      <c r="Q97" s="452"/>
      <c r="R97" s="452"/>
      <c r="S97" s="452"/>
      <c r="T97" s="452"/>
      <c r="U97" s="452"/>
      <c r="V97" s="452"/>
      <c r="W97" s="452"/>
      <c r="X97" s="452"/>
      <c r="Y97" s="452"/>
      <c r="Z97" s="452"/>
      <c r="AA97" s="452"/>
      <c r="AB97" s="452"/>
      <c r="AC97" s="452"/>
      <c r="AD97" s="452"/>
      <c r="AE97" s="452"/>
      <c r="AF97" s="452"/>
      <c r="AG97" s="452"/>
      <c r="AH97" s="452"/>
      <c r="AI97" s="452"/>
      <c r="AJ97" s="452"/>
      <c r="AK97" s="452"/>
      <c r="AL97" s="452"/>
      <c r="AM97" s="452"/>
      <c r="AN97" s="452"/>
      <c r="AO97" s="452"/>
      <c r="AP97" s="452"/>
      <c r="AS97" s="452"/>
      <c r="AT97" s="452"/>
      <c r="AU97" s="452"/>
      <c r="AV97" s="452"/>
      <c r="AW97" s="452"/>
      <c r="AX97" s="452"/>
      <c r="AY97" s="452"/>
      <c r="AZ97" s="452"/>
      <c r="BA97" s="452"/>
      <c r="BB97" s="452"/>
      <c r="BC97" s="452"/>
      <c r="BD97" s="452"/>
      <c r="BE97" s="452"/>
    </row>
    <row r="98" spans="16:57" x14ac:dyDescent="0.3">
      <c r="P98" s="452"/>
      <c r="Q98" s="452"/>
      <c r="R98" s="452"/>
      <c r="S98" s="452"/>
      <c r="T98" s="452"/>
      <c r="U98" s="452"/>
      <c r="V98" s="452"/>
      <c r="W98" s="452"/>
      <c r="X98" s="452"/>
      <c r="Y98" s="452"/>
      <c r="Z98" s="452"/>
      <c r="AA98" s="452"/>
      <c r="AB98" s="452"/>
      <c r="AC98" s="452"/>
      <c r="AD98" s="452"/>
      <c r="AE98" s="452"/>
      <c r="AF98" s="452"/>
      <c r="AG98" s="452"/>
      <c r="AH98" s="452"/>
      <c r="AI98" s="452"/>
      <c r="AJ98" s="452"/>
      <c r="AK98" s="452"/>
      <c r="AL98" s="452"/>
      <c r="AM98" s="452"/>
      <c r="AN98" s="452"/>
      <c r="AO98" s="452"/>
      <c r="AP98" s="452"/>
      <c r="AS98" s="452"/>
      <c r="AT98" s="452"/>
      <c r="AU98" s="452"/>
      <c r="AV98" s="452"/>
      <c r="AW98" s="452"/>
      <c r="AX98" s="452"/>
      <c r="AY98" s="452"/>
      <c r="AZ98" s="452"/>
      <c r="BA98" s="452"/>
      <c r="BB98" s="452"/>
      <c r="BC98" s="452"/>
      <c r="BD98" s="452"/>
      <c r="BE98" s="452"/>
    </row>
    <row r="99" spans="16:57" x14ac:dyDescent="0.3">
      <c r="P99" s="452"/>
      <c r="Q99" s="452"/>
      <c r="R99" s="452"/>
      <c r="S99" s="452"/>
      <c r="T99" s="452"/>
      <c r="U99" s="452"/>
      <c r="V99" s="452"/>
      <c r="W99" s="452"/>
      <c r="X99" s="452"/>
      <c r="Y99" s="452"/>
      <c r="Z99" s="452"/>
      <c r="AA99" s="452"/>
      <c r="AB99" s="452"/>
      <c r="AC99" s="452"/>
      <c r="AD99" s="452"/>
      <c r="AE99" s="452"/>
      <c r="AF99" s="452"/>
      <c r="AG99" s="452"/>
      <c r="AH99" s="452"/>
      <c r="AI99" s="452"/>
      <c r="AJ99" s="452"/>
      <c r="AK99" s="452"/>
      <c r="AL99" s="452"/>
      <c r="AM99" s="452"/>
      <c r="AN99" s="452"/>
      <c r="AO99" s="452"/>
      <c r="AP99" s="452"/>
      <c r="AS99" s="452"/>
      <c r="AT99" s="452"/>
      <c r="AU99" s="452"/>
      <c r="AV99" s="452"/>
      <c r="AW99" s="452"/>
      <c r="AX99" s="452"/>
      <c r="AY99" s="452"/>
      <c r="AZ99" s="452"/>
      <c r="BA99" s="452"/>
      <c r="BB99" s="452"/>
      <c r="BC99" s="452"/>
      <c r="BD99" s="452"/>
      <c r="BE99" s="452"/>
    </row>
    <row r="100" spans="16:57" x14ac:dyDescent="0.3">
      <c r="P100" s="452"/>
      <c r="Q100" s="452"/>
      <c r="R100" s="452"/>
      <c r="S100" s="452"/>
      <c r="T100" s="452"/>
      <c r="U100" s="452"/>
      <c r="V100" s="452"/>
      <c r="W100" s="452"/>
      <c r="X100" s="452"/>
      <c r="Y100" s="452"/>
      <c r="Z100" s="452"/>
      <c r="AA100" s="452"/>
      <c r="AB100" s="452"/>
      <c r="AC100" s="452"/>
      <c r="AD100" s="452"/>
      <c r="AE100" s="452"/>
      <c r="AF100" s="452"/>
      <c r="AG100" s="452"/>
      <c r="AH100" s="452"/>
      <c r="AI100" s="452"/>
      <c r="AJ100" s="452"/>
      <c r="AK100" s="452"/>
      <c r="AL100" s="452"/>
      <c r="AM100" s="452"/>
      <c r="AN100" s="452"/>
      <c r="AO100" s="452"/>
      <c r="AP100" s="452"/>
      <c r="AS100" s="452"/>
      <c r="AT100" s="452"/>
      <c r="AU100" s="452"/>
      <c r="AV100" s="452"/>
      <c r="AW100" s="452"/>
      <c r="AX100" s="452"/>
      <c r="AY100" s="452"/>
      <c r="AZ100" s="452"/>
      <c r="BA100" s="452"/>
      <c r="BB100" s="452"/>
      <c r="BC100" s="452"/>
      <c r="BD100" s="452"/>
      <c r="BE100" s="452"/>
    </row>
  </sheetData>
  <mergeCells count="26">
    <mergeCell ref="W3:AN3"/>
    <mergeCell ref="AI48:AN48"/>
    <mergeCell ref="D11:L11"/>
    <mergeCell ref="M11:R11"/>
    <mergeCell ref="W34:AN34"/>
    <mergeCell ref="D44:R44"/>
    <mergeCell ref="C3:F3"/>
    <mergeCell ref="G3:H3"/>
    <mergeCell ref="J3:M3"/>
    <mergeCell ref="J5:K9"/>
    <mergeCell ref="O3:S3"/>
    <mergeCell ref="G5:H5"/>
    <mergeCell ref="O5:S5"/>
    <mergeCell ref="D5:E5"/>
    <mergeCell ref="J81:N81"/>
    <mergeCell ref="P51:Q51"/>
    <mergeCell ref="P52:Q52"/>
    <mergeCell ref="P53:Q53"/>
    <mergeCell ref="C6:C7"/>
    <mergeCell ref="C8:C9"/>
    <mergeCell ref="B56:G56"/>
    <mergeCell ref="H56:N56"/>
    <mergeCell ref="J80:N80"/>
    <mergeCell ref="D8:D9"/>
    <mergeCell ref="E8:E9"/>
    <mergeCell ref="B80:G81"/>
  </mergeCells>
  <dataValidations count="11">
    <dataValidation type="list" allowBlank="1" showInputMessage="1" showErrorMessage="1" sqref="D22:D43 D13:D20" xr:uid="{D8A31363-9F12-4931-B111-6E0BD3CEA9CC}">
      <formula1>Equipment</formula1>
    </dataValidation>
    <dataValidation type="list" allowBlank="1" showInputMessage="1" showErrorMessage="1" sqref="E22:E43 E13:E20" xr:uid="{1A8EB1D9-AB91-4D09-9F29-D20E66985D94}">
      <formula1>INDIRECT(SUBSTITUTE($D13," ",""))</formula1>
    </dataValidation>
    <dataValidation type="list" allowBlank="1" showInputMessage="1" showErrorMessage="1" sqref="E8:E9" xr:uid="{44D43B48-0423-48BF-911F-A5DA8C8CDA65}">
      <formula1>Case</formula1>
    </dataValidation>
    <dataValidation type="list" allowBlank="1" showInputMessage="1" showErrorMessage="1" sqref="I49:J49" xr:uid="{FE38B4FB-382E-40BE-B8BF-03A8953F6994}">
      <formula1>INDIRECT(IF($D13="Heat Exchanger",SUBSTITUTE($D13," ","")&amp;"_"&amp;SUBSTITUTE(SUBSTITUTE($E13,",","")," ","")&amp;"_Material",SUBSTITUTE($D13," ","")&amp;"_Material"))</formula1>
    </dataValidation>
    <dataValidation type="list" allowBlank="1" showInputMessage="1" showErrorMessage="1" sqref="E21" xr:uid="{8DCC81AA-30B8-4BA0-A02E-A8FA733581C6}">
      <formula1>INDIRECT(SUBSTITUTE($D22," ",""))</formula1>
    </dataValidation>
    <dataValidation type="list" allowBlank="1" showInputMessage="1" showErrorMessage="1" sqref="I13:I43" xr:uid="{F7A53F87-9ACB-45EF-8189-E7574AEFF0C0}">
      <formula1>INDIRECT(IF($D13="Heat Exchanger",SUBSTITUTE($D13," ","")&amp;"_"&amp;SUBSTITUTE(SUBSTITUTE($E13,",","")," ","")&amp;"_Material",SUBSTITUTE($D13," ","")&amp;"_Material"))</formula1>
    </dataValidation>
    <dataValidation type="list" allowBlank="1" showInputMessage="1" showErrorMessage="1" sqref="H46:H51" xr:uid="{410C2B0B-1930-401A-896B-3B17EB2A461B}">
      <formula1>Location</formula1>
    </dataValidation>
    <dataValidation type="list" allowBlank="1" showInputMessage="1" showErrorMessage="1" sqref="G46:G51" xr:uid="{9D7954E4-1ED5-4834-9C98-AD0E40B53897}">
      <formula1>Year</formula1>
    </dataValidation>
    <dataValidation type="list" allowBlank="1" showInputMessage="1" showErrorMessage="1" sqref="F46:F51" xr:uid="{BB14F5C2-043D-4B01-8363-5FBBE32BE183}">
      <formula1>Currency</formula1>
    </dataValidation>
    <dataValidation type="list" allowBlank="1" showInputMessage="1" showErrorMessage="1" sqref="B54" xr:uid="{0B0B4D09-5FCF-41D7-A7FF-EFEEBBBA0FB2}">
      <formula1>Construction</formula1>
    </dataValidation>
    <dataValidation type="list" allowBlank="1" showInputMessage="1" showErrorMessage="1" sqref="B53" xr:uid="{0DA24D6E-84CC-4328-AEAB-5094BF2BD98F}">
      <formula1>Lifetime</formula1>
    </dataValidation>
  </dataValidations>
  <pageMargins left="0.7" right="0.7" top="0.75" bottom="0.75" header="0.3" footer="0.3"/>
  <pageSetup paperSize="9" orientation="portrait" verticalDpi="1200" r:id="rId1"/>
  <ignoredErrors>
    <ignoredError sqref="T13: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199681" r:id="rId4"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5"/>
    <tablePart r:id="rId6"/>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7E3ED-6C90-4E4B-B59E-BBB9D3B06D31}">
  <sheetPr codeName="Hoja25"/>
  <dimension ref="A1:BE100"/>
  <sheetViews>
    <sheetView showGridLines="0" zoomScale="25" zoomScaleNormal="25" workbookViewId="0">
      <selection activeCell="P78" sqref="P78"/>
    </sheetView>
  </sheetViews>
  <sheetFormatPr defaultColWidth="11.109375" defaultRowHeight="14.4" x14ac:dyDescent="0.3"/>
  <cols>
    <col min="1" max="2" width="3.21875" customWidth="1"/>
    <col min="3" max="19" width="19.6640625" customWidth="1"/>
    <col min="20" max="22" width="4" customWidth="1"/>
    <col min="23" max="40" width="12.88671875" customWidth="1"/>
    <col min="41" max="41" width="3.109375" customWidth="1"/>
    <col min="43" max="43" width="11.109375" style="452"/>
    <col min="44" max="44" width="11.109375" style="452"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1"/>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1"/>
    </row>
    <row r="3" spans="1:44" ht="16.2" customHeight="1" x14ac:dyDescent="0.3">
      <c r="A3" s="83"/>
      <c r="B3" s="104"/>
      <c r="C3" s="879" t="s">
        <v>270</v>
      </c>
      <c r="D3" s="880"/>
      <c r="E3" s="880"/>
      <c r="F3" s="880"/>
      <c r="G3" s="879" t="s">
        <v>229</v>
      </c>
      <c r="H3" s="881"/>
      <c r="I3" s="92"/>
      <c r="J3" s="879" t="s">
        <v>672</v>
      </c>
      <c r="K3" s="880"/>
      <c r="L3" s="880"/>
      <c r="M3" s="881"/>
      <c r="N3" s="210"/>
      <c r="O3" s="879" t="str">
        <f>+E6</f>
        <v>Unit 2</v>
      </c>
      <c r="P3" s="880"/>
      <c r="Q3" s="880"/>
      <c r="R3" s="880"/>
      <c r="S3" s="881"/>
      <c r="T3" s="106"/>
      <c r="U3" s="106"/>
      <c r="V3" s="112"/>
      <c r="W3" s="919" t="str">
        <f>+E6&amp;" Diagram"</f>
        <v>Unit 2 Diagram</v>
      </c>
      <c r="X3" s="920"/>
      <c r="Y3" s="920"/>
      <c r="Z3" s="920"/>
      <c r="AA3" s="920"/>
      <c r="AB3" s="920"/>
      <c r="AC3" s="920"/>
      <c r="AD3" s="920"/>
      <c r="AE3" s="920"/>
      <c r="AF3" s="920"/>
      <c r="AG3" s="920"/>
      <c r="AH3" s="920"/>
      <c r="AI3" s="920"/>
      <c r="AJ3" s="920"/>
      <c r="AK3" s="920"/>
      <c r="AL3" s="920"/>
      <c r="AM3" s="920"/>
      <c r="AN3" s="921"/>
      <c r="AO3" s="113"/>
      <c r="AP3" s="83"/>
      <c r="AQ3" s="241"/>
      <c r="AR3" s="451"/>
    </row>
    <row r="4" spans="1:44" ht="16.2" customHeight="1" x14ac:dyDescent="0.3">
      <c r="A4" s="83"/>
      <c r="B4" s="104"/>
      <c r="C4" s="105"/>
      <c r="D4" s="105"/>
      <c r="E4" s="105"/>
      <c r="F4" s="105"/>
      <c r="G4" s="105"/>
      <c r="H4" s="105"/>
      <c r="I4" s="105"/>
      <c r="J4" s="105"/>
      <c r="K4" s="105"/>
      <c r="L4" s="105"/>
      <c r="M4" s="105"/>
      <c r="N4" s="179"/>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1"/>
    </row>
    <row r="5" spans="1:44" ht="16.2" customHeight="1" x14ac:dyDescent="0.3">
      <c r="A5" s="83"/>
      <c r="B5" s="104"/>
      <c r="C5" s="105"/>
      <c r="D5" s="882" t="s">
        <v>265</v>
      </c>
      <c r="E5" s="883"/>
      <c r="F5" s="105"/>
      <c r="G5" s="882" t="s">
        <v>267</v>
      </c>
      <c r="H5" s="883"/>
      <c r="I5" s="92"/>
      <c r="J5" s="926"/>
      <c r="K5" s="927"/>
      <c r="L5" s="214" t="s">
        <v>470</v>
      </c>
      <c r="M5" s="505" t="s">
        <v>504</v>
      </c>
      <c r="N5" s="506"/>
      <c r="O5" s="835" t="s">
        <v>580</v>
      </c>
      <c r="P5" s="836"/>
      <c r="Q5" s="836"/>
      <c r="R5" s="836"/>
      <c r="S5" s="837"/>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1"/>
    </row>
    <row r="6" spans="1:44" ht="16.2" customHeight="1" x14ac:dyDescent="0.3">
      <c r="A6" s="83"/>
      <c r="B6" s="104"/>
      <c r="C6" s="904" t="s">
        <v>496</v>
      </c>
      <c r="D6" s="277" t="s">
        <v>687</v>
      </c>
      <c r="E6" s="554" t="str">
        <f>+'Plant Overview'!V38</f>
        <v>Unit 2</v>
      </c>
      <c r="F6" s="105"/>
      <c r="G6" s="85"/>
      <c r="H6" s="393" t="s">
        <v>262</v>
      </c>
      <c r="I6" s="92"/>
      <c r="J6" s="928"/>
      <c r="K6" s="929"/>
      <c r="L6" s="188" t="s">
        <v>471</v>
      </c>
      <c r="M6" s="86" t="s">
        <v>505</v>
      </c>
      <c r="N6" s="506"/>
      <c r="O6" s="862"/>
      <c r="P6" s="863"/>
      <c r="Q6" s="863"/>
      <c r="R6" s="863"/>
      <c r="S6" s="864"/>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1"/>
    </row>
    <row r="7" spans="1:44" ht="16.2" customHeight="1" x14ac:dyDescent="0.3">
      <c r="A7" s="83"/>
      <c r="B7" s="104"/>
      <c r="C7" s="905"/>
      <c r="D7" s="277" t="s">
        <v>686</v>
      </c>
      <c r="E7" s="554" t="str">
        <f>+'Plant Overview'!W38</f>
        <v>U-200</v>
      </c>
      <c r="F7" s="105"/>
      <c r="G7" s="96"/>
      <c r="H7" s="393" t="s">
        <v>263</v>
      </c>
      <c r="I7" s="92"/>
      <c r="J7" s="928"/>
      <c r="K7" s="929"/>
      <c r="L7" s="214" t="s">
        <v>465</v>
      </c>
      <c r="M7" s="505" t="s">
        <v>503</v>
      </c>
      <c r="N7" s="506"/>
      <c r="O7" s="865"/>
      <c r="P7" s="866"/>
      <c r="Q7" s="866"/>
      <c r="R7" s="866"/>
      <c r="S7" s="867"/>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1"/>
    </row>
    <row r="8" spans="1:44" ht="16.2" customHeight="1" x14ac:dyDescent="0.3">
      <c r="A8" s="83"/>
      <c r="B8" s="104"/>
      <c r="C8" s="885"/>
      <c r="D8" s="909" t="s">
        <v>312</v>
      </c>
      <c r="E8" s="911"/>
      <c r="F8" s="105"/>
      <c r="G8" s="95"/>
      <c r="H8" s="759" t="s">
        <v>264</v>
      </c>
      <c r="I8" s="92"/>
      <c r="J8" s="928"/>
      <c r="K8" s="929"/>
      <c r="L8" s="214" t="s">
        <v>466</v>
      </c>
      <c r="M8" s="505" t="s">
        <v>501</v>
      </c>
      <c r="N8" s="506"/>
      <c r="O8" s="865"/>
      <c r="P8" s="866"/>
      <c r="Q8" s="866"/>
      <c r="R8" s="866"/>
      <c r="S8" s="867"/>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1"/>
    </row>
    <row r="9" spans="1:44" ht="16.2" customHeight="1" x14ac:dyDescent="0.3">
      <c r="A9" s="83"/>
      <c r="B9" s="104"/>
      <c r="C9" s="886"/>
      <c r="D9" s="910"/>
      <c r="E9" s="912"/>
      <c r="F9" s="105"/>
      <c r="G9" s="110"/>
      <c r="H9" s="760" t="s">
        <v>268</v>
      </c>
      <c r="I9" s="92"/>
      <c r="J9" s="930"/>
      <c r="K9" s="931"/>
      <c r="L9" s="214" t="s">
        <v>467</v>
      </c>
      <c r="M9" s="505" t="s">
        <v>502</v>
      </c>
      <c r="N9" s="506"/>
      <c r="O9" s="868"/>
      <c r="P9" s="869"/>
      <c r="Q9" s="869"/>
      <c r="R9" s="869"/>
      <c r="S9" s="870"/>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1"/>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1"/>
    </row>
    <row r="11" spans="1:44" ht="16.2" customHeight="1" x14ac:dyDescent="0.3">
      <c r="A11" s="83"/>
      <c r="B11" s="104"/>
      <c r="C11" s="105"/>
      <c r="D11" s="879" t="s">
        <v>572</v>
      </c>
      <c r="E11" s="880"/>
      <c r="F11" s="880"/>
      <c r="G11" s="880"/>
      <c r="H11" s="880"/>
      <c r="I11" s="880"/>
      <c r="J11" s="880"/>
      <c r="K11" s="880"/>
      <c r="L11" s="881"/>
      <c r="M11" s="879" t="s">
        <v>581</v>
      </c>
      <c r="N11" s="880"/>
      <c r="O11" s="880"/>
      <c r="P11" s="880"/>
      <c r="Q11" s="880"/>
      <c r="R11" s="881"/>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1"/>
    </row>
    <row r="12" spans="1:44" ht="16.2" customHeight="1" x14ac:dyDescent="0.3">
      <c r="A12" s="83"/>
      <c r="B12" s="104"/>
      <c r="C12" s="761" t="s">
        <v>239</v>
      </c>
      <c r="D12" s="768" t="s">
        <v>229</v>
      </c>
      <c r="E12" s="768" t="s">
        <v>348</v>
      </c>
      <c r="F12" s="546" t="s">
        <v>234</v>
      </c>
      <c r="G12" s="546" t="s">
        <v>476</v>
      </c>
      <c r="H12" s="547" t="s">
        <v>235</v>
      </c>
      <c r="I12" s="768" t="s">
        <v>236</v>
      </c>
      <c r="J12" s="763" t="s">
        <v>341</v>
      </c>
      <c r="K12" s="546" t="s">
        <v>340</v>
      </c>
      <c r="L12" s="546" t="s">
        <v>535</v>
      </c>
      <c r="M12" s="548" t="s">
        <v>230</v>
      </c>
      <c r="N12" s="548" t="s">
        <v>231</v>
      </c>
      <c r="O12" s="548" t="s">
        <v>232</v>
      </c>
      <c r="P12" s="548" t="s">
        <v>225</v>
      </c>
      <c r="Q12" s="548" t="s">
        <v>233</v>
      </c>
      <c r="R12" s="548" t="s">
        <v>266</v>
      </c>
      <c r="S12" s="610" t="s">
        <v>660</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1"/>
    </row>
    <row r="13" spans="1:44" ht="16.2" customHeight="1" x14ac:dyDescent="0.3">
      <c r="A13" s="83"/>
      <c r="B13" s="104"/>
      <c r="C13" s="442"/>
      <c r="D13" s="233"/>
      <c r="E13" s="268"/>
      <c r="F13" s="390"/>
      <c r="G13" s="390"/>
      <c r="H13" s="518" t="str">
        <f>IF(Tabla27889112113631[[#This Row],[Subtype]]="","",VLOOKUP(Tabla27889112113631[[#This Row],[Subtype]],'Unit-X00 Equipment'!$E$13:$H$107,4,FALSE))</f>
        <v/>
      </c>
      <c r="I13" s="756"/>
      <c r="J13" s="756"/>
      <c r="K13" s="756"/>
      <c r="L13" s="756"/>
      <c r="M13" s="357"/>
      <c r="N13" s="219"/>
      <c r="O13" s="219"/>
      <c r="P13" s="219"/>
      <c r="Q13" s="219"/>
      <c r="R13" s="507"/>
      <c r="S13" s="223" t="str">
        <f>+IF(Tabla25879012013530[[#This Row],[Equipment]]="","",Q13*R13/10^6)</f>
        <v/>
      </c>
      <c r="T13" s="784" t="e">
        <f ca="1">+S13*$S$52/$R$52</f>
        <v>#VALUE!</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1"/>
    </row>
    <row r="14" spans="1:44" ht="16.2" customHeight="1" x14ac:dyDescent="0.3">
      <c r="A14" s="83"/>
      <c r="B14" s="104"/>
      <c r="C14" s="100"/>
      <c r="D14" s="233"/>
      <c r="E14" s="268"/>
      <c r="F14" s="390"/>
      <c r="G14" s="390"/>
      <c r="H14" s="518" t="str">
        <f>IF(Tabla27889112113631[[#This Row],[Subtype]]="","",VLOOKUP(Tabla27889112113631[[#This Row],[Subtype]],'Unit-X00 Equipment'!$E$13:$H$107,4,FALSE))</f>
        <v/>
      </c>
      <c r="I14" s="756"/>
      <c r="J14" s="756"/>
      <c r="K14" s="756"/>
      <c r="L14" s="756"/>
      <c r="M14" s="269"/>
      <c r="N14" s="390"/>
      <c r="O14" s="390"/>
      <c r="P14" s="390"/>
      <c r="Q14" s="390"/>
      <c r="R14" s="508"/>
      <c r="S14" s="217" t="str">
        <f>+IF(Tabla25879012013530[[#This Row],[Equipment]]="","",Q14*R14/10^6)</f>
        <v/>
      </c>
      <c r="T14" s="784" t="e">
        <f t="shared" ref="T14:T43" ca="1" si="0">+S14*$S$52/$R$52</f>
        <v>#VALUE!</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1"/>
    </row>
    <row r="15" spans="1:44" ht="16.2" customHeight="1" x14ac:dyDescent="0.3">
      <c r="A15" s="83"/>
      <c r="B15" s="104"/>
      <c r="C15" s="256"/>
      <c r="D15" s="268"/>
      <c r="E15" s="268"/>
      <c r="F15" s="756"/>
      <c r="G15" s="756"/>
      <c r="H15" s="518" t="str">
        <f>IF(Tabla27889112113631[[#This Row],[Subtype]]="","",VLOOKUP(Tabla27889112113631[[#This Row],[Subtype]],'Unit-X00 Equipment'!$E$13:$H$107,4,FALSE))</f>
        <v/>
      </c>
      <c r="I15" s="756"/>
      <c r="J15" s="756"/>
      <c r="K15" s="756"/>
      <c r="L15" s="756"/>
      <c r="M15" s="170"/>
      <c r="N15" s="756"/>
      <c r="O15" s="390"/>
      <c r="P15" s="166"/>
      <c r="Q15" s="167"/>
      <c r="R15" s="508"/>
      <c r="S15" s="217" t="str">
        <f>+IF(Tabla25879012013530[[#This Row],[Equipment]]="","",Q15*R15/10^6)</f>
        <v/>
      </c>
      <c r="T15" s="784" t="e">
        <f t="shared" ca="1" si="0"/>
        <v>#VALUE!</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1"/>
    </row>
    <row r="16" spans="1:44" ht="16.2" customHeight="1" x14ac:dyDescent="0.3">
      <c r="A16" s="83"/>
      <c r="B16" s="104"/>
      <c r="C16" s="256"/>
      <c r="D16" s="233"/>
      <c r="E16" s="268"/>
      <c r="F16" s="390"/>
      <c r="G16" s="390"/>
      <c r="H16" s="518" t="str">
        <f>IF(Tabla27889112113631[[#This Row],[Subtype]]="","",VLOOKUP(Tabla27889112113631[[#This Row],[Subtype]],'Unit-X00 Equipment'!$E$13:$H$107,4,FALSE))</f>
        <v/>
      </c>
      <c r="I16" s="756"/>
      <c r="J16" s="756"/>
      <c r="K16" s="756"/>
      <c r="L16" s="756"/>
      <c r="M16" s="269"/>
      <c r="N16" s="390"/>
      <c r="O16" s="390"/>
      <c r="P16" s="390"/>
      <c r="Q16" s="390"/>
      <c r="R16" s="508"/>
      <c r="S16" s="217" t="str">
        <f>+IF(Tabla25879012013530[[#This Row],[Equipment]]="","",Q16*R16/10^6)</f>
        <v/>
      </c>
      <c r="T16" s="784" t="e">
        <f t="shared" ca="1" si="0"/>
        <v>#VALUE!</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1"/>
    </row>
    <row r="17" spans="1:44" ht="16.2" customHeight="1" x14ac:dyDescent="0.3">
      <c r="A17" s="83"/>
      <c r="B17" s="104"/>
      <c r="C17" s="100"/>
      <c r="D17" s="233"/>
      <c r="E17" s="267"/>
      <c r="F17" s="390"/>
      <c r="G17" s="390"/>
      <c r="H17" s="518" t="str">
        <f>IF(Tabla27889112113631[[#This Row],[Subtype]]="","",VLOOKUP(Tabla27889112113631[[#This Row],[Subtype]],'Unit-X00 Equipment'!$E$13:$H$107,4,FALSE))</f>
        <v/>
      </c>
      <c r="I17" s="756"/>
      <c r="J17" s="756"/>
      <c r="K17" s="756"/>
      <c r="L17" s="756"/>
      <c r="M17" s="269"/>
      <c r="N17" s="390"/>
      <c r="O17" s="390"/>
      <c r="P17" s="390"/>
      <c r="Q17" s="390"/>
      <c r="R17" s="508"/>
      <c r="S17" s="217" t="str">
        <f>+IF(Tabla25879012013530[[#This Row],[Equipment]]="","",Q17*R17/10^6)</f>
        <v/>
      </c>
      <c r="T17" s="784" t="e">
        <f t="shared" ca="1" si="0"/>
        <v>#VALUE!</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1"/>
    </row>
    <row r="18" spans="1:44" ht="16.2" customHeight="1" x14ac:dyDescent="0.3">
      <c r="A18" s="83"/>
      <c r="B18" s="104"/>
      <c r="C18" s="100"/>
      <c r="D18" s="233"/>
      <c r="E18" s="268"/>
      <c r="F18" s="390"/>
      <c r="G18" s="390"/>
      <c r="H18" s="518" t="str">
        <f>IF(Tabla27889112113631[[#This Row],[Subtype]]="","",VLOOKUP(Tabla27889112113631[[#This Row],[Subtype]],'Unit-X00 Equipment'!$E$13:$H$107,4,FALSE))</f>
        <v/>
      </c>
      <c r="I18" s="756"/>
      <c r="J18" s="756"/>
      <c r="K18" s="756"/>
      <c r="L18" s="390"/>
      <c r="M18" s="269"/>
      <c r="N18" s="390"/>
      <c r="O18" s="390"/>
      <c r="P18" s="390"/>
      <c r="Q18" s="390"/>
      <c r="R18" s="508"/>
      <c r="S18" s="217" t="str">
        <f>+IF(Tabla25879012013530[[#This Row],[Equipment]]="","",Q18*R18/10^6)</f>
        <v/>
      </c>
      <c r="T18" s="784" t="e">
        <f t="shared" ca="1" si="0"/>
        <v>#VALUE!</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1"/>
    </row>
    <row r="19" spans="1:44" ht="16.2" customHeight="1" x14ac:dyDescent="0.3">
      <c r="A19" s="83"/>
      <c r="B19" s="104"/>
      <c r="C19" s="100"/>
      <c r="D19" s="233"/>
      <c r="E19" s="268"/>
      <c r="F19" s="390"/>
      <c r="G19" s="390"/>
      <c r="H19" s="518" t="str">
        <f>IF(Tabla27889112113631[[#This Row],[Subtype]]="","",VLOOKUP(Tabla27889112113631[[#This Row],[Subtype]],'Unit-X00 Equipment'!$E$13:$H$107,4,FALSE))</f>
        <v/>
      </c>
      <c r="I19" s="756"/>
      <c r="J19" s="756"/>
      <c r="K19" s="756"/>
      <c r="L19" s="390"/>
      <c r="M19" s="269"/>
      <c r="N19" s="390"/>
      <c r="O19" s="390"/>
      <c r="P19" s="390"/>
      <c r="Q19" s="390"/>
      <c r="R19" s="508"/>
      <c r="S19" s="217" t="str">
        <f>+IF(Tabla25879012013530[[#This Row],[Equipment]]="","",Q19*R19/10^6)</f>
        <v/>
      </c>
      <c r="T19" s="784" t="e">
        <f t="shared" ca="1" si="0"/>
        <v>#VALUE!</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1"/>
    </row>
    <row r="20" spans="1:44" ht="16.2" customHeight="1" x14ac:dyDescent="0.3">
      <c r="A20" s="83"/>
      <c r="B20" s="104"/>
      <c r="C20" s="100"/>
      <c r="D20" s="233"/>
      <c r="E20" s="268"/>
      <c r="F20" s="390"/>
      <c r="G20" s="390"/>
      <c r="H20" s="518" t="str">
        <f>IF(Tabla27889112113631[[#This Row],[Subtype]]="","",VLOOKUP(Tabla27889112113631[[#This Row],[Subtype]],'Unit-X00 Equipment'!$E$13:$H$107,4,FALSE))</f>
        <v/>
      </c>
      <c r="I20" s="756"/>
      <c r="J20" s="756"/>
      <c r="K20" s="756"/>
      <c r="L20" s="756"/>
      <c r="M20" s="269"/>
      <c r="N20" s="390"/>
      <c r="O20" s="390"/>
      <c r="P20" s="390"/>
      <c r="Q20" s="390"/>
      <c r="R20" s="508"/>
      <c r="S20" s="217" t="str">
        <f>+IF(Tabla25879012013530[[#This Row],[Equipment]]="","",Q20*R20/10^6)</f>
        <v/>
      </c>
      <c r="T20" s="784" t="e">
        <f t="shared" ca="1" si="0"/>
        <v>#VALUE!</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1"/>
    </row>
    <row r="21" spans="1:44" ht="16.2" customHeight="1" x14ac:dyDescent="0.3">
      <c r="A21" s="83"/>
      <c r="B21" s="104"/>
      <c r="C21" s="100"/>
      <c r="D21" s="233"/>
      <c r="E21" s="268"/>
      <c r="F21" s="390"/>
      <c r="G21" s="390"/>
      <c r="H21" s="518" t="str">
        <f>IF(Tabla27889112113631[[#This Row],[Subtype]]="","",VLOOKUP(Tabla27889112113631[[#This Row],[Subtype]],'Unit-X00 Equipment'!$E$13:$H$107,4,FALSE))</f>
        <v/>
      </c>
      <c r="I21" s="756"/>
      <c r="J21" s="756"/>
      <c r="K21" s="756"/>
      <c r="L21" s="756"/>
      <c r="M21" s="269"/>
      <c r="N21" s="390"/>
      <c r="O21" s="390"/>
      <c r="P21" s="390"/>
      <c r="Q21" s="390"/>
      <c r="R21" s="508"/>
      <c r="S21" s="217" t="str">
        <f>+IF(Tabla25879012013530[[#This Row],[Equipment]]="","",Q21*R21/10^6)</f>
        <v/>
      </c>
      <c r="T21" s="784" t="e">
        <f t="shared" ca="1" si="0"/>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1"/>
    </row>
    <row r="22" spans="1:44" ht="16.2" customHeight="1" x14ac:dyDescent="0.3">
      <c r="A22" s="83"/>
      <c r="B22" s="104"/>
      <c r="C22" s="100"/>
      <c r="D22" s="233"/>
      <c r="E22" s="268"/>
      <c r="F22" s="390"/>
      <c r="G22" s="390"/>
      <c r="H22" s="518" t="str">
        <f>IF(Tabla27889112113631[[#This Row],[Subtype]]="","",VLOOKUP(Tabla27889112113631[[#This Row],[Subtype]],'Unit-X00 Equipment'!$E$13:$H$107,4,FALSE))</f>
        <v/>
      </c>
      <c r="I22" s="756"/>
      <c r="J22" s="756"/>
      <c r="K22" s="756"/>
      <c r="L22" s="756"/>
      <c r="M22" s="269"/>
      <c r="N22" s="390"/>
      <c r="O22" s="390"/>
      <c r="P22" s="390"/>
      <c r="Q22" s="390"/>
      <c r="R22" s="508"/>
      <c r="S22" s="217" t="str">
        <f>+IF(Tabla25879012013530[[#This Row],[Equipment]]="","",Q22*R22/10^6)</f>
        <v/>
      </c>
      <c r="T22" s="784" t="e">
        <f t="shared" ca="1" si="0"/>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1"/>
    </row>
    <row r="23" spans="1:44" ht="16.2" customHeight="1" x14ac:dyDescent="0.3">
      <c r="A23" s="83"/>
      <c r="B23" s="104"/>
      <c r="C23" s="100"/>
      <c r="D23" s="268"/>
      <c r="E23" s="268"/>
      <c r="F23" s="390"/>
      <c r="G23" s="756"/>
      <c r="H23" s="518" t="str">
        <f>IF(Tabla27889112113631[[#This Row],[Subtype]]="","",VLOOKUP(Tabla27889112113631[[#This Row],[Subtype]],'Unit-X00 Equipment'!$E$13:$H$107,4,FALSE))</f>
        <v/>
      </c>
      <c r="I23" s="756"/>
      <c r="J23" s="756"/>
      <c r="K23" s="756"/>
      <c r="L23" s="756"/>
      <c r="M23" s="269"/>
      <c r="N23" s="390"/>
      <c r="O23" s="390"/>
      <c r="P23" s="390"/>
      <c r="Q23" s="390"/>
      <c r="R23" s="508"/>
      <c r="S23" s="217" t="str">
        <f>+IF(Tabla25879012013530[[#This Row],[Equipment]]="","",Q23*R23/10^6)</f>
        <v/>
      </c>
      <c r="T23" s="784" t="e">
        <f t="shared" ca="1" si="0"/>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1"/>
    </row>
    <row r="24" spans="1:44" ht="16.2" customHeight="1" x14ac:dyDescent="0.3">
      <c r="A24" s="83"/>
      <c r="B24" s="104"/>
      <c r="C24" s="100"/>
      <c r="D24" s="233"/>
      <c r="E24" s="268"/>
      <c r="F24" s="390"/>
      <c r="G24" s="390"/>
      <c r="H24" s="518" t="str">
        <f>IF(Tabla27889112113631[[#This Row],[Subtype]]="","",VLOOKUP(Tabla27889112113631[[#This Row],[Subtype]],'Unit-X00 Equipment'!$E$13:$H$107,4,FALSE))</f>
        <v/>
      </c>
      <c r="I24" s="756"/>
      <c r="J24" s="756"/>
      <c r="K24" s="756"/>
      <c r="L24" s="756"/>
      <c r="M24" s="269"/>
      <c r="N24" s="390"/>
      <c r="O24" s="390"/>
      <c r="P24" s="390"/>
      <c r="Q24" s="390"/>
      <c r="R24" s="508"/>
      <c r="S24" s="217" t="str">
        <f>+IF(Tabla25879012013530[[#This Row],[Equipment]]="","",Q24*R24/10^6)</f>
        <v/>
      </c>
      <c r="T24" s="784" t="e">
        <f t="shared" ca="1" si="0"/>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1"/>
    </row>
    <row r="25" spans="1:44" ht="16.2" customHeight="1" x14ac:dyDescent="0.3">
      <c r="A25" s="83"/>
      <c r="B25" s="104"/>
      <c r="C25" s="100"/>
      <c r="D25" s="233"/>
      <c r="E25" s="268"/>
      <c r="F25" s="390"/>
      <c r="G25" s="390"/>
      <c r="H25" s="518" t="str">
        <f>IF(Tabla27889112113631[[#This Row],[Subtype]]="","",VLOOKUP(Tabla27889112113631[[#This Row],[Subtype]],'Unit-X00 Equipment'!$E$13:$H$107,4,FALSE))</f>
        <v/>
      </c>
      <c r="I25" s="756"/>
      <c r="J25" s="756"/>
      <c r="K25" s="756"/>
      <c r="L25" s="756"/>
      <c r="M25" s="269"/>
      <c r="N25" s="390"/>
      <c r="O25" s="390"/>
      <c r="P25" s="390"/>
      <c r="Q25" s="390"/>
      <c r="R25" s="508"/>
      <c r="S25" s="217" t="str">
        <f>+IF(Tabla25879012013530[[#This Row],[Equipment]]="","",Q25*R25/10^6)</f>
        <v/>
      </c>
      <c r="T25" s="784" t="e">
        <f t="shared" ca="1" si="0"/>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1"/>
    </row>
    <row r="26" spans="1:44" ht="16.2" customHeight="1" x14ac:dyDescent="0.3">
      <c r="A26" s="83"/>
      <c r="B26" s="104"/>
      <c r="C26" s="100"/>
      <c r="D26" s="233"/>
      <c r="E26" s="268"/>
      <c r="F26" s="390"/>
      <c r="G26" s="390"/>
      <c r="H26" s="518" t="str">
        <f>IF(Tabla27889112113631[[#This Row],[Subtype]]="","",VLOOKUP(Tabla27889112113631[[#This Row],[Subtype]],'Unit-X00 Equipment'!$E$13:$H$107,4,FALSE))</f>
        <v/>
      </c>
      <c r="I26" s="756"/>
      <c r="J26" s="756"/>
      <c r="K26" s="756"/>
      <c r="L26" s="756"/>
      <c r="M26" s="269"/>
      <c r="N26" s="390"/>
      <c r="O26" s="390"/>
      <c r="P26" s="390"/>
      <c r="Q26" s="390"/>
      <c r="R26" s="508"/>
      <c r="S26" s="217" t="str">
        <f>+IF(Tabla25879012013530[[#This Row],[Equipment]]="","",Q26*R26/10^6)</f>
        <v/>
      </c>
      <c r="T26" s="784" t="e">
        <f t="shared" ca="1" si="0"/>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1"/>
    </row>
    <row r="27" spans="1:44" ht="16.2" customHeight="1" x14ac:dyDescent="0.3">
      <c r="A27" s="83"/>
      <c r="B27" s="104"/>
      <c r="C27" s="100"/>
      <c r="D27" s="233"/>
      <c r="E27" s="268"/>
      <c r="F27" s="390"/>
      <c r="G27" s="390"/>
      <c r="H27" s="518" t="str">
        <f>IF(Tabla27889112113631[[#This Row],[Subtype]]="","",VLOOKUP(Tabla27889112113631[[#This Row],[Subtype]],'Unit-X00 Equipment'!$E$13:$H$107,4,FALSE))</f>
        <v/>
      </c>
      <c r="I27" s="756"/>
      <c r="J27" s="756"/>
      <c r="K27" s="756"/>
      <c r="L27" s="756"/>
      <c r="M27" s="269"/>
      <c r="N27" s="390"/>
      <c r="O27" s="390"/>
      <c r="P27" s="390"/>
      <c r="Q27" s="390"/>
      <c r="R27" s="508"/>
      <c r="S27" s="217" t="str">
        <f>+IF(Tabla25879012013530[[#This Row],[Equipment]]="","",Q27*R27/10^6)</f>
        <v/>
      </c>
      <c r="T27" s="784" t="e">
        <f t="shared" ca="1" si="0"/>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1"/>
    </row>
    <row r="28" spans="1:44" ht="16.2" customHeight="1" x14ac:dyDescent="0.3">
      <c r="A28" s="83"/>
      <c r="B28" s="104"/>
      <c r="C28" s="100"/>
      <c r="D28" s="233"/>
      <c r="E28" s="268"/>
      <c r="F28" s="390"/>
      <c r="G28" s="390"/>
      <c r="H28" s="518" t="str">
        <f>IF(Tabla27889112113631[[#This Row],[Subtype]]="","",VLOOKUP(Tabla27889112113631[[#This Row],[Subtype]],'Unit-X00 Equipment'!$E$13:$H$107,4,FALSE))</f>
        <v/>
      </c>
      <c r="I28" s="756"/>
      <c r="J28" s="756"/>
      <c r="K28" s="756"/>
      <c r="L28" s="756"/>
      <c r="M28" s="269"/>
      <c r="N28" s="390"/>
      <c r="O28" s="390"/>
      <c r="P28" s="390"/>
      <c r="Q28" s="390"/>
      <c r="R28" s="508"/>
      <c r="S28" s="217" t="str">
        <f>+IF(Tabla25879012013530[[#This Row],[Equipment]]="","",Q28*R28/10^6)</f>
        <v/>
      </c>
      <c r="T28" s="784" t="e">
        <f t="shared" ca="1" si="0"/>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1"/>
    </row>
    <row r="29" spans="1:44" ht="16.2" customHeight="1" x14ac:dyDescent="0.3">
      <c r="A29" s="83"/>
      <c r="B29" s="104"/>
      <c r="C29" s="100"/>
      <c r="D29" s="233"/>
      <c r="E29" s="268"/>
      <c r="F29" s="390"/>
      <c r="G29" s="390"/>
      <c r="H29" s="518" t="str">
        <f>IF(Tabla27889112113631[[#This Row],[Subtype]]="","",VLOOKUP(Tabla27889112113631[[#This Row],[Subtype]],'Unit-X00 Equipment'!$E$13:$H$107,4,FALSE))</f>
        <v/>
      </c>
      <c r="I29" s="756"/>
      <c r="J29" s="756"/>
      <c r="K29" s="756"/>
      <c r="L29" s="756"/>
      <c r="M29" s="269"/>
      <c r="N29" s="390"/>
      <c r="O29" s="390"/>
      <c r="P29" s="390"/>
      <c r="Q29" s="390"/>
      <c r="R29" s="508"/>
      <c r="S29" s="217" t="str">
        <f>+IF(Tabla25879012013530[[#This Row],[Equipment]]="","",Q29*R29/10^6)</f>
        <v/>
      </c>
      <c r="T29" s="784" t="e">
        <f t="shared" ca="1" si="0"/>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1"/>
    </row>
    <row r="30" spans="1:44" ht="16.2" customHeight="1" x14ac:dyDescent="0.3">
      <c r="A30" s="83"/>
      <c r="B30" s="104"/>
      <c r="C30" s="100"/>
      <c r="D30" s="233"/>
      <c r="E30" s="268"/>
      <c r="F30" s="390"/>
      <c r="G30" s="390"/>
      <c r="H30" s="518" t="str">
        <f>IF(Tabla27889112113631[[#This Row],[Subtype]]="","",VLOOKUP(Tabla27889112113631[[#This Row],[Subtype]],'Unit-X00 Equipment'!$E$13:$H$107,4,FALSE))</f>
        <v/>
      </c>
      <c r="I30" s="756"/>
      <c r="J30" s="756"/>
      <c r="K30" s="756"/>
      <c r="L30" s="756"/>
      <c r="M30" s="269"/>
      <c r="N30" s="390"/>
      <c r="O30" s="390"/>
      <c r="P30" s="390"/>
      <c r="Q30" s="390"/>
      <c r="R30" s="508"/>
      <c r="S30" s="217" t="str">
        <f>+IF(Tabla25879012013530[[#This Row],[Equipment]]="","",Q30*R30/10^6)</f>
        <v/>
      </c>
      <c r="T30" s="784" t="e">
        <f t="shared" ca="1" si="0"/>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1"/>
    </row>
    <row r="31" spans="1:44" ht="16.2" customHeight="1" x14ac:dyDescent="0.3">
      <c r="A31" s="83"/>
      <c r="B31" s="104"/>
      <c r="C31" s="100"/>
      <c r="D31" s="233"/>
      <c r="E31" s="268"/>
      <c r="F31" s="390"/>
      <c r="G31" s="390"/>
      <c r="H31" s="518" t="str">
        <f>IF(Tabla27889112113631[[#This Row],[Subtype]]="","",VLOOKUP(Tabla27889112113631[[#This Row],[Subtype]],'Unit-X00 Equipment'!$E$13:$H$107,4,FALSE))</f>
        <v/>
      </c>
      <c r="I31" s="756"/>
      <c r="J31" s="756"/>
      <c r="K31" s="756"/>
      <c r="L31" s="756"/>
      <c r="M31" s="269"/>
      <c r="N31" s="390"/>
      <c r="O31" s="390"/>
      <c r="P31" s="390"/>
      <c r="Q31" s="390"/>
      <c r="R31" s="508"/>
      <c r="S31" s="217" t="str">
        <f>+IF(Tabla25879012013530[[#This Row],[Equipment]]="","",Q31*R31/10^6)</f>
        <v/>
      </c>
      <c r="T31" s="784" t="e">
        <f t="shared" ca="1" si="0"/>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1"/>
    </row>
    <row r="32" spans="1:44" ht="16.2" customHeight="1" x14ac:dyDescent="0.3">
      <c r="A32" s="83"/>
      <c r="B32" s="104"/>
      <c r="C32" s="256"/>
      <c r="D32" s="233"/>
      <c r="E32" s="268"/>
      <c r="F32" s="390"/>
      <c r="G32" s="390"/>
      <c r="H32" s="518" t="str">
        <f>IF(Tabla27889112113631[[#This Row],[Subtype]]="","",VLOOKUP(Tabla27889112113631[[#This Row],[Subtype]],'Unit-X00 Equipment'!$E$13:$H$107,4,FALSE))</f>
        <v/>
      </c>
      <c r="I32" s="756"/>
      <c r="J32" s="756"/>
      <c r="K32" s="756"/>
      <c r="L32" s="756"/>
      <c r="M32" s="170"/>
      <c r="N32" s="756"/>
      <c r="O32" s="756"/>
      <c r="P32" s="166"/>
      <c r="Q32" s="167"/>
      <c r="R32" s="508"/>
      <c r="S32" s="217" t="str">
        <f>+IF(Tabla25879012013530[[#This Row],[Equipment]]="","",Q32*R32/10^6)</f>
        <v/>
      </c>
      <c r="T32" s="784" t="e">
        <f t="shared" ca="1" si="0"/>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1"/>
    </row>
    <row r="33" spans="1:44" ht="16.2" customHeight="1" x14ac:dyDescent="0.3">
      <c r="A33" s="83"/>
      <c r="B33" s="104"/>
      <c r="C33" s="256"/>
      <c r="D33" s="233"/>
      <c r="E33" s="268"/>
      <c r="F33" s="390"/>
      <c r="G33" s="390"/>
      <c r="H33" s="518" t="str">
        <f>IF(Tabla27889112113631[[#This Row],[Subtype]]="","",VLOOKUP(Tabla27889112113631[[#This Row],[Subtype]],'Unit-X00 Equipment'!$E$13:$H$107,4,FALSE))</f>
        <v/>
      </c>
      <c r="I33" s="756"/>
      <c r="J33" s="756"/>
      <c r="K33" s="756"/>
      <c r="L33" s="756"/>
      <c r="M33" s="170"/>
      <c r="N33" s="756"/>
      <c r="O33" s="756"/>
      <c r="P33" s="390"/>
      <c r="Q33" s="167"/>
      <c r="R33" s="508"/>
      <c r="S33" s="217" t="str">
        <f>+IF(Tabla25879012013530[[#This Row],[Equipment]]="","",Q33*R33/10^6)</f>
        <v/>
      </c>
      <c r="T33" s="784" t="e">
        <f t="shared" ca="1" si="0"/>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1"/>
    </row>
    <row r="34" spans="1:44" ht="16.2" customHeight="1" x14ac:dyDescent="0.3">
      <c r="A34" s="83"/>
      <c r="B34" s="104"/>
      <c r="C34" s="438"/>
      <c r="D34" s="233"/>
      <c r="E34" s="268"/>
      <c r="F34" s="390"/>
      <c r="G34" s="390"/>
      <c r="H34" s="518" t="str">
        <f>IF(Tabla27889112113631[[#This Row],[Subtype]]="","",VLOOKUP(Tabla27889112113631[[#This Row],[Subtype]],'Unit-X00 Equipment'!$E$13:$H$107,4,FALSE))</f>
        <v/>
      </c>
      <c r="I34" s="756"/>
      <c r="J34" s="756"/>
      <c r="K34" s="756"/>
      <c r="L34" s="756"/>
      <c r="M34" s="170"/>
      <c r="N34" s="756"/>
      <c r="O34" s="756"/>
      <c r="P34" s="756"/>
      <c r="Q34" s="167"/>
      <c r="R34" s="508"/>
      <c r="S34" s="217" t="str">
        <f>+IF(Tabla25879012013530[[#This Row],[Equipment]]="","",Q34*R34/10^6)</f>
        <v/>
      </c>
      <c r="T34" s="784" t="e">
        <f t="shared" ca="1" si="0"/>
        <v>#VALUE!</v>
      </c>
      <c r="U34" s="105"/>
      <c r="V34" s="116"/>
      <c r="W34" s="876" t="str">
        <f>+E6&amp;" Calculations"</f>
        <v>Unit 2 Calculations</v>
      </c>
      <c r="X34" s="877"/>
      <c r="Y34" s="877"/>
      <c r="Z34" s="877"/>
      <c r="AA34" s="877"/>
      <c r="AB34" s="877"/>
      <c r="AC34" s="877"/>
      <c r="AD34" s="877"/>
      <c r="AE34" s="877"/>
      <c r="AF34" s="877"/>
      <c r="AG34" s="877"/>
      <c r="AH34" s="877"/>
      <c r="AI34" s="877"/>
      <c r="AJ34" s="877"/>
      <c r="AK34" s="877"/>
      <c r="AL34" s="877"/>
      <c r="AM34" s="877"/>
      <c r="AN34" s="878"/>
      <c r="AO34" s="113"/>
      <c r="AP34" s="105"/>
      <c r="AQ34" s="241"/>
      <c r="AR34" s="451"/>
    </row>
    <row r="35" spans="1:44" ht="16.2" customHeight="1" x14ac:dyDescent="0.3">
      <c r="A35" s="83"/>
      <c r="B35" s="104"/>
      <c r="C35" s="438"/>
      <c r="D35" s="233"/>
      <c r="E35" s="268"/>
      <c r="F35" s="390"/>
      <c r="G35" s="390"/>
      <c r="H35" s="518" t="str">
        <f>IF(Tabla27889112113631[[#This Row],[Subtype]]="","",VLOOKUP(Tabla27889112113631[[#This Row],[Subtype]],'Unit-X00 Equipment'!$E$13:$H$107,4,FALSE))</f>
        <v/>
      </c>
      <c r="I35" s="756"/>
      <c r="J35" s="756"/>
      <c r="K35" s="756"/>
      <c r="L35" s="756"/>
      <c r="M35" s="170"/>
      <c r="N35" s="756"/>
      <c r="O35" s="756"/>
      <c r="P35" s="756"/>
      <c r="Q35" s="167"/>
      <c r="R35" s="508"/>
      <c r="S35" s="217" t="str">
        <f>+IF(Tabla25879012013530[[#This Row],[Equipment]]="","",Q35*R35/10^6)</f>
        <v/>
      </c>
      <c r="T35" s="784" t="e">
        <f t="shared" ca="1" si="0"/>
        <v>#VALUE!</v>
      </c>
      <c r="U35" s="105"/>
      <c r="V35" s="595"/>
      <c r="W35" s="596"/>
      <c r="X35" s="596"/>
      <c r="Y35" s="596"/>
      <c r="Z35" s="596"/>
      <c r="AA35" s="596"/>
      <c r="AB35" s="597"/>
      <c r="AC35" s="596"/>
      <c r="AD35" s="596"/>
      <c r="AE35" s="596"/>
      <c r="AF35" s="596"/>
      <c r="AG35" s="596"/>
      <c r="AH35" s="596"/>
      <c r="AI35" s="596"/>
      <c r="AJ35" s="596"/>
      <c r="AK35" s="596"/>
      <c r="AL35" s="596"/>
      <c r="AM35" s="596"/>
      <c r="AN35" s="596"/>
      <c r="AO35" s="113"/>
      <c r="AP35" s="105"/>
      <c r="AQ35" s="241"/>
      <c r="AR35" s="451"/>
    </row>
    <row r="36" spans="1:44" ht="16.2" customHeight="1" x14ac:dyDescent="0.3">
      <c r="A36" s="83"/>
      <c r="B36" s="104"/>
      <c r="C36" s="438"/>
      <c r="D36" s="233"/>
      <c r="E36" s="268"/>
      <c r="F36" s="390"/>
      <c r="G36" s="390"/>
      <c r="H36" s="518" t="str">
        <f>IF(Tabla27889112113631[[#This Row],[Subtype]]="","",VLOOKUP(Tabla27889112113631[[#This Row],[Subtype]],'Unit-X00 Equipment'!$E$13:$H$107,4,FALSE))</f>
        <v/>
      </c>
      <c r="I36" s="756"/>
      <c r="J36" s="756"/>
      <c r="K36" s="756"/>
      <c r="L36" s="756"/>
      <c r="M36" s="170"/>
      <c r="N36" s="756"/>
      <c r="O36" s="756"/>
      <c r="P36" s="756"/>
      <c r="Q36" s="167"/>
      <c r="R36" s="508"/>
      <c r="S36" s="217" t="str">
        <f>+IF(Tabla25879012013530[[#This Row],[Equipment]]="","",Q36*R36/10^6)</f>
        <v/>
      </c>
      <c r="T36" s="784" t="e">
        <f t="shared" ca="1" si="0"/>
        <v>#VALUE!</v>
      </c>
      <c r="U36" s="105"/>
      <c r="V36" s="595"/>
      <c r="W36" s="445"/>
      <c r="X36" s="445"/>
      <c r="Y36" s="445"/>
      <c r="Z36" s="445"/>
      <c r="AA36" s="599"/>
      <c r="AB36" s="445"/>
      <c r="AC36" s="445"/>
      <c r="AD36" s="445"/>
      <c r="AE36" s="445"/>
      <c r="AF36" s="445"/>
      <c r="AG36" s="445"/>
      <c r="AH36" s="445"/>
      <c r="AI36" s="445"/>
      <c r="AJ36" s="445"/>
      <c r="AK36" s="445"/>
      <c r="AL36" s="445"/>
      <c r="AM36" s="445"/>
      <c r="AN36" s="445"/>
      <c r="AO36" s="113"/>
      <c r="AP36" s="105"/>
      <c r="AQ36" s="241"/>
      <c r="AR36" s="451"/>
    </row>
    <row r="37" spans="1:44" ht="16.2" customHeight="1" x14ac:dyDescent="0.3">
      <c r="A37" s="83"/>
      <c r="B37" s="104"/>
      <c r="C37" s="438"/>
      <c r="D37" s="233"/>
      <c r="E37" s="268"/>
      <c r="F37" s="390"/>
      <c r="G37" s="390"/>
      <c r="H37" s="518" t="str">
        <f>IF(Tabla27889112113631[[#This Row],[Subtype]]="","",VLOOKUP(Tabla27889112113631[[#This Row],[Subtype]],'Unit-X00 Equipment'!$E$13:$H$107,4,FALSE))</f>
        <v/>
      </c>
      <c r="I37" s="756"/>
      <c r="J37" s="756"/>
      <c r="K37" s="756"/>
      <c r="L37" s="756"/>
      <c r="M37" s="170"/>
      <c r="N37" s="756"/>
      <c r="O37" s="756"/>
      <c r="P37" s="756"/>
      <c r="Q37" s="167"/>
      <c r="R37" s="508"/>
      <c r="S37" s="217" t="str">
        <f>+IF(Tabla25879012013530[[#This Row],[Equipment]]="","",Q37*R37/10^6)</f>
        <v/>
      </c>
      <c r="T37" s="784" t="e">
        <f t="shared" ca="1" si="0"/>
        <v>#VALUE!</v>
      </c>
      <c r="U37" s="105"/>
      <c r="V37" s="595"/>
      <c r="W37" s="596"/>
      <c r="X37" s="596"/>
      <c r="Y37" s="596"/>
      <c r="Z37" s="596"/>
      <c r="AA37" s="596"/>
      <c r="AB37" s="520"/>
      <c r="AC37" s="520"/>
      <c r="AD37" s="520"/>
      <c r="AE37" s="520"/>
      <c r="AF37" s="520"/>
      <c r="AG37" s="520"/>
      <c r="AH37" s="520"/>
      <c r="AI37" s="520"/>
      <c r="AJ37" s="520"/>
      <c r="AK37" s="520"/>
      <c r="AL37" s="520"/>
      <c r="AM37" s="520"/>
      <c r="AN37" s="520"/>
      <c r="AO37" s="113"/>
      <c r="AP37" s="105"/>
      <c r="AQ37" s="241"/>
      <c r="AR37" s="451"/>
    </row>
    <row r="38" spans="1:44" ht="16.2" customHeight="1" x14ac:dyDescent="0.3">
      <c r="A38" s="83"/>
      <c r="B38" s="104"/>
      <c r="C38" s="438"/>
      <c r="D38" s="233"/>
      <c r="E38" s="268"/>
      <c r="F38" s="390"/>
      <c r="G38" s="390"/>
      <c r="H38" s="518" t="str">
        <f>IF(Tabla27889112113631[[#This Row],[Subtype]]="","",VLOOKUP(Tabla27889112113631[[#This Row],[Subtype]],'Unit-X00 Equipment'!$E$13:$H$107,4,FALSE))</f>
        <v/>
      </c>
      <c r="I38" s="756"/>
      <c r="J38" s="756"/>
      <c r="K38" s="756"/>
      <c r="L38" s="756"/>
      <c r="M38" s="170"/>
      <c r="N38" s="756"/>
      <c r="O38" s="756"/>
      <c r="P38" s="756"/>
      <c r="Q38" s="167"/>
      <c r="R38" s="508"/>
      <c r="S38" s="217" t="str">
        <f>+IF(Tabla25879012013530[[#This Row],[Equipment]]="","",Q38*R38/10^6)</f>
        <v/>
      </c>
      <c r="T38" s="784" t="e">
        <f t="shared" ca="1" si="0"/>
        <v>#VALUE!</v>
      </c>
      <c r="U38" s="105"/>
      <c r="V38" s="595"/>
      <c r="W38" s="596"/>
      <c r="X38" s="596"/>
      <c r="Y38" s="596"/>
      <c r="Z38" s="596"/>
      <c r="AA38" s="596"/>
      <c r="AB38" s="512"/>
      <c r="AC38" s="512"/>
      <c r="AD38" s="512"/>
      <c r="AE38" s="512"/>
      <c r="AF38" s="521"/>
      <c r="AG38" s="521"/>
      <c r="AH38" s="521"/>
      <c r="AI38" s="521"/>
      <c r="AJ38" s="522"/>
      <c r="AK38" s="522"/>
      <c r="AL38" s="522"/>
      <c r="AM38" s="522"/>
      <c r="AN38" s="520"/>
      <c r="AO38" s="84"/>
      <c r="AP38" s="105"/>
      <c r="AQ38" s="241"/>
      <c r="AR38" s="451"/>
    </row>
    <row r="39" spans="1:44" ht="16.2" customHeight="1" x14ac:dyDescent="0.3">
      <c r="A39" s="83"/>
      <c r="B39" s="104"/>
      <c r="C39" s="93"/>
      <c r="D39" s="234"/>
      <c r="E39" s="785"/>
      <c r="F39" s="786"/>
      <c r="G39" s="786"/>
      <c r="H39" s="518" t="str">
        <f>IF(Tabla27889112113631[[#This Row],[Subtype]]="","",VLOOKUP(Tabla27889112113631[[#This Row],[Subtype]],'Unit-X00 Equipment'!$E$13:$H$107,4,FALSE))</f>
        <v/>
      </c>
      <c r="I39" s="92"/>
      <c r="J39" s="92"/>
      <c r="K39" s="92"/>
      <c r="L39" s="92"/>
      <c r="M39" s="270"/>
      <c r="N39" s="92"/>
      <c r="O39" s="92"/>
      <c r="P39" s="92"/>
      <c r="Q39" s="271"/>
      <c r="R39" s="509"/>
      <c r="S39" s="217" t="str">
        <f>+IF(Tabla25879012013530[[#This Row],[Equipment]]="","",Q39*R39/10^6)</f>
        <v/>
      </c>
      <c r="T39" s="784" t="e">
        <f t="shared" ca="1" si="0"/>
        <v>#VALUE!</v>
      </c>
      <c r="U39" s="105"/>
      <c r="V39" s="595"/>
      <c r="W39" s="596"/>
      <c r="X39" s="247"/>
      <c r="Y39" s="247"/>
      <c r="Z39" s="596"/>
      <c r="AA39" s="596"/>
      <c r="AB39" s="596"/>
      <c r="AC39" s="596"/>
      <c r="AD39" s="596"/>
      <c r="AE39" s="596"/>
      <c r="AF39" s="384"/>
      <c r="AG39" s="384"/>
      <c r="AH39" s="384"/>
      <c r="AI39" s="384"/>
      <c r="AJ39" s="384"/>
      <c r="AK39" s="384"/>
      <c r="AL39" s="384"/>
      <c r="AM39" s="384"/>
      <c r="AN39" s="596"/>
      <c r="AO39" s="113"/>
      <c r="AP39" s="105"/>
      <c r="AQ39" s="241"/>
      <c r="AR39" s="451"/>
    </row>
    <row r="40" spans="1:44" ht="16.2" customHeight="1" x14ac:dyDescent="0.3">
      <c r="A40" s="83"/>
      <c r="B40" s="104"/>
      <c r="C40" s="93"/>
      <c r="D40" s="234"/>
      <c r="E40" s="785"/>
      <c r="F40" s="786"/>
      <c r="G40" s="786"/>
      <c r="H40" s="518" t="str">
        <f>IF(Tabla27889112113631[[#This Row],[Subtype]]="","",VLOOKUP(Tabla27889112113631[[#This Row],[Subtype]],'Unit-X00 Equipment'!$E$13:$H$107,4,FALSE))</f>
        <v/>
      </c>
      <c r="I40" s="92"/>
      <c r="J40" s="92"/>
      <c r="K40" s="92"/>
      <c r="L40" s="92"/>
      <c r="M40" s="270"/>
      <c r="N40" s="92"/>
      <c r="O40" s="92"/>
      <c r="P40" s="92"/>
      <c r="Q40" s="271"/>
      <c r="R40" s="509"/>
      <c r="S40" s="217" t="str">
        <f>+IF(Tabla25879012013530[[#This Row],[Equipment]]="","",Q40*R40/10^6)</f>
        <v/>
      </c>
      <c r="T40" s="784" t="e">
        <f t="shared" ca="1" si="0"/>
        <v>#VALUE!</v>
      </c>
      <c r="U40" s="105"/>
      <c r="V40" s="595"/>
      <c r="W40" s="596"/>
      <c r="X40" s="247"/>
      <c r="Y40" s="247"/>
      <c r="Z40" s="596"/>
      <c r="AA40" s="596"/>
      <c r="AB40" s="596"/>
      <c r="AC40" s="446"/>
      <c r="AD40" s="596"/>
      <c r="AE40" s="596"/>
      <c r="AF40" s="596"/>
      <c r="AG40" s="383"/>
      <c r="AH40" s="596"/>
      <c r="AI40" s="383"/>
      <c r="AJ40" s="596"/>
      <c r="AK40" s="383"/>
      <c r="AL40" s="596"/>
      <c r="AM40" s="511"/>
      <c r="AN40" s="383"/>
      <c r="AO40" s="113"/>
      <c r="AP40" s="105"/>
      <c r="AQ40" s="241"/>
      <c r="AR40" s="451"/>
    </row>
    <row r="41" spans="1:44" ht="16.2" customHeight="1" x14ac:dyDescent="0.3">
      <c r="A41" s="83"/>
      <c r="B41" s="104"/>
      <c r="C41" s="256"/>
      <c r="D41" s="233"/>
      <c r="E41" s="268"/>
      <c r="F41" s="390"/>
      <c r="G41" s="390"/>
      <c r="H41" s="518" t="str">
        <f>IF(Tabla27889112113631[[#This Row],[Subtype]]="","",VLOOKUP(Tabla27889112113631[[#This Row],[Subtype]],'Unit-X00 Equipment'!$E$13:$H$107,4,FALSE))</f>
        <v/>
      </c>
      <c r="I41" s="756"/>
      <c r="J41" s="756"/>
      <c r="K41" s="756"/>
      <c r="L41" s="756"/>
      <c r="M41" s="170"/>
      <c r="N41" s="756"/>
      <c r="O41" s="756"/>
      <c r="P41" s="166"/>
      <c r="Q41" s="167"/>
      <c r="R41" s="508"/>
      <c r="S41" s="217" t="str">
        <f>+IF(Tabla25879012013530[[#This Row],[Equipment]]="","",Q41*R41/10^6)</f>
        <v/>
      </c>
      <c r="T41" s="784" t="e">
        <f t="shared" ca="1" si="0"/>
        <v>#VALUE!</v>
      </c>
      <c r="U41" s="105"/>
      <c r="V41" s="595"/>
      <c r="W41" s="596"/>
      <c r="X41" s="511"/>
      <c r="Y41" s="511"/>
      <c r="Z41" s="596"/>
      <c r="AA41" s="596"/>
      <c r="AB41" s="596"/>
      <c r="AC41" s="596"/>
      <c r="AD41" s="596"/>
      <c r="AE41" s="596"/>
      <c r="AF41" s="596"/>
      <c r="AG41" s="383"/>
      <c r="AH41" s="596"/>
      <c r="AI41" s="383"/>
      <c r="AJ41" s="596"/>
      <c r="AK41" s="596"/>
      <c r="AL41" s="596"/>
      <c r="AM41" s="596"/>
      <c r="AN41" s="383"/>
      <c r="AO41" s="113"/>
      <c r="AP41" s="105"/>
      <c r="AQ41" s="241"/>
      <c r="AR41" s="451"/>
    </row>
    <row r="42" spans="1:44" ht="16.2" customHeight="1" x14ac:dyDescent="0.3">
      <c r="A42" s="83"/>
      <c r="B42" s="104"/>
      <c r="C42" s="256"/>
      <c r="D42" s="233"/>
      <c r="E42" s="268"/>
      <c r="F42" s="390"/>
      <c r="G42" s="390"/>
      <c r="H42" s="518" t="str">
        <f>IF(Tabla27889112113631[[#This Row],[Subtype]]="","",VLOOKUP(Tabla27889112113631[[#This Row],[Subtype]],'Unit-X00 Equipment'!$E$13:$H$107,4,FALSE))</f>
        <v/>
      </c>
      <c r="I42" s="756"/>
      <c r="J42" s="756"/>
      <c r="K42" s="756"/>
      <c r="L42" s="756"/>
      <c r="M42" s="170"/>
      <c r="N42" s="756"/>
      <c r="O42" s="756"/>
      <c r="P42" s="390"/>
      <c r="Q42" s="167"/>
      <c r="R42" s="508"/>
      <c r="S42" s="217" t="str">
        <f>+IF(Tabla25879012013530[[#This Row],[Equipment]]="","",Q42*R42/10^6)</f>
        <v/>
      </c>
      <c r="T42" s="784" t="e">
        <f t="shared" ca="1" si="0"/>
        <v>#VALUE!</v>
      </c>
      <c r="U42" s="105"/>
      <c r="V42" s="595"/>
      <c r="W42" s="596"/>
      <c r="X42" s="511"/>
      <c r="Y42" s="511"/>
      <c r="Z42" s="596"/>
      <c r="AA42" s="596"/>
      <c r="AB42" s="596"/>
      <c r="AC42" s="596"/>
      <c r="AD42" s="596"/>
      <c r="AE42" s="596"/>
      <c r="AF42" s="596"/>
      <c r="AG42" s="383"/>
      <c r="AH42" s="596"/>
      <c r="AI42" s="596"/>
      <c r="AJ42" s="596"/>
      <c r="AK42" s="596"/>
      <c r="AL42" s="596"/>
      <c r="AM42" s="596"/>
      <c r="AN42" s="383"/>
      <c r="AO42" s="113"/>
      <c r="AP42" s="105"/>
      <c r="AQ42" s="241"/>
      <c r="AR42" s="451"/>
    </row>
    <row r="43" spans="1:44" ht="16.2" customHeight="1" x14ac:dyDescent="0.3">
      <c r="A43" s="83"/>
      <c r="B43" s="104"/>
      <c r="C43" s="438"/>
      <c r="D43" s="233"/>
      <c r="E43" s="268"/>
      <c r="F43" s="390"/>
      <c r="G43" s="390"/>
      <c r="H43" s="518" t="str">
        <f>IF(Tabla27889112113631[[#This Row],[Subtype]]="","",VLOOKUP(Tabla27889112113631[[#This Row],[Subtype]],'Unit-X00 Equipment'!$E$13:$H$107,4,FALSE))</f>
        <v/>
      </c>
      <c r="I43" s="756"/>
      <c r="J43" s="756"/>
      <c r="K43" s="756"/>
      <c r="L43" s="756"/>
      <c r="M43" s="331"/>
      <c r="N43" s="758"/>
      <c r="O43" s="758"/>
      <c r="P43" s="758"/>
      <c r="Q43" s="332"/>
      <c r="R43" s="510"/>
      <c r="S43" s="217" t="str">
        <f>+IF(Tabla25879012013530[[#This Row],[Equipment]]="","",Q43*R43/10^6)</f>
        <v/>
      </c>
      <c r="T43" s="784" t="e">
        <f t="shared" ca="1" si="0"/>
        <v>#VALUE!</v>
      </c>
      <c r="U43" s="105"/>
      <c r="V43" s="595"/>
      <c r="W43" s="596"/>
      <c r="X43" s="247"/>
      <c r="Y43" s="247"/>
      <c r="Z43" s="596"/>
      <c r="AA43" s="596"/>
      <c r="AB43" s="596"/>
      <c r="AC43" s="596"/>
      <c r="AD43" s="596"/>
      <c r="AE43" s="596"/>
      <c r="AF43" s="511"/>
      <c r="AG43" s="383"/>
      <c r="AH43" s="596"/>
      <c r="AI43" s="596"/>
      <c r="AJ43" s="596"/>
      <c r="AK43" s="596"/>
      <c r="AL43" s="596"/>
      <c r="AM43" s="596"/>
      <c r="AN43" s="383"/>
      <c r="AO43" s="113"/>
      <c r="AP43" s="105"/>
      <c r="AQ43" s="241"/>
      <c r="AR43" s="451"/>
    </row>
    <row r="44" spans="1:44" ht="16.2" customHeight="1" x14ac:dyDescent="0.3">
      <c r="A44" s="83"/>
      <c r="B44" s="104"/>
      <c r="C44" s="439"/>
      <c r="D44" s="880" t="s">
        <v>537</v>
      </c>
      <c r="E44" s="880"/>
      <c r="F44" s="880"/>
      <c r="G44" s="880"/>
      <c r="H44" s="880"/>
      <c r="I44" s="880"/>
      <c r="J44" s="880"/>
      <c r="K44" s="880"/>
      <c r="L44" s="880"/>
      <c r="M44" s="925"/>
      <c r="N44" s="925"/>
      <c r="O44" s="925"/>
      <c r="P44" s="925"/>
      <c r="Q44" s="925"/>
      <c r="R44" s="925"/>
      <c r="S44" s="441"/>
      <c r="T44" s="106"/>
      <c r="U44" s="105"/>
      <c r="V44" s="595"/>
      <c r="W44" s="596"/>
      <c r="X44" s="247"/>
      <c r="Y44" s="247"/>
      <c r="Z44" s="596"/>
      <c r="AA44" s="596"/>
      <c r="AB44" s="596"/>
      <c r="AC44" s="596"/>
      <c r="AD44" s="596"/>
      <c r="AE44" s="596"/>
      <c r="AF44" s="511"/>
      <c r="AG44" s="383"/>
      <c r="AH44" s="596"/>
      <c r="AI44" s="596"/>
      <c r="AJ44" s="596"/>
      <c r="AK44" s="596"/>
      <c r="AL44" s="596"/>
      <c r="AM44" s="596"/>
      <c r="AN44" s="383"/>
      <c r="AO44" s="113"/>
      <c r="AP44" s="105"/>
      <c r="AQ44" s="241"/>
      <c r="AR44" s="451"/>
    </row>
    <row r="45" spans="1:44" ht="16.2" customHeight="1" x14ac:dyDescent="0.3">
      <c r="A45" s="83"/>
      <c r="B45" s="104"/>
      <c r="C45" s="550" t="s">
        <v>582</v>
      </c>
      <c r="D45" s="544" t="s">
        <v>499</v>
      </c>
      <c r="E45" s="544" t="s">
        <v>498</v>
      </c>
      <c r="F45" s="767" t="s">
        <v>464</v>
      </c>
      <c r="G45" s="767" t="s">
        <v>315</v>
      </c>
      <c r="H45" s="767" t="s">
        <v>509</v>
      </c>
      <c r="I45" s="544" t="s">
        <v>506</v>
      </c>
      <c r="J45" s="544" t="s">
        <v>235</v>
      </c>
      <c r="K45" s="544" t="s">
        <v>466</v>
      </c>
      <c r="L45" s="544" t="s">
        <v>467</v>
      </c>
      <c r="M45" s="551" t="s">
        <v>586</v>
      </c>
      <c r="N45" s="552" t="s">
        <v>469</v>
      </c>
      <c r="O45" s="548" t="s">
        <v>468</v>
      </c>
      <c r="P45" s="544" t="s">
        <v>465</v>
      </c>
      <c r="Q45" s="544" t="s">
        <v>471</v>
      </c>
      <c r="R45" s="610" t="s">
        <v>470</v>
      </c>
      <c r="S45" s="610" t="s">
        <v>497</v>
      </c>
      <c r="T45" s="106"/>
      <c r="U45" s="105"/>
      <c r="V45" s="595"/>
      <c r="W45" s="596"/>
      <c r="X45" s="247"/>
      <c r="Y45" s="247"/>
      <c r="Z45" s="596"/>
      <c r="AA45" s="596"/>
      <c r="AB45" s="596"/>
      <c r="AC45" s="596"/>
      <c r="AD45" s="596"/>
      <c r="AE45" s="596"/>
      <c r="AF45" s="511"/>
      <c r="AG45" s="383"/>
      <c r="AH45" s="596"/>
      <c r="AI45" s="596"/>
      <c r="AJ45" s="596"/>
      <c r="AK45" s="596"/>
      <c r="AL45" s="596"/>
      <c r="AM45" s="596"/>
      <c r="AN45" s="383"/>
      <c r="AO45" s="113"/>
      <c r="AP45" s="105"/>
      <c r="AQ45" s="241"/>
      <c r="AR45" s="451"/>
    </row>
    <row r="46" spans="1:44" ht="16.2" customHeight="1" x14ac:dyDescent="0.3">
      <c r="A46" s="83"/>
      <c r="B46" s="104"/>
      <c r="C46" s="382"/>
      <c r="D46" s="470"/>
      <c r="E46" s="754"/>
      <c r="F46" s="381"/>
      <c r="G46" s="381"/>
      <c r="H46" s="381"/>
      <c r="I46" s="381"/>
      <c r="J46" s="279"/>
      <c r="K46" s="754"/>
      <c r="L46" s="754"/>
      <c r="M46" s="470"/>
      <c r="N46" s="754"/>
      <c r="O46" s="754"/>
      <c r="P46" s="754"/>
      <c r="Q46" s="754"/>
      <c r="R46" s="217" t="str">
        <f t="shared" ref="R46:R50" si="1">IF(ISBLANK(Q46),"",(P46/M46)^K46*O46*((Q46/P46)/(N46/M46))^L46)</f>
        <v/>
      </c>
      <c r="S46" s="217" t="str" cm="1">
        <f t="array" aca="1" ref="S46" ca="1">IF(ISBLANK(Q46),"",IF(R46&gt;0,R46*INDIRECT(ADDRESS(MATCH(G46,'Cost Conversion'!$B$3:$B$48,0)+2,4,1,1,"Cost conversion"))*INDIRECT(ADDRESS(MATCH(H46,'Cost Conversion'!$F$3:$F$22,0)+2,8,1,1,"Cost conversion"))/IF(F46="$",'Cost Conversion'!$L$2,1),0))</f>
        <v/>
      </c>
      <c r="T46" s="106"/>
      <c r="U46" s="105"/>
      <c r="V46" s="595"/>
      <c r="W46" s="596"/>
      <c r="X46" s="247"/>
      <c r="Y46" s="247"/>
      <c r="Z46" s="596"/>
      <c r="AA46" s="596"/>
      <c r="AB46" s="596"/>
      <c r="AC46" s="596"/>
      <c r="AD46" s="596"/>
      <c r="AE46" s="596"/>
      <c r="AF46" s="511"/>
      <c r="AG46" s="383"/>
      <c r="AH46" s="596"/>
      <c r="AI46" s="596"/>
      <c r="AJ46" s="596"/>
      <c r="AK46" s="596"/>
      <c r="AL46" s="596"/>
      <c r="AM46" s="596"/>
      <c r="AN46" s="383"/>
      <c r="AO46" s="113"/>
      <c r="AP46" s="105"/>
      <c r="AQ46" s="241"/>
      <c r="AR46" s="451"/>
    </row>
    <row r="47" spans="1:44" ht="16.2" customHeight="1" x14ac:dyDescent="0.3">
      <c r="A47" s="83"/>
      <c r="B47" s="104"/>
      <c r="C47" s="382"/>
      <c r="D47" s="755"/>
      <c r="E47" s="756"/>
      <c r="F47" s="255"/>
      <c r="G47" s="255"/>
      <c r="H47" s="255"/>
      <c r="I47" s="391"/>
      <c r="J47" s="391"/>
      <c r="K47" s="756"/>
      <c r="L47" s="756"/>
      <c r="M47" s="755"/>
      <c r="N47" s="756"/>
      <c r="O47" s="756"/>
      <c r="P47" s="756"/>
      <c r="Q47" s="756"/>
      <c r="R47" s="217" t="str">
        <f t="shared" si="1"/>
        <v/>
      </c>
      <c r="S47" s="217" t="str" cm="1">
        <f t="array" aca="1" ref="S47" ca="1">IF(ISBLANK(Q47),"",IF(R47&gt;0,R47*INDIRECT(ADDRESS(MATCH(G47,'Cost Conversion'!$B$3:$B$48,0)+2,4,1,1,"Cost conversion"))*INDIRECT(ADDRESS(MATCH(H47,'Cost Conversion'!$F$3:$F$22,0)+2,8,1,1,"Cost conversion"))/IF(F47="$",'Cost Conversion'!$L$2,1),0))</f>
        <v/>
      </c>
      <c r="T47" s="106"/>
      <c r="U47" s="105"/>
      <c r="V47" s="595"/>
      <c r="W47" s="596"/>
      <c r="X47" s="247"/>
      <c r="Y47" s="247"/>
      <c r="Z47" s="596"/>
      <c r="AA47" s="596"/>
      <c r="AB47" s="596"/>
      <c r="AC47" s="596"/>
      <c r="AD47" s="596"/>
      <c r="AE47" s="596"/>
      <c r="AF47" s="596"/>
      <c r="AG47" s="596"/>
      <c r="AH47" s="596"/>
      <c r="AI47" s="596"/>
      <c r="AJ47" s="596"/>
      <c r="AK47" s="513"/>
      <c r="AL47" s="513"/>
      <c r="AM47" s="513"/>
      <c r="AN47" s="596"/>
      <c r="AO47" s="113"/>
      <c r="AP47" s="105"/>
      <c r="AQ47" s="241"/>
      <c r="AR47" s="451"/>
    </row>
    <row r="48" spans="1:44" ht="16.2" customHeight="1" x14ac:dyDescent="0.3">
      <c r="A48" s="83"/>
      <c r="B48" s="104"/>
      <c r="C48" s="216"/>
      <c r="D48" s="755"/>
      <c r="E48" s="756"/>
      <c r="F48" s="255"/>
      <c r="G48" s="255"/>
      <c r="H48" s="255"/>
      <c r="I48" s="756"/>
      <c r="J48" s="756"/>
      <c r="K48" s="756"/>
      <c r="L48" s="756"/>
      <c r="M48" s="755"/>
      <c r="N48" s="756"/>
      <c r="O48" s="756"/>
      <c r="P48" s="756"/>
      <c r="Q48" s="756"/>
      <c r="R48" s="217" t="str">
        <f t="shared" si="1"/>
        <v/>
      </c>
      <c r="S48" s="217" t="str" cm="1">
        <f t="array" aca="1" ref="S48" ca="1">IF(ISBLANK(Q48),"",IF(R48&gt;0,R48*INDIRECT(ADDRESS(MATCH(G48,'Cost Conversion'!$B$3:$B$48,0)+2,4,1,1,"Cost conversion"))*INDIRECT(ADDRESS(MATCH(H48,'Cost Conversion'!$F$3:$F$22,0)+2,8,1,1,"Cost conversion"))/IF(F48="$",'Cost Conversion'!$L$2,1),0))</f>
        <v/>
      </c>
      <c r="T48" s="106"/>
      <c r="U48" s="105"/>
      <c r="V48" s="120"/>
      <c r="W48" s="512"/>
      <c r="X48" s="512"/>
      <c r="Y48" s="512"/>
      <c r="Z48" s="512"/>
      <c r="AA48" s="512"/>
      <c r="AB48" s="512"/>
      <c r="AC48" s="512"/>
      <c r="AD48" s="512"/>
      <c r="AE48" s="512"/>
      <c r="AF48" s="523"/>
      <c r="AG48" s="263" t="s">
        <v>699</v>
      </c>
      <c r="AH48" s="263" t="s">
        <v>360</v>
      </c>
      <c r="AI48" s="922" t="s">
        <v>580</v>
      </c>
      <c r="AJ48" s="923"/>
      <c r="AK48" s="923"/>
      <c r="AL48" s="923"/>
      <c r="AM48" s="923"/>
      <c r="AN48" s="924"/>
      <c r="AO48" s="113"/>
      <c r="AP48" s="105"/>
      <c r="AQ48" s="241"/>
      <c r="AR48" s="451"/>
    </row>
    <row r="49" spans="1:57" ht="16.2" customHeight="1" x14ac:dyDescent="0.3">
      <c r="A49" s="83"/>
      <c r="B49" s="104"/>
      <c r="C49" s="216"/>
      <c r="D49" s="755"/>
      <c r="E49" s="756"/>
      <c r="F49" s="255"/>
      <c r="G49" s="255"/>
      <c r="H49" s="255"/>
      <c r="I49" s="756"/>
      <c r="J49" s="756"/>
      <c r="K49" s="756"/>
      <c r="L49" s="756"/>
      <c r="M49" s="755"/>
      <c r="N49" s="756"/>
      <c r="O49" s="756"/>
      <c r="P49" s="756"/>
      <c r="Q49" s="756"/>
      <c r="R49" s="217" t="str">
        <f t="shared" si="1"/>
        <v/>
      </c>
      <c r="S49" s="217" t="str" cm="1">
        <f t="array" aca="1" ref="S49" ca="1">IF(ISBLANK(Q49),"",IF(R49&gt;0,R49*INDIRECT(ADDRESS(MATCH(G49,'Cost Conversion'!$B$3:$B$48,0)+2,4,1,1,"Cost conversion"))*INDIRECT(ADDRESS(MATCH(H49,'Cost Conversion'!$F$3:$F$22,0)+2,8,1,1,"Cost conversion"))/IF(F49="$",'Cost Conversion'!$L$2,1),0))</f>
        <v/>
      </c>
      <c r="T49" s="106"/>
      <c r="U49" s="105"/>
      <c r="V49" s="120"/>
      <c r="W49" s="512"/>
      <c r="X49" s="512"/>
      <c r="Y49" s="512"/>
      <c r="Z49" s="512"/>
      <c r="AA49" s="512"/>
      <c r="AB49" s="512"/>
      <c r="AC49" s="512"/>
      <c r="AD49" s="512"/>
      <c r="AE49" s="512"/>
      <c r="AF49" s="523"/>
      <c r="AG49" s="643"/>
      <c r="AH49" s="644"/>
      <c r="AI49" s="645"/>
      <c r="AJ49" s="645"/>
      <c r="AK49" s="645"/>
      <c r="AL49" s="645"/>
      <c r="AM49" s="645"/>
      <c r="AN49" s="646"/>
      <c r="AO49" s="113"/>
      <c r="AP49" s="105"/>
      <c r="AQ49" s="241"/>
      <c r="AR49" s="451"/>
    </row>
    <row r="50" spans="1:57" ht="16.2" customHeight="1" x14ac:dyDescent="0.3">
      <c r="A50" s="83"/>
      <c r="B50" s="104"/>
      <c r="C50" s="216"/>
      <c r="D50" s="755"/>
      <c r="E50" s="756"/>
      <c r="F50" s="255"/>
      <c r="G50" s="255"/>
      <c r="H50" s="255"/>
      <c r="I50" s="756"/>
      <c r="J50" s="756"/>
      <c r="K50" s="756"/>
      <c r="L50" s="756"/>
      <c r="M50" s="757"/>
      <c r="N50" s="758"/>
      <c r="O50" s="758"/>
      <c r="P50" s="758"/>
      <c r="Q50" s="758"/>
      <c r="R50" s="217" t="str">
        <f t="shared" si="1"/>
        <v/>
      </c>
      <c r="S50" s="217" t="str" cm="1">
        <f t="array" aca="1" ref="S50" ca="1">IF(ISBLANK(Q50),"",IF(R50&gt;0,R50*INDIRECT(ADDRESS(MATCH(G50,'Cost Conversion'!$B$3:$B$48,0)+2,4,1,1,"Cost conversion"))*INDIRECT(ADDRESS(MATCH(H50,'Cost Conversion'!$F$3:$F$22,0)+2,8,1,1,"Cost conversion"))/IF(F50="$",'Cost Conversion'!$L$2,1),0))</f>
        <v/>
      </c>
      <c r="T50" s="106"/>
      <c r="U50" s="105"/>
      <c r="V50" s="120"/>
      <c r="W50" s="512"/>
      <c r="X50" s="512"/>
      <c r="Y50" s="512"/>
      <c r="Z50" s="512"/>
      <c r="AA50" s="512"/>
      <c r="AB50" s="512"/>
      <c r="AC50" s="512"/>
      <c r="AD50" s="512"/>
      <c r="AE50" s="512"/>
      <c r="AF50" s="523"/>
      <c r="AG50" s="638"/>
      <c r="AH50" s="647"/>
      <c r="AI50" s="506"/>
      <c r="AJ50" s="506"/>
      <c r="AK50" s="506"/>
      <c r="AL50" s="506"/>
      <c r="AM50" s="506"/>
      <c r="AN50" s="639"/>
      <c r="AO50" s="113"/>
      <c r="AP50" s="105"/>
      <c r="AQ50" s="241"/>
      <c r="AR50" s="451"/>
    </row>
    <row r="51" spans="1:57" ht="16.2" customHeight="1" x14ac:dyDescent="0.3">
      <c r="A51" s="83"/>
      <c r="B51" s="104"/>
      <c r="C51" s="224"/>
      <c r="D51" s="757"/>
      <c r="E51" s="758"/>
      <c r="F51" s="758"/>
      <c r="G51" s="758"/>
      <c r="H51" s="758"/>
      <c r="I51" s="758"/>
      <c r="J51" s="758"/>
      <c r="K51" s="758"/>
      <c r="L51" s="759"/>
      <c r="M51" s="555" t="s">
        <v>585</v>
      </c>
      <c r="N51" s="547" t="s">
        <v>464</v>
      </c>
      <c r="O51" s="764" t="s">
        <v>315</v>
      </c>
      <c r="P51" s="902" t="s">
        <v>477</v>
      </c>
      <c r="Q51" s="903"/>
      <c r="R51" s="610" t="s">
        <v>640</v>
      </c>
      <c r="S51" s="556" t="s">
        <v>639</v>
      </c>
      <c r="T51" s="106"/>
      <c r="U51" s="105"/>
      <c r="V51" s="120"/>
      <c r="W51" s="512"/>
      <c r="X51" s="512"/>
      <c r="Y51" s="512"/>
      <c r="Z51" s="512"/>
      <c r="AA51" s="512"/>
      <c r="AB51" s="512"/>
      <c r="AC51" s="512"/>
      <c r="AD51" s="512"/>
      <c r="AE51" s="512"/>
      <c r="AF51" s="523"/>
      <c r="AG51" s="638"/>
      <c r="AH51" s="647"/>
      <c r="AI51" s="506"/>
      <c r="AJ51" s="506"/>
      <c r="AK51" s="506"/>
      <c r="AL51" s="506"/>
      <c r="AM51" s="506"/>
      <c r="AN51" s="639"/>
      <c r="AO51" s="113"/>
      <c r="AP51" s="105"/>
      <c r="AQ51" s="241"/>
      <c r="AR51" s="451"/>
    </row>
    <row r="52" spans="1:57" ht="16.2" customHeight="1" x14ac:dyDescent="0.3">
      <c r="A52" s="83"/>
      <c r="B52" s="104"/>
      <c r="C52" s="774"/>
      <c r="D52" s="769"/>
      <c r="E52" s="769"/>
      <c r="F52" s="769"/>
      <c r="G52" s="769"/>
      <c r="H52" s="769"/>
      <c r="I52" s="769"/>
      <c r="J52" s="769"/>
      <c r="K52" s="769"/>
      <c r="L52" s="770"/>
      <c r="M52" s="765" t="s">
        <v>489</v>
      </c>
      <c r="N52" s="537" t="s">
        <v>487</v>
      </c>
      <c r="O52" s="766">
        <v>2001</v>
      </c>
      <c r="P52" s="832" t="s">
        <v>478</v>
      </c>
      <c r="Q52" s="834"/>
      <c r="R52" s="557" t="str">
        <f>+IF(SUM(S13:S43)&gt;0,IF(G3="Equipment",SUM(S13:S43),"NaN"),"")</f>
        <v/>
      </c>
      <c r="S52" s="558" t="str" cm="1">
        <f t="array" aca="1" ref="S52" ca="1">+IF(R52="","",R52*INDIRECT(ADDRESS(MATCH(O52,'Cost Conversion'!$B$3:$B$48,0)+2,4,1,1,"Cost conversion"))*INDIRECT(ADDRESS(MATCH(P52,'Cost Conversion'!$F$3:$F$22,0)+2,8,1,1,"Cost conversion"))/IF(N52="$",'Cost Conversion'!$L$2,1))</f>
        <v/>
      </c>
      <c r="T52" s="106"/>
      <c r="U52" s="105"/>
      <c r="V52" s="120"/>
      <c r="W52" s="512"/>
      <c r="X52" s="512"/>
      <c r="Y52" s="512"/>
      <c r="Z52" s="512"/>
      <c r="AA52" s="512"/>
      <c r="AB52" s="512"/>
      <c r="AC52" s="512"/>
      <c r="AD52" s="512"/>
      <c r="AE52" s="512"/>
      <c r="AF52" s="523"/>
      <c r="AG52" s="638"/>
      <c r="AH52" s="647"/>
      <c r="AI52" s="506"/>
      <c r="AJ52" s="506"/>
      <c r="AK52" s="506"/>
      <c r="AL52" s="506"/>
      <c r="AM52" s="506"/>
      <c r="AN52" s="639"/>
      <c r="AO52" s="113"/>
      <c r="AP52" s="105"/>
      <c r="AQ52" s="241"/>
      <c r="AR52" s="451"/>
    </row>
    <row r="53" spans="1:57" ht="16.2" customHeight="1" x14ac:dyDescent="0.3">
      <c r="A53" s="83"/>
      <c r="B53" s="104"/>
      <c r="C53" s="771"/>
      <c r="D53" s="772"/>
      <c r="E53" s="772"/>
      <c r="F53" s="772"/>
      <c r="G53" s="772"/>
      <c r="H53" s="772"/>
      <c r="I53" s="772"/>
      <c r="J53" s="772"/>
      <c r="K53" s="772"/>
      <c r="L53" s="773"/>
      <c r="M53" s="537" t="s">
        <v>641</v>
      </c>
      <c r="N53" s="139"/>
      <c r="O53" s="145"/>
      <c r="P53" s="832"/>
      <c r="Q53" s="834"/>
      <c r="R53" s="557" t="s">
        <v>354</v>
      </c>
      <c r="S53" s="558" t="str">
        <f ca="1">+IF(SUM(S46:S50)&gt;0,SUM(S46:S50),"")</f>
        <v/>
      </c>
      <c r="T53" s="106"/>
      <c r="U53" s="105"/>
      <c r="V53" s="120"/>
      <c r="W53" s="512"/>
      <c r="X53" s="512"/>
      <c r="Y53" s="512"/>
      <c r="Z53" s="512"/>
      <c r="AA53" s="512"/>
      <c r="AB53" s="512"/>
      <c r="AC53" s="512"/>
      <c r="AD53" s="512"/>
      <c r="AE53" s="512"/>
      <c r="AF53" s="523"/>
      <c r="AG53" s="640"/>
      <c r="AH53" s="648"/>
      <c r="AI53" s="641"/>
      <c r="AJ53" s="641"/>
      <c r="AK53" s="641"/>
      <c r="AL53" s="641"/>
      <c r="AM53" s="641"/>
      <c r="AN53" s="642"/>
      <c r="AO53" s="113"/>
      <c r="AP53" s="105"/>
      <c r="AQ53" s="241"/>
      <c r="AR53" s="451"/>
    </row>
    <row r="54" spans="1:57" ht="16.2" customHeight="1" x14ac:dyDescent="0.3">
      <c r="A54" s="83"/>
      <c r="B54" s="107"/>
      <c r="C54" s="108"/>
      <c r="D54" s="108"/>
      <c r="E54" s="108"/>
      <c r="F54" s="108"/>
      <c r="G54" s="108"/>
      <c r="H54" s="108"/>
      <c r="I54" s="108"/>
      <c r="J54" s="108"/>
      <c r="K54" s="108"/>
      <c r="L54" s="108"/>
      <c r="M54" s="108"/>
      <c r="N54" s="108"/>
      <c r="O54" s="108"/>
      <c r="P54" s="108"/>
      <c r="Q54" s="108"/>
      <c r="R54" s="108"/>
      <c r="S54" s="108"/>
      <c r="T54" s="109"/>
      <c r="U54" s="105"/>
      <c r="V54" s="121"/>
      <c r="W54" s="122"/>
      <c r="X54" s="122"/>
      <c r="Y54" s="122"/>
      <c r="Z54" s="122"/>
      <c r="AA54" s="122"/>
      <c r="AB54" s="122"/>
      <c r="AC54" s="122"/>
      <c r="AD54" s="122"/>
      <c r="AE54" s="122"/>
      <c r="AF54" s="122"/>
      <c r="AG54" s="122"/>
      <c r="AH54" s="122"/>
      <c r="AI54" s="122"/>
      <c r="AJ54" s="122"/>
      <c r="AK54" s="122"/>
      <c r="AL54" s="122"/>
      <c r="AM54" s="122"/>
      <c r="AN54" s="122"/>
      <c r="AO54" s="123"/>
      <c r="AP54" s="105"/>
      <c r="AQ54" s="241"/>
      <c r="AR54" s="451"/>
    </row>
    <row r="55" spans="1:57" ht="16.2" customHeight="1" x14ac:dyDescent="0.3">
      <c r="A55" s="83"/>
      <c r="B55" s="83"/>
      <c r="C55" s="83"/>
      <c r="D55" s="83"/>
      <c r="E55" s="83"/>
      <c r="F55" s="83"/>
      <c r="G55" s="83"/>
      <c r="H55" s="83"/>
      <c r="I55" s="83"/>
      <c r="J55" s="83"/>
      <c r="K55" s="83"/>
      <c r="L55" s="83"/>
      <c r="M55" s="83"/>
      <c r="N55" s="83"/>
      <c r="O55" s="83"/>
      <c r="P55" s="83"/>
      <c r="Q55" s="83"/>
      <c r="R55" s="83"/>
      <c r="S55" s="83"/>
      <c r="T55" s="83"/>
      <c r="U55" s="83"/>
      <c r="V55" s="105"/>
      <c r="W55" s="105"/>
      <c r="X55" s="105"/>
      <c r="Y55" s="105"/>
      <c r="Z55" s="105"/>
      <c r="AA55" s="105"/>
      <c r="AB55" s="105"/>
      <c r="AC55" s="105"/>
      <c r="AD55" s="105"/>
      <c r="AE55" s="105"/>
      <c r="AF55" s="105"/>
      <c r="AG55" s="105"/>
      <c r="AH55" s="105"/>
      <c r="AI55" s="105"/>
      <c r="AJ55" s="105"/>
      <c r="AK55" s="105"/>
      <c r="AL55" s="105"/>
      <c r="AM55" s="105"/>
      <c r="AN55" s="105"/>
      <c r="AO55" s="105"/>
      <c r="AP55" s="105"/>
      <c r="AQ55" s="241"/>
      <c r="AR55" s="451"/>
    </row>
    <row r="56" spans="1:57" ht="16.2" customHeight="1" x14ac:dyDescent="0.3">
      <c r="A56" s="83"/>
      <c r="B56" s="879" t="str">
        <f>+"BEC Distribution: "&amp;E6</f>
        <v>BEC Distribution: Unit 2</v>
      </c>
      <c r="C56" s="880"/>
      <c r="D56" s="880"/>
      <c r="E56" s="880"/>
      <c r="F56" s="880"/>
      <c r="G56" s="881"/>
      <c r="H56" s="879" t="str">
        <f>+"Estimate Benchmark : "&amp;E6</f>
        <v>Estimate Benchmark : Unit 2</v>
      </c>
      <c r="I56" s="880"/>
      <c r="J56" s="880"/>
      <c r="K56" s="880"/>
      <c r="L56" s="880"/>
      <c r="M56" s="880"/>
      <c r="N56" s="881"/>
      <c r="O56" s="198"/>
      <c r="P56" s="198"/>
      <c r="Q56" s="198"/>
      <c r="R56" s="198"/>
      <c r="S56" s="198"/>
      <c r="T56" s="198"/>
      <c r="U56" s="198"/>
      <c r="V56" s="198"/>
      <c r="W56" s="198"/>
      <c r="X56" s="198"/>
      <c r="Y56" s="198"/>
      <c r="Z56" s="197"/>
      <c r="AA56" s="197"/>
      <c r="AB56" s="197"/>
      <c r="AC56" s="197"/>
      <c r="AD56" s="197"/>
      <c r="AE56" s="197"/>
      <c r="AF56" s="197"/>
      <c r="AG56" s="197"/>
      <c r="AH56" s="197"/>
      <c r="AI56" s="197"/>
      <c r="AJ56" s="197"/>
      <c r="AK56" s="197"/>
      <c r="AL56" s="197"/>
      <c r="AM56" s="197"/>
      <c r="AN56" s="197"/>
      <c r="AO56" s="197"/>
      <c r="AP56" s="83"/>
      <c r="AQ56" s="241"/>
      <c r="AR56" s="451"/>
    </row>
    <row r="57" spans="1:57" ht="16.2" customHeight="1" x14ac:dyDescent="0.3">
      <c r="A57" s="83"/>
      <c r="B57" s="101"/>
      <c r="C57" s="102"/>
      <c r="D57" s="102"/>
      <c r="E57" s="102"/>
      <c r="F57" s="102"/>
      <c r="G57" s="103"/>
      <c r="H57" s="352"/>
      <c r="I57" s="353"/>
      <c r="J57" s="353"/>
      <c r="K57" s="353"/>
      <c r="L57" s="353"/>
      <c r="M57" s="353"/>
      <c r="N57" s="354"/>
      <c r="O57" s="180"/>
      <c r="P57" s="456"/>
      <c r="Q57" s="456"/>
      <c r="R57" s="242"/>
      <c r="S57" s="452"/>
      <c r="T57" s="242"/>
      <c r="U57" s="242"/>
      <c r="V57" s="242"/>
      <c r="W57" s="242"/>
      <c r="X57" s="242"/>
      <c r="Y57" s="242"/>
      <c r="Z57" s="241"/>
      <c r="AA57" s="241"/>
      <c r="AB57" s="241"/>
      <c r="AC57" s="241"/>
      <c r="AD57" s="241"/>
      <c r="AE57" s="241"/>
      <c r="AF57" s="241"/>
      <c r="AG57" s="241"/>
      <c r="AH57" s="241"/>
      <c r="AI57" s="241"/>
      <c r="AJ57" s="241"/>
      <c r="AK57" s="241"/>
      <c r="AL57" s="241"/>
      <c r="AM57" s="241"/>
      <c r="AN57" s="241"/>
      <c r="AO57" s="241"/>
      <c r="AP57" s="241"/>
      <c r="AQ57" s="241"/>
      <c r="AR57" s="451"/>
      <c r="AS57" s="452"/>
      <c r="AT57" s="452"/>
      <c r="AU57" s="452"/>
      <c r="AV57" s="452"/>
      <c r="AW57" s="452"/>
      <c r="AX57" s="452"/>
      <c r="AY57" s="452"/>
      <c r="AZ57" s="452"/>
      <c r="BA57" s="452"/>
      <c r="BB57" s="452"/>
      <c r="BC57" s="452"/>
      <c r="BD57" s="452"/>
      <c r="BE57" s="452"/>
    </row>
    <row r="58" spans="1:57" ht="16.2" customHeight="1" x14ac:dyDescent="0.3">
      <c r="A58" s="83"/>
      <c r="B58" s="104"/>
      <c r="C58" s="105"/>
      <c r="D58" s="105"/>
      <c r="E58" s="105"/>
      <c r="F58" s="105"/>
      <c r="G58" s="106"/>
      <c r="H58" s="355"/>
      <c r="I58" s="280"/>
      <c r="J58" s="280"/>
      <c r="K58" s="280"/>
      <c r="L58" s="280"/>
      <c r="M58" s="280"/>
      <c r="N58" s="356"/>
      <c r="O58" s="183"/>
      <c r="P58" s="456"/>
      <c r="Q58" s="456"/>
      <c r="R58" s="242"/>
      <c r="S58" s="452"/>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1"/>
      <c r="AS58" s="452"/>
      <c r="AT58" s="452"/>
      <c r="AU58" s="452"/>
      <c r="AV58" s="452"/>
      <c r="AW58" s="452"/>
      <c r="AX58" s="452"/>
      <c r="AY58" s="452"/>
      <c r="AZ58" s="452"/>
      <c r="BA58" s="452"/>
      <c r="BB58" s="452"/>
      <c r="BC58" s="452"/>
      <c r="BD58" s="452"/>
      <c r="BE58" s="452"/>
    </row>
    <row r="59" spans="1:57" ht="16.2" customHeight="1" x14ac:dyDescent="0.3">
      <c r="A59" s="83"/>
      <c r="B59" s="104"/>
      <c r="C59" s="105"/>
      <c r="D59" s="105"/>
      <c r="E59" s="105"/>
      <c r="F59" s="105"/>
      <c r="G59" s="106"/>
      <c r="H59" s="355"/>
      <c r="I59" s="280"/>
      <c r="J59" s="280"/>
      <c r="K59" s="280"/>
      <c r="L59" s="280"/>
      <c r="M59" s="280"/>
      <c r="N59" s="356"/>
      <c r="O59" s="177"/>
      <c r="P59" s="242"/>
      <c r="Q59" s="242"/>
      <c r="R59" s="242"/>
      <c r="S59" s="242"/>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1"/>
      <c r="AS59" s="452"/>
      <c r="AT59" s="452"/>
      <c r="AU59" s="452"/>
      <c r="AV59" s="452"/>
      <c r="AW59" s="452"/>
      <c r="AX59" s="452"/>
      <c r="AY59" s="452"/>
      <c r="AZ59" s="452"/>
      <c r="BA59" s="452"/>
      <c r="BB59" s="452"/>
      <c r="BC59" s="452"/>
      <c r="BD59" s="452"/>
      <c r="BE59" s="452"/>
    </row>
    <row r="60" spans="1:57" ht="16.2" customHeight="1" x14ac:dyDescent="0.3">
      <c r="A60" s="83"/>
      <c r="B60" s="104"/>
      <c r="C60" s="105"/>
      <c r="D60" s="105"/>
      <c r="E60" s="105"/>
      <c r="F60" s="105"/>
      <c r="G60" s="106"/>
      <c r="H60" s="355"/>
      <c r="I60" s="280"/>
      <c r="J60" s="280"/>
      <c r="K60" s="280"/>
      <c r="L60" s="280"/>
      <c r="M60" s="280"/>
      <c r="N60" s="356"/>
      <c r="O60" s="105"/>
      <c r="P60" s="242"/>
      <c r="Q60" s="242"/>
      <c r="R60" s="242"/>
      <c r="S60" s="242"/>
      <c r="T60" s="242"/>
      <c r="U60" s="242"/>
      <c r="V60" s="45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1"/>
      <c r="AS60" s="452"/>
      <c r="AT60" s="452"/>
      <c r="AU60" s="452"/>
      <c r="AV60" s="452"/>
      <c r="AW60" s="452"/>
      <c r="AX60" s="452"/>
      <c r="AY60" s="452"/>
      <c r="AZ60" s="452"/>
      <c r="BA60" s="452"/>
      <c r="BB60" s="452"/>
      <c r="BC60" s="452"/>
      <c r="BD60" s="452"/>
      <c r="BE60" s="452"/>
    </row>
    <row r="61" spans="1:57" ht="16.2" customHeight="1" x14ac:dyDescent="0.3">
      <c r="A61" s="83"/>
      <c r="B61" s="104"/>
      <c r="C61" s="105"/>
      <c r="D61" s="105"/>
      <c r="E61" s="105"/>
      <c r="F61" s="105"/>
      <c r="G61" s="106"/>
      <c r="H61" s="355"/>
      <c r="I61" s="280"/>
      <c r="J61" s="280"/>
      <c r="K61" s="280"/>
      <c r="L61" s="280"/>
      <c r="M61" s="280"/>
      <c r="N61" s="356"/>
      <c r="O61" s="105"/>
      <c r="P61" s="242"/>
      <c r="Q61" s="242"/>
      <c r="R61" s="242"/>
      <c r="S61" s="242"/>
      <c r="T61" s="242"/>
      <c r="U61" s="242"/>
      <c r="V61" s="242"/>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1"/>
      <c r="AS61" s="452"/>
      <c r="AT61" s="452"/>
      <c r="AU61" s="452"/>
      <c r="AV61" s="452"/>
      <c r="AW61" s="452"/>
      <c r="AX61" s="452"/>
      <c r="AY61" s="452"/>
      <c r="AZ61" s="452"/>
      <c r="BA61" s="452"/>
      <c r="BB61" s="452"/>
      <c r="BC61" s="452"/>
      <c r="BD61" s="452"/>
      <c r="BE61" s="452"/>
    </row>
    <row r="62" spans="1:57" ht="16.2" customHeight="1" x14ac:dyDescent="0.3">
      <c r="A62" s="83"/>
      <c r="B62" s="104"/>
      <c r="C62" s="105"/>
      <c r="D62" s="105"/>
      <c r="E62" s="105"/>
      <c r="F62" s="105"/>
      <c r="G62" s="106"/>
      <c r="H62" s="355"/>
      <c r="I62" s="280"/>
      <c r="J62" s="280"/>
      <c r="K62" s="280"/>
      <c r="L62" s="280"/>
      <c r="M62" s="280"/>
      <c r="N62" s="356"/>
      <c r="O62" s="105"/>
      <c r="P62" s="242"/>
      <c r="Q62" s="242"/>
      <c r="R62" s="242"/>
      <c r="S62" s="242"/>
      <c r="T62" s="456"/>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1"/>
      <c r="AS62" s="452"/>
      <c r="AT62" s="452"/>
      <c r="AU62" s="452"/>
      <c r="AV62" s="452"/>
      <c r="AW62" s="452"/>
      <c r="AX62" s="452"/>
      <c r="AY62" s="452"/>
      <c r="AZ62" s="452"/>
      <c r="BA62" s="452"/>
      <c r="BB62" s="452"/>
      <c r="BC62" s="452"/>
      <c r="BD62" s="452"/>
      <c r="BE62" s="452"/>
    </row>
    <row r="63" spans="1:57" ht="16.2" customHeight="1" x14ac:dyDescent="0.3">
      <c r="A63" s="83"/>
      <c r="B63" s="104"/>
      <c r="C63" s="105"/>
      <c r="D63" s="105"/>
      <c r="E63" s="105"/>
      <c r="F63" s="105"/>
      <c r="G63" s="106"/>
      <c r="H63" s="355"/>
      <c r="I63" s="280"/>
      <c r="J63" s="280"/>
      <c r="K63" s="280"/>
      <c r="L63" s="280"/>
      <c r="M63" s="280"/>
      <c r="N63" s="356"/>
      <c r="O63" s="105"/>
      <c r="P63" s="242"/>
      <c r="Q63" s="242"/>
      <c r="R63" s="242"/>
      <c r="S63" s="242"/>
      <c r="T63" s="456"/>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1"/>
      <c r="AS63" s="452"/>
      <c r="AT63" s="452"/>
      <c r="AU63" s="452"/>
      <c r="AV63" s="452"/>
      <c r="AW63" s="452"/>
      <c r="AX63" s="452"/>
      <c r="AY63" s="452"/>
      <c r="AZ63" s="452"/>
      <c r="BA63" s="452"/>
      <c r="BB63" s="452"/>
      <c r="BC63" s="452"/>
      <c r="BD63" s="452"/>
      <c r="BE63" s="452"/>
    </row>
    <row r="64" spans="1:57" ht="16.2" customHeight="1" x14ac:dyDescent="0.3">
      <c r="A64" s="83"/>
      <c r="B64" s="104"/>
      <c r="C64" s="105"/>
      <c r="D64" s="105"/>
      <c r="E64" s="105"/>
      <c r="F64" s="105"/>
      <c r="G64" s="106"/>
      <c r="H64" s="355"/>
      <c r="I64" s="280"/>
      <c r="J64" s="280"/>
      <c r="K64" s="280"/>
      <c r="L64" s="280"/>
      <c r="M64" s="280"/>
      <c r="N64" s="356"/>
      <c r="O64" s="105"/>
      <c r="P64" s="242"/>
      <c r="Q64" s="242"/>
      <c r="R64" s="242"/>
      <c r="S64" s="242"/>
      <c r="T64" s="242"/>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1"/>
      <c r="AS64" s="452"/>
      <c r="AT64" s="452"/>
      <c r="AU64" s="452"/>
      <c r="AV64" s="452"/>
      <c r="AW64" s="452"/>
      <c r="AX64" s="452"/>
      <c r="AY64" s="452"/>
      <c r="AZ64" s="452"/>
      <c r="BA64" s="452"/>
      <c r="BB64" s="452"/>
      <c r="BC64" s="452"/>
      <c r="BD64" s="452"/>
      <c r="BE64" s="452"/>
    </row>
    <row r="65" spans="1:57" ht="16.2" customHeight="1" x14ac:dyDescent="0.3">
      <c r="A65" s="83"/>
      <c r="B65" s="104"/>
      <c r="C65" s="105"/>
      <c r="D65" s="105"/>
      <c r="E65" s="105"/>
      <c r="F65" s="105"/>
      <c r="G65" s="106"/>
      <c r="H65" s="355"/>
      <c r="I65" s="280"/>
      <c r="J65" s="280"/>
      <c r="K65" s="280"/>
      <c r="L65" s="280"/>
      <c r="M65" s="280"/>
      <c r="N65" s="356"/>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1"/>
      <c r="AS65" s="452"/>
      <c r="AT65" s="452"/>
      <c r="AU65" s="452"/>
      <c r="AV65" s="452"/>
      <c r="AW65" s="452"/>
      <c r="AX65" s="452"/>
      <c r="AY65" s="452"/>
      <c r="AZ65" s="452"/>
      <c r="BA65" s="452"/>
      <c r="BB65" s="452"/>
      <c r="BC65" s="452"/>
      <c r="BD65" s="452"/>
      <c r="BE65" s="452"/>
    </row>
    <row r="66" spans="1:57" ht="16.2" customHeight="1" x14ac:dyDescent="0.3">
      <c r="A66" s="83"/>
      <c r="B66" s="104"/>
      <c r="C66" s="105"/>
      <c r="D66" s="105"/>
      <c r="E66" s="105"/>
      <c r="F66" s="105"/>
      <c r="G66" s="106"/>
      <c r="H66" s="355"/>
      <c r="I66" s="280"/>
      <c r="J66" s="280"/>
      <c r="K66" s="280"/>
      <c r="L66" s="280"/>
      <c r="M66" s="280"/>
      <c r="N66" s="356"/>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1"/>
      <c r="AS66" s="452"/>
      <c r="AT66" s="452"/>
      <c r="AU66" s="452"/>
      <c r="AV66" s="452"/>
      <c r="AW66" s="452"/>
      <c r="AX66" s="452"/>
      <c r="AY66" s="452"/>
      <c r="AZ66" s="452"/>
      <c r="BA66" s="452"/>
      <c r="BB66" s="452"/>
      <c r="BC66" s="452"/>
      <c r="BD66" s="452"/>
      <c r="BE66" s="452"/>
    </row>
    <row r="67" spans="1:57" ht="16.2" customHeight="1" x14ac:dyDescent="0.3">
      <c r="A67" s="83"/>
      <c r="B67" s="104"/>
      <c r="C67" s="105"/>
      <c r="D67" s="105"/>
      <c r="E67" s="105"/>
      <c r="F67" s="105"/>
      <c r="G67" s="106"/>
      <c r="H67" s="355"/>
      <c r="I67" s="280"/>
      <c r="J67" s="280"/>
      <c r="K67" s="280"/>
      <c r="L67" s="280"/>
      <c r="M67" s="280"/>
      <c r="N67" s="356"/>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1"/>
      <c r="AS67" s="452"/>
      <c r="AT67" s="452"/>
      <c r="AU67" s="452"/>
      <c r="AV67" s="452"/>
      <c r="AW67" s="452"/>
      <c r="AX67" s="452"/>
      <c r="AY67" s="452"/>
      <c r="AZ67" s="452"/>
      <c r="BA67" s="452"/>
      <c r="BB67" s="452"/>
      <c r="BC67" s="452"/>
      <c r="BD67" s="452"/>
      <c r="BE67" s="452"/>
    </row>
    <row r="68" spans="1:57" ht="16.2" customHeight="1" x14ac:dyDescent="0.3">
      <c r="A68" s="83"/>
      <c r="B68" s="104"/>
      <c r="C68" s="105"/>
      <c r="D68" s="105"/>
      <c r="E68" s="105"/>
      <c r="F68" s="105"/>
      <c r="G68" s="106"/>
      <c r="H68" s="355"/>
      <c r="I68" s="280"/>
      <c r="J68" s="280"/>
      <c r="K68" s="280"/>
      <c r="L68" s="280"/>
      <c r="M68" s="280"/>
      <c r="N68" s="356"/>
      <c r="O68" s="180"/>
      <c r="P68" s="456"/>
      <c r="Q68" s="456"/>
      <c r="R68" s="456"/>
      <c r="S68" s="456"/>
      <c r="T68" s="456"/>
      <c r="U68" s="457"/>
      <c r="V68" s="458"/>
      <c r="W68" s="458"/>
      <c r="X68" s="458"/>
      <c r="Y68" s="242"/>
      <c r="Z68" s="241"/>
      <c r="AA68" s="241"/>
      <c r="AB68" s="241"/>
      <c r="AC68" s="241"/>
      <c r="AD68" s="241"/>
      <c r="AE68" s="241"/>
      <c r="AF68" s="241"/>
      <c r="AG68" s="241"/>
      <c r="AH68" s="241"/>
      <c r="AI68" s="241"/>
      <c r="AJ68" s="241"/>
      <c r="AK68" s="241"/>
      <c r="AL68" s="241"/>
      <c r="AM68" s="241"/>
      <c r="AN68" s="241"/>
      <c r="AO68" s="241"/>
      <c r="AP68" s="241"/>
      <c r="AQ68" s="241"/>
      <c r="AR68" s="451"/>
      <c r="AS68" s="452"/>
      <c r="AT68" s="452"/>
      <c r="AU68" s="452"/>
      <c r="AV68" s="452"/>
      <c r="AW68" s="452"/>
      <c r="AX68" s="452"/>
      <c r="AY68" s="452"/>
      <c r="AZ68" s="452"/>
      <c r="BA68" s="452"/>
      <c r="BB68" s="452"/>
      <c r="BC68" s="452"/>
      <c r="BD68" s="452"/>
      <c r="BE68" s="452"/>
    </row>
    <row r="69" spans="1:57" ht="16.2" customHeight="1" x14ac:dyDescent="0.3">
      <c r="A69" s="83"/>
      <c r="B69" s="104"/>
      <c r="C69" s="105"/>
      <c r="D69" s="105"/>
      <c r="E69" s="105"/>
      <c r="F69" s="105"/>
      <c r="G69" s="106"/>
      <c r="H69" s="355"/>
      <c r="I69" s="280"/>
      <c r="J69" s="280"/>
      <c r="K69" s="280"/>
      <c r="L69" s="280"/>
      <c r="M69" s="280"/>
      <c r="N69" s="356"/>
      <c r="O69" s="180"/>
      <c r="P69" s="456"/>
      <c r="Q69" s="456"/>
      <c r="R69" s="456"/>
      <c r="S69" s="456"/>
      <c r="T69" s="456"/>
      <c r="U69" s="456"/>
      <c r="V69" s="456"/>
      <c r="W69" s="456"/>
      <c r="X69" s="456"/>
      <c r="Y69" s="242"/>
      <c r="Z69" s="241"/>
      <c r="AA69" s="241"/>
      <c r="AB69" s="241"/>
      <c r="AC69" s="241"/>
      <c r="AD69" s="241"/>
      <c r="AE69" s="241"/>
      <c r="AF69" s="241"/>
      <c r="AG69" s="241"/>
      <c r="AH69" s="241"/>
      <c r="AI69" s="241"/>
      <c r="AJ69" s="241"/>
      <c r="AK69" s="241"/>
      <c r="AL69" s="241"/>
      <c r="AM69" s="241"/>
      <c r="AN69" s="241"/>
      <c r="AO69" s="241"/>
      <c r="AP69" s="241"/>
      <c r="AQ69" s="241"/>
      <c r="AR69" s="451"/>
      <c r="AS69" s="452"/>
      <c r="AT69" s="452"/>
      <c r="AU69" s="452"/>
      <c r="AV69" s="452"/>
      <c r="AW69" s="452"/>
      <c r="AX69" s="452"/>
      <c r="AY69" s="452"/>
      <c r="AZ69" s="452"/>
      <c r="BA69" s="452"/>
      <c r="BB69" s="452"/>
      <c r="BC69" s="452"/>
      <c r="BD69" s="452"/>
      <c r="BE69" s="452"/>
    </row>
    <row r="70" spans="1:57" ht="16.2" customHeight="1" x14ac:dyDescent="0.3">
      <c r="A70" s="83"/>
      <c r="B70" s="104"/>
      <c r="C70" s="105"/>
      <c r="D70" s="105"/>
      <c r="E70" s="105"/>
      <c r="F70" s="105"/>
      <c r="G70" s="106"/>
      <c r="H70" s="355"/>
      <c r="I70" s="280"/>
      <c r="J70" s="280"/>
      <c r="K70" s="280"/>
      <c r="L70" s="280"/>
      <c r="M70" s="280"/>
      <c r="N70" s="356"/>
      <c r="O70" s="180"/>
      <c r="P70" s="454"/>
      <c r="Q70" s="456"/>
      <c r="R70" s="457"/>
      <c r="S70" s="457"/>
      <c r="T70" s="457"/>
      <c r="U70" s="457"/>
      <c r="V70" s="457"/>
      <c r="W70" s="456"/>
      <c r="X70" s="456"/>
      <c r="Y70" s="242"/>
      <c r="Z70" s="241"/>
      <c r="AA70" s="241"/>
      <c r="AB70" s="241"/>
      <c r="AC70" s="241"/>
      <c r="AD70" s="241"/>
      <c r="AE70" s="241"/>
      <c r="AF70" s="241"/>
      <c r="AG70" s="241"/>
      <c r="AH70" s="241"/>
      <c r="AI70" s="241"/>
      <c r="AJ70" s="241"/>
      <c r="AK70" s="241"/>
      <c r="AL70" s="241"/>
      <c r="AM70" s="241"/>
      <c r="AN70" s="241"/>
      <c r="AO70" s="241"/>
      <c r="AP70" s="241"/>
      <c r="AQ70" s="241"/>
      <c r="AR70" s="451"/>
      <c r="AS70" s="452"/>
      <c r="AT70" s="452"/>
      <c r="AU70" s="452"/>
      <c r="AV70" s="452"/>
      <c r="AW70" s="452"/>
      <c r="AX70" s="452"/>
      <c r="AY70" s="452"/>
      <c r="AZ70" s="452"/>
      <c r="BA70" s="452"/>
      <c r="BB70" s="452"/>
      <c r="BC70" s="452"/>
      <c r="BD70" s="452"/>
      <c r="BE70" s="452"/>
    </row>
    <row r="71" spans="1:57" ht="16.2" customHeight="1" x14ac:dyDescent="0.3">
      <c r="A71" s="83"/>
      <c r="B71" s="104"/>
      <c r="C71" s="105"/>
      <c r="D71" s="105"/>
      <c r="E71" s="105"/>
      <c r="F71" s="105"/>
      <c r="G71" s="106"/>
      <c r="H71" s="355"/>
      <c r="I71" s="280"/>
      <c r="J71" s="280"/>
      <c r="K71" s="280"/>
      <c r="L71" s="280"/>
      <c r="M71" s="280"/>
      <c r="N71" s="356"/>
      <c r="O71" s="198"/>
      <c r="P71" s="242"/>
      <c r="Q71" s="242"/>
      <c r="R71" s="242"/>
      <c r="S71" s="242"/>
      <c r="T71" s="242"/>
      <c r="U71" s="242"/>
      <c r="V71" s="242"/>
      <c r="W71" s="242"/>
      <c r="X71" s="242"/>
      <c r="Y71" s="242"/>
      <c r="Z71" s="241"/>
      <c r="AA71" s="241"/>
      <c r="AB71" s="241"/>
      <c r="AC71" s="241"/>
      <c r="AD71" s="241"/>
      <c r="AE71" s="241"/>
      <c r="AF71" s="241"/>
      <c r="AG71" s="241"/>
      <c r="AH71" s="241"/>
      <c r="AI71" s="241"/>
      <c r="AJ71" s="241"/>
      <c r="AK71" s="241"/>
      <c r="AL71" s="241"/>
      <c r="AM71" s="241"/>
      <c r="AN71" s="241"/>
      <c r="AO71" s="241"/>
      <c r="AP71" s="241"/>
      <c r="AQ71" s="241"/>
      <c r="AR71" s="451"/>
      <c r="AS71" s="452"/>
      <c r="AT71" s="452"/>
      <c r="AU71" s="452"/>
      <c r="AV71" s="452"/>
      <c r="AW71" s="452"/>
      <c r="AX71" s="452"/>
      <c r="AY71" s="452"/>
      <c r="AZ71" s="452"/>
      <c r="BA71" s="452"/>
      <c r="BB71" s="452"/>
      <c r="BC71" s="452"/>
      <c r="BD71" s="452"/>
      <c r="BE71" s="452"/>
    </row>
    <row r="72" spans="1:57" ht="16.2" customHeight="1" x14ac:dyDescent="0.3">
      <c r="A72" s="83"/>
      <c r="B72" s="104"/>
      <c r="C72" s="105"/>
      <c r="D72" s="105"/>
      <c r="E72" s="105"/>
      <c r="F72" s="105"/>
      <c r="G72" s="106"/>
      <c r="H72" s="355"/>
      <c r="I72" s="280"/>
      <c r="J72" s="280"/>
      <c r="K72" s="280"/>
      <c r="L72" s="280"/>
      <c r="M72" s="280"/>
      <c r="N72" s="356"/>
      <c r="O72" s="181"/>
      <c r="P72" s="458"/>
      <c r="Q72" s="458"/>
      <c r="R72" s="458"/>
      <c r="S72" s="458"/>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1"/>
      <c r="AS72" s="452"/>
      <c r="AT72" s="452"/>
      <c r="AU72" s="452"/>
      <c r="AV72" s="452"/>
      <c r="AW72" s="452"/>
      <c r="AX72" s="452"/>
      <c r="AY72" s="452"/>
      <c r="AZ72" s="452"/>
      <c r="BA72" s="452"/>
      <c r="BB72" s="452"/>
      <c r="BC72" s="452"/>
      <c r="BD72" s="452"/>
      <c r="BE72" s="452"/>
    </row>
    <row r="73" spans="1:57" ht="16.2" customHeight="1" x14ac:dyDescent="0.3">
      <c r="A73" s="83"/>
      <c r="B73" s="104"/>
      <c r="C73" s="105"/>
      <c r="D73" s="105"/>
      <c r="E73" s="105"/>
      <c r="F73" s="105"/>
      <c r="G73" s="106"/>
      <c r="H73" s="355"/>
      <c r="I73" s="280"/>
      <c r="J73" s="280"/>
      <c r="K73" s="280"/>
      <c r="L73" s="280"/>
      <c r="M73" s="280"/>
      <c r="N73" s="356"/>
      <c r="O73" s="181"/>
      <c r="P73" s="458"/>
      <c r="Q73" s="458"/>
      <c r="R73" s="458"/>
      <c r="S73" s="458"/>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1"/>
      <c r="AS73" s="452"/>
      <c r="AT73" s="452"/>
      <c r="AU73" s="452"/>
      <c r="AV73" s="452"/>
      <c r="AW73" s="452"/>
      <c r="AX73" s="452"/>
      <c r="AY73" s="452"/>
      <c r="AZ73" s="452"/>
      <c r="BA73" s="452"/>
      <c r="BB73" s="452"/>
      <c r="BC73" s="452"/>
      <c r="BD73" s="452"/>
      <c r="BE73" s="452"/>
    </row>
    <row r="74" spans="1:57" ht="16.2" customHeight="1" x14ac:dyDescent="0.3">
      <c r="A74" s="83"/>
      <c r="B74" s="104"/>
      <c r="C74" s="105"/>
      <c r="D74" s="105"/>
      <c r="E74" s="105"/>
      <c r="F74" s="105"/>
      <c r="G74" s="106"/>
      <c r="H74" s="355"/>
      <c r="I74" s="280"/>
      <c r="J74" s="280"/>
      <c r="K74" s="280"/>
      <c r="L74" s="280"/>
      <c r="M74" s="280"/>
      <c r="N74" s="356"/>
      <c r="O74" s="180"/>
      <c r="P74" s="456"/>
      <c r="Q74" s="456"/>
      <c r="R74" s="456"/>
      <c r="S74" s="456"/>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1"/>
      <c r="AS74" s="452"/>
      <c r="AT74" s="452"/>
      <c r="AU74" s="452"/>
      <c r="AV74" s="452"/>
      <c r="AW74" s="452"/>
      <c r="AX74" s="452"/>
      <c r="AY74" s="452"/>
      <c r="AZ74" s="452"/>
      <c r="BA74" s="452"/>
      <c r="BB74" s="452"/>
      <c r="BC74" s="452"/>
      <c r="BD74" s="452"/>
      <c r="BE74" s="452"/>
    </row>
    <row r="75" spans="1:57" ht="16.2" customHeight="1" x14ac:dyDescent="0.3">
      <c r="A75" s="83"/>
      <c r="B75" s="104"/>
      <c r="C75" s="105"/>
      <c r="D75" s="105"/>
      <c r="E75" s="105"/>
      <c r="F75" s="105"/>
      <c r="G75" s="106"/>
      <c r="H75" s="355"/>
      <c r="I75" s="280"/>
      <c r="J75" s="280"/>
      <c r="K75" s="280"/>
      <c r="L75" s="280"/>
      <c r="M75" s="280"/>
      <c r="N75" s="356"/>
      <c r="O75" s="182"/>
      <c r="P75" s="453"/>
      <c r="Q75" s="457"/>
      <c r="R75" s="456"/>
      <c r="S75" s="456"/>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1"/>
      <c r="AS75" s="452"/>
      <c r="AT75" s="452"/>
      <c r="AU75" s="452"/>
      <c r="AV75" s="452"/>
      <c r="AW75" s="452"/>
      <c r="AX75" s="452"/>
      <c r="AY75" s="452"/>
      <c r="AZ75" s="452"/>
      <c r="BA75" s="452"/>
      <c r="BB75" s="452"/>
      <c r="BC75" s="452"/>
      <c r="BD75" s="452"/>
      <c r="BE75" s="452"/>
    </row>
    <row r="76" spans="1:57" ht="16.2" customHeight="1" x14ac:dyDescent="0.3">
      <c r="A76" s="83"/>
      <c r="B76" s="104"/>
      <c r="C76" s="105"/>
      <c r="D76" s="105"/>
      <c r="E76" s="105"/>
      <c r="F76" s="105"/>
      <c r="G76" s="106"/>
      <c r="H76" s="355"/>
      <c r="I76" s="280"/>
      <c r="J76" s="280"/>
      <c r="K76" s="280"/>
      <c r="L76" s="280"/>
      <c r="M76" s="280"/>
      <c r="N76" s="356"/>
      <c r="O76" s="181"/>
      <c r="P76" s="458"/>
      <c r="Q76" s="458"/>
      <c r="R76" s="458"/>
      <c r="S76" s="458"/>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1"/>
      <c r="AS76" s="452"/>
      <c r="AT76" s="452"/>
      <c r="AU76" s="452"/>
      <c r="AV76" s="452"/>
      <c r="AW76" s="452"/>
      <c r="AX76" s="452"/>
      <c r="AY76" s="452"/>
      <c r="AZ76" s="452"/>
      <c r="BA76" s="452"/>
      <c r="BB76" s="452"/>
      <c r="BC76" s="452"/>
      <c r="BD76" s="452"/>
      <c r="BE76" s="452"/>
    </row>
    <row r="77" spans="1:57" ht="16.2" customHeight="1" x14ac:dyDescent="0.3">
      <c r="A77" s="83"/>
      <c r="B77" s="104"/>
      <c r="C77" s="105"/>
      <c r="D77" s="105"/>
      <c r="E77" s="105"/>
      <c r="F77" s="105"/>
      <c r="G77" s="106"/>
      <c r="H77" s="355"/>
      <c r="I77" s="280"/>
      <c r="J77" s="280"/>
      <c r="K77" s="280"/>
      <c r="L77" s="280"/>
      <c r="M77" s="280"/>
      <c r="N77" s="356"/>
      <c r="O77" s="181"/>
      <c r="P77" s="458"/>
      <c r="Q77" s="458"/>
      <c r="R77" s="458"/>
      <c r="S77" s="458"/>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1"/>
      <c r="AS77" s="452"/>
      <c r="AT77" s="452"/>
      <c r="AU77" s="452"/>
      <c r="AV77" s="452"/>
      <c r="AW77" s="452"/>
      <c r="AX77" s="452"/>
      <c r="AY77" s="452"/>
      <c r="AZ77" s="452"/>
      <c r="BA77" s="452"/>
      <c r="BB77" s="452"/>
      <c r="BC77" s="452"/>
      <c r="BD77" s="452"/>
      <c r="BE77" s="452"/>
    </row>
    <row r="78" spans="1:57" ht="16.2" customHeight="1" x14ac:dyDescent="0.3">
      <c r="A78" s="83"/>
      <c r="B78" s="104"/>
      <c r="C78" s="105"/>
      <c r="D78" s="105"/>
      <c r="E78" s="105"/>
      <c r="F78" s="105"/>
      <c r="G78" s="106"/>
      <c r="H78" s="355"/>
      <c r="I78" s="280"/>
      <c r="J78" s="280"/>
      <c r="K78" s="280"/>
      <c r="L78" s="280"/>
      <c r="M78" s="280"/>
      <c r="N78" s="356"/>
      <c r="O78" s="181"/>
      <c r="P78" s="458"/>
      <c r="Q78" s="458"/>
      <c r="R78" s="458"/>
      <c r="S78" s="458"/>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1"/>
      <c r="AS78" s="452"/>
      <c r="AT78" s="452"/>
      <c r="AU78" s="452"/>
      <c r="AV78" s="452"/>
      <c r="AW78" s="452"/>
      <c r="AX78" s="452"/>
      <c r="AY78" s="452"/>
      <c r="AZ78" s="452"/>
      <c r="BA78" s="452"/>
      <c r="BB78" s="452"/>
      <c r="BC78" s="452"/>
      <c r="BD78" s="452"/>
      <c r="BE78" s="452"/>
    </row>
    <row r="79" spans="1:57" ht="16.2" customHeight="1" x14ac:dyDescent="0.3">
      <c r="A79" s="83"/>
      <c r="B79" s="104"/>
      <c r="C79" s="105"/>
      <c r="D79" s="105"/>
      <c r="E79" s="105"/>
      <c r="F79" s="105"/>
      <c r="G79" s="106"/>
      <c r="H79" s="355"/>
      <c r="I79" s="280"/>
      <c r="J79" s="280"/>
      <c r="K79" s="280"/>
      <c r="L79" s="280"/>
      <c r="M79" s="280"/>
      <c r="N79" s="356"/>
      <c r="O79" s="181"/>
      <c r="P79" s="458"/>
      <c r="Q79" s="458"/>
      <c r="R79" s="458"/>
      <c r="S79" s="458"/>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1"/>
      <c r="AS79" s="452"/>
      <c r="AT79" s="452"/>
      <c r="AU79" s="452"/>
      <c r="AV79" s="452"/>
      <c r="AW79" s="452"/>
      <c r="AX79" s="452"/>
      <c r="AY79" s="452"/>
      <c r="AZ79" s="452"/>
      <c r="BA79" s="452"/>
      <c r="BB79" s="452"/>
      <c r="BC79" s="452"/>
      <c r="BD79" s="452"/>
      <c r="BE79" s="452"/>
    </row>
    <row r="80" spans="1:57" ht="16.2" customHeight="1" x14ac:dyDescent="0.3">
      <c r="A80" s="83"/>
      <c r="B80" s="913" t="s">
        <v>763</v>
      </c>
      <c r="C80" s="914"/>
      <c r="D80" s="914"/>
      <c r="E80" s="914"/>
      <c r="F80" s="914"/>
      <c r="G80" s="915"/>
      <c r="H80" s="127" t="s">
        <v>699</v>
      </c>
      <c r="I80" s="128" t="s">
        <v>360</v>
      </c>
      <c r="J80" s="906" t="s">
        <v>580</v>
      </c>
      <c r="K80" s="907"/>
      <c r="L80" s="907"/>
      <c r="M80" s="907"/>
      <c r="N80" s="908"/>
      <c r="O80" s="181"/>
      <c r="P80" s="458"/>
      <c r="Q80" s="458"/>
      <c r="R80" s="458"/>
      <c r="S80" s="458"/>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1"/>
      <c r="AS80" s="452"/>
      <c r="AT80" s="452"/>
      <c r="AU80" s="452"/>
      <c r="AV80" s="452"/>
      <c r="AW80" s="452"/>
      <c r="AX80" s="452"/>
      <c r="AY80" s="452"/>
      <c r="AZ80" s="452"/>
      <c r="BA80" s="452"/>
      <c r="BB80" s="452"/>
      <c r="BC80" s="452"/>
      <c r="BD80" s="452"/>
      <c r="BE80" s="452"/>
    </row>
    <row r="81" spans="1:57" ht="16.2" customHeight="1" x14ac:dyDescent="0.3">
      <c r="A81" s="83"/>
      <c r="B81" s="916"/>
      <c r="C81" s="917"/>
      <c r="D81" s="917"/>
      <c r="E81" s="917"/>
      <c r="F81" s="917"/>
      <c r="G81" s="918"/>
      <c r="H81" s="649"/>
      <c r="I81" s="650"/>
      <c r="J81" s="899"/>
      <c r="K81" s="900"/>
      <c r="L81" s="900"/>
      <c r="M81" s="900"/>
      <c r="N81" s="901"/>
      <c r="O81" s="198"/>
      <c r="P81" s="242"/>
      <c r="Q81" s="242"/>
      <c r="R81" s="242"/>
      <c r="S81" s="242"/>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1"/>
      <c r="AS81" s="452"/>
      <c r="AT81" s="452"/>
      <c r="AU81" s="452"/>
      <c r="AV81" s="452"/>
      <c r="AW81" s="452"/>
      <c r="AX81" s="452"/>
      <c r="AY81" s="452"/>
      <c r="AZ81" s="452"/>
      <c r="BA81" s="452"/>
      <c r="BB81" s="452"/>
      <c r="BC81" s="452"/>
      <c r="BD81" s="452"/>
      <c r="BE81" s="452"/>
    </row>
    <row r="82" spans="1:57" ht="16.2" customHeight="1" x14ac:dyDescent="0.3">
      <c r="A82" s="83"/>
      <c r="B82" s="83"/>
      <c r="C82" s="83"/>
      <c r="D82" s="83"/>
      <c r="E82" s="83"/>
      <c r="F82" s="83"/>
      <c r="G82" s="83"/>
      <c r="H82" s="197"/>
      <c r="I82" s="198"/>
      <c r="J82" s="198"/>
      <c r="K82" s="198"/>
      <c r="L82" s="198"/>
      <c r="M82" s="181"/>
      <c r="N82" s="184"/>
      <c r="O82" s="198"/>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1"/>
      <c r="AS82" s="452"/>
      <c r="AT82" s="452"/>
      <c r="AU82" s="452"/>
      <c r="AV82" s="452"/>
      <c r="AW82" s="452"/>
      <c r="AX82" s="452"/>
      <c r="AY82" s="452"/>
      <c r="AZ82" s="452"/>
      <c r="BA82" s="452"/>
      <c r="BB82" s="452"/>
      <c r="BC82" s="452"/>
      <c r="BD82" s="452"/>
      <c r="BE82" s="452"/>
    </row>
    <row r="83" spans="1:57" x14ac:dyDescent="0.3">
      <c r="A83" s="83"/>
      <c r="B83" s="83"/>
      <c r="C83" s="83"/>
      <c r="D83" s="83"/>
      <c r="E83" s="83"/>
      <c r="F83" s="83"/>
      <c r="G83" s="83"/>
      <c r="H83" s="197"/>
      <c r="I83" s="198"/>
      <c r="J83" s="198"/>
      <c r="K83" s="198"/>
      <c r="L83" s="198"/>
      <c r="M83" s="181"/>
      <c r="N83" s="184"/>
      <c r="O83" s="198"/>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1"/>
      <c r="AS83" s="452"/>
      <c r="AT83" s="452"/>
      <c r="AU83" s="452"/>
      <c r="AV83" s="452"/>
      <c r="AW83" s="452"/>
      <c r="AX83" s="452"/>
      <c r="AY83" s="452"/>
      <c r="AZ83" s="452"/>
      <c r="BA83" s="452"/>
      <c r="BB83" s="452"/>
      <c r="BC83" s="452"/>
      <c r="BD83" s="452"/>
      <c r="BE83" s="452"/>
    </row>
    <row r="84" spans="1:57" x14ac:dyDescent="0.3">
      <c r="P84" s="452"/>
      <c r="Q84" s="452"/>
      <c r="R84" s="452"/>
      <c r="S84" s="452"/>
      <c r="T84" s="452"/>
      <c r="U84" s="452"/>
      <c r="V84" s="452"/>
      <c r="W84" s="452"/>
      <c r="X84" s="452"/>
      <c r="Y84" s="452"/>
      <c r="Z84" s="452"/>
      <c r="AA84" s="452"/>
      <c r="AB84" s="452"/>
      <c r="AC84" s="452"/>
      <c r="AD84" s="452"/>
      <c r="AE84" s="452"/>
      <c r="AF84" s="452"/>
      <c r="AG84" s="452"/>
      <c r="AH84" s="452"/>
      <c r="AI84" s="452"/>
      <c r="AJ84" s="452"/>
      <c r="AK84" s="452"/>
      <c r="AL84" s="452"/>
      <c r="AM84" s="452"/>
      <c r="AN84" s="452"/>
      <c r="AO84" s="452"/>
      <c r="AP84" s="452"/>
      <c r="AS84" s="452"/>
      <c r="AT84" s="452"/>
      <c r="AU84" s="452"/>
      <c r="AV84" s="452"/>
      <c r="AW84" s="452"/>
      <c r="AX84" s="452"/>
      <c r="AY84" s="452"/>
      <c r="AZ84" s="452"/>
      <c r="BA84" s="452"/>
      <c r="BB84" s="452"/>
      <c r="BC84" s="452"/>
      <c r="BD84" s="452"/>
      <c r="BE84" s="452"/>
    </row>
    <row r="85" spans="1:57" x14ac:dyDescent="0.3">
      <c r="P85" s="452"/>
      <c r="Q85" s="452"/>
      <c r="R85" s="452"/>
      <c r="S85" s="452"/>
      <c r="T85" s="452"/>
      <c r="U85" s="452"/>
      <c r="V85" s="452"/>
      <c r="W85" s="452"/>
      <c r="X85" s="452"/>
      <c r="Y85" s="452"/>
      <c r="Z85" s="452"/>
      <c r="AA85" s="452"/>
      <c r="AB85" s="452"/>
      <c r="AC85" s="452"/>
      <c r="AD85" s="452"/>
      <c r="AE85" s="452"/>
      <c r="AF85" s="452"/>
      <c r="AG85" s="452"/>
      <c r="AH85" s="452"/>
      <c r="AI85" s="452"/>
      <c r="AJ85" s="452"/>
      <c r="AK85" s="452"/>
      <c r="AL85" s="452"/>
      <c r="AM85" s="452"/>
      <c r="AN85" s="452"/>
      <c r="AO85" s="452"/>
      <c r="AP85" s="452"/>
      <c r="AS85" s="452"/>
      <c r="AT85" s="452"/>
      <c r="AU85" s="452"/>
      <c r="AV85" s="452"/>
      <c r="AW85" s="452"/>
      <c r="AX85" s="452"/>
      <c r="AY85" s="452"/>
      <c r="AZ85" s="452"/>
      <c r="BA85" s="452"/>
      <c r="BB85" s="452"/>
      <c r="BC85" s="452"/>
      <c r="BD85" s="452"/>
      <c r="BE85" s="452"/>
    </row>
    <row r="86" spans="1:57" x14ac:dyDescent="0.3">
      <c r="P86" s="452"/>
      <c r="Q86" s="452"/>
      <c r="R86" s="452"/>
      <c r="S86" s="452"/>
      <c r="T86" s="452"/>
      <c r="U86" s="452"/>
      <c r="V86" s="452"/>
      <c r="W86" s="452"/>
      <c r="X86" s="452"/>
      <c r="Y86" s="452"/>
      <c r="Z86" s="452"/>
      <c r="AA86" s="452"/>
      <c r="AB86" s="452"/>
      <c r="AC86" s="452"/>
      <c r="AD86" s="452"/>
      <c r="AE86" s="452"/>
      <c r="AF86" s="452"/>
      <c r="AG86" s="452"/>
      <c r="AH86" s="452"/>
      <c r="AI86" s="452"/>
      <c r="AJ86" s="452"/>
      <c r="AK86" s="452"/>
      <c r="AL86" s="452"/>
      <c r="AM86" s="452"/>
      <c r="AN86" s="452"/>
      <c r="AO86" s="452"/>
      <c r="AP86" s="452"/>
      <c r="AS86" s="452"/>
      <c r="AT86" s="452"/>
      <c r="AU86" s="452"/>
      <c r="AV86" s="452"/>
      <c r="AW86" s="452"/>
      <c r="AX86" s="452"/>
      <c r="AY86" s="452"/>
      <c r="AZ86" s="452"/>
      <c r="BA86" s="452"/>
      <c r="BB86" s="452"/>
      <c r="BC86" s="452"/>
      <c r="BD86" s="452"/>
      <c r="BE86" s="452"/>
    </row>
    <row r="87" spans="1:57" x14ac:dyDescent="0.3">
      <c r="P87" s="452"/>
      <c r="Q87" s="452"/>
      <c r="R87" s="452"/>
      <c r="S87" s="452"/>
      <c r="T87" s="452"/>
      <c r="U87" s="452"/>
      <c r="V87" s="452"/>
      <c r="W87" s="452"/>
      <c r="X87" s="452"/>
      <c r="Y87" s="452"/>
      <c r="Z87" s="452"/>
      <c r="AA87" s="452"/>
      <c r="AB87" s="452"/>
      <c r="AC87" s="452"/>
      <c r="AD87" s="452"/>
      <c r="AE87" s="452"/>
      <c r="AF87" s="452"/>
      <c r="AG87" s="452"/>
      <c r="AH87" s="452"/>
      <c r="AI87" s="452"/>
      <c r="AJ87" s="452"/>
      <c r="AK87" s="452"/>
      <c r="AL87" s="452"/>
      <c r="AM87" s="452"/>
      <c r="AN87" s="452"/>
      <c r="AO87" s="452"/>
      <c r="AP87" s="452"/>
      <c r="AS87" s="452"/>
      <c r="AT87" s="452"/>
      <c r="AU87" s="452"/>
      <c r="AV87" s="452"/>
      <c r="AW87" s="452"/>
      <c r="AX87" s="452"/>
      <c r="AY87" s="452"/>
      <c r="AZ87" s="452"/>
      <c r="BA87" s="452"/>
      <c r="BB87" s="452"/>
      <c r="BC87" s="452"/>
      <c r="BD87" s="452"/>
      <c r="BE87" s="452"/>
    </row>
    <row r="88" spans="1:57" x14ac:dyDescent="0.3">
      <c r="P88" s="452"/>
      <c r="Q88" s="452"/>
      <c r="R88" s="452"/>
      <c r="S88" s="452"/>
      <c r="T88" s="452"/>
      <c r="U88" s="452"/>
      <c r="V88" s="452"/>
      <c r="W88" s="452"/>
      <c r="X88" s="452"/>
      <c r="Y88" s="452"/>
      <c r="Z88" s="452"/>
      <c r="AA88" s="452"/>
      <c r="AB88" s="452"/>
      <c r="AC88" s="452"/>
      <c r="AD88" s="452"/>
      <c r="AE88" s="452"/>
      <c r="AF88" s="452"/>
      <c r="AG88" s="452"/>
      <c r="AH88" s="452"/>
      <c r="AI88" s="452"/>
      <c r="AJ88" s="452"/>
      <c r="AK88" s="452"/>
      <c r="AL88" s="452"/>
      <c r="AM88" s="452"/>
      <c r="AN88" s="452"/>
      <c r="AO88" s="452"/>
      <c r="AP88" s="452"/>
      <c r="AS88" s="452"/>
      <c r="AT88" s="452"/>
      <c r="AU88" s="452"/>
      <c r="AV88" s="452"/>
      <c r="AW88" s="452"/>
      <c r="AX88" s="452"/>
      <c r="AY88" s="452"/>
      <c r="AZ88" s="452"/>
      <c r="BA88" s="452"/>
      <c r="BB88" s="452"/>
      <c r="BC88" s="452"/>
      <c r="BD88" s="452"/>
      <c r="BE88" s="452"/>
    </row>
    <row r="89" spans="1:57" x14ac:dyDescent="0.3">
      <c r="P89" s="452"/>
      <c r="Q89" s="452"/>
      <c r="R89" s="452"/>
      <c r="S89" s="452"/>
      <c r="T89" s="452"/>
      <c r="U89" s="452"/>
      <c r="V89" s="452"/>
      <c r="W89" s="452"/>
      <c r="X89" s="452"/>
      <c r="Y89" s="452"/>
      <c r="Z89" s="452"/>
      <c r="AA89" s="452"/>
      <c r="AB89" s="452"/>
      <c r="AC89" s="452"/>
      <c r="AD89" s="452"/>
      <c r="AE89" s="452"/>
      <c r="AF89" s="452"/>
      <c r="AG89" s="452"/>
      <c r="AH89" s="452"/>
      <c r="AI89" s="452"/>
      <c r="AJ89" s="452"/>
      <c r="AK89" s="452"/>
      <c r="AL89" s="452"/>
      <c r="AM89" s="452"/>
      <c r="AN89" s="452"/>
      <c r="AO89" s="452"/>
      <c r="AP89" s="452"/>
      <c r="AS89" s="452"/>
      <c r="AT89" s="452"/>
      <c r="AU89" s="452"/>
      <c r="AV89" s="452"/>
      <c r="AW89" s="452"/>
      <c r="AX89" s="452"/>
      <c r="AY89" s="452"/>
      <c r="AZ89" s="452"/>
      <c r="BA89" s="452"/>
      <c r="BB89" s="452"/>
      <c r="BC89" s="452"/>
      <c r="BD89" s="452"/>
      <c r="BE89" s="452"/>
    </row>
    <row r="90" spans="1:57" x14ac:dyDescent="0.3">
      <c r="P90" s="452"/>
      <c r="Q90" s="452"/>
      <c r="R90" s="452"/>
      <c r="S90" s="452"/>
      <c r="T90" s="452"/>
      <c r="U90" s="452"/>
      <c r="V90" s="452"/>
      <c r="W90" s="452"/>
      <c r="X90" s="452"/>
      <c r="Y90" s="452"/>
      <c r="Z90" s="452"/>
      <c r="AA90" s="452"/>
      <c r="AB90" s="452"/>
      <c r="AC90" s="452"/>
      <c r="AD90" s="452"/>
      <c r="AE90" s="452"/>
      <c r="AF90" s="452"/>
      <c r="AG90" s="452"/>
      <c r="AH90" s="452"/>
      <c r="AI90" s="452"/>
      <c r="AJ90" s="452"/>
      <c r="AK90" s="452"/>
      <c r="AL90" s="452"/>
      <c r="AM90" s="452"/>
      <c r="AN90" s="452"/>
      <c r="AO90" s="452"/>
      <c r="AP90" s="452"/>
      <c r="AS90" s="452"/>
      <c r="AT90" s="452"/>
      <c r="AU90" s="452"/>
      <c r="AV90" s="452"/>
      <c r="AW90" s="452"/>
      <c r="AX90" s="452"/>
      <c r="AY90" s="452"/>
      <c r="AZ90" s="452"/>
      <c r="BA90" s="452"/>
      <c r="BB90" s="452"/>
      <c r="BC90" s="452"/>
      <c r="BD90" s="452"/>
      <c r="BE90" s="452"/>
    </row>
    <row r="91" spans="1:57" x14ac:dyDescent="0.3">
      <c r="P91" s="452"/>
      <c r="Q91" s="452"/>
      <c r="R91" s="452"/>
      <c r="S91" s="452"/>
      <c r="T91" s="452"/>
      <c r="U91" s="452"/>
      <c r="V91" s="452"/>
      <c r="W91" s="452"/>
      <c r="X91" s="452"/>
      <c r="Y91" s="452"/>
      <c r="Z91" s="452"/>
      <c r="AA91" s="452"/>
      <c r="AB91" s="452"/>
      <c r="AC91" s="452"/>
      <c r="AD91" s="452"/>
      <c r="AE91" s="452"/>
      <c r="AF91" s="452"/>
      <c r="AG91" s="452"/>
      <c r="AH91" s="452"/>
      <c r="AI91" s="452"/>
      <c r="AJ91" s="452"/>
      <c r="AK91" s="452"/>
      <c r="AL91" s="452"/>
      <c r="AM91" s="452"/>
      <c r="AN91" s="452"/>
      <c r="AO91" s="452"/>
      <c r="AP91" s="452"/>
      <c r="AS91" s="452"/>
      <c r="AT91" s="452"/>
      <c r="AU91" s="452"/>
      <c r="AV91" s="452"/>
      <c r="AW91" s="452"/>
      <c r="AX91" s="452"/>
      <c r="AY91" s="452"/>
      <c r="AZ91" s="452"/>
      <c r="BA91" s="452"/>
      <c r="BB91" s="452"/>
      <c r="BC91" s="452"/>
      <c r="BD91" s="452"/>
      <c r="BE91" s="452"/>
    </row>
    <row r="92" spans="1:57" x14ac:dyDescent="0.3">
      <c r="P92" s="452"/>
      <c r="Q92" s="452"/>
      <c r="R92" s="452"/>
      <c r="S92" s="452"/>
      <c r="T92" s="452"/>
      <c r="U92" s="452"/>
      <c r="V92" s="452"/>
      <c r="W92" s="452"/>
      <c r="X92" s="452"/>
      <c r="Y92" s="452"/>
      <c r="Z92" s="452"/>
      <c r="AA92" s="452"/>
      <c r="AB92" s="452"/>
      <c r="AC92" s="452"/>
      <c r="AD92" s="452"/>
      <c r="AE92" s="452"/>
      <c r="AF92" s="452"/>
      <c r="AG92" s="452"/>
      <c r="AH92" s="452"/>
      <c r="AI92" s="452"/>
      <c r="AJ92" s="452"/>
      <c r="AK92" s="452"/>
      <c r="AL92" s="452"/>
      <c r="AM92" s="452"/>
      <c r="AN92" s="452"/>
      <c r="AO92" s="452"/>
      <c r="AP92" s="452"/>
      <c r="AS92" s="452"/>
      <c r="AT92" s="452"/>
      <c r="AU92" s="452"/>
      <c r="AV92" s="452"/>
      <c r="AW92" s="452"/>
      <c r="AX92" s="452"/>
      <c r="AY92" s="452"/>
      <c r="AZ92" s="452"/>
      <c r="BA92" s="452"/>
      <c r="BB92" s="452"/>
      <c r="BC92" s="452"/>
      <c r="BD92" s="452"/>
      <c r="BE92" s="452"/>
    </row>
    <row r="93" spans="1:57" x14ac:dyDescent="0.3">
      <c r="P93" s="452"/>
      <c r="Q93" s="452"/>
      <c r="R93" s="452"/>
      <c r="S93" s="452"/>
      <c r="T93" s="452"/>
      <c r="U93" s="452"/>
      <c r="V93" s="452"/>
      <c r="W93" s="452"/>
      <c r="X93" s="452"/>
      <c r="Y93" s="452"/>
      <c r="Z93" s="452"/>
      <c r="AA93" s="452"/>
      <c r="AB93" s="452"/>
      <c r="AC93" s="452"/>
      <c r="AD93" s="452"/>
      <c r="AE93" s="452"/>
      <c r="AF93" s="452"/>
      <c r="AG93" s="452"/>
      <c r="AH93" s="452"/>
      <c r="AI93" s="452"/>
      <c r="AJ93" s="452"/>
      <c r="AK93" s="452"/>
      <c r="AL93" s="452"/>
      <c r="AM93" s="452"/>
      <c r="AN93" s="452"/>
      <c r="AO93" s="452"/>
      <c r="AP93" s="452"/>
      <c r="AS93" s="452"/>
      <c r="AT93" s="452"/>
      <c r="AU93" s="452"/>
      <c r="AV93" s="452"/>
      <c r="AW93" s="452"/>
      <c r="AX93" s="452"/>
      <c r="AY93" s="452"/>
      <c r="AZ93" s="452"/>
      <c r="BA93" s="452"/>
      <c r="BB93" s="452"/>
      <c r="BC93" s="452"/>
      <c r="BD93" s="452"/>
      <c r="BE93" s="452"/>
    </row>
    <row r="94" spans="1:57" x14ac:dyDescent="0.3">
      <c r="P94" s="452"/>
      <c r="Q94" s="452"/>
      <c r="R94" s="452"/>
      <c r="S94" s="452"/>
      <c r="T94" s="452"/>
      <c r="U94" s="452"/>
      <c r="V94" s="452"/>
      <c r="W94" s="452"/>
      <c r="X94" s="452"/>
      <c r="Y94" s="452"/>
      <c r="Z94" s="452"/>
      <c r="AA94" s="452"/>
      <c r="AB94" s="452"/>
      <c r="AC94" s="452"/>
      <c r="AD94" s="452"/>
      <c r="AE94" s="452"/>
      <c r="AF94" s="452"/>
      <c r="AG94" s="452"/>
      <c r="AH94" s="452"/>
      <c r="AI94" s="452"/>
      <c r="AJ94" s="452"/>
      <c r="AK94" s="452"/>
      <c r="AL94" s="452"/>
      <c r="AM94" s="452"/>
      <c r="AN94" s="452"/>
      <c r="AO94" s="452"/>
      <c r="AP94" s="452"/>
      <c r="AS94" s="452"/>
      <c r="AT94" s="452"/>
      <c r="AU94" s="452"/>
      <c r="AV94" s="452"/>
      <c r="AW94" s="452"/>
      <c r="AX94" s="452"/>
      <c r="AY94" s="452"/>
      <c r="AZ94" s="452"/>
      <c r="BA94" s="452"/>
      <c r="BB94" s="452"/>
      <c r="BC94" s="452"/>
      <c r="BD94" s="452"/>
      <c r="BE94" s="452"/>
    </row>
    <row r="95" spans="1:57" x14ac:dyDescent="0.3">
      <c r="P95" s="452"/>
      <c r="Q95" s="452"/>
      <c r="R95" s="452"/>
      <c r="S95" s="452"/>
      <c r="T95" s="452"/>
      <c r="U95" s="452"/>
      <c r="V95" s="452"/>
      <c r="W95" s="452"/>
      <c r="X95" s="452"/>
      <c r="Y95" s="452"/>
      <c r="Z95" s="452"/>
      <c r="AA95" s="452"/>
      <c r="AB95" s="452"/>
      <c r="AC95" s="452"/>
      <c r="AD95" s="452"/>
      <c r="AE95" s="452"/>
      <c r="AF95" s="452"/>
      <c r="AG95" s="452"/>
      <c r="AH95" s="452"/>
      <c r="AI95" s="452"/>
      <c r="AJ95" s="452"/>
      <c r="AK95" s="452"/>
      <c r="AL95" s="452"/>
      <c r="AM95" s="452"/>
      <c r="AN95" s="452"/>
      <c r="AO95" s="452"/>
      <c r="AP95" s="452"/>
      <c r="AS95" s="452"/>
      <c r="AT95" s="452"/>
      <c r="AU95" s="452"/>
      <c r="AV95" s="452"/>
      <c r="AW95" s="452"/>
      <c r="AX95" s="452"/>
      <c r="AY95" s="452"/>
      <c r="AZ95" s="452"/>
      <c r="BA95" s="452"/>
      <c r="BB95" s="452"/>
      <c r="BC95" s="452"/>
      <c r="BD95" s="452"/>
      <c r="BE95" s="452"/>
    </row>
    <row r="96" spans="1:57" x14ac:dyDescent="0.3">
      <c r="P96" s="452"/>
      <c r="Q96" s="452"/>
      <c r="R96" s="452"/>
      <c r="S96" s="452"/>
      <c r="T96" s="452"/>
      <c r="U96" s="452"/>
      <c r="V96" s="452"/>
      <c r="W96" s="452"/>
      <c r="X96" s="452"/>
      <c r="Y96" s="452"/>
      <c r="Z96" s="452"/>
      <c r="AA96" s="452"/>
      <c r="AB96" s="452"/>
      <c r="AC96" s="452"/>
      <c r="AD96" s="452"/>
      <c r="AE96" s="452"/>
      <c r="AF96" s="452"/>
      <c r="AG96" s="452"/>
      <c r="AH96" s="452"/>
      <c r="AI96" s="452"/>
      <c r="AJ96" s="452"/>
      <c r="AK96" s="452"/>
      <c r="AL96" s="452"/>
      <c r="AM96" s="452"/>
      <c r="AN96" s="452"/>
      <c r="AO96" s="452"/>
      <c r="AP96" s="452"/>
      <c r="AS96" s="452"/>
      <c r="AT96" s="452"/>
      <c r="AU96" s="452"/>
      <c r="AV96" s="452"/>
      <c r="AW96" s="452"/>
      <c r="AX96" s="452"/>
      <c r="AY96" s="452"/>
      <c r="AZ96" s="452"/>
      <c r="BA96" s="452"/>
      <c r="BB96" s="452"/>
      <c r="BC96" s="452"/>
      <c r="BD96" s="452"/>
      <c r="BE96" s="452"/>
    </row>
    <row r="97" spans="16:57" x14ac:dyDescent="0.3">
      <c r="P97" s="452"/>
      <c r="Q97" s="452"/>
      <c r="R97" s="452"/>
      <c r="S97" s="452"/>
      <c r="T97" s="452"/>
      <c r="U97" s="452"/>
      <c r="V97" s="452"/>
      <c r="W97" s="452"/>
      <c r="X97" s="452"/>
      <c r="Y97" s="452"/>
      <c r="Z97" s="452"/>
      <c r="AA97" s="452"/>
      <c r="AB97" s="452"/>
      <c r="AC97" s="452"/>
      <c r="AD97" s="452"/>
      <c r="AE97" s="452"/>
      <c r="AF97" s="452"/>
      <c r="AG97" s="452"/>
      <c r="AH97" s="452"/>
      <c r="AI97" s="452"/>
      <c r="AJ97" s="452"/>
      <c r="AK97" s="452"/>
      <c r="AL97" s="452"/>
      <c r="AM97" s="452"/>
      <c r="AN97" s="452"/>
      <c r="AO97" s="452"/>
      <c r="AP97" s="452"/>
      <c r="AS97" s="452"/>
      <c r="AT97" s="452"/>
      <c r="AU97" s="452"/>
      <c r="AV97" s="452"/>
      <c r="AW97" s="452"/>
      <c r="AX97" s="452"/>
      <c r="AY97" s="452"/>
      <c r="AZ97" s="452"/>
      <c r="BA97" s="452"/>
      <c r="BB97" s="452"/>
      <c r="BC97" s="452"/>
      <c r="BD97" s="452"/>
      <c r="BE97" s="452"/>
    </row>
    <row r="98" spans="16:57" x14ac:dyDescent="0.3">
      <c r="P98" s="452"/>
      <c r="Q98" s="452"/>
      <c r="R98" s="452"/>
      <c r="S98" s="452"/>
      <c r="T98" s="452"/>
      <c r="U98" s="452"/>
      <c r="V98" s="452"/>
      <c r="W98" s="452"/>
      <c r="X98" s="452"/>
      <c r="Y98" s="452"/>
      <c r="Z98" s="452"/>
      <c r="AA98" s="452"/>
      <c r="AB98" s="452"/>
      <c r="AC98" s="452"/>
      <c r="AD98" s="452"/>
      <c r="AE98" s="452"/>
      <c r="AF98" s="452"/>
      <c r="AG98" s="452"/>
      <c r="AH98" s="452"/>
      <c r="AI98" s="452"/>
      <c r="AJ98" s="452"/>
      <c r="AK98" s="452"/>
      <c r="AL98" s="452"/>
      <c r="AM98" s="452"/>
      <c r="AN98" s="452"/>
      <c r="AO98" s="452"/>
      <c r="AP98" s="452"/>
      <c r="AS98" s="452"/>
      <c r="AT98" s="452"/>
      <c r="AU98" s="452"/>
      <c r="AV98" s="452"/>
      <c r="AW98" s="452"/>
      <c r="AX98" s="452"/>
      <c r="AY98" s="452"/>
      <c r="AZ98" s="452"/>
      <c r="BA98" s="452"/>
      <c r="BB98" s="452"/>
      <c r="BC98" s="452"/>
      <c r="BD98" s="452"/>
      <c r="BE98" s="452"/>
    </row>
    <row r="99" spans="16:57" x14ac:dyDescent="0.3">
      <c r="P99" s="452"/>
      <c r="Q99" s="452"/>
      <c r="R99" s="452"/>
      <c r="S99" s="452"/>
      <c r="T99" s="452"/>
      <c r="U99" s="452"/>
      <c r="V99" s="452"/>
      <c r="W99" s="452"/>
      <c r="X99" s="452"/>
      <c r="Y99" s="452"/>
      <c r="Z99" s="452"/>
      <c r="AA99" s="452"/>
      <c r="AB99" s="452"/>
      <c r="AC99" s="452"/>
      <c r="AD99" s="452"/>
      <c r="AE99" s="452"/>
      <c r="AF99" s="452"/>
      <c r="AG99" s="452"/>
      <c r="AH99" s="452"/>
      <c r="AI99" s="452"/>
      <c r="AJ99" s="452"/>
      <c r="AK99" s="452"/>
      <c r="AL99" s="452"/>
      <c r="AM99" s="452"/>
      <c r="AN99" s="452"/>
      <c r="AO99" s="452"/>
      <c r="AP99" s="452"/>
      <c r="AS99" s="452"/>
      <c r="AT99" s="452"/>
      <c r="AU99" s="452"/>
      <c r="AV99" s="452"/>
      <c r="AW99" s="452"/>
      <c r="AX99" s="452"/>
      <c r="AY99" s="452"/>
      <c r="AZ99" s="452"/>
      <c r="BA99" s="452"/>
      <c r="BB99" s="452"/>
      <c r="BC99" s="452"/>
      <c r="BD99" s="452"/>
      <c r="BE99" s="452"/>
    </row>
    <row r="100" spans="16:57" x14ac:dyDescent="0.3">
      <c r="P100" s="452"/>
      <c r="Q100" s="452"/>
      <c r="R100" s="452"/>
      <c r="S100" s="452"/>
      <c r="T100" s="452"/>
      <c r="U100" s="452"/>
      <c r="V100" s="452"/>
      <c r="W100" s="452"/>
      <c r="X100" s="452"/>
      <c r="Y100" s="452"/>
      <c r="Z100" s="452"/>
      <c r="AA100" s="452"/>
      <c r="AB100" s="452"/>
      <c r="AC100" s="452"/>
      <c r="AD100" s="452"/>
      <c r="AE100" s="452"/>
      <c r="AF100" s="452"/>
      <c r="AG100" s="452"/>
      <c r="AH100" s="452"/>
      <c r="AI100" s="452"/>
      <c r="AJ100" s="452"/>
      <c r="AK100" s="452"/>
      <c r="AL100" s="452"/>
      <c r="AM100" s="452"/>
      <c r="AN100" s="452"/>
      <c r="AO100" s="452"/>
      <c r="AP100" s="452"/>
      <c r="AS100" s="452"/>
      <c r="AT100" s="452"/>
      <c r="AU100" s="452"/>
      <c r="AV100" s="452"/>
      <c r="AW100" s="452"/>
      <c r="AX100" s="452"/>
      <c r="AY100" s="452"/>
      <c r="AZ100" s="452"/>
      <c r="BA100" s="452"/>
      <c r="BB100" s="452"/>
      <c r="BC100" s="452"/>
      <c r="BD100" s="452"/>
      <c r="BE100" s="452"/>
    </row>
  </sheetData>
  <mergeCells count="27">
    <mergeCell ref="J81:N81"/>
    <mergeCell ref="D11:L11"/>
    <mergeCell ref="M11:R11"/>
    <mergeCell ref="W34:AN34"/>
    <mergeCell ref="D44:R44"/>
    <mergeCell ref="AI48:AN48"/>
    <mergeCell ref="P51:Q51"/>
    <mergeCell ref="P52:Q52"/>
    <mergeCell ref="P53:Q53"/>
    <mergeCell ref="B56:G56"/>
    <mergeCell ref="H56:N56"/>
    <mergeCell ref="J80:N80"/>
    <mergeCell ref="B80:G81"/>
    <mergeCell ref="W3:AN3"/>
    <mergeCell ref="O5:S5"/>
    <mergeCell ref="O6:S9"/>
    <mergeCell ref="C3:F3"/>
    <mergeCell ref="G3:H3"/>
    <mergeCell ref="J3:M3"/>
    <mergeCell ref="O3:S3"/>
    <mergeCell ref="D5:E5"/>
    <mergeCell ref="G5:H5"/>
    <mergeCell ref="J5:K9"/>
    <mergeCell ref="C6:C7"/>
    <mergeCell ref="C8:C9"/>
    <mergeCell ref="D8:D9"/>
    <mergeCell ref="E8:E9"/>
  </mergeCells>
  <dataValidations count="11">
    <dataValidation type="list" allowBlank="1" showInputMessage="1" showErrorMessage="1" sqref="B53" xr:uid="{E4F9DB45-061D-43F3-9A4C-2247C87E0EC3}">
      <formula1>Lifetime</formula1>
    </dataValidation>
    <dataValidation type="list" allowBlank="1" showInputMessage="1" showErrorMessage="1" sqref="B54" xr:uid="{80BD31BB-A963-4CF7-8462-F34FFEED82E2}">
      <formula1>Construction</formula1>
    </dataValidation>
    <dataValidation type="list" allowBlank="1" showInputMessage="1" showErrorMessage="1" sqref="F46:F51" xr:uid="{A1A15036-96EA-46A1-B67D-71AE61C9D834}">
      <formula1>Currency</formula1>
    </dataValidation>
    <dataValidation type="list" allowBlank="1" showInputMessage="1" showErrorMessage="1" sqref="G46:G51" xr:uid="{DB40C964-7E53-4D7E-9EEF-732A5F5BB883}">
      <formula1>Year</formula1>
    </dataValidation>
    <dataValidation type="list" allowBlank="1" showInputMessage="1" showErrorMessage="1" sqref="H46:H51" xr:uid="{F3538B6A-98D2-445A-BD31-57180D284758}">
      <formula1>Location</formula1>
    </dataValidation>
    <dataValidation type="list" allowBlank="1" showInputMessage="1" showErrorMessage="1" sqref="I13:I43" xr:uid="{4118300F-C633-4368-9312-20508C6BCCA2}">
      <formula1>INDIRECT(IF($D13="Heat Exchanger",SUBSTITUTE($D13," ","")&amp;"_"&amp;SUBSTITUTE(SUBSTITUTE($E13,",","")," ","")&amp;"_Material",SUBSTITUTE($D13," ","")&amp;"_Material"))</formula1>
    </dataValidation>
    <dataValidation type="list" allowBlank="1" showInputMessage="1" showErrorMessage="1" sqref="E21" xr:uid="{2117671C-0131-4BE2-BBBB-1D48AD79B642}">
      <formula1>INDIRECT(SUBSTITUTE($D22," ",""))</formula1>
    </dataValidation>
    <dataValidation type="list" allowBlank="1" showInputMessage="1" showErrorMessage="1" sqref="I49:J49" xr:uid="{1796D55F-71B4-4455-BC4C-9FE25DFCDA7F}">
      <formula1>INDIRECT(IF($D13="Heat Exchanger",SUBSTITUTE($D13," ","")&amp;"_"&amp;SUBSTITUTE(SUBSTITUTE($E13,",","")," ","")&amp;"_Material",SUBSTITUTE($D13," ","")&amp;"_Material"))</formula1>
    </dataValidation>
    <dataValidation type="list" allowBlank="1" showInputMessage="1" showErrorMessage="1" sqref="E8:E9" xr:uid="{A62CB3E8-279B-4F93-BCDC-DD5546F9C705}">
      <formula1>Case</formula1>
    </dataValidation>
    <dataValidation type="list" allowBlank="1" showInputMessage="1" showErrorMessage="1" sqref="E22:E43 E13:E20" xr:uid="{C92430CC-C00B-4F55-9F3C-4DE52C9B3248}">
      <formula1>INDIRECT(SUBSTITUTE($D13," ",""))</formula1>
    </dataValidation>
    <dataValidation type="list" allowBlank="1" showInputMessage="1" showErrorMessage="1" sqref="D22:D43 D13:D20" xr:uid="{3F3C8F2C-8392-4246-90AD-1B0D9ABD1D27}">
      <formula1>Equipment</formula1>
    </dataValidation>
  </dataValidations>
  <pageMargins left="0.7" right="0.7" top="0.75" bottom="0.75" header="0.3" footer="0.3"/>
  <pageSetup paperSize="9" orientation="portrait" verticalDpi="1200" r:id="rId1"/>
  <ignoredErrors>
    <ignoredError sqref="T13: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233473" r:id="rId4"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5"/>
    <tablePart r:id="rId6"/>
    <tablePart r:id="rId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A847EA-72E5-433C-AF2D-C9AB3EE2AB0B}">
  <sheetPr codeName="Hoja24"/>
  <dimension ref="A1:AJ69"/>
  <sheetViews>
    <sheetView showGridLines="0" zoomScale="25" zoomScaleNormal="25" workbookViewId="0">
      <selection activeCell="L88" sqref="L88"/>
    </sheetView>
  </sheetViews>
  <sheetFormatPr defaultColWidth="11.109375" defaultRowHeight="14.4" x14ac:dyDescent="0.3"/>
  <cols>
    <col min="1" max="2" width="4.5546875" customWidth="1"/>
    <col min="3" max="19" width="23.44140625" customWidth="1"/>
    <col min="20" max="22" width="3.44140625" customWidth="1"/>
    <col min="23" max="34" width="13.6640625" customWidth="1"/>
    <col min="35" max="35" width="4.109375" customWidth="1"/>
  </cols>
  <sheetData>
    <row r="1" spans="1:36" ht="18.600000000000001"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row>
    <row r="2" spans="1:36" ht="18.600000000000001" customHeight="1" x14ac:dyDescent="0.3">
      <c r="A2" s="83"/>
      <c r="B2" s="101"/>
      <c r="C2" s="102"/>
      <c r="D2" s="102"/>
      <c r="E2" s="102"/>
      <c r="F2" s="102"/>
      <c r="G2" s="102"/>
      <c r="H2" s="102"/>
      <c r="I2" s="102"/>
      <c r="J2" s="102"/>
      <c r="K2" s="102"/>
      <c r="L2" s="102"/>
      <c r="M2" s="102"/>
      <c r="N2" s="102"/>
      <c r="O2" s="102"/>
      <c r="P2" s="102"/>
      <c r="Q2" s="102"/>
      <c r="R2" s="102"/>
      <c r="S2" s="102"/>
      <c r="T2" s="103"/>
      <c r="U2" s="104"/>
      <c r="V2" s="117"/>
      <c r="W2" s="118"/>
      <c r="X2" s="118"/>
      <c r="Y2" s="118"/>
      <c r="Z2" s="118"/>
      <c r="AA2" s="118"/>
      <c r="AB2" s="118"/>
      <c r="AC2" s="118"/>
      <c r="AD2" s="118"/>
      <c r="AE2" s="118"/>
      <c r="AF2" s="118"/>
      <c r="AG2" s="118"/>
      <c r="AH2" s="118"/>
      <c r="AI2" s="119"/>
      <c r="AJ2" s="83"/>
    </row>
    <row r="3" spans="1:36" ht="18.600000000000001" customHeight="1" x14ac:dyDescent="0.3">
      <c r="A3" s="83"/>
      <c r="B3" s="104"/>
      <c r="C3" s="879" t="s">
        <v>270</v>
      </c>
      <c r="D3" s="880"/>
      <c r="E3" s="880"/>
      <c r="F3" s="881"/>
      <c r="G3" s="879" t="s">
        <v>341</v>
      </c>
      <c r="H3" s="881"/>
      <c r="J3" s="879" t="s">
        <v>500</v>
      </c>
      <c r="K3" s="880"/>
      <c r="L3" s="880"/>
      <c r="M3" s="881"/>
      <c r="O3" s="879" t="str">
        <f>+E6</f>
        <v>Unit 3</v>
      </c>
      <c r="P3" s="880"/>
      <c r="Q3" s="880"/>
      <c r="R3" s="880"/>
      <c r="S3" s="881"/>
      <c r="T3" s="106"/>
      <c r="U3" s="104"/>
      <c r="V3" s="120"/>
      <c r="W3" s="919" t="str">
        <f>+E6&amp;" Diagram"</f>
        <v>Unit 3 Diagram</v>
      </c>
      <c r="X3" s="920"/>
      <c r="Y3" s="920"/>
      <c r="Z3" s="920"/>
      <c r="AA3" s="920"/>
      <c r="AB3" s="920"/>
      <c r="AC3" s="920"/>
      <c r="AD3" s="920"/>
      <c r="AE3" s="920"/>
      <c r="AF3" s="920"/>
      <c r="AG3" s="920"/>
      <c r="AH3" s="921"/>
      <c r="AI3" s="113"/>
      <c r="AJ3" s="432"/>
    </row>
    <row r="4" spans="1:36" ht="18.600000000000001" customHeight="1" x14ac:dyDescent="0.3">
      <c r="A4" s="83"/>
      <c r="B4" s="104"/>
      <c r="C4" s="105"/>
      <c r="D4" s="105"/>
      <c r="E4" s="105"/>
      <c r="F4" s="105"/>
      <c r="G4" s="83"/>
      <c r="H4" s="83"/>
      <c r="J4" s="83"/>
      <c r="K4" s="83"/>
      <c r="L4" s="83"/>
      <c r="M4" s="83"/>
      <c r="O4" s="83"/>
      <c r="P4" s="83"/>
      <c r="Q4" s="83"/>
      <c r="R4" s="83"/>
      <c r="S4" s="83"/>
      <c r="T4" s="106"/>
      <c r="U4" s="104"/>
      <c r="V4" s="120"/>
      <c r="W4" s="117"/>
      <c r="X4" s="118"/>
      <c r="Y4" s="118"/>
      <c r="Z4" s="118"/>
      <c r="AA4" s="118"/>
      <c r="AB4" s="118"/>
      <c r="AC4" s="118"/>
      <c r="AD4" s="118"/>
      <c r="AE4" s="118"/>
      <c r="AF4" s="118"/>
      <c r="AG4" s="118"/>
      <c r="AH4" s="119"/>
      <c r="AI4" s="113"/>
      <c r="AJ4" s="432"/>
    </row>
    <row r="5" spans="1:36" ht="18.600000000000001" customHeight="1" x14ac:dyDescent="0.35">
      <c r="A5" s="83"/>
      <c r="B5" s="104"/>
      <c r="C5" s="105"/>
      <c r="D5" s="882" t="s">
        <v>265</v>
      </c>
      <c r="E5" s="883"/>
      <c r="F5" s="211"/>
      <c r="G5" s="882" t="s">
        <v>267</v>
      </c>
      <c r="H5" s="883"/>
      <c r="J5" s="499"/>
      <c r="K5" s="500"/>
      <c r="L5" s="214" t="s">
        <v>470</v>
      </c>
      <c r="M5" s="505" t="s">
        <v>504</v>
      </c>
      <c r="O5" s="835" t="s">
        <v>580</v>
      </c>
      <c r="P5" s="836"/>
      <c r="Q5" s="836"/>
      <c r="R5" s="836"/>
      <c r="S5" s="837"/>
      <c r="T5" s="106"/>
      <c r="U5" s="104"/>
      <c r="V5" s="120"/>
      <c r="W5" s="120"/>
      <c r="X5" s="112"/>
      <c r="Y5" s="112"/>
      <c r="Z5" s="112"/>
      <c r="AA5" s="112"/>
      <c r="AB5" s="112"/>
      <c r="AC5" s="112"/>
      <c r="AD5" s="112"/>
      <c r="AE5" s="112"/>
      <c r="AF5" s="112"/>
      <c r="AG5" s="112"/>
      <c r="AH5" s="113"/>
      <c r="AI5" s="113"/>
      <c r="AJ5" s="432"/>
    </row>
    <row r="6" spans="1:36" ht="18.600000000000001" customHeight="1" x14ac:dyDescent="0.3">
      <c r="A6" s="83"/>
      <c r="B6" s="104"/>
      <c r="C6" s="904" t="s">
        <v>496</v>
      </c>
      <c r="D6" s="610" t="s">
        <v>687</v>
      </c>
      <c r="E6" s="625" t="str">
        <f>+'Plant Overview'!V39</f>
        <v>Unit 3</v>
      </c>
      <c r="F6" s="212"/>
      <c r="G6" s="85"/>
      <c r="H6" s="393" t="s">
        <v>262</v>
      </c>
      <c r="J6" s="501"/>
      <c r="K6" s="502"/>
      <c r="L6" s="94" t="s">
        <v>471</v>
      </c>
      <c r="M6" s="86" t="s">
        <v>505</v>
      </c>
      <c r="O6" s="862"/>
      <c r="P6" s="863"/>
      <c r="Q6" s="863"/>
      <c r="R6" s="863"/>
      <c r="S6" s="864"/>
      <c r="T6" s="106"/>
      <c r="U6" s="104"/>
      <c r="V6" s="120"/>
      <c r="W6" s="120"/>
      <c r="X6" s="112"/>
      <c r="Y6" s="112"/>
      <c r="Z6" s="112"/>
      <c r="AA6" s="112"/>
      <c r="AB6" s="112"/>
      <c r="AC6" s="112"/>
      <c r="AD6" s="112"/>
      <c r="AE6" s="112"/>
      <c r="AF6" s="112"/>
      <c r="AG6" s="112"/>
      <c r="AH6" s="113"/>
      <c r="AI6" s="113"/>
      <c r="AJ6" s="432"/>
    </row>
    <row r="7" spans="1:36" ht="18.600000000000001" customHeight="1" x14ac:dyDescent="0.3">
      <c r="A7" s="83"/>
      <c r="B7" s="104"/>
      <c r="C7" s="905"/>
      <c r="D7" s="610" t="s">
        <v>686</v>
      </c>
      <c r="E7" s="554" t="str">
        <f>+'Plant Overview'!W39</f>
        <v>U-300</v>
      </c>
      <c r="F7" s="212"/>
      <c r="G7" s="208"/>
      <c r="H7" s="393" t="s">
        <v>263</v>
      </c>
      <c r="J7" s="501"/>
      <c r="K7" s="502"/>
      <c r="L7" s="214" t="s">
        <v>465</v>
      </c>
      <c r="M7" s="505" t="s">
        <v>503</v>
      </c>
      <c r="O7" s="865"/>
      <c r="P7" s="866"/>
      <c r="Q7" s="866"/>
      <c r="R7" s="866"/>
      <c r="S7" s="867"/>
      <c r="T7" s="106"/>
      <c r="U7" s="104"/>
      <c r="V7" s="120"/>
      <c r="W7" s="120"/>
      <c r="X7" s="112"/>
      <c r="Y7" s="112"/>
      <c r="Z7" s="112"/>
      <c r="AA7" s="112"/>
      <c r="AB7" s="112"/>
      <c r="AC7" s="112"/>
      <c r="AD7" s="112"/>
      <c r="AE7" s="112"/>
      <c r="AF7" s="112"/>
      <c r="AG7" s="112"/>
      <c r="AH7" s="113"/>
      <c r="AI7" s="113"/>
      <c r="AJ7" s="432"/>
    </row>
    <row r="8" spans="1:36" ht="18.600000000000001" customHeight="1" x14ac:dyDescent="0.3">
      <c r="A8" s="83"/>
      <c r="B8" s="104"/>
      <c r="C8" s="937"/>
      <c r="D8" s="942" t="s">
        <v>312</v>
      </c>
      <c r="E8" s="911"/>
      <c r="F8" s="213"/>
      <c r="G8" s="95"/>
      <c r="H8" s="472" t="s">
        <v>264</v>
      </c>
      <c r="J8" s="501"/>
      <c r="K8" s="502"/>
      <c r="L8" s="214" t="s">
        <v>466</v>
      </c>
      <c r="M8" s="505" t="s">
        <v>501</v>
      </c>
      <c r="O8" s="865"/>
      <c r="P8" s="866"/>
      <c r="Q8" s="866"/>
      <c r="R8" s="866"/>
      <c r="S8" s="867"/>
      <c r="T8" s="106"/>
      <c r="U8" s="104"/>
      <c r="V8" s="120"/>
      <c r="W8" s="120"/>
      <c r="X8" s="112"/>
      <c r="Y8" s="112"/>
      <c r="Z8" s="112"/>
      <c r="AA8" s="112"/>
      <c r="AB8" s="112"/>
      <c r="AC8" s="112"/>
      <c r="AD8" s="112"/>
      <c r="AE8" s="112"/>
      <c r="AF8" s="112"/>
      <c r="AG8" s="112"/>
      <c r="AH8" s="113"/>
      <c r="AI8" s="113"/>
      <c r="AJ8" s="432"/>
    </row>
    <row r="9" spans="1:36" ht="18.600000000000001" customHeight="1" x14ac:dyDescent="0.3">
      <c r="A9" s="83"/>
      <c r="B9" s="104"/>
      <c r="C9" s="886"/>
      <c r="D9" s="943"/>
      <c r="E9" s="912"/>
      <c r="F9" s="213"/>
      <c r="G9" s="110"/>
      <c r="H9" s="598" t="s">
        <v>268</v>
      </c>
      <c r="J9" s="503"/>
      <c r="K9" s="504"/>
      <c r="L9" s="214" t="s">
        <v>467</v>
      </c>
      <c r="M9" s="505" t="s">
        <v>502</v>
      </c>
      <c r="O9" s="868"/>
      <c r="P9" s="869"/>
      <c r="Q9" s="869"/>
      <c r="R9" s="869"/>
      <c r="S9" s="870"/>
      <c r="T9" s="106"/>
      <c r="U9" s="104"/>
      <c r="V9" s="120"/>
      <c r="W9" s="120"/>
      <c r="X9" s="112"/>
      <c r="Y9" s="112"/>
      <c r="Z9" s="112"/>
      <c r="AA9" s="112"/>
      <c r="AB9" s="112"/>
      <c r="AC9" s="112"/>
      <c r="AD9" s="112"/>
      <c r="AE9" s="112"/>
      <c r="AF9" s="112"/>
      <c r="AG9" s="112"/>
      <c r="AH9" s="113"/>
      <c r="AI9" s="113"/>
      <c r="AJ9" s="432"/>
    </row>
    <row r="10" spans="1:36" ht="18.600000000000001"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4"/>
      <c r="V10" s="120"/>
      <c r="W10" s="120"/>
      <c r="X10" s="112"/>
      <c r="Y10" s="112"/>
      <c r="Z10" s="112"/>
      <c r="AA10" s="112"/>
      <c r="AB10" s="112"/>
      <c r="AC10" s="112"/>
      <c r="AD10" s="112"/>
      <c r="AE10" s="112"/>
      <c r="AF10" s="112"/>
      <c r="AG10" s="112"/>
      <c r="AH10" s="113"/>
      <c r="AI10" s="113"/>
      <c r="AJ10" s="432"/>
    </row>
    <row r="11" spans="1:36" ht="18.600000000000001" customHeight="1" x14ac:dyDescent="0.3">
      <c r="A11" s="83"/>
      <c r="B11" s="104"/>
      <c r="C11" s="105"/>
      <c r="D11" s="879" t="s">
        <v>508</v>
      </c>
      <c r="E11" s="880"/>
      <c r="F11" s="880"/>
      <c r="G11" s="880"/>
      <c r="H11" s="880"/>
      <c r="I11" s="880"/>
      <c r="J11" s="880"/>
      <c r="K11" s="879" t="s">
        <v>507</v>
      </c>
      <c r="L11" s="880"/>
      <c r="M11" s="880"/>
      <c r="N11" s="880"/>
      <c r="O11" s="881"/>
      <c r="P11" s="879" t="s">
        <v>510</v>
      </c>
      <c r="Q11" s="880"/>
      <c r="R11" s="881"/>
      <c r="S11" s="105"/>
      <c r="T11" s="106"/>
      <c r="U11" s="104"/>
      <c r="V11" s="120"/>
      <c r="W11" s="120"/>
      <c r="X11" s="112"/>
      <c r="Y11" s="112"/>
      <c r="Z11" s="112"/>
      <c r="AA11" s="112"/>
      <c r="AB11" s="112"/>
      <c r="AC11" s="112"/>
      <c r="AD11" s="112"/>
      <c r="AE11" s="112"/>
      <c r="AF11" s="112"/>
      <c r="AG11" s="112"/>
      <c r="AH11" s="113"/>
      <c r="AI11" s="113"/>
      <c r="AJ11" s="432"/>
    </row>
    <row r="12" spans="1:36" ht="18.600000000000001" customHeight="1" x14ac:dyDescent="0.3">
      <c r="A12" s="83"/>
      <c r="B12" s="104"/>
      <c r="C12" s="553" t="s">
        <v>239</v>
      </c>
      <c r="D12" s="553" t="s">
        <v>499</v>
      </c>
      <c r="E12" s="553" t="s">
        <v>498</v>
      </c>
      <c r="F12" s="559" t="s">
        <v>464</v>
      </c>
      <c r="G12" s="559" t="s">
        <v>583</v>
      </c>
      <c r="H12" s="559" t="s">
        <v>509</v>
      </c>
      <c r="I12" s="553" t="s">
        <v>506</v>
      </c>
      <c r="J12" s="553" t="s">
        <v>235</v>
      </c>
      <c r="K12" s="544" t="s">
        <v>466</v>
      </c>
      <c r="L12" s="553" t="s">
        <v>467</v>
      </c>
      <c r="M12" s="551" t="s">
        <v>586</v>
      </c>
      <c r="N12" s="552" t="s">
        <v>469</v>
      </c>
      <c r="O12" s="548" t="s">
        <v>468</v>
      </c>
      <c r="P12" s="544" t="s">
        <v>465</v>
      </c>
      <c r="Q12" s="544" t="s">
        <v>471</v>
      </c>
      <c r="R12" s="551" t="s">
        <v>470</v>
      </c>
      <c r="S12" s="548" t="s">
        <v>497</v>
      </c>
      <c r="T12" s="106"/>
      <c r="U12" s="104"/>
      <c r="V12" s="120"/>
      <c r="W12" s="120"/>
      <c r="X12" s="112"/>
      <c r="Y12" s="112"/>
      <c r="Z12" s="112"/>
      <c r="AA12" s="112"/>
      <c r="AB12" s="112"/>
      <c r="AC12" s="112"/>
      <c r="AD12" s="112"/>
      <c r="AE12" s="112"/>
      <c r="AF12" s="112"/>
      <c r="AG12" s="112"/>
      <c r="AH12" s="113"/>
      <c r="AI12" s="113"/>
      <c r="AJ12" s="432"/>
    </row>
    <row r="13" spans="1:36" ht="18.600000000000001" customHeight="1" x14ac:dyDescent="0.3">
      <c r="A13" s="83"/>
      <c r="B13" s="104"/>
      <c r="C13" s="437"/>
      <c r="D13" s="470"/>
      <c r="E13" s="376"/>
      <c r="F13" s="376"/>
      <c r="G13" s="376"/>
      <c r="H13" s="376"/>
      <c r="I13" s="376"/>
      <c r="J13" s="377"/>
      <c r="K13" s="376"/>
      <c r="L13" s="476"/>
      <c r="M13" s="376"/>
      <c r="N13" s="219"/>
      <c r="O13" s="222"/>
      <c r="P13" s="221"/>
      <c r="Q13" s="376"/>
      <c r="R13" s="219" t="str">
        <f>+IF(C13="","",(P13/M13)^K13*O13*(Q13/(N13/M13))^L13)</f>
        <v/>
      </c>
      <c r="S13" s="481" t="str" cm="1">
        <f t="array" aca="1" ref="S13" ca="1">+IF(R13="","",R13*INDIRECT(ADDRESS(MATCH(G13,'Cost Conversion'!$B$3:$B$48,0)+2,4,1,1,"Cost conversion"))*INDIRECT(ADDRESS(MATCH(H13,'Cost Conversion'!$F$3:$F$22,0)+2,8,1,1,"Cost conversion"))/IF(F13="$",'Cost Conversion'!$L$2,1))</f>
        <v/>
      </c>
      <c r="T13" s="106"/>
      <c r="U13" s="104"/>
      <c r="V13" s="120"/>
      <c r="W13" s="120"/>
      <c r="X13" s="112"/>
      <c r="Y13" s="112"/>
      <c r="Z13" s="112"/>
      <c r="AA13" s="112"/>
      <c r="AB13" s="112"/>
      <c r="AC13" s="112"/>
      <c r="AD13" s="112"/>
      <c r="AE13" s="112"/>
      <c r="AF13" s="112"/>
      <c r="AG13" s="112"/>
      <c r="AH13" s="113"/>
      <c r="AI13" s="113"/>
      <c r="AJ13" s="432"/>
    </row>
    <row r="14" spans="1:36" ht="18.600000000000001" customHeight="1" x14ac:dyDescent="0.3">
      <c r="A14" s="83"/>
      <c r="B14" s="104"/>
      <c r="C14" s="438"/>
      <c r="D14" s="435"/>
      <c r="E14" s="476"/>
      <c r="F14" s="476"/>
      <c r="G14" s="476"/>
      <c r="H14" s="476"/>
      <c r="I14" s="476"/>
      <c r="J14" s="389"/>
      <c r="K14" s="476"/>
      <c r="L14" s="476"/>
      <c r="M14" s="476"/>
      <c r="N14" s="390"/>
      <c r="O14" s="390"/>
      <c r="P14" s="170"/>
      <c r="Q14" s="476"/>
      <c r="R14" s="390" t="str">
        <f>+IF(C14="","",(P14/M14)^K14*O14*(Q14/(N14/M14))^L14)</f>
        <v/>
      </c>
      <c r="S14" s="195" t="str" cm="1">
        <f t="array" aca="1" ref="S14" ca="1">+IF(R14="","",R14*INDIRECT(ADDRESS(MATCH(G14,'Cost Conversion'!$B$3:$B$48,0)+2,4,1,1,"Cost conversion"))*INDIRECT(ADDRESS(MATCH(H14,'Cost Conversion'!$F$3:$F$22,0)+2,8,1,1,"Cost conversion"))/IF(F14="$",'Cost Conversion'!$L$2,1))</f>
        <v/>
      </c>
      <c r="T14" s="106"/>
      <c r="U14" s="104"/>
      <c r="V14" s="120"/>
      <c r="W14" s="120"/>
      <c r="X14" s="112"/>
      <c r="Y14" s="112"/>
      <c r="Z14" s="112"/>
      <c r="AA14" s="112"/>
      <c r="AB14" s="112"/>
      <c r="AC14" s="112"/>
      <c r="AD14" s="112"/>
      <c r="AE14" s="112"/>
      <c r="AF14" s="112"/>
      <c r="AG14" s="112"/>
      <c r="AH14" s="113"/>
      <c r="AI14" s="113"/>
      <c r="AJ14" s="432"/>
    </row>
    <row r="15" spans="1:36" ht="18.600000000000001" customHeight="1" x14ac:dyDescent="0.3">
      <c r="A15" s="83"/>
      <c r="B15" s="104"/>
      <c r="C15" s="438"/>
      <c r="D15" s="435"/>
      <c r="E15" s="476"/>
      <c r="F15" s="476"/>
      <c r="G15" s="476"/>
      <c r="H15" s="476"/>
      <c r="I15" s="476"/>
      <c r="J15" s="389"/>
      <c r="K15" s="476"/>
      <c r="L15" s="476"/>
      <c r="M15" s="476"/>
      <c r="N15" s="390"/>
      <c r="O15" s="476"/>
      <c r="P15" s="435"/>
      <c r="Q15" s="476"/>
      <c r="R15" s="390" t="str">
        <f t="shared" ref="R15:R34" si="0">+IF(C15="","",(P15/M15)^K15*O15*(Q15/(N15/M15))^L15)</f>
        <v/>
      </c>
      <c r="S15" s="195" t="str" cm="1">
        <f t="array" aca="1" ref="S15" ca="1">+IF(R15="","",R15*INDIRECT(ADDRESS(MATCH(G15,'Cost Conversion'!$B$3:$B$48,0)+2,4,1,1,"Cost conversion"))*INDIRECT(ADDRESS(MATCH(H15,'Cost Conversion'!$F$3:$F$22,0)+2,8,1,1,"Cost conversion"))/IF(F15="$",'Cost Conversion'!$L$2,1))</f>
        <v/>
      </c>
      <c r="T15" s="106"/>
      <c r="U15" s="104"/>
      <c r="V15" s="120"/>
      <c r="W15" s="120"/>
      <c r="X15" s="112"/>
      <c r="Y15" s="112"/>
      <c r="Z15" s="112"/>
      <c r="AA15" s="112"/>
      <c r="AB15" s="112"/>
      <c r="AC15" s="112"/>
      <c r="AD15" s="112"/>
      <c r="AE15" s="112"/>
      <c r="AF15" s="112"/>
      <c r="AG15" s="112"/>
      <c r="AH15" s="113"/>
      <c r="AI15" s="113"/>
      <c r="AJ15" s="432"/>
    </row>
    <row r="16" spans="1:36" ht="18.600000000000001" customHeight="1" x14ac:dyDescent="0.3">
      <c r="A16" s="83"/>
      <c r="B16" s="104"/>
      <c r="C16" s="438"/>
      <c r="D16" s="435"/>
      <c r="E16" s="476"/>
      <c r="F16" s="476"/>
      <c r="G16" s="476"/>
      <c r="H16" s="476"/>
      <c r="I16" s="476"/>
      <c r="J16" s="389"/>
      <c r="K16" s="476"/>
      <c r="L16" s="476"/>
      <c r="M16" s="476"/>
      <c r="N16" s="92"/>
      <c r="O16" s="476"/>
      <c r="P16" s="435"/>
      <c r="Q16" s="476"/>
      <c r="R16" s="390" t="str">
        <f t="shared" si="0"/>
        <v/>
      </c>
      <c r="S16" s="195" t="str" cm="1">
        <f t="array" aca="1" ref="S16" ca="1">+IF(R16="","",R16*INDIRECT(ADDRESS(MATCH(G16,'Cost Conversion'!$B$3:$B$48,0)+2,4,1,1,"Cost conversion"))*INDIRECT(ADDRESS(MATCH(H16,'Cost Conversion'!$F$3:$F$22,0)+2,8,1,1,"Cost conversion"))/IF(F16="$",'Cost Conversion'!$L$2,1))</f>
        <v/>
      </c>
      <c r="T16" s="106"/>
      <c r="U16" s="104"/>
      <c r="V16" s="120"/>
      <c r="W16" s="120"/>
      <c r="X16" s="112"/>
      <c r="Y16" s="112"/>
      <c r="Z16" s="112"/>
      <c r="AA16" s="112"/>
      <c r="AB16" s="112"/>
      <c r="AC16" s="112"/>
      <c r="AD16" s="112"/>
      <c r="AE16" s="112"/>
      <c r="AF16" s="112"/>
      <c r="AG16" s="112"/>
      <c r="AH16" s="113"/>
      <c r="AI16" s="113"/>
      <c r="AJ16" s="432"/>
    </row>
    <row r="17" spans="1:36" ht="18.600000000000001" customHeight="1" x14ac:dyDescent="0.3">
      <c r="A17" s="83"/>
      <c r="B17" s="104"/>
      <c r="C17" s="438"/>
      <c r="D17" s="435"/>
      <c r="E17" s="476"/>
      <c r="F17" s="476"/>
      <c r="G17" s="476"/>
      <c r="H17" s="476"/>
      <c r="I17" s="476"/>
      <c r="J17" s="389"/>
      <c r="K17" s="92"/>
      <c r="L17" s="92"/>
      <c r="M17" s="476"/>
      <c r="N17" s="92"/>
      <c r="O17" s="92"/>
      <c r="P17" s="91"/>
      <c r="Q17" s="476"/>
      <c r="R17" s="390" t="str">
        <f t="shared" si="0"/>
        <v/>
      </c>
      <c r="S17" s="195" t="str" cm="1">
        <f t="array" aca="1" ref="S17" ca="1">+IF(R17="","",R17*INDIRECT(ADDRESS(MATCH(G17,'Cost Conversion'!$B$3:$B$48,0)+2,4,1,1,"Cost conversion"))*INDIRECT(ADDRESS(MATCH(H17,'Cost Conversion'!$F$3:$F$22,0)+2,8,1,1,"Cost conversion"))/IF(F17="$",'Cost Conversion'!$L$2,1))</f>
        <v/>
      </c>
      <c r="T17" s="106"/>
      <c r="U17" s="104"/>
      <c r="V17" s="120"/>
      <c r="W17" s="120"/>
      <c r="X17" s="112"/>
      <c r="Y17" s="112"/>
      <c r="Z17" s="112"/>
      <c r="AA17" s="112"/>
      <c r="AB17" s="112"/>
      <c r="AC17" s="112"/>
      <c r="AD17" s="112"/>
      <c r="AE17" s="112"/>
      <c r="AF17" s="112"/>
      <c r="AG17" s="112"/>
      <c r="AH17" s="113"/>
      <c r="AI17" s="113"/>
      <c r="AJ17" s="432"/>
    </row>
    <row r="18" spans="1:36" ht="18.600000000000001" customHeight="1" x14ac:dyDescent="0.3">
      <c r="A18" s="83"/>
      <c r="B18" s="104"/>
      <c r="C18" s="438"/>
      <c r="D18" s="435"/>
      <c r="E18" s="476"/>
      <c r="F18" s="476"/>
      <c r="G18" s="476"/>
      <c r="H18" s="476"/>
      <c r="I18" s="476"/>
      <c r="J18" s="389"/>
      <c r="K18" s="92"/>
      <c r="L18" s="92"/>
      <c r="M18" s="476"/>
      <c r="N18" s="92"/>
      <c r="O18" s="476"/>
      <c r="P18" s="435"/>
      <c r="Q18" s="476"/>
      <c r="R18" s="390" t="str">
        <f t="shared" si="0"/>
        <v/>
      </c>
      <c r="S18" s="195" t="str" cm="1">
        <f t="array" aca="1" ref="S18" ca="1">+IF(R18="","",R18*INDIRECT(ADDRESS(MATCH(G18,'Cost Conversion'!$B$3:$B$48,0)+2,4,1,1,"Cost conversion"))*INDIRECT(ADDRESS(MATCH(H18,'Cost Conversion'!$F$3:$F$22,0)+2,8,1,1,"Cost conversion"))/IF(F18="$",'Cost Conversion'!$L$2,1))</f>
        <v/>
      </c>
      <c r="T18" s="106"/>
      <c r="U18" s="104"/>
      <c r="V18" s="120"/>
      <c r="W18" s="120"/>
      <c r="X18" s="112"/>
      <c r="Y18" s="112"/>
      <c r="Z18" s="112"/>
      <c r="AA18" s="112"/>
      <c r="AB18" s="112"/>
      <c r="AC18" s="112"/>
      <c r="AD18" s="112"/>
      <c r="AE18" s="112"/>
      <c r="AF18" s="112"/>
      <c r="AG18" s="112"/>
      <c r="AH18" s="113"/>
      <c r="AI18" s="113"/>
      <c r="AJ18" s="432"/>
    </row>
    <row r="19" spans="1:36" ht="18.600000000000001" customHeight="1" x14ac:dyDescent="0.3">
      <c r="A19" s="83"/>
      <c r="B19" s="104"/>
      <c r="C19" s="438"/>
      <c r="D19" s="435"/>
      <c r="E19" s="476"/>
      <c r="F19" s="476"/>
      <c r="G19" s="476"/>
      <c r="H19" s="476"/>
      <c r="I19" s="476"/>
      <c r="J19" s="389"/>
      <c r="K19" s="92"/>
      <c r="L19" s="92"/>
      <c r="M19" s="476"/>
      <c r="N19" s="476"/>
      <c r="O19" s="476"/>
      <c r="P19" s="435"/>
      <c r="Q19" s="476"/>
      <c r="R19" s="390" t="str">
        <f t="shared" si="0"/>
        <v/>
      </c>
      <c r="S19" s="195" t="str" cm="1">
        <f t="array" aca="1" ref="S19" ca="1">+IF(R19="","",R19*INDIRECT(ADDRESS(MATCH(G19,'Cost Conversion'!$B$3:$B$48,0)+2,4,1,1,"Cost conversion"))*INDIRECT(ADDRESS(MATCH(H19,'Cost Conversion'!$F$3:$F$22,0)+2,8,1,1,"Cost conversion"))/IF(F19="$",'Cost Conversion'!$L$2,1))</f>
        <v/>
      </c>
      <c r="T19" s="106"/>
      <c r="U19" s="104"/>
      <c r="V19" s="120"/>
      <c r="W19" s="120"/>
      <c r="X19" s="112"/>
      <c r="Y19" s="112"/>
      <c r="Z19" s="112"/>
      <c r="AA19" s="112"/>
      <c r="AB19" s="112"/>
      <c r="AC19" s="112"/>
      <c r="AD19" s="112"/>
      <c r="AE19" s="112"/>
      <c r="AF19" s="112"/>
      <c r="AG19" s="112"/>
      <c r="AH19" s="113"/>
      <c r="AI19" s="113"/>
      <c r="AJ19" s="432"/>
    </row>
    <row r="20" spans="1:36" ht="18.600000000000001" customHeight="1" x14ac:dyDescent="0.3">
      <c r="A20" s="83"/>
      <c r="B20" s="104"/>
      <c r="C20" s="438"/>
      <c r="D20" s="435"/>
      <c r="E20" s="476"/>
      <c r="F20" s="476"/>
      <c r="G20" s="476"/>
      <c r="H20" s="476"/>
      <c r="I20" s="476"/>
      <c r="J20" s="389"/>
      <c r="K20" s="92"/>
      <c r="L20" s="92"/>
      <c r="M20" s="476"/>
      <c r="N20" s="476"/>
      <c r="O20" s="476"/>
      <c r="P20" s="435"/>
      <c r="Q20" s="476"/>
      <c r="R20" s="390" t="str">
        <f t="shared" si="0"/>
        <v/>
      </c>
      <c r="S20" s="195" t="str" cm="1">
        <f t="array" aca="1" ref="S20" ca="1">+IF(R20="","",R20*INDIRECT(ADDRESS(MATCH(G20,'Cost Conversion'!$B$3:$B$48,0)+2,4,1,1,"Cost conversion"))*INDIRECT(ADDRESS(MATCH(H20,'Cost Conversion'!$F$3:$F$22,0)+2,8,1,1,"Cost conversion"))/IF(F20="$",'Cost Conversion'!$L$2,1))</f>
        <v/>
      </c>
      <c r="T20" s="106"/>
      <c r="U20" s="104"/>
      <c r="V20" s="120"/>
      <c r="W20" s="120"/>
      <c r="X20" s="112"/>
      <c r="Y20" s="112"/>
      <c r="Z20" s="112"/>
      <c r="AA20" s="112"/>
      <c r="AB20" s="112"/>
      <c r="AC20" s="112"/>
      <c r="AD20" s="112"/>
      <c r="AE20" s="112"/>
      <c r="AF20" s="112"/>
      <c r="AG20" s="112"/>
      <c r="AH20" s="113"/>
      <c r="AI20" s="113"/>
      <c r="AJ20" s="432"/>
    </row>
    <row r="21" spans="1:36" ht="18.600000000000001" customHeight="1" x14ac:dyDescent="0.3">
      <c r="A21" s="83"/>
      <c r="B21" s="104"/>
      <c r="C21" s="438"/>
      <c r="D21" s="91"/>
      <c r="E21" s="476"/>
      <c r="F21" s="476"/>
      <c r="G21" s="476"/>
      <c r="H21" s="476"/>
      <c r="I21" s="476"/>
      <c r="J21" s="389"/>
      <c r="K21" s="476"/>
      <c r="L21" s="476"/>
      <c r="M21" s="476"/>
      <c r="N21" s="476"/>
      <c r="O21" s="476"/>
      <c r="P21" s="435"/>
      <c r="Q21" s="476"/>
      <c r="R21" s="390" t="str">
        <f t="shared" si="0"/>
        <v/>
      </c>
      <c r="S21" s="195" t="str" cm="1">
        <f t="array" aca="1" ref="S21" ca="1">+IF(R21="","",R21*INDIRECT(ADDRESS(MATCH(G21,'Cost Conversion'!$B$3:$B$48,0)+2,4,1,1,"Cost conversion"))*INDIRECT(ADDRESS(MATCH(H21,'Cost Conversion'!$F$3:$F$22,0)+2,8,1,1,"Cost conversion"))/IF(F21="$",'Cost Conversion'!$L$2,1))</f>
        <v/>
      </c>
      <c r="T21" s="106"/>
      <c r="U21" s="105"/>
      <c r="V21" s="120"/>
      <c r="W21" s="120"/>
      <c r="X21" s="112"/>
      <c r="Y21" s="112"/>
      <c r="Z21" s="112"/>
      <c r="AA21" s="112"/>
      <c r="AB21" s="112"/>
      <c r="AC21" s="112"/>
      <c r="AD21" s="112"/>
      <c r="AE21" s="112"/>
      <c r="AF21" s="112"/>
      <c r="AG21" s="112"/>
      <c r="AH21" s="113"/>
      <c r="AI21" s="113"/>
      <c r="AJ21" s="432"/>
    </row>
    <row r="22" spans="1:36" ht="18.600000000000001" customHeight="1" x14ac:dyDescent="0.3">
      <c r="A22" s="83"/>
      <c r="B22" s="104"/>
      <c r="C22" s="438"/>
      <c r="D22" s="435"/>
      <c r="E22" s="476"/>
      <c r="F22" s="476"/>
      <c r="G22" s="476"/>
      <c r="H22" s="476"/>
      <c r="I22" s="476"/>
      <c r="J22" s="389"/>
      <c r="K22" s="476"/>
      <c r="L22" s="476"/>
      <c r="M22" s="476"/>
      <c r="N22" s="476"/>
      <c r="O22" s="476"/>
      <c r="P22" s="435"/>
      <c r="Q22" s="476"/>
      <c r="R22" s="390" t="str">
        <f t="shared" si="0"/>
        <v/>
      </c>
      <c r="S22" s="195" t="str" cm="1">
        <f t="array" aca="1" ref="S22" ca="1">+IF(R22="","",R22*INDIRECT(ADDRESS(MATCH(G22,'Cost Conversion'!$B$3:$B$48,0)+2,4,1,1,"Cost conversion"))*INDIRECT(ADDRESS(MATCH(H22,'Cost Conversion'!$F$3:$F$22,0)+2,8,1,1,"Cost conversion"))/IF(F22="$",'Cost Conversion'!$L$2,1))</f>
        <v/>
      </c>
      <c r="T22" s="106"/>
      <c r="U22" s="105"/>
      <c r="V22" s="120"/>
      <c r="W22" s="120"/>
      <c r="X22" s="112"/>
      <c r="Y22" s="112"/>
      <c r="Z22" s="112"/>
      <c r="AA22" s="112"/>
      <c r="AB22" s="112"/>
      <c r="AC22" s="112"/>
      <c r="AD22" s="112"/>
      <c r="AE22" s="112"/>
      <c r="AF22" s="112"/>
      <c r="AG22" s="112"/>
      <c r="AH22" s="113"/>
      <c r="AI22" s="113"/>
      <c r="AJ22" s="432"/>
    </row>
    <row r="23" spans="1:36" ht="18.600000000000001" customHeight="1" x14ac:dyDescent="0.3">
      <c r="A23" s="83"/>
      <c r="B23" s="104"/>
      <c r="C23" s="438"/>
      <c r="D23" s="435"/>
      <c r="E23" s="476"/>
      <c r="F23" s="476"/>
      <c r="G23" s="476"/>
      <c r="H23" s="476"/>
      <c r="I23" s="476"/>
      <c r="J23" s="389"/>
      <c r="K23" s="476"/>
      <c r="L23" s="476"/>
      <c r="M23" s="476"/>
      <c r="N23" s="476"/>
      <c r="O23" s="476"/>
      <c r="P23" s="435"/>
      <c r="Q23" s="476"/>
      <c r="R23" s="390" t="str">
        <f t="shared" si="0"/>
        <v/>
      </c>
      <c r="S23" s="195" t="str" cm="1">
        <f t="array" aca="1" ref="S23" ca="1">+IF(R23="","",R23*INDIRECT(ADDRESS(MATCH(G23,'Cost Conversion'!$B$3:$B$48,0)+2,4,1,1,"Cost conversion"))*INDIRECT(ADDRESS(MATCH(H23,'Cost Conversion'!$F$3:$F$22,0)+2,8,1,1,"Cost conversion"))/IF(F23="$",'Cost Conversion'!$L$2,1))</f>
        <v/>
      </c>
      <c r="T23" s="106"/>
      <c r="U23" s="105"/>
      <c r="V23" s="120"/>
      <c r="W23" s="120"/>
      <c r="X23" s="112"/>
      <c r="Y23" s="112"/>
      <c r="Z23" s="112"/>
      <c r="AA23" s="112"/>
      <c r="AB23" s="112"/>
      <c r="AC23" s="112"/>
      <c r="AD23" s="112"/>
      <c r="AE23" s="112"/>
      <c r="AF23" s="112"/>
      <c r="AG23" s="112"/>
      <c r="AH23" s="113"/>
      <c r="AI23" s="113"/>
      <c r="AJ23" s="432"/>
    </row>
    <row r="24" spans="1:36" ht="18.600000000000001" customHeight="1" x14ac:dyDescent="0.3">
      <c r="A24" s="83"/>
      <c r="B24" s="104"/>
      <c r="C24" s="438"/>
      <c r="D24" s="435"/>
      <c r="E24" s="476"/>
      <c r="F24" s="476"/>
      <c r="G24" s="476"/>
      <c r="H24" s="476"/>
      <c r="I24" s="476"/>
      <c r="J24" s="389"/>
      <c r="K24" s="476"/>
      <c r="L24" s="476"/>
      <c r="M24" s="476"/>
      <c r="N24" s="476"/>
      <c r="O24" s="476"/>
      <c r="P24" s="435"/>
      <c r="Q24" s="476"/>
      <c r="R24" s="390" t="str">
        <f t="shared" si="0"/>
        <v/>
      </c>
      <c r="S24" s="195" t="str" cm="1">
        <f t="array" aca="1" ref="S24" ca="1">+IF(R24="","",R24*INDIRECT(ADDRESS(MATCH(G24,'Cost Conversion'!$B$3:$B$48,0)+2,4,1,1,"Cost conversion"))*INDIRECT(ADDRESS(MATCH(H24,'Cost Conversion'!$F$3:$F$22,0)+2,8,1,1,"Cost conversion"))/IF(F24="$",'Cost Conversion'!$L$2,1))</f>
        <v/>
      </c>
      <c r="T24" s="106"/>
      <c r="U24" s="105"/>
      <c r="V24" s="120"/>
      <c r="W24" s="120"/>
      <c r="X24" s="112"/>
      <c r="Y24" s="112"/>
      <c r="Z24" s="112"/>
      <c r="AA24" s="112"/>
      <c r="AB24" s="112"/>
      <c r="AC24" s="112"/>
      <c r="AD24" s="112"/>
      <c r="AE24" s="112"/>
      <c r="AF24" s="112"/>
      <c r="AG24" s="112"/>
      <c r="AH24" s="113"/>
      <c r="AI24" s="113"/>
      <c r="AJ24" s="432"/>
    </row>
    <row r="25" spans="1:36" ht="18.600000000000001" customHeight="1" x14ac:dyDescent="0.3">
      <c r="A25" s="83"/>
      <c r="B25" s="104"/>
      <c r="C25" s="438"/>
      <c r="D25" s="435"/>
      <c r="E25" s="476"/>
      <c r="F25" s="476"/>
      <c r="G25" s="476"/>
      <c r="H25" s="476"/>
      <c r="I25" s="476"/>
      <c r="J25" s="389"/>
      <c r="K25" s="476"/>
      <c r="L25" s="476"/>
      <c r="M25" s="476"/>
      <c r="N25" s="476"/>
      <c r="O25" s="476"/>
      <c r="P25" s="435"/>
      <c r="Q25" s="476"/>
      <c r="R25" s="390" t="str">
        <f t="shared" si="0"/>
        <v/>
      </c>
      <c r="S25" s="195" t="str" cm="1">
        <f t="array" aca="1" ref="S25" ca="1">+IF(R25="","",R25*INDIRECT(ADDRESS(MATCH(G25,'Cost Conversion'!$B$3:$B$48,0)+2,4,1,1,"Cost conversion"))*INDIRECT(ADDRESS(MATCH(H25,'Cost Conversion'!$F$3:$F$22,0)+2,8,1,1,"Cost conversion"))/IF(F25="$",'Cost Conversion'!$L$2,1))</f>
        <v/>
      </c>
      <c r="T25" s="106"/>
      <c r="U25" s="105"/>
      <c r="V25" s="120"/>
      <c r="W25" s="120"/>
      <c r="X25" s="112"/>
      <c r="Y25" s="112"/>
      <c r="Z25" s="112"/>
      <c r="AA25" s="112"/>
      <c r="AB25" s="112"/>
      <c r="AC25" s="112"/>
      <c r="AD25" s="112"/>
      <c r="AE25" s="112"/>
      <c r="AF25" s="112"/>
      <c r="AG25" s="112"/>
      <c r="AH25" s="113"/>
      <c r="AI25" s="113"/>
      <c r="AJ25" s="432"/>
    </row>
    <row r="26" spans="1:36" ht="18.600000000000001" customHeight="1" x14ac:dyDescent="0.3">
      <c r="A26" s="83"/>
      <c r="B26" s="104"/>
      <c r="C26" s="438"/>
      <c r="D26" s="435"/>
      <c r="E26" s="476"/>
      <c r="F26" s="476"/>
      <c r="G26" s="476"/>
      <c r="H26" s="476"/>
      <c r="I26" s="476"/>
      <c r="J26" s="389"/>
      <c r="K26" s="476"/>
      <c r="L26" s="476"/>
      <c r="M26" s="476"/>
      <c r="N26" s="476"/>
      <c r="O26" s="476"/>
      <c r="P26" s="435"/>
      <c r="Q26" s="476"/>
      <c r="R26" s="390" t="str">
        <f t="shared" si="0"/>
        <v/>
      </c>
      <c r="S26" s="195" t="str" cm="1">
        <f t="array" aca="1" ref="S26" ca="1">+IF(R26="","",R26*INDIRECT(ADDRESS(MATCH(G26,'Cost Conversion'!$B$3:$B$48,0)+2,4,1,1,"Cost conversion"))*INDIRECT(ADDRESS(MATCH(H26,'Cost Conversion'!$F$3:$F$22,0)+2,8,1,1,"Cost conversion"))/IF(F26="$",'Cost Conversion'!$L$2,1))</f>
        <v/>
      </c>
      <c r="T26" s="106"/>
      <c r="U26" s="105"/>
      <c r="V26" s="120"/>
      <c r="W26" s="120"/>
      <c r="X26" s="112"/>
      <c r="Y26" s="112"/>
      <c r="Z26" s="112"/>
      <c r="AA26" s="112"/>
      <c r="AB26" s="112"/>
      <c r="AC26" s="112"/>
      <c r="AD26" s="112"/>
      <c r="AE26" s="112"/>
      <c r="AF26" s="112"/>
      <c r="AG26" s="112"/>
      <c r="AH26" s="113"/>
      <c r="AI26" s="113"/>
      <c r="AJ26" s="432"/>
    </row>
    <row r="27" spans="1:36" ht="18.600000000000001" customHeight="1" x14ac:dyDescent="0.3">
      <c r="A27" s="83"/>
      <c r="B27" s="104"/>
      <c r="C27" s="408"/>
      <c r="D27" s="396"/>
      <c r="E27" s="210"/>
      <c r="F27" s="210"/>
      <c r="G27" s="210"/>
      <c r="H27" s="210"/>
      <c r="I27" s="210"/>
      <c r="J27" s="379"/>
      <c r="K27" s="210"/>
      <c r="L27" s="210"/>
      <c r="M27" s="210"/>
      <c r="N27" s="210"/>
      <c r="O27" s="210"/>
      <c r="P27" s="396"/>
      <c r="Q27" s="210"/>
      <c r="R27" s="390" t="str">
        <f t="shared" si="0"/>
        <v/>
      </c>
      <c r="S27" s="195" t="str" cm="1">
        <f t="array" aca="1" ref="S27" ca="1">+IF(R27="","",R27*INDIRECT(ADDRESS(MATCH(G27,'Cost Conversion'!$B$3:$B$48,0)+2,4,1,1,"Cost conversion"))*INDIRECT(ADDRESS(MATCH(H27,'Cost Conversion'!$F$3:$F$22,0)+2,8,1,1,"Cost conversion"))/IF(F27="$",'Cost Conversion'!$L$2,1))</f>
        <v/>
      </c>
      <c r="T27" s="106"/>
      <c r="U27" s="105"/>
      <c r="V27" s="120"/>
      <c r="W27" s="120"/>
      <c r="X27" s="112"/>
      <c r="Y27" s="112"/>
      <c r="Z27" s="112"/>
      <c r="AA27" s="112"/>
      <c r="AB27" s="112"/>
      <c r="AC27" s="112"/>
      <c r="AD27" s="112"/>
      <c r="AE27" s="112"/>
      <c r="AF27" s="112"/>
      <c r="AG27" s="112"/>
      <c r="AH27" s="113"/>
      <c r="AI27" s="113"/>
      <c r="AJ27" s="432"/>
    </row>
    <row r="28" spans="1:36" ht="18.600000000000001" customHeight="1" x14ac:dyDescent="0.3">
      <c r="A28" s="83"/>
      <c r="B28" s="104"/>
      <c r="C28" s="408"/>
      <c r="D28" s="396"/>
      <c r="E28" s="210"/>
      <c r="F28" s="210"/>
      <c r="G28" s="210"/>
      <c r="H28" s="210"/>
      <c r="I28" s="210"/>
      <c r="J28" s="379"/>
      <c r="K28" s="210"/>
      <c r="L28" s="210"/>
      <c r="M28" s="210"/>
      <c r="N28" s="210"/>
      <c r="O28" s="210"/>
      <c r="P28" s="396"/>
      <c r="Q28" s="210"/>
      <c r="R28" s="390" t="str">
        <f t="shared" si="0"/>
        <v/>
      </c>
      <c r="S28" s="195" t="str" cm="1">
        <f t="array" aca="1" ref="S28" ca="1">+IF(R28="","",R28*INDIRECT(ADDRESS(MATCH(G28,'Cost Conversion'!$B$3:$B$48,0)+2,4,1,1,"Cost conversion"))*INDIRECT(ADDRESS(MATCH(H28,'Cost Conversion'!$F$3:$F$22,0)+2,8,1,1,"Cost conversion"))/IF(F28="$",'Cost Conversion'!$L$2,1))</f>
        <v/>
      </c>
      <c r="T28" s="106"/>
      <c r="U28" s="105"/>
      <c r="V28" s="120"/>
      <c r="W28" s="120"/>
      <c r="X28" s="112"/>
      <c r="Y28" s="112"/>
      <c r="Z28" s="112"/>
      <c r="AA28" s="112"/>
      <c r="AB28" s="112"/>
      <c r="AC28" s="112"/>
      <c r="AD28" s="112"/>
      <c r="AE28" s="112"/>
      <c r="AF28" s="112"/>
      <c r="AG28" s="112"/>
      <c r="AH28" s="113"/>
      <c r="AI28" s="113"/>
      <c r="AJ28" s="432"/>
    </row>
    <row r="29" spans="1:36" ht="18.600000000000001" customHeight="1" x14ac:dyDescent="0.3">
      <c r="A29" s="83"/>
      <c r="B29" s="104"/>
      <c r="C29" s="438"/>
      <c r="D29" s="435"/>
      <c r="E29" s="476"/>
      <c r="F29" s="476"/>
      <c r="G29" s="476"/>
      <c r="H29" s="476"/>
      <c r="I29" s="476"/>
      <c r="J29" s="389"/>
      <c r="K29" s="380"/>
      <c r="L29" s="380"/>
      <c r="M29" s="380"/>
      <c r="N29" s="380"/>
      <c r="O29" s="380"/>
      <c r="P29" s="478"/>
      <c r="Q29" s="475"/>
      <c r="R29" s="390" t="str">
        <f t="shared" si="0"/>
        <v/>
      </c>
      <c r="S29" s="195" t="str" cm="1">
        <f t="array" aca="1" ref="S29" ca="1">+IF(R29="","",R29*INDIRECT(ADDRESS(MATCH(G29,'Cost Conversion'!$B$3:$B$48,0)+2,4,1,1,"Cost conversion"))*INDIRECT(ADDRESS(MATCH(H29,'Cost Conversion'!$F$3:$F$22,0)+2,8,1,1,"Cost conversion"))/IF(F29="$",'Cost Conversion'!$L$2,1))</f>
        <v/>
      </c>
      <c r="T29" s="106"/>
      <c r="U29" s="105"/>
      <c r="V29" s="120"/>
      <c r="W29" s="120"/>
      <c r="X29" s="112"/>
      <c r="Y29" s="112"/>
      <c r="Z29" s="112"/>
      <c r="AA29" s="112"/>
      <c r="AB29" s="112"/>
      <c r="AC29" s="112"/>
      <c r="AD29" s="112"/>
      <c r="AE29" s="112"/>
      <c r="AF29" s="112"/>
      <c r="AG29" s="112"/>
      <c r="AH29" s="113"/>
      <c r="AI29" s="113"/>
      <c r="AJ29" s="432"/>
    </row>
    <row r="30" spans="1:36" ht="18.600000000000001" customHeight="1" x14ac:dyDescent="0.3">
      <c r="A30" s="83"/>
      <c r="B30" s="104"/>
      <c r="C30" s="438"/>
      <c r="D30" s="435"/>
      <c r="E30" s="476"/>
      <c r="F30" s="476"/>
      <c r="G30" s="476"/>
      <c r="H30" s="476"/>
      <c r="I30" s="476"/>
      <c r="J30" s="389"/>
      <c r="K30" s="380"/>
      <c r="L30" s="380"/>
      <c r="M30" s="380"/>
      <c r="N30" s="380"/>
      <c r="O30" s="380"/>
      <c r="P30" s="478"/>
      <c r="Q30" s="475"/>
      <c r="R30" s="390" t="str">
        <f t="shared" si="0"/>
        <v/>
      </c>
      <c r="S30" s="195" t="str" cm="1">
        <f t="array" aca="1" ref="S30" ca="1">+IF(R30="","",R30*INDIRECT(ADDRESS(MATCH(G30,'Cost Conversion'!$B$3:$B$48,0)+2,4,1,1,"Cost conversion"))*INDIRECT(ADDRESS(MATCH(H30,'Cost Conversion'!$F$3:$F$22,0)+2,8,1,1,"Cost conversion"))/IF(F30="$",'Cost Conversion'!$L$2,1))</f>
        <v/>
      </c>
      <c r="T30" s="106"/>
      <c r="U30" s="105"/>
      <c r="V30" s="120"/>
      <c r="W30" s="120"/>
      <c r="X30" s="112"/>
      <c r="Y30" s="112"/>
      <c r="Z30" s="112"/>
      <c r="AA30" s="112"/>
      <c r="AB30" s="112"/>
      <c r="AC30" s="112"/>
      <c r="AD30" s="112"/>
      <c r="AE30" s="112"/>
      <c r="AF30" s="112"/>
      <c r="AG30" s="112"/>
      <c r="AH30" s="113"/>
      <c r="AI30" s="113"/>
      <c r="AJ30" s="432"/>
    </row>
    <row r="31" spans="1:36" ht="18.600000000000001" customHeight="1" x14ac:dyDescent="0.3">
      <c r="A31" s="83"/>
      <c r="B31" s="104"/>
      <c r="C31" s="438"/>
      <c r="D31" s="435"/>
      <c r="E31" s="476"/>
      <c r="F31" s="476"/>
      <c r="G31" s="476"/>
      <c r="H31" s="476"/>
      <c r="I31" s="476"/>
      <c r="J31" s="389"/>
      <c r="K31" s="380"/>
      <c r="L31" s="380"/>
      <c r="M31" s="380"/>
      <c r="N31" s="380"/>
      <c r="O31" s="380"/>
      <c r="P31" s="478"/>
      <c r="Q31" s="475"/>
      <c r="R31" s="390" t="str">
        <f t="shared" si="0"/>
        <v/>
      </c>
      <c r="S31" s="195" t="str" cm="1">
        <f t="array" aca="1" ref="S31" ca="1">+IF(R31="","",R31*INDIRECT(ADDRESS(MATCH(G31,'Cost Conversion'!$B$3:$B$48,0)+2,4,1,1,"Cost conversion"))*INDIRECT(ADDRESS(MATCH(H31,'Cost Conversion'!$F$3:$F$22,0)+2,8,1,1,"Cost conversion"))/IF(F31="$",'Cost Conversion'!$L$2,1))</f>
        <v/>
      </c>
      <c r="T31" s="106"/>
      <c r="U31" s="105"/>
      <c r="V31" s="120"/>
      <c r="W31" s="120"/>
      <c r="X31" s="112"/>
      <c r="Y31" s="112"/>
      <c r="Z31" s="112"/>
      <c r="AA31" s="112"/>
      <c r="AB31" s="112"/>
      <c r="AC31" s="112"/>
      <c r="AD31" s="112"/>
      <c r="AE31" s="112"/>
      <c r="AF31" s="112"/>
      <c r="AG31" s="112"/>
      <c r="AH31" s="113"/>
      <c r="AI31" s="113"/>
      <c r="AJ31" s="432"/>
    </row>
    <row r="32" spans="1:36" ht="18.600000000000001" customHeight="1" x14ac:dyDescent="0.3">
      <c r="A32" s="83"/>
      <c r="B32" s="104"/>
      <c r="C32" s="438"/>
      <c r="D32" s="435"/>
      <c r="E32" s="476"/>
      <c r="F32" s="476"/>
      <c r="G32" s="476"/>
      <c r="H32" s="476"/>
      <c r="I32" s="476"/>
      <c r="J32" s="389"/>
      <c r="K32" s="380"/>
      <c r="L32" s="380"/>
      <c r="M32" s="380"/>
      <c r="N32" s="380"/>
      <c r="O32" s="380"/>
      <c r="P32" s="478"/>
      <c r="Q32" s="475"/>
      <c r="R32" s="390" t="str">
        <f t="shared" si="0"/>
        <v/>
      </c>
      <c r="S32" s="195" t="str" cm="1">
        <f t="array" aca="1" ref="S32" ca="1">+IF(R32="","",R32*INDIRECT(ADDRESS(MATCH(G32,'Cost Conversion'!$B$3:$B$48,0)+2,4,1,1,"Cost conversion"))*INDIRECT(ADDRESS(MATCH(H32,'Cost Conversion'!$F$3:$F$22,0)+2,8,1,1,"Cost conversion"))/IF(F32="$",'Cost Conversion'!$L$2,1))</f>
        <v/>
      </c>
      <c r="T32" s="106"/>
      <c r="U32" s="105"/>
      <c r="V32" s="91"/>
      <c r="W32" s="120"/>
      <c r="X32" s="112"/>
      <c r="Y32" s="112"/>
      <c r="Z32" s="112"/>
      <c r="AA32" s="112"/>
      <c r="AB32" s="112"/>
      <c r="AC32" s="112"/>
      <c r="AD32" s="112"/>
      <c r="AE32" s="112"/>
      <c r="AF32" s="112"/>
      <c r="AG32" s="112"/>
      <c r="AH32" s="113"/>
      <c r="AI32" s="113"/>
      <c r="AJ32" s="433"/>
    </row>
    <row r="33" spans="1:36" ht="18.600000000000001" customHeight="1" x14ac:dyDescent="0.3">
      <c r="A33" s="83"/>
      <c r="B33" s="104"/>
      <c r="C33" s="438"/>
      <c r="D33" s="435"/>
      <c r="E33" s="476"/>
      <c r="F33" s="476"/>
      <c r="G33" s="476"/>
      <c r="H33" s="476"/>
      <c r="I33" s="476"/>
      <c r="J33" s="389"/>
      <c r="K33" s="380"/>
      <c r="L33" s="380"/>
      <c r="M33" s="399"/>
      <c r="N33" s="399"/>
      <c r="O33" s="399"/>
      <c r="P33" s="400"/>
      <c r="Q33" s="165"/>
      <c r="R33" s="390" t="str">
        <f t="shared" si="0"/>
        <v/>
      </c>
      <c r="S33" s="195" t="str" cm="1">
        <f t="array" aca="1" ref="S33" ca="1">+IF(R33="","",R33*INDIRECT(ADDRESS(MATCH(G33,'Cost Conversion'!$B$3:$B$48,0)+2,4,1,1,"Cost conversion"))*INDIRECT(ADDRESS(MATCH(H33,'Cost Conversion'!$F$3:$F$22,0)+2,8,1,1,"Cost conversion"))/IF(F33="$",'Cost Conversion'!$L$2,1))</f>
        <v/>
      </c>
      <c r="T33" s="106"/>
      <c r="U33" s="105"/>
      <c r="V33" s="120"/>
      <c r="W33" s="120"/>
      <c r="X33" s="112"/>
      <c r="Y33" s="112"/>
      <c r="Z33" s="112"/>
      <c r="AA33" s="112"/>
      <c r="AB33" s="112"/>
      <c r="AC33" s="112"/>
      <c r="AD33" s="112"/>
      <c r="AE33" s="112"/>
      <c r="AF33" s="112"/>
      <c r="AG33" s="112"/>
      <c r="AH33" s="113"/>
      <c r="AI33" s="113"/>
      <c r="AJ33" s="433"/>
    </row>
    <row r="34" spans="1:36" ht="18.600000000000001" customHeight="1" x14ac:dyDescent="0.3">
      <c r="A34" s="83"/>
      <c r="B34" s="104"/>
      <c r="C34" s="439"/>
      <c r="D34" s="398"/>
      <c r="E34" s="220"/>
      <c r="F34" s="220"/>
      <c r="G34" s="476"/>
      <c r="H34" s="476"/>
      <c r="I34" s="476"/>
      <c r="J34" s="389"/>
      <c r="K34" s="476"/>
      <c r="L34" s="92"/>
      <c r="M34" s="440"/>
      <c r="N34" s="440"/>
      <c r="O34" s="440"/>
      <c r="P34" s="940"/>
      <c r="Q34" s="941"/>
      <c r="R34" s="390" t="str">
        <f t="shared" si="0"/>
        <v/>
      </c>
      <c r="S34" s="195" t="str" cm="1">
        <f t="array" aca="1" ref="S34" ca="1">+IF(R34="","",R34*INDIRECT(ADDRESS(MATCH(G34,'Cost Conversion'!$B$3:$B$48,0)+2,4,1,1,"Cost conversion"))*INDIRECT(ADDRESS(MATCH(H34,'Cost Conversion'!$F$3:$F$22,0)+2,8,1,1,"Cost conversion"))/IF(F34="$",'Cost Conversion'!$L$2,1))</f>
        <v/>
      </c>
      <c r="T34" s="106"/>
      <c r="U34" s="105"/>
      <c r="V34" s="120"/>
      <c r="W34" s="104"/>
      <c r="X34" s="105"/>
      <c r="Y34" s="105"/>
      <c r="Z34" s="105"/>
      <c r="AA34" s="105"/>
      <c r="AB34" s="105"/>
      <c r="AC34" s="105"/>
      <c r="AD34" s="105"/>
      <c r="AE34" s="105"/>
      <c r="AF34" s="105"/>
      <c r="AG34" s="105"/>
      <c r="AH34" s="113"/>
      <c r="AI34" s="113"/>
      <c r="AJ34" s="433"/>
    </row>
    <row r="35" spans="1:36" ht="18.600000000000001" customHeight="1" x14ac:dyDescent="0.3">
      <c r="A35" s="83"/>
      <c r="B35" s="104"/>
      <c r="C35" s="402"/>
      <c r="D35" s="403"/>
      <c r="E35" s="403"/>
      <c r="F35" s="403"/>
      <c r="G35" s="403"/>
      <c r="H35" s="403"/>
      <c r="I35" s="403"/>
      <c r="J35" s="403"/>
      <c r="K35" s="403"/>
      <c r="L35" s="403"/>
      <c r="M35" s="403"/>
      <c r="N35" s="403"/>
      <c r="O35" s="403"/>
      <c r="P35" s="403"/>
      <c r="Q35" s="403"/>
      <c r="R35" s="404"/>
      <c r="S35" s="549" t="s">
        <v>639</v>
      </c>
      <c r="T35" s="106"/>
      <c r="U35" s="105"/>
      <c r="V35" s="120"/>
      <c r="W35" s="120"/>
      <c r="X35" s="112"/>
      <c r="Y35" s="112"/>
      <c r="Z35" s="112"/>
      <c r="AA35" s="112"/>
      <c r="AB35" s="112"/>
      <c r="AC35" s="112"/>
      <c r="AD35" s="112"/>
      <c r="AE35" s="112"/>
      <c r="AF35" s="112"/>
      <c r="AG35" s="112"/>
      <c r="AH35" s="113"/>
      <c r="AI35" s="113"/>
      <c r="AJ35" s="433"/>
    </row>
    <row r="36" spans="1:36" ht="18.600000000000001" customHeight="1" x14ac:dyDescent="0.3">
      <c r="A36" s="83"/>
      <c r="B36" s="104"/>
      <c r="C36" s="405"/>
      <c r="D36" s="406"/>
      <c r="E36" s="406"/>
      <c r="F36" s="406"/>
      <c r="G36" s="406"/>
      <c r="H36" s="406"/>
      <c r="I36" s="406"/>
      <c r="J36" s="406"/>
      <c r="K36" s="406"/>
      <c r="L36" s="406"/>
      <c r="M36" s="406"/>
      <c r="N36" s="406"/>
      <c r="O36" s="406"/>
      <c r="P36" s="406"/>
      <c r="Q36" s="406"/>
      <c r="R36" s="407"/>
      <c r="S36" s="285" t="str">
        <f ca="1">IF(SUM(S13:S34)&gt;0,SUM(S13:S34),"")</f>
        <v/>
      </c>
      <c r="T36" s="106"/>
      <c r="U36" s="105"/>
      <c r="V36" s="120"/>
      <c r="W36" s="121"/>
      <c r="X36" s="122"/>
      <c r="Y36" s="122"/>
      <c r="Z36" s="122"/>
      <c r="AA36" s="122"/>
      <c r="AB36" s="122"/>
      <c r="AC36" s="122"/>
      <c r="AD36" s="122"/>
      <c r="AE36" s="122"/>
      <c r="AF36" s="122"/>
      <c r="AG36" s="122"/>
      <c r="AH36" s="123"/>
      <c r="AI36" s="113"/>
      <c r="AJ36" s="433"/>
    </row>
    <row r="37" spans="1:36" ht="18.600000000000001" customHeight="1" x14ac:dyDescent="0.3">
      <c r="A37" s="83"/>
      <c r="B37" s="107"/>
      <c r="C37" s="108"/>
      <c r="D37" s="108"/>
      <c r="E37" s="108"/>
      <c r="F37" s="108"/>
      <c r="G37" s="108"/>
      <c r="H37" s="108"/>
      <c r="I37" s="108"/>
      <c r="J37" s="108"/>
      <c r="K37" s="108"/>
      <c r="L37" s="108"/>
      <c r="M37" s="108"/>
      <c r="N37" s="108"/>
      <c r="O37" s="108"/>
      <c r="P37" s="108"/>
      <c r="Q37" s="108"/>
      <c r="R37" s="108"/>
      <c r="S37" s="395"/>
      <c r="T37" s="109"/>
      <c r="U37" s="105"/>
      <c r="V37" s="121"/>
      <c r="W37" s="122"/>
      <c r="X37" s="122"/>
      <c r="Y37" s="122"/>
      <c r="Z37" s="122"/>
      <c r="AA37" s="122"/>
      <c r="AB37" s="122"/>
      <c r="AC37" s="122"/>
      <c r="AD37" s="122"/>
      <c r="AE37" s="122"/>
      <c r="AF37" s="122"/>
      <c r="AG37" s="122"/>
      <c r="AH37" s="122"/>
      <c r="AI37" s="123"/>
      <c r="AJ37" s="433"/>
    </row>
    <row r="38" spans="1:36" ht="18.600000000000001" customHeight="1" x14ac:dyDescent="0.3">
      <c r="A38" s="83"/>
      <c r="B38" s="83"/>
      <c r="C38" s="197"/>
      <c r="D38" s="197"/>
      <c r="E38" s="197"/>
      <c r="F38" s="197"/>
      <c r="G38" s="197"/>
      <c r="H38" s="197"/>
      <c r="I38" s="197"/>
      <c r="J38" s="197"/>
      <c r="K38" s="197"/>
      <c r="L38" s="197"/>
      <c r="M38" s="176"/>
      <c r="N38" s="197"/>
      <c r="O38" s="197"/>
      <c r="P38" s="197"/>
      <c r="Q38" s="197"/>
      <c r="S38" s="83"/>
      <c r="T38" s="83"/>
      <c r="U38" s="83"/>
      <c r="V38" s="105"/>
      <c r="W38" s="105"/>
      <c r="X38" s="105"/>
      <c r="Y38" s="105"/>
      <c r="Z38" s="105"/>
      <c r="AA38" s="105"/>
      <c r="AB38" s="105"/>
      <c r="AC38" s="105"/>
      <c r="AD38" s="105"/>
      <c r="AE38" s="105"/>
      <c r="AF38" s="105"/>
      <c r="AG38" s="105"/>
      <c r="AH38" s="105"/>
      <c r="AI38" s="105"/>
      <c r="AJ38" s="433"/>
    </row>
    <row r="39" spans="1:36" ht="18.600000000000001" customHeight="1" x14ac:dyDescent="0.3">
      <c r="A39" s="83"/>
      <c r="B39" s="879" t="str">
        <f>+"BEC Distribution: "&amp;E6</f>
        <v>BEC Distribution: Unit 3</v>
      </c>
      <c r="C39" s="880"/>
      <c r="D39" s="880"/>
      <c r="E39" s="880"/>
      <c r="F39" s="880"/>
      <c r="G39" s="879" t="str">
        <f>+"Estimate Benchmark: "&amp;E6</f>
        <v>Estimate Benchmark: Unit 3</v>
      </c>
      <c r="H39" s="880"/>
      <c r="I39" s="880"/>
      <c r="J39" s="881"/>
      <c r="K39" s="879" t="s">
        <v>634</v>
      </c>
      <c r="L39" s="880"/>
      <c r="M39" s="881"/>
      <c r="N39" s="176"/>
      <c r="O39" s="176"/>
      <c r="P39" s="176"/>
      <c r="Q39" s="197"/>
      <c r="R39" s="105"/>
      <c r="S39" s="105"/>
      <c r="T39" s="83"/>
      <c r="U39" s="83"/>
      <c r="V39" s="83"/>
      <c r="W39" s="83"/>
      <c r="X39" s="178"/>
      <c r="Y39" s="178"/>
      <c r="Z39" s="178"/>
      <c r="AA39" s="178"/>
      <c r="AB39" s="178"/>
      <c r="AC39" s="178"/>
      <c r="AD39" s="178"/>
      <c r="AE39" s="178"/>
      <c r="AF39" s="178"/>
      <c r="AG39" s="178"/>
      <c r="AH39" s="178"/>
      <c r="AI39" s="83"/>
      <c r="AJ39" s="432"/>
    </row>
    <row r="40" spans="1:36" ht="18.600000000000001" customHeight="1" x14ac:dyDescent="0.3">
      <c r="A40" s="83"/>
      <c r="B40" s="101"/>
      <c r="C40" s="346"/>
      <c r="D40" s="329"/>
      <c r="E40" s="329"/>
      <c r="F40" s="124"/>
      <c r="G40" s="349"/>
      <c r="H40" s="346"/>
      <c r="I40" s="346"/>
      <c r="J40" s="350"/>
      <c r="K40" s="762" t="s">
        <v>589</v>
      </c>
      <c r="L40" s="888" t="s">
        <v>633</v>
      </c>
      <c r="M40" s="888"/>
      <c r="N40" s="176"/>
      <c r="O40" s="176"/>
      <c r="P40" s="176"/>
      <c r="Q40" s="197"/>
      <c r="R40" s="198"/>
      <c r="S40" s="105"/>
      <c r="T40" s="83"/>
      <c r="U40" s="83"/>
      <c r="V40" s="83"/>
      <c r="W40" s="83"/>
      <c r="X40" s="178"/>
      <c r="Y40" s="178"/>
      <c r="Z40" s="178"/>
      <c r="AA40" s="178"/>
      <c r="AB40" s="178">
        <v>1995</v>
      </c>
      <c r="AC40" s="178">
        <v>381.1</v>
      </c>
      <c r="AD40" s="178">
        <v>1.5825242718446602</v>
      </c>
      <c r="AE40" s="178"/>
      <c r="AF40" s="178"/>
      <c r="AG40" s="178"/>
      <c r="AH40" s="178"/>
      <c r="AI40" s="83"/>
      <c r="AJ40" s="432"/>
    </row>
    <row r="41" spans="1:36" ht="18.600000000000001" customHeight="1" x14ac:dyDescent="0.3">
      <c r="A41" s="83"/>
      <c r="B41" s="104"/>
      <c r="C41" s="177"/>
      <c r="D41" s="92"/>
      <c r="E41" s="92"/>
      <c r="F41" s="84"/>
      <c r="G41" s="351"/>
      <c r="H41" s="177"/>
      <c r="I41" s="177"/>
      <c r="J41" s="177"/>
      <c r="K41" s="620" t="str">
        <f>+IF(C13="","",TEXT(C13,0))</f>
        <v/>
      </c>
      <c r="L41" s="934"/>
      <c r="M41" s="935"/>
      <c r="N41" s="176"/>
      <c r="O41" s="176"/>
      <c r="P41" s="176"/>
      <c r="Q41" s="197"/>
      <c r="R41" s="409"/>
      <c r="S41" s="105"/>
      <c r="T41" s="83"/>
      <c r="U41" s="83"/>
      <c r="V41" s="83"/>
      <c r="W41" s="83"/>
      <c r="X41" s="178"/>
      <c r="Y41" s="178"/>
      <c r="Z41" s="178"/>
      <c r="AA41" s="178"/>
      <c r="AB41" s="178">
        <v>1996</v>
      </c>
      <c r="AC41" s="178">
        <v>381.7</v>
      </c>
      <c r="AD41" s="178">
        <v>1.5800366780193871</v>
      </c>
      <c r="AE41" s="178"/>
      <c r="AF41" s="178"/>
      <c r="AG41" s="178"/>
      <c r="AH41" s="178"/>
      <c r="AI41" s="83"/>
      <c r="AJ41" s="432"/>
    </row>
    <row r="42" spans="1:36" ht="18.600000000000001" customHeight="1" x14ac:dyDescent="0.3">
      <c r="A42" s="83"/>
      <c r="B42" s="104"/>
      <c r="C42" s="177"/>
      <c r="D42" s="92"/>
      <c r="E42" s="92"/>
      <c r="F42" s="84"/>
      <c r="G42" s="351"/>
      <c r="H42" s="177"/>
      <c r="I42" s="177"/>
      <c r="J42" s="177"/>
      <c r="K42" s="621"/>
      <c r="L42" s="932"/>
      <c r="M42" s="933"/>
      <c r="N42" s="176"/>
      <c r="O42" s="176"/>
      <c r="P42" s="176"/>
      <c r="Q42" s="197"/>
      <c r="R42" s="198"/>
      <c r="S42" s="105"/>
      <c r="T42" s="83"/>
      <c r="U42" s="83"/>
      <c r="V42" s="83"/>
      <c r="W42" s="83"/>
      <c r="X42" s="178"/>
      <c r="Y42" s="178"/>
      <c r="Z42" s="178"/>
      <c r="AA42" s="178"/>
      <c r="AB42" s="178">
        <v>1997</v>
      </c>
      <c r="AC42" s="178">
        <v>386.5</v>
      </c>
      <c r="AD42" s="178">
        <v>1.5604139715394567</v>
      </c>
      <c r="AE42" s="178"/>
      <c r="AF42" s="178"/>
      <c r="AG42" s="178"/>
      <c r="AH42" s="178"/>
      <c r="AI42" s="83"/>
      <c r="AJ42" s="432"/>
    </row>
    <row r="43" spans="1:36" ht="18.600000000000001" customHeight="1" x14ac:dyDescent="0.3">
      <c r="A43" s="83"/>
      <c r="B43" s="104"/>
      <c r="C43" s="177"/>
      <c r="D43" s="92"/>
      <c r="E43" s="92"/>
      <c r="F43" s="84"/>
      <c r="G43" s="351"/>
      <c r="H43" s="177"/>
      <c r="I43" s="177"/>
      <c r="J43" s="177"/>
      <c r="K43" s="621"/>
      <c r="L43" s="932"/>
      <c r="M43" s="933"/>
      <c r="N43" s="176"/>
      <c r="O43" s="176"/>
      <c r="P43" s="176"/>
      <c r="Q43" s="197"/>
      <c r="R43" s="197"/>
      <c r="S43" s="83"/>
      <c r="T43" s="83"/>
      <c r="U43" s="83"/>
      <c r="V43" s="83"/>
      <c r="W43" s="83"/>
      <c r="X43" s="178"/>
      <c r="Y43" s="178"/>
      <c r="Z43" s="178"/>
      <c r="AA43" s="178"/>
      <c r="AB43" s="178"/>
      <c r="AC43" s="178"/>
      <c r="AD43" s="178"/>
      <c r="AE43" s="178"/>
      <c r="AF43" s="178"/>
      <c r="AG43" s="178"/>
      <c r="AH43" s="178"/>
      <c r="AI43" s="83"/>
      <c r="AJ43" s="432"/>
    </row>
    <row r="44" spans="1:36" ht="18.600000000000001" customHeight="1" x14ac:dyDescent="0.3">
      <c r="A44" s="83"/>
      <c r="B44" s="104"/>
      <c r="C44" s="177"/>
      <c r="D44" s="92"/>
      <c r="E44" s="92"/>
      <c r="F44" s="84"/>
      <c r="G44" s="351"/>
      <c r="H44" s="177"/>
      <c r="I44" s="177"/>
      <c r="J44" s="177"/>
      <c r="K44" s="621"/>
      <c r="L44" s="932"/>
      <c r="M44" s="933"/>
      <c r="N44" s="176"/>
      <c r="O44" s="176"/>
      <c r="P44" s="176"/>
      <c r="Q44" s="197"/>
      <c r="R44" s="197"/>
      <c r="S44" s="83"/>
      <c r="T44" s="83"/>
      <c r="U44" s="83"/>
      <c r="V44" s="83"/>
      <c r="W44" s="83"/>
      <c r="X44" s="178"/>
      <c r="Y44" s="178"/>
      <c r="Z44" s="178"/>
      <c r="AA44" s="178"/>
      <c r="AB44" s="178">
        <v>1998</v>
      </c>
      <c r="AC44" s="178">
        <v>389.5</v>
      </c>
      <c r="AD44" s="178">
        <v>1.548395378690629</v>
      </c>
      <c r="AE44" s="178"/>
      <c r="AF44" s="178"/>
      <c r="AG44" s="178"/>
      <c r="AH44" s="178"/>
      <c r="AI44" s="83"/>
      <c r="AJ44" s="83"/>
    </row>
    <row r="45" spans="1:36" ht="18.600000000000001" customHeight="1" x14ac:dyDescent="0.3">
      <c r="A45" s="83"/>
      <c r="B45" s="104"/>
      <c r="C45" s="177"/>
      <c r="D45" s="92"/>
      <c r="E45" s="92"/>
      <c r="F45" s="84"/>
      <c r="G45" s="351"/>
      <c r="H45" s="177"/>
      <c r="I45" s="177"/>
      <c r="J45" s="177"/>
      <c r="K45" s="621"/>
      <c r="L45" s="380"/>
      <c r="M45" s="347"/>
      <c r="N45" s="176"/>
      <c r="O45" s="176"/>
      <c r="P45" s="176"/>
      <c r="Q45" s="197"/>
      <c r="R45" s="197"/>
      <c r="S45" s="83"/>
      <c r="T45" s="83"/>
      <c r="U45" s="83"/>
      <c r="V45" s="83"/>
      <c r="W45" s="83"/>
      <c r="X45" s="178"/>
      <c r="Y45" s="178"/>
      <c r="Z45" s="178"/>
      <c r="AA45" s="178"/>
      <c r="AB45" s="178">
        <v>1999</v>
      </c>
      <c r="AC45" s="178">
        <v>390.6</v>
      </c>
      <c r="AD45" s="178">
        <v>1.5440348182283665</v>
      </c>
      <c r="AE45" s="178"/>
      <c r="AF45" s="178"/>
      <c r="AG45" s="178"/>
      <c r="AH45" s="178"/>
      <c r="AI45" s="83"/>
      <c r="AJ45" s="83"/>
    </row>
    <row r="46" spans="1:36" ht="18.600000000000001" customHeight="1" x14ac:dyDescent="0.3">
      <c r="A46" s="83"/>
      <c r="B46" s="104"/>
      <c r="C46" s="177"/>
      <c r="D46" s="92"/>
      <c r="E46" s="92"/>
      <c r="F46" s="84"/>
      <c r="G46" s="351"/>
      <c r="H46" s="177"/>
      <c r="I46" s="177"/>
      <c r="J46" s="177"/>
      <c r="K46" s="621"/>
      <c r="L46" s="380"/>
      <c r="M46" s="347"/>
      <c r="N46" s="176"/>
      <c r="O46" s="176"/>
      <c r="P46" s="176"/>
      <c r="Q46" s="197"/>
      <c r="R46" s="197"/>
      <c r="S46" s="83"/>
      <c r="T46" s="83"/>
      <c r="U46" s="83"/>
      <c r="V46" s="83"/>
      <c r="W46" s="83"/>
      <c r="X46" s="178"/>
      <c r="Y46" s="178"/>
      <c r="Z46" s="178"/>
      <c r="AA46" s="178"/>
      <c r="AB46" s="178">
        <v>2000</v>
      </c>
      <c r="AC46" s="178">
        <v>394.1</v>
      </c>
      <c r="AD46" s="178">
        <v>1.5303222532352194</v>
      </c>
      <c r="AE46" s="178"/>
      <c r="AF46" s="178"/>
      <c r="AG46" s="178"/>
      <c r="AH46" s="178"/>
      <c r="AI46" s="83"/>
      <c r="AJ46" s="83"/>
    </row>
    <row r="47" spans="1:36" ht="18.600000000000001" customHeight="1" x14ac:dyDescent="0.3">
      <c r="A47" s="83"/>
      <c r="B47" s="104"/>
      <c r="C47" s="177"/>
      <c r="D47" s="92"/>
      <c r="E47" s="92"/>
      <c r="F47" s="84"/>
      <c r="G47" s="351"/>
      <c r="H47" s="177"/>
      <c r="I47" s="177"/>
      <c r="J47" s="177"/>
      <c r="K47" s="621" t="str">
        <f>+IF(C19="","",TEXT(C19,0))</f>
        <v/>
      </c>
      <c r="L47" s="380"/>
      <c r="M47" s="347"/>
      <c r="N47" s="176"/>
      <c r="O47" s="176"/>
      <c r="P47" s="176"/>
      <c r="Q47" s="197"/>
      <c r="R47" s="197"/>
      <c r="S47" s="83"/>
      <c r="T47" s="83"/>
      <c r="U47" s="83"/>
      <c r="V47" s="83"/>
      <c r="W47" s="83"/>
      <c r="X47" s="178"/>
      <c r="Y47" s="178"/>
      <c r="Z47" s="178"/>
      <c r="AA47" s="178"/>
      <c r="AB47" s="178">
        <v>2001</v>
      </c>
      <c r="AC47" s="178">
        <v>394.3</v>
      </c>
      <c r="AD47" s="178">
        <v>1.5295460309409079</v>
      </c>
      <c r="AE47" s="178"/>
      <c r="AF47" s="178"/>
      <c r="AG47" s="178"/>
      <c r="AH47" s="178"/>
      <c r="AI47" s="83"/>
      <c r="AJ47" s="83"/>
    </row>
    <row r="48" spans="1:36" ht="18.600000000000001" customHeight="1" x14ac:dyDescent="0.3">
      <c r="A48" s="83"/>
      <c r="B48" s="104"/>
      <c r="C48" s="177"/>
      <c r="D48" s="92"/>
      <c r="E48" s="92"/>
      <c r="F48" s="84"/>
      <c r="G48" s="351"/>
      <c r="H48" s="177"/>
      <c r="I48" s="177"/>
      <c r="J48" s="177"/>
      <c r="K48" s="621"/>
      <c r="L48" s="380"/>
      <c r="M48" s="347"/>
      <c r="N48" s="176"/>
      <c r="O48" s="176"/>
      <c r="P48" s="176"/>
      <c r="Q48" s="197"/>
      <c r="R48" s="197"/>
      <c r="S48" s="83"/>
      <c r="T48" s="83"/>
      <c r="U48" s="83"/>
      <c r="V48" s="83"/>
      <c r="W48" s="83"/>
      <c r="X48" s="178"/>
      <c r="Y48" s="178"/>
      <c r="Z48" s="178"/>
      <c r="AA48" s="178"/>
      <c r="AB48" s="178">
        <v>2002</v>
      </c>
      <c r="AC48" s="178">
        <v>395.6</v>
      </c>
      <c r="AD48" s="178">
        <v>1.5245197168857432</v>
      </c>
      <c r="AE48" s="178"/>
      <c r="AF48" s="178"/>
      <c r="AG48" s="178"/>
      <c r="AH48" s="178"/>
      <c r="AI48" s="83"/>
      <c r="AJ48" s="83"/>
    </row>
    <row r="49" spans="1:36" ht="18.600000000000001" customHeight="1" x14ac:dyDescent="0.3">
      <c r="A49" s="83"/>
      <c r="B49" s="104"/>
      <c r="C49" s="177"/>
      <c r="D49" s="92"/>
      <c r="E49" s="92"/>
      <c r="F49" s="84"/>
      <c r="G49" s="351"/>
      <c r="H49" s="177"/>
      <c r="I49" s="177"/>
      <c r="J49" s="177"/>
      <c r="K49" s="621"/>
      <c r="L49" s="380"/>
      <c r="M49" s="347"/>
      <c r="N49" s="176"/>
      <c r="O49" s="176"/>
      <c r="P49" s="176"/>
      <c r="Q49" s="197"/>
      <c r="R49" s="197"/>
      <c r="S49" s="83"/>
      <c r="T49" s="83"/>
      <c r="U49" s="83"/>
      <c r="V49" s="83"/>
      <c r="W49" s="83"/>
      <c r="X49" s="178"/>
      <c r="Y49" s="178"/>
      <c r="Z49" s="178"/>
      <c r="AA49" s="178"/>
      <c r="AB49" s="178">
        <v>2003</v>
      </c>
      <c r="AC49" s="178">
        <v>402</v>
      </c>
      <c r="AD49" s="178">
        <v>1.5002487562189055</v>
      </c>
      <c r="AE49" s="178"/>
      <c r="AF49" s="178"/>
      <c r="AG49" s="178"/>
      <c r="AH49" s="178"/>
      <c r="AI49" s="83"/>
      <c r="AJ49" s="83"/>
    </row>
    <row r="50" spans="1:36" ht="18.600000000000001" customHeight="1" x14ac:dyDescent="0.3">
      <c r="A50" s="83"/>
      <c r="B50" s="104"/>
      <c r="C50" s="177"/>
      <c r="D50" s="92"/>
      <c r="E50" s="92"/>
      <c r="F50" s="84"/>
      <c r="G50" s="351"/>
      <c r="H50" s="177"/>
      <c r="I50" s="177"/>
      <c r="J50" s="177"/>
      <c r="K50" s="621"/>
      <c r="L50" s="380"/>
      <c r="M50" s="347"/>
      <c r="N50" s="176"/>
      <c r="O50" s="176"/>
      <c r="P50" s="176"/>
      <c r="Q50" s="197"/>
      <c r="R50" s="197"/>
      <c r="S50" s="83"/>
      <c r="T50" s="83"/>
      <c r="U50" s="83"/>
      <c r="V50" s="83"/>
      <c r="W50" s="83"/>
      <c r="X50" s="178"/>
      <c r="Y50" s="178"/>
      <c r="Z50" s="178"/>
      <c r="AA50" s="178"/>
      <c r="AB50" s="178">
        <v>2004</v>
      </c>
      <c r="AC50" s="178">
        <v>444.2</v>
      </c>
      <c r="AD50" s="178">
        <v>1.3577217469608285</v>
      </c>
      <c r="AE50" s="178"/>
      <c r="AF50" s="178"/>
      <c r="AG50" s="178"/>
      <c r="AH50" s="178"/>
      <c r="AI50" s="83"/>
      <c r="AJ50" s="83"/>
    </row>
    <row r="51" spans="1:36" ht="18.600000000000001" customHeight="1" x14ac:dyDescent="0.3">
      <c r="A51" s="83"/>
      <c r="B51" s="104"/>
      <c r="C51" s="177"/>
      <c r="D51" s="92"/>
      <c r="E51" s="92"/>
      <c r="F51" s="84"/>
      <c r="G51" s="351"/>
      <c r="H51" s="177"/>
      <c r="I51" s="177"/>
      <c r="J51" s="177"/>
      <c r="K51" s="621"/>
      <c r="L51" s="380"/>
      <c r="M51" s="347"/>
      <c r="N51" s="176"/>
      <c r="O51" s="176"/>
      <c r="P51" s="176"/>
      <c r="Q51" s="197"/>
      <c r="R51" s="197"/>
      <c r="S51" s="83"/>
      <c r="T51" s="83"/>
      <c r="U51" s="83"/>
      <c r="V51" s="83"/>
      <c r="W51" s="83"/>
      <c r="X51" s="178"/>
      <c r="Y51" s="178"/>
      <c r="Z51" s="178"/>
      <c r="AA51" s="178"/>
      <c r="AB51" s="178">
        <v>2005</v>
      </c>
      <c r="AC51" s="178">
        <v>468.2</v>
      </c>
      <c r="AD51" s="178">
        <v>1.2881247330200769</v>
      </c>
      <c r="AE51" s="178"/>
      <c r="AF51" s="178"/>
      <c r="AG51" s="178"/>
      <c r="AH51" s="178"/>
      <c r="AI51" s="83"/>
      <c r="AJ51" s="83"/>
    </row>
    <row r="52" spans="1:36" ht="18.600000000000001" customHeight="1" x14ac:dyDescent="0.3">
      <c r="A52" s="83"/>
      <c r="B52" s="104"/>
      <c r="C52" s="177"/>
      <c r="D52" s="92"/>
      <c r="E52" s="92"/>
      <c r="F52" s="84"/>
      <c r="G52" s="351"/>
      <c r="H52" s="177"/>
      <c r="I52" s="177"/>
      <c r="J52" s="177"/>
      <c r="K52" s="621"/>
      <c r="L52" s="380"/>
      <c r="M52" s="347"/>
      <c r="N52" s="176"/>
      <c r="O52" s="176"/>
      <c r="P52" s="176"/>
      <c r="Q52" s="197"/>
      <c r="R52" s="197"/>
      <c r="S52" s="83"/>
      <c r="T52" s="83"/>
      <c r="U52" s="83"/>
      <c r="V52" s="83"/>
      <c r="W52" s="83"/>
      <c r="X52" s="178"/>
      <c r="Y52" s="178"/>
      <c r="Z52" s="178"/>
      <c r="AA52" s="178"/>
      <c r="AB52" s="178"/>
      <c r="AC52" s="178"/>
      <c r="AD52" s="178"/>
      <c r="AE52" s="178"/>
      <c r="AF52" s="178"/>
      <c r="AG52" s="178"/>
      <c r="AH52" s="178"/>
      <c r="AI52" s="83"/>
      <c r="AJ52" s="83"/>
    </row>
    <row r="53" spans="1:36" ht="18.600000000000001" customHeight="1" x14ac:dyDescent="0.3">
      <c r="A53" s="83"/>
      <c r="B53" s="104"/>
      <c r="C53" s="177"/>
      <c r="D53" s="92"/>
      <c r="E53" s="92"/>
      <c r="F53" s="84"/>
      <c r="G53" s="351"/>
      <c r="H53" s="177"/>
      <c r="I53" s="177"/>
      <c r="J53" s="177"/>
      <c r="K53" s="622"/>
      <c r="L53" s="380"/>
      <c r="M53" s="347"/>
      <c r="N53" s="176"/>
      <c r="O53" s="176"/>
      <c r="P53" s="176"/>
      <c r="Q53" s="197"/>
      <c r="R53" s="197"/>
      <c r="S53" s="83"/>
      <c r="T53" s="83"/>
      <c r="U53" s="83"/>
      <c r="V53" s="83"/>
      <c r="W53" s="83"/>
      <c r="X53" s="178"/>
      <c r="Y53" s="178"/>
      <c r="Z53" s="178"/>
      <c r="AA53" s="178"/>
      <c r="AB53" s="178">
        <v>2006</v>
      </c>
      <c r="AC53" s="178">
        <v>499.6</v>
      </c>
      <c r="AD53" s="178">
        <v>1.2071657325860687</v>
      </c>
      <c r="AE53" s="178"/>
      <c r="AF53" s="178"/>
      <c r="AG53" s="178"/>
      <c r="AH53" s="178"/>
      <c r="AI53" s="83"/>
      <c r="AJ53" s="83"/>
    </row>
    <row r="54" spans="1:36" ht="18.600000000000001" customHeight="1" x14ac:dyDescent="0.3">
      <c r="A54" s="83"/>
      <c r="B54" s="104"/>
      <c r="C54" s="177"/>
      <c r="D54" s="92"/>
      <c r="E54" s="92"/>
      <c r="F54" s="84"/>
      <c r="G54" s="351"/>
      <c r="H54" s="177"/>
      <c r="I54" s="177"/>
      <c r="J54" s="177"/>
      <c r="K54" s="622"/>
      <c r="L54" s="380"/>
      <c r="M54" s="347"/>
      <c r="N54" s="176"/>
      <c r="O54" s="176"/>
      <c r="P54" s="176"/>
      <c r="Q54" s="197"/>
      <c r="R54" s="197"/>
      <c r="S54" s="83"/>
      <c r="T54" s="83"/>
      <c r="U54" s="83"/>
      <c r="V54" s="83"/>
      <c r="W54" s="83"/>
      <c r="X54" s="178"/>
      <c r="Y54" s="178"/>
      <c r="Z54" s="178"/>
      <c r="AA54" s="178"/>
      <c r="AB54" s="178">
        <v>2007</v>
      </c>
      <c r="AC54" s="178">
        <v>525.4</v>
      </c>
      <c r="AD54" s="178">
        <v>1.147887323943662</v>
      </c>
      <c r="AE54" s="178"/>
      <c r="AF54" s="178"/>
      <c r="AG54" s="178"/>
      <c r="AH54" s="178"/>
      <c r="AI54" s="83"/>
      <c r="AJ54" s="83"/>
    </row>
    <row r="55" spans="1:36" ht="18.600000000000001" customHeight="1" x14ac:dyDescent="0.3">
      <c r="A55" s="83"/>
      <c r="B55" s="104"/>
      <c r="C55" s="177"/>
      <c r="D55" s="92"/>
      <c r="E55" s="92"/>
      <c r="F55" s="84"/>
      <c r="G55" s="351"/>
      <c r="H55" s="177"/>
      <c r="I55" s="177"/>
      <c r="J55" s="177"/>
      <c r="K55" s="622"/>
      <c r="L55" s="380"/>
      <c r="M55" s="347"/>
      <c r="N55" s="176"/>
      <c r="O55" s="176"/>
      <c r="P55" s="176"/>
      <c r="Q55" s="197"/>
      <c r="R55" s="197"/>
      <c r="S55" s="83"/>
      <c r="T55" s="83"/>
      <c r="U55" s="83"/>
      <c r="V55" s="83"/>
      <c r="W55" s="83"/>
      <c r="X55" s="178"/>
      <c r="Y55" s="178"/>
      <c r="Z55" s="178"/>
      <c r="AA55" s="178"/>
      <c r="AB55" s="178">
        <v>2008</v>
      </c>
      <c r="AC55" s="178">
        <v>575.4</v>
      </c>
      <c r="AD55" s="178">
        <v>1.0481404240528329</v>
      </c>
      <c r="AE55" s="178"/>
      <c r="AF55" s="178"/>
      <c r="AG55" s="178"/>
      <c r="AH55" s="178"/>
      <c r="AI55" s="83"/>
      <c r="AJ55" s="83"/>
    </row>
    <row r="56" spans="1:36" ht="18.600000000000001" customHeight="1" x14ac:dyDescent="0.3">
      <c r="A56" s="83"/>
      <c r="B56" s="104"/>
      <c r="C56" s="177"/>
      <c r="D56" s="92"/>
      <c r="E56" s="92"/>
      <c r="F56" s="84"/>
      <c r="G56" s="351"/>
      <c r="H56" s="177"/>
      <c r="I56" s="177"/>
      <c r="J56" s="177"/>
      <c r="K56" s="622"/>
      <c r="L56" s="380"/>
      <c r="M56" s="347"/>
      <c r="N56" s="176"/>
      <c r="O56" s="176"/>
      <c r="P56" s="176"/>
      <c r="Q56" s="197"/>
      <c r="R56" s="197"/>
      <c r="S56" s="83"/>
      <c r="T56" s="83"/>
      <c r="U56" s="83"/>
      <c r="V56" s="83"/>
      <c r="W56" s="83"/>
      <c r="X56" s="178"/>
      <c r="Y56" s="178"/>
      <c r="Z56" s="178"/>
      <c r="AA56" s="178"/>
      <c r="AB56" s="178">
        <v>2009</v>
      </c>
      <c r="AC56" s="178">
        <v>521.9</v>
      </c>
      <c r="AD56" s="178">
        <v>1.1555853611803029</v>
      </c>
      <c r="AE56" s="178"/>
      <c r="AF56" s="178"/>
      <c r="AG56" s="178"/>
      <c r="AH56" s="178"/>
      <c r="AI56" s="83"/>
      <c r="AJ56" s="83"/>
    </row>
    <row r="57" spans="1:36" ht="18.600000000000001" customHeight="1" x14ac:dyDescent="0.3">
      <c r="A57" s="83"/>
      <c r="B57" s="104"/>
      <c r="C57" s="177"/>
      <c r="D57" s="177"/>
      <c r="E57" s="177"/>
      <c r="F57" s="347"/>
      <c r="G57" s="351"/>
      <c r="H57" s="177"/>
      <c r="I57" s="177"/>
      <c r="J57" s="177"/>
      <c r="K57" s="622"/>
      <c r="L57" s="380"/>
      <c r="M57" s="347"/>
      <c r="N57" s="176"/>
      <c r="O57" s="176"/>
      <c r="P57" s="176"/>
      <c r="Q57" s="197"/>
      <c r="R57" s="197"/>
      <c r="S57" s="83"/>
      <c r="T57" s="83"/>
      <c r="U57" s="83"/>
      <c r="V57" s="83"/>
      <c r="W57" s="83"/>
      <c r="X57" s="178"/>
      <c r="Y57" s="178"/>
      <c r="Z57" s="178"/>
      <c r="AA57" s="178"/>
      <c r="AB57" s="178">
        <v>2010</v>
      </c>
      <c r="AC57" s="178">
        <v>550.79999999999995</v>
      </c>
      <c r="AD57" s="178">
        <v>1.0949527959331882</v>
      </c>
      <c r="AE57" s="178"/>
      <c r="AF57" s="178"/>
      <c r="AG57" s="178"/>
      <c r="AH57" s="178"/>
      <c r="AI57" s="83"/>
      <c r="AJ57" s="83"/>
    </row>
    <row r="58" spans="1:36" ht="18.600000000000001" customHeight="1" x14ac:dyDescent="0.3">
      <c r="A58" s="83"/>
      <c r="B58" s="104"/>
      <c r="C58" s="177"/>
      <c r="D58" s="177"/>
      <c r="E58" s="177"/>
      <c r="F58" s="347"/>
      <c r="G58" s="351"/>
      <c r="H58" s="177"/>
      <c r="I58" s="177"/>
      <c r="J58" s="177"/>
      <c r="K58" s="622"/>
      <c r="L58" s="380"/>
      <c r="M58" s="347"/>
      <c r="N58" s="176"/>
      <c r="O58" s="176"/>
      <c r="P58" s="176"/>
      <c r="Q58" s="197"/>
      <c r="R58" s="197"/>
      <c r="S58" s="83"/>
      <c r="T58" s="83"/>
      <c r="U58" s="83"/>
      <c r="V58" s="83"/>
      <c r="W58" s="83"/>
      <c r="X58" s="178"/>
      <c r="Y58" s="178"/>
      <c r="Z58" s="178"/>
      <c r="AA58" s="178"/>
      <c r="AB58" s="178">
        <v>2011</v>
      </c>
      <c r="AC58" s="178">
        <v>585.70000000000005</v>
      </c>
      <c r="AD58" s="178">
        <v>1.0297080416595525</v>
      </c>
      <c r="AE58" s="178"/>
      <c r="AF58" s="178"/>
      <c r="AG58" s="178"/>
      <c r="AH58" s="178"/>
      <c r="AI58" s="83"/>
      <c r="AJ58" s="83"/>
    </row>
    <row r="59" spans="1:36" ht="18.600000000000001" customHeight="1" x14ac:dyDescent="0.3">
      <c r="A59" s="83"/>
      <c r="B59" s="104"/>
      <c r="C59" s="177"/>
      <c r="D59" s="177"/>
      <c r="E59" s="177"/>
      <c r="F59" s="347"/>
      <c r="G59" s="351"/>
      <c r="H59" s="177"/>
      <c r="I59" s="177"/>
      <c r="J59" s="177"/>
      <c r="K59" s="622"/>
      <c r="L59" s="380"/>
      <c r="M59" s="347"/>
      <c r="N59" s="176"/>
      <c r="O59" s="176"/>
      <c r="P59" s="176"/>
      <c r="Q59" s="197"/>
      <c r="R59" s="197"/>
      <c r="S59" s="83"/>
      <c r="T59" s="83"/>
      <c r="U59" s="83"/>
      <c r="V59" s="83"/>
      <c r="W59" s="83"/>
      <c r="X59" s="178"/>
      <c r="Y59" s="178"/>
      <c r="Z59" s="178"/>
      <c r="AA59" s="178"/>
      <c r="AB59" s="178">
        <v>2012</v>
      </c>
      <c r="AC59" s="178">
        <v>584.6</v>
      </c>
      <c r="AD59" s="178">
        <v>1.0316455696202531</v>
      </c>
      <c r="AE59" s="178"/>
      <c r="AF59" s="178"/>
      <c r="AG59" s="178"/>
      <c r="AH59" s="178"/>
      <c r="AI59" s="83"/>
      <c r="AJ59" s="83"/>
    </row>
    <row r="60" spans="1:36" ht="18.600000000000001" customHeight="1" x14ac:dyDescent="0.3">
      <c r="A60" s="83"/>
      <c r="B60" s="104"/>
      <c r="C60" s="177"/>
      <c r="D60" s="177"/>
      <c r="E60" s="177"/>
      <c r="F60" s="347"/>
      <c r="G60" s="351"/>
      <c r="H60" s="177"/>
      <c r="I60" s="177"/>
      <c r="J60" s="177"/>
      <c r="K60" s="622"/>
      <c r="L60" s="380"/>
      <c r="M60" s="347"/>
      <c r="N60" s="176"/>
      <c r="O60" s="176"/>
      <c r="P60" s="176"/>
      <c r="Q60" s="197"/>
      <c r="R60" s="197"/>
      <c r="S60" s="83"/>
      <c r="T60" s="83"/>
      <c r="U60" s="83"/>
      <c r="V60" s="83"/>
      <c r="W60" s="83"/>
      <c r="X60" s="178"/>
      <c r="Y60" s="178"/>
      <c r="Z60" s="178"/>
      <c r="AA60" s="178"/>
      <c r="AB60" s="178">
        <v>2013</v>
      </c>
      <c r="AC60" s="178">
        <v>567.29999999999995</v>
      </c>
      <c r="AD60" s="178">
        <v>1.0631059404195313</v>
      </c>
      <c r="AE60" s="178"/>
      <c r="AF60" s="178"/>
      <c r="AG60" s="178"/>
      <c r="AH60" s="178"/>
      <c r="AI60" s="83"/>
      <c r="AJ60" s="83"/>
    </row>
    <row r="61" spans="1:36" ht="18.600000000000001" customHeight="1" x14ac:dyDescent="0.3">
      <c r="A61" s="83"/>
      <c r="B61" s="104"/>
      <c r="C61" s="177"/>
      <c r="D61" s="177"/>
      <c r="E61" s="177"/>
      <c r="F61" s="347"/>
      <c r="G61" s="351"/>
      <c r="H61" s="177"/>
      <c r="I61" s="177"/>
      <c r="J61" s="177"/>
      <c r="K61" s="622"/>
      <c r="L61" s="380"/>
      <c r="M61" s="347"/>
      <c r="N61" s="176"/>
      <c r="O61" s="176"/>
      <c r="P61" s="176"/>
      <c r="Q61" s="197"/>
      <c r="R61" s="197"/>
      <c r="S61" s="83"/>
      <c r="T61" s="83"/>
      <c r="U61" s="83"/>
      <c r="V61" s="83"/>
      <c r="W61" s="83"/>
      <c r="X61" s="178"/>
      <c r="Y61" s="178"/>
      <c r="Z61" s="178"/>
      <c r="AA61" s="178"/>
      <c r="AB61" s="178">
        <v>2014</v>
      </c>
      <c r="AC61" s="178">
        <v>576.1</v>
      </c>
      <c r="AD61" s="178">
        <v>1.0468668633917722</v>
      </c>
      <c r="AE61" s="178"/>
      <c r="AF61" s="178"/>
      <c r="AG61" s="178"/>
      <c r="AH61" s="178"/>
      <c r="AI61" s="83"/>
      <c r="AJ61" s="83"/>
    </row>
    <row r="62" spans="1:36" ht="18.600000000000001" customHeight="1" x14ac:dyDescent="0.3">
      <c r="A62" s="83"/>
      <c r="B62" s="104"/>
      <c r="C62" s="177"/>
      <c r="D62" s="177"/>
      <c r="E62" s="177"/>
      <c r="F62" s="347"/>
      <c r="G62" s="351"/>
      <c r="H62" s="177"/>
      <c r="I62" s="177"/>
      <c r="J62" s="177"/>
      <c r="K62" s="622"/>
      <c r="L62" s="380"/>
      <c r="M62" s="347"/>
      <c r="N62" s="176"/>
      <c r="O62" s="176"/>
      <c r="P62" s="176"/>
      <c r="Q62" s="197"/>
      <c r="R62" s="197"/>
      <c r="S62" s="83"/>
      <c r="T62" s="83"/>
      <c r="U62" s="83"/>
      <c r="V62" s="83"/>
      <c r="W62" s="83"/>
      <c r="X62" s="178"/>
      <c r="Y62" s="178"/>
      <c r="Z62" s="178"/>
      <c r="AA62" s="178"/>
      <c r="AB62" s="178">
        <v>2015</v>
      </c>
      <c r="AC62" s="178">
        <v>556.79999999999995</v>
      </c>
      <c r="AD62" s="178">
        <v>1.0831537356321841</v>
      </c>
      <c r="AE62" s="178"/>
      <c r="AF62" s="178"/>
      <c r="AG62" s="178"/>
      <c r="AH62" s="178"/>
      <c r="AI62" s="83"/>
      <c r="AJ62" s="83"/>
    </row>
    <row r="63" spans="1:36" ht="18.600000000000001" customHeight="1" x14ac:dyDescent="0.3">
      <c r="A63" s="83"/>
      <c r="B63" s="104"/>
      <c r="C63" s="177"/>
      <c r="D63" s="177"/>
      <c r="E63" s="177"/>
      <c r="F63" s="347"/>
      <c r="G63" s="351"/>
      <c r="H63" s="177"/>
      <c r="I63" s="177"/>
      <c r="J63" s="177"/>
      <c r="K63" s="622"/>
      <c r="L63" s="380"/>
      <c r="M63" s="347"/>
      <c r="N63" s="176"/>
      <c r="O63" s="176"/>
      <c r="P63" s="176"/>
      <c r="Q63" s="197"/>
      <c r="R63" s="197"/>
      <c r="S63" s="83"/>
      <c r="T63" s="83"/>
      <c r="U63" s="83"/>
      <c r="V63" s="83"/>
      <c r="W63" s="83"/>
      <c r="X63" s="178"/>
      <c r="Y63" s="178"/>
      <c r="Z63" s="178"/>
      <c r="AA63" s="178"/>
      <c r="AB63" s="178"/>
      <c r="AC63" s="178"/>
      <c r="AD63" s="178"/>
      <c r="AE63" s="178"/>
      <c r="AF63" s="178"/>
      <c r="AG63" s="178"/>
      <c r="AH63" s="178"/>
      <c r="AI63" s="83"/>
      <c r="AJ63" s="83"/>
    </row>
    <row r="64" spans="1:36" ht="18.600000000000001" customHeight="1" x14ac:dyDescent="0.3">
      <c r="A64" s="83"/>
      <c r="B64" s="913" t="s">
        <v>765</v>
      </c>
      <c r="C64" s="914"/>
      <c r="D64" s="914"/>
      <c r="E64" s="914"/>
      <c r="F64" s="915"/>
      <c r="G64" s="88" t="s">
        <v>699</v>
      </c>
      <c r="H64" s="88" t="s">
        <v>360</v>
      </c>
      <c r="I64" s="936" t="s">
        <v>580</v>
      </c>
      <c r="J64" s="936"/>
      <c r="K64" s="622"/>
      <c r="L64" s="380"/>
      <c r="M64" s="347"/>
      <c r="N64" s="176"/>
      <c r="O64" s="176"/>
      <c r="P64" s="176"/>
      <c r="Q64" s="197"/>
      <c r="R64" s="197"/>
      <c r="S64" s="83"/>
      <c r="T64" s="83"/>
      <c r="U64" s="83"/>
      <c r="V64" s="83"/>
      <c r="W64" s="83"/>
      <c r="X64" s="178"/>
      <c r="Y64" s="178"/>
      <c r="Z64" s="178"/>
      <c r="AA64" s="178"/>
      <c r="AB64" s="178"/>
      <c r="AC64" s="178"/>
      <c r="AD64" s="178"/>
      <c r="AE64" s="178"/>
      <c r="AF64" s="178"/>
      <c r="AG64" s="178"/>
      <c r="AH64" s="178"/>
      <c r="AI64" s="83"/>
      <c r="AJ64" s="83"/>
    </row>
    <row r="65" spans="1:36" ht="18.600000000000001" customHeight="1" x14ac:dyDescent="0.3">
      <c r="A65" s="83"/>
      <c r="B65" s="916"/>
      <c r="C65" s="917"/>
      <c r="D65" s="917"/>
      <c r="E65" s="917"/>
      <c r="F65" s="918"/>
      <c r="G65" s="651"/>
      <c r="H65" s="651"/>
      <c r="I65" s="938"/>
      <c r="J65" s="939"/>
      <c r="K65" s="623"/>
      <c r="L65" s="624"/>
      <c r="M65" s="348"/>
      <c r="N65" s="176"/>
      <c r="O65" s="176"/>
      <c r="P65" s="176"/>
      <c r="Q65" s="197"/>
      <c r="R65" s="197"/>
      <c r="S65" s="83"/>
      <c r="T65" s="83"/>
      <c r="U65" s="83"/>
      <c r="V65" s="83"/>
      <c r="W65" s="83"/>
      <c r="X65" s="178"/>
      <c r="Y65" s="178"/>
      <c r="Z65" s="178"/>
      <c r="AA65" s="178"/>
      <c r="AB65" s="178"/>
      <c r="AC65" s="178"/>
      <c r="AD65" s="178"/>
      <c r="AE65" s="178"/>
      <c r="AF65" s="178"/>
      <c r="AG65" s="178"/>
      <c r="AH65" s="178"/>
      <c r="AI65" s="83"/>
      <c r="AJ65" s="83"/>
    </row>
    <row r="66" spans="1:36" ht="18.600000000000001" customHeight="1" x14ac:dyDescent="0.3">
      <c r="A66" s="83"/>
      <c r="B66" s="105"/>
      <c r="C66" s="177"/>
      <c r="D66" s="177"/>
      <c r="E66" s="177"/>
      <c r="F66" s="177"/>
      <c r="G66" s="177"/>
      <c r="H66" s="177"/>
      <c r="I66" s="177"/>
      <c r="J66" s="177"/>
      <c r="K66" s="177"/>
      <c r="L66" s="177"/>
      <c r="M66" s="176"/>
      <c r="N66" s="176"/>
      <c r="O66" s="176"/>
      <c r="P66" s="176"/>
      <c r="Q66" s="197"/>
      <c r="R66" s="197"/>
      <c r="S66" s="83"/>
      <c r="T66" s="83"/>
      <c r="U66" s="83"/>
      <c r="V66" s="83"/>
      <c r="W66" s="83"/>
      <c r="X66" s="178"/>
      <c r="Y66" s="178"/>
      <c r="Z66" s="178"/>
      <c r="AA66" s="178"/>
      <c r="AB66" s="178"/>
      <c r="AC66" s="178"/>
      <c r="AD66" s="178"/>
      <c r="AE66" s="178"/>
      <c r="AF66" s="178"/>
      <c r="AG66" s="178"/>
      <c r="AH66" s="178"/>
      <c r="AI66" s="83"/>
      <c r="AJ66" s="83"/>
    </row>
    <row r="67" spans="1:36" x14ac:dyDescent="0.3">
      <c r="A67" s="83"/>
      <c r="B67" s="105"/>
      <c r="C67" s="177"/>
      <c r="D67" s="177"/>
      <c r="E67" s="177"/>
      <c r="F67" s="177"/>
      <c r="G67" s="177"/>
      <c r="H67" s="177"/>
      <c r="I67" s="177"/>
      <c r="J67" s="177"/>
      <c r="K67" s="177"/>
      <c r="L67" s="177"/>
      <c r="M67" s="176"/>
      <c r="N67" s="176"/>
      <c r="O67" s="176"/>
      <c r="P67" s="176"/>
      <c r="Q67" s="197"/>
      <c r="R67" s="197"/>
      <c r="S67" s="83"/>
      <c r="T67" s="83"/>
      <c r="U67" s="83"/>
      <c r="V67" s="83"/>
      <c r="W67" s="83"/>
      <c r="X67" s="83"/>
      <c r="Y67" s="83"/>
      <c r="Z67" s="83"/>
      <c r="AA67" s="83"/>
      <c r="AB67" s="83"/>
      <c r="AC67" s="83"/>
      <c r="AD67" s="83"/>
      <c r="AE67" s="83"/>
      <c r="AF67" s="83"/>
      <c r="AG67" s="83"/>
      <c r="AH67" s="83"/>
      <c r="AI67" s="83"/>
      <c r="AJ67" s="83"/>
    </row>
    <row r="68" spans="1:36" x14ac:dyDescent="0.3">
      <c r="A68" s="83"/>
      <c r="G68" s="793"/>
      <c r="H68" s="176"/>
      <c r="I68" s="176"/>
      <c r="J68" s="176"/>
      <c r="K68" s="176"/>
      <c r="L68" s="176"/>
      <c r="M68" s="176"/>
      <c r="N68" s="176"/>
      <c r="O68" s="176"/>
      <c r="P68" s="176"/>
      <c r="Q68" s="197"/>
      <c r="R68" s="197"/>
      <c r="S68" s="83"/>
      <c r="T68" s="83"/>
      <c r="U68" s="83"/>
      <c r="V68" s="83"/>
      <c r="W68" s="83"/>
      <c r="X68" s="83"/>
      <c r="Y68" s="83"/>
      <c r="Z68" s="83"/>
      <c r="AA68" s="83"/>
      <c r="AB68" s="83"/>
      <c r="AC68" s="83"/>
      <c r="AD68" s="83"/>
      <c r="AE68" s="83"/>
      <c r="AF68" s="83"/>
      <c r="AG68" s="83"/>
      <c r="AH68" s="83"/>
      <c r="AI68" s="83"/>
      <c r="AJ68" s="83"/>
    </row>
    <row r="69" spans="1:36" x14ac:dyDescent="0.3">
      <c r="A69" s="83"/>
      <c r="G69" s="793"/>
      <c r="H69" s="176"/>
      <c r="I69" s="176"/>
      <c r="J69" s="176"/>
      <c r="K69" s="176"/>
      <c r="L69" s="176"/>
      <c r="M69" s="176"/>
      <c r="N69" s="176"/>
      <c r="O69" s="176"/>
      <c r="P69" s="176"/>
      <c r="Q69" s="197"/>
      <c r="R69" s="197"/>
      <c r="S69" s="83"/>
      <c r="T69" s="83"/>
      <c r="U69" s="83"/>
      <c r="V69" s="83"/>
      <c r="W69" s="83"/>
      <c r="X69" s="83"/>
      <c r="Y69" s="83"/>
      <c r="Z69" s="83"/>
      <c r="AA69" s="83"/>
      <c r="AB69" s="83"/>
      <c r="AC69" s="83"/>
      <c r="AD69" s="83"/>
      <c r="AE69" s="83"/>
      <c r="AF69" s="83"/>
      <c r="AG69" s="83"/>
      <c r="AH69" s="83"/>
      <c r="AI69" s="83"/>
      <c r="AJ69" s="83"/>
    </row>
  </sheetData>
  <mergeCells count="28">
    <mergeCell ref="P34:Q34"/>
    <mergeCell ref="D8:D9"/>
    <mergeCell ref="E8:E9"/>
    <mergeCell ref="D11:J11"/>
    <mergeCell ref="K11:O11"/>
    <mergeCell ref="P11:R11"/>
    <mergeCell ref="O5:S5"/>
    <mergeCell ref="O6:S9"/>
    <mergeCell ref="W3:AH3"/>
    <mergeCell ref="D5:E5"/>
    <mergeCell ref="G3:H3"/>
    <mergeCell ref="J3:M3"/>
    <mergeCell ref="O3:S3"/>
    <mergeCell ref="G5:H5"/>
    <mergeCell ref="C3:F3"/>
    <mergeCell ref="B39:F39"/>
    <mergeCell ref="G39:J39"/>
    <mergeCell ref="I64:J64"/>
    <mergeCell ref="C6:C7"/>
    <mergeCell ref="C8:C9"/>
    <mergeCell ref="B64:F65"/>
    <mergeCell ref="I65:J65"/>
    <mergeCell ref="L44:M44"/>
    <mergeCell ref="K39:M39"/>
    <mergeCell ref="L40:M40"/>
    <mergeCell ref="L41:M41"/>
    <mergeCell ref="L42:M42"/>
    <mergeCell ref="L43:M43"/>
  </mergeCells>
  <dataValidations count="4">
    <dataValidation type="list" allowBlank="1" showInputMessage="1" showErrorMessage="1" sqref="F13:F34" xr:uid="{AAA129B4-2C06-41A3-9DC9-59FDD3B1FBDD}">
      <formula1>Currency</formula1>
    </dataValidation>
    <dataValidation type="list" allowBlank="1" showInputMessage="1" showErrorMessage="1" sqref="G13:G34" xr:uid="{54CFF101-7F92-4274-85A1-CDE7DEA68CCB}">
      <formula1>Year</formula1>
    </dataValidation>
    <dataValidation type="list" allowBlank="1" showInputMessage="1" showErrorMessage="1" sqref="H13:H34" xr:uid="{782F2805-2309-4F36-8970-9A09000730B3}">
      <formula1>Location</formula1>
    </dataValidation>
    <dataValidation type="list" allowBlank="1" showInputMessage="1" showErrorMessage="1" sqref="E8:E9" xr:uid="{6D82F873-3897-48C5-85AD-AF31DB5850C4}">
      <formula1>Case</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801" r:id="rId4" name="Button 1">
              <controlPr defaultSize="0" print="0" autoFill="0" autoPict="0" macro="[0]!Plant">
                <anchor moveWithCells="1" sizeWithCells="1">
                  <from>
                    <xdr:col>2</xdr:col>
                    <xdr:colOff>60960</xdr:colOff>
                    <xdr:row>7</xdr:row>
                    <xdr:rowOff>30480</xdr:rowOff>
                  </from>
                  <to>
                    <xdr:col>2</xdr:col>
                    <xdr:colOff>1577340</xdr:colOff>
                    <xdr:row>8</xdr:row>
                    <xdr:rowOff>175260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8E250A-DB93-4DD2-BDF3-CDAD81DD0E8C}">
  <sheetPr codeName="Hoja28"/>
  <dimension ref="A1:AJ69"/>
  <sheetViews>
    <sheetView showGridLines="0" zoomScale="25" zoomScaleNormal="25" workbookViewId="0">
      <selection activeCell="N54" sqref="N54"/>
    </sheetView>
  </sheetViews>
  <sheetFormatPr defaultColWidth="11.109375" defaultRowHeight="14.4" x14ac:dyDescent="0.3"/>
  <cols>
    <col min="1" max="2" width="4.5546875" customWidth="1"/>
    <col min="3" max="19" width="23.44140625" customWidth="1"/>
    <col min="20" max="22" width="3.44140625" customWidth="1"/>
    <col min="23" max="34" width="13.6640625" customWidth="1"/>
    <col min="35" max="35" width="4.109375" customWidth="1"/>
  </cols>
  <sheetData>
    <row r="1" spans="1:36" ht="18.600000000000001"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row>
    <row r="2" spans="1:36" ht="18.600000000000001" customHeight="1" x14ac:dyDescent="0.3">
      <c r="A2" s="83"/>
      <c r="B2" s="101"/>
      <c r="C2" s="102"/>
      <c r="D2" s="102"/>
      <c r="E2" s="102"/>
      <c r="F2" s="102"/>
      <c r="G2" s="102"/>
      <c r="H2" s="102"/>
      <c r="I2" s="102"/>
      <c r="J2" s="102"/>
      <c r="K2" s="102"/>
      <c r="L2" s="102"/>
      <c r="M2" s="102"/>
      <c r="N2" s="102"/>
      <c r="O2" s="102"/>
      <c r="P2" s="102"/>
      <c r="Q2" s="102"/>
      <c r="R2" s="102"/>
      <c r="S2" s="102"/>
      <c r="T2" s="103"/>
      <c r="U2" s="104"/>
      <c r="V2" s="117"/>
      <c r="W2" s="118"/>
      <c r="X2" s="118"/>
      <c r="Y2" s="118"/>
      <c r="Z2" s="118"/>
      <c r="AA2" s="118"/>
      <c r="AB2" s="118"/>
      <c r="AC2" s="118"/>
      <c r="AD2" s="118"/>
      <c r="AE2" s="118"/>
      <c r="AF2" s="118"/>
      <c r="AG2" s="118"/>
      <c r="AH2" s="118"/>
      <c r="AI2" s="119"/>
      <c r="AJ2" s="83"/>
    </row>
    <row r="3" spans="1:36" ht="18.600000000000001" customHeight="1" x14ac:dyDescent="0.3">
      <c r="A3" s="83"/>
      <c r="B3" s="104"/>
      <c r="C3" s="879" t="s">
        <v>270</v>
      </c>
      <c r="D3" s="880"/>
      <c r="E3" s="880"/>
      <c r="F3" s="881"/>
      <c r="G3" s="879" t="s">
        <v>341</v>
      </c>
      <c r="H3" s="881"/>
      <c r="J3" s="879" t="s">
        <v>500</v>
      </c>
      <c r="K3" s="880"/>
      <c r="L3" s="880"/>
      <c r="M3" s="881"/>
      <c r="O3" s="879" t="str">
        <f>+E6</f>
        <v>Unit 4</v>
      </c>
      <c r="P3" s="880"/>
      <c r="Q3" s="880"/>
      <c r="R3" s="880"/>
      <c r="S3" s="881"/>
      <c r="T3" s="106"/>
      <c r="U3" s="104"/>
      <c r="V3" s="120"/>
      <c r="W3" s="919" t="str">
        <f>+E6&amp;" Diagram"</f>
        <v>Unit 4 Diagram</v>
      </c>
      <c r="X3" s="920"/>
      <c r="Y3" s="920"/>
      <c r="Z3" s="920"/>
      <c r="AA3" s="920"/>
      <c r="AB3" s="920"/>
      <c r="AC3" s="920"/>
      <c r="AD3" s="920"/>
      <c r="AE3" s="920"/>
      <c r="AF3" s="920"/>
      <c r="AG3" s="920"/>
      <c r="AH3" s="921"/>
      <c r="AI3" s="113"/>
      <c r="AJ3" s="432"/>
    </row>
    <row r="4" spans="1:36" ht="18.600000000000001" customHeight="1" x14ac:dyDescent="0.3">
      <c r="A4" s="83"/>
      <c r="B4" s="104"/>
      <c r="C4" s="105"/>
      <c r="D4" s="105"/>
      <c r="E4" s="105"/>
      <c r="F4" s="105"/>
      <c r="G4" s="83"/>
      <c r="H4" s="83"/>
      <c r="J4" s="83"/>
      <c r="K4" s="83"/>
      <c r="L4" s="83"/>
      <c r="M4" s="83"/>
      <c r="O4" s="83"/>
      <c r="P4" s="83"/>
      <c r="Q4" s="83"/>
      <c r="R4" s="83"/>
      <c r="S4" s="83"/>
      <c r="T4" s="106"/>
      <c r="U4" s="104"/>
      <c r="V4" s="120"/>
      <c r="W4" s="117"/>
      <c r="X4" s="118"/>
      <c r="Y4" s="118"/>
      <c r="Z4" s="118"/>
      <c r="AA4" s="118"/>
      <c r="AB4" s="118"/>
      <c r="AC4" s="118"/>
      <c r="AD4" s="118"/>
      <c r="AE4" s="118"/>
      <c r="AF4" s="118"/>
      <c r="AG4" s="118"/>
      <c r="AH4" s="119"/>
      <c r="AI4" s="113"/>
      <c r="AJ4" s="432"/>
    </row>
    <row r="5" spans="1:36" ht="18.600000000000001" customHeight="1" x14ac:dyDescent="0.35">
      <c r="A5" s="83"/>
      <c r="B5" s="104"/>
      <c r="C5" s="105"/>
      <c r="D5" s="882" t="s">
        <v>265</v>
      </c>
      <c r="E5" s="883"/>
      <c r="F5" s="211"/>
      <c r="G5" s="882" t="s">
        <v>267</v>
      </c>
      <c r="H5" s="883"/>
      <c r="J5" s="600"/>
      <c r="K5" s="601"/>
      <c r="L5" s="214" t="s">
        <v>470</v>
      </c>
      <c r="M5" s="505" t="s">
        <v>504</v>
      </c>
      <c r="O5" s="835" t="s">
        <v>580</v>
      </c>
      <c r="P5" s="836"/>
      <c r="Q5" s="836"/>
      <c r="R5" s="836"/>
      <c r="S5" s="837"/>
      <c r="T5" s="106"/>
      <c r="U5" s="104"/>
      <c r="V5" s="120"/>
      <c r="W5" s="120"/>
      <c r="X5" s="112"/>
      <c r="Y5" s="112"/>
      <c r="Z5" s="112"/>
      <c r="AA5" s="112"/>
      <c r="AB5" s="112"/>
      <c r="AC5" s="112"/>
      <c r="AD5" s="112"/>
      <c r="AE5" s="112"/>
      <c r="AF5" s="112"/>
      <c r="AG5" s="112"/>
      <c r="AH5" s="113"/>
      <c r="AI5" s="113"/>
      <c r="AJ5" s="432"/>
    </row>
    <row r="6" spans="1:36" ht="18.600000000000001" customHeight="1" x14ac:dyDescent="0.3">
      <c r="A6" s="83"/>
      <c r="B6" s="104"/>
      <c r="C6" s="904" t="s">
        <v>496</v>
      </c>
      <c r="D6" s="610" t="s">
        <v>687</v>
      </c>
      <c r="E6" s="625" t="str">
        <f>+'Plant Overview'!V40</f>
        <v>Unit 4</v>
      </c>
      <c r="F6" s="212"/>
      <c r="G6" s="85"/>
      <c r="H6" s="393" t="s">
        <v>262</v>
      </c>
      <c r="J6" s="602"/>
      <c r="K6" s="603"/>
      <c r="L6" s="94" t="s">
        <v>471</v>
      </c>
      <c r="M6" s="86" t="s">
        <v>505</v>
      </c>
      <c r="O6" s="862"/>
      <c r="P6" s="863"/>
      <c r="Q6" s="863"/>
      <c r="R6" s="863"/>
      <c r="S6" s="864"/>
      <c r="T6" s="106"/>
      <c r="U6" s="104"/>
      <c r="V6" s="120"/>
      <c r="W6" s="120"/>
      <c r="X6" s="112"/>
      <c r="Y6" s="112"/>
      <c r="Z6" s="112"/>
      <c r="AA6" s="112"/>
      <c r="AB6" s="112"/>
      <c r="AC6" s="112"/>
      <c r="AD6" s="112"/>
      <c r="AE6" s="112"/>
      <c r="AF6" s="112"/>
      <c r="AG6" s="112"/>
      <c r="AH6" s="113"/>
      <c r="AI6" s="113"/>
      <c r="AJ6" s="432"/>
    </row>
    <row r="7" spans="1:36" ht="18.600000000000001" customHeight="1" x14ac:dyDescent="0.3">
      <c r="A7" s="83"/>
      <c r="B7" s="104"/>
      <c r="C7" s="905"/>
      <c r="D7" s="610" t="s">
        <v>686</v>
      </c>
      <c r="E7" s="554" t="str">
        <f>+'Plant Overview'!W40</f>
        <v>U-400</v>
      </c>
      <c r="F7" s="212"/>
      <c r="G7" s="208"/>
      <c r="H7" s="393" t="s">
        <v>263</v>
      </c>
      <c r="J7" s="602"/>
      <c r="K7" s="603"/>
      <c r="L7" s="214" t="s">
        <v>465</v>
      </c>
      <c r="M7" s="505" t="s">
        <v>503</v>
      </c>
      <c r="O7" s="865"/>
      <c r="P7" s="866"/>
      <c r="Q7" s="866"/>
      <c r="R7" s="866"/>
      <c r="S7" s="867"/>
      <c r="T7" s="106"/>
      <c r="U7" s="104"/>
      <c r="V7" s="120"/>
      <c r="W7" s="120"/>
      <c r="X7" s="112"/>
      <c r="Y7" s="112"/>
      <c r="Z7" s="112"/>
      <c r="AA7" s="112"/>
      <c r="AB7" s="112"/>
      <c r="AC7" s="112"/>
      <c r="AD7" s="112"/>
      <c r="AE7" s="112"/>
      <c r="AF7" s="112"/>
      <c r="AG7" s="112"/>
      <c r="AH7" s="113"/>
      <c r="AI7" s="113"/>
      <c r="AJ7" s="432"/>
    </row>
    <row r="8" spans="1:36" ht="18.600000000000001" customHeight="1" x14ac:dyDescent="0.3">
      <c r="A8" s="83"/>
      <c r="B8" s="104"/>
      <c r="C8" s="937"/>
      <c r="D8" s="942" t="s">
        <v>312</v>
      </c>
      <c r="E8" s="911"/>
      <c r="F8" s="213"/>
      <c r="G8" s="95"/>
      <c r="H8" s="472" t="s">
        <v>264</v>
      </c>
      <c r="J8" s="602"/>
      <c r="K8" s="603"/>
      <c r="L8" s="214" t="s">
        <v>466</v>
      </c>
      <c r="M8" s="505" t="s">
        <v>501</v>
      </c>
      <c r="O8" s="865"/>
      <c r="P8" s="866"/>
      <c r="Q8" s="866"/>
      <c r="R8" s="866"/>
      <c r="S8" s="867"/>
      <c r="T8" s="106"/>
      <c r="U8" s="104"/>
      <c r="V8" s="120"/>
      <c r="W8" s="120"/>
      <c r="X8" s="112"/>
      <c r="Y8" s="112"/>
      <c r="Z8" s="112"/>
      <c r="AA8" s="112"/>
      <c r="AB8" s="112"/>
      <c r="AC8" s="112"/>
      <c r="AD8" s="112"/>
      <c r="AE8" s="112"/>
      <c r="AF8" s="112"/>
      <c r="AG8" s="112"/>
      <c r="AH8" s="113"/>
      <c r="AI8" s="113"/>
      <c r="AJ8" s="432"/>
    </row>
    <row r="9" spans="1:36" ht="18.600000000000001" customHeight="1" x14ac:dyDescent="0.3">
      <c r="A9" s="83"/>
      <c r="B9" s="104"/>
      <c r="C9" s="886"/>
      <c r="D9" s="943"/>
      <c r="E9" s="912"/>
      <c r="F9" s="213"/>
      <c r="G9" s="110"/>
      <c r="H9" s="598" t="s">
        <v>268</v>
      </c>
      <c r="J9" s="604"/>
      <c r="K9" s="605"/>
      <c r="L9" s="214" t="s">
        <v>467</v>
      </c>
      <c r="M9" s="505" t="s">
        <v>502</v>
      </c>
      <c r="O9" s="868"/>
      <c r="P9" s="869"/>
      <c r="Q9" s="869"/>
      <c r="R9" s="869"/>
      <c r="S9" s="870"/>
      <c r="T9" s="106"/>
      <c r="U9" s="104"/>
      <c r="V9" s="120"/>
      <c r="W9" s="120"/>
      <c r="X9" s="112"/>
      <c r="Y9" s="112"/>
      <c r="Z9" s="112"/>
      <c r="AA9" s="112"/>
      <c r="AB9" s="112"/>
      <c r="AC9" s="112"/>
      <c r="AD9" s="112"/>
      <c r="AE9" s="112"/>
      <c r="AF9" s="112"/>
      <c r="AG9" s="112"/>
      <c r="AH9" s="113"/>
      <c r="AI9" s="113"/>
      <c r="AJ9" s="432"/>
    </row>
    <row r="10" spans="1:36" ht="18.600000000000001"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4"/>
      <c r="V10" s="120"/>
      <c r="W10" s="120"/>
      <c r="X10" s="112"/>
      <c r="Y10" s="112"/>
      <c r="Z10" s="112"/>
      <c r="AA10" s="112"/>
      <c r="AB10" s="112"/>
      <c r="AC10" s="112"/>
      <c r="AD10" s="112"/>
      <c r="AE10" s="112"/>
      <c r="AF10" s="112"/>
      <c r="AG10" s="112"/>
      <c r="AH10" s="113"/>
      <c r="AI10" s="113"/>
      <c r="AJ10" s="432"/>
    </row>
    <row r="11" spans="1:36" ht="18.600000000000001" customHeight="1" x14ac:dyDescent="0.3">
      <c r="A11" s="83"/>
      <c r="B11" s="104"/>
      <c r="C11" s="105"/>
      <c r="D11" s="879" t="s">
        <v>508</v>
      </c>
      <c r="E11" s="880"/>
      <c r="F11" s="880"/>
      <c r="G11" s="880"/>
      <c r="H11" s="880"/>
      <c r="I11" s="880"/>
      <c r="J11" s="880"/>
      <c r="K11" s="879" t="s">
        <v>507</v>
      </c>
      <c r="L11" s="880"/>
      <c r="M11" s="880"/>
      <c r="N11" s="880"/>
      <c r="O11" s="881"/>
      <c r="P11" s="879" t="s">
        <v>510</v>
      </c>
      <c r="Q11" s="880"/>
      <c r="R11" s="881"/>
      <c r="S11" s="105"/>
      <c r="T11" s="106"/>
      <c r="U11" s="104"/>
      <c r="V11" s="120"/>
      <c r="W11" s="120"/>
      <c r="X11" s="112"/>
      <c r="Y11" s="112"/>
      <c r="Z11" s="112"/>
      <c r="AA11" s="112"/>
      <c r="AB11" s="112"/>
      <c r="AC11" s="112"/>
      <c r="AD11" s="112"/>
      <c r="AE11" s="112"/>
      <c r="AF11" s="112"/>
      <c r="AG11" s="112"/>
      <c r="AH11" s="113"/>
      <c r="AI11" s="113"/>
      <c r="AJ11" s="432"/>
    </row>
    <row r="12" spans="1:36" ht="18.600000000000001" customHeight="1" x14ac:dyDescent="0.3">
      <c r="A12" s="83"/>
      <c r="B12" s="104"/>
      <c r="C12" s="553" t="s">
        <v>239</v>
      </c>
      <c r="D12" s="553" t="s">
        <v>499</v>
      </c>
      <c r="E12" s="553" t="s">
        <v>498</v>
      </c>
      <c r="F12" s="559" t="s">
        <v>464</v>
      </c>
      <c r="G12" s="559" t="s">
        <v>583</v>
      </c>
      <c r="H12" s="559" t="s">
        <v>509</v>
      </c>
      <c r="I12" s="553" t="s">
        <v>506</v>
      </c>
      <c r="J12" s="553" t="s">
        <v>235</v>
      </c>
      <c r="K12" s="544" t="s">
        <v>466</v>
      </c>
      <c r="L12" s="553" t="s">
        <v>467</v>
      </c>
      <c r="M12" s="551" t="s">
        <v>586</v>
      </c>
      <c r="N12" s="552" t="s">
        <v>469</v>
      </c>
      <c r="O12" s="548" t="s">
        <v>468</v>
      </c>
      <c r="P12" s="544" t="s">
        <v>465</v>
      </c>
      <c r="Q12" s="544" t="s">
        <v>471</v>
      </c>
      <c r="R12" s="551" t="s">
        <v>470</v>
      </c>
      <c r="S12" s="548" t="s">
        <v>497</v>
      </c>
      <c r="T12" s="106"/>
      <c r="U12" s="104"/>
      <c r="V12" s="120"/>
      <c r="W12" s="120"/>
      <c r="X12" s="112"/>
      <c r="Y12" s="112"/>
      <c r="Z12" s="112"/>
      <c r="AA12" s="112"/>
      <c r="AB12" s="112"/>
      <c r="AC12" s="112"/>
      <c r="AD12" s="112"/>
      <c r="AE12" s="112"/>
      <c r="AF12" s="112"/>
      <c r="AG12" s="112"/>
      <c r="AH12" s="113"/>
      <c r="AI12" s="113"/>
      <c r="AJ12" s="432"/>
    </row>
    <row r="13" spans="1:36" ht="18.600000000000001" customHeight="1" x14ac:dyDescent="0.3">
      <c r="A13" s="83"/>
      <c r="B13" s="104"/>
      <c r="C13" s="437"/>
      <c r="D13" s="470"/>
      <c r="E13" s="376"/>
      <c r="F13" s="376"/>
      <c r="G13" s="376"/>
      <c r="H13" s="376"/>
      <c r="I13" s="376"/>
      <c r="J13" s="377"/>
      <c r="K13" s="376"/>
      <c r="L13" s="597"/>
      <c r="M13" s="376"/>
      <c r="N13" s="219"/>
      <c r="O13" s="222"/>
      <c r="P13" s="221"/>
      <c r="Q13" s="376"/>
      <c r="R13" s="219" t="str">
        <f>+IF(C13="","",(P13/M13)^K13*O13*(Q13/(N13/M13))^L13)</f>
        <v/>
      </c>
      <c r="S13" s="607" t="str" cm="1">
        <f t="array" aca="1" ref="S13" ca="1">+IF(R13="","",R13*INDIRECT(ADDRESS(MATCH(G13,'Cost Conversion'!$B$3:$B$48,0)+2,4,1,1,"Cost conversion"))*INDIRECT(ADDRESS(MATCH(H13,'Cost Conversion'!$F$3:$F$22,0)+2,8,1,1,"Cost conversion"))/IF(F13="$",'Cost Conversion'!$L$2,1))</f>
        <v/>
      </c>
      <c r="T13" s="106"/>
      <c r="U13" s="104"/>
      <c r="V13" s="120"/>
      <c r="W13" s="120"/>
      <c r="X13" s="112"/>
      <c r="Y13" s="112"/>
      <c r="Z13" s="112"/>
      <c r="AA13" s="112"/>
      <c r="AB13" s="112"/>
      <c r="AC13" s="112"/>
      <c r="AD13" s="112"/>
      <c r="AE13" s="112"/>
      <c r="AF13" s="112"/>
      <c r="AG13" s="112"/>
      <c r="AH13" s="113"/>
      <c r="AI13" s="113"/>
      <c r="AJ13" s="432"/>
    </row>
    <row r="14" spans="1:36" ht="18.600000000000001" customHeight="1" x14ac:dyDescent="0.3">
      <c r="A14" s="83"/>
      <c r="B14" s="104"/>
      <c r="C14" s="438"/>
      <c r="D14" s="435"/>
      <c r="E14" s="597"/>
      <c r="F14" s="597"/>
      <c r="G14" s="597"/>
      <c r="H14" s="597"/>
      <c r="I14" s="597"/>
      <c r="J14" s="389"/>
      <c r="K14" s="597"/>
      <c r="L14" s="597"/>
      <c r="M14" s="597"/>
      <c r="N14" s="390"/>
      <c r="O14" s="390"/>
      <c r="P14" s="170"/>
      <c r="Q14" s="597"/>
      <c r="R14" s="390" t="str">
        <f>+IF(C14="","",(P14/M14)^K14*O14*(Q14/(N14/M14))^L14)</f>
        <v/>
      </c>
      <c r="S14" s="195" t="str" cm="1">
        <f t="array" aca="1" ref="S14" ca="1">+IF(R14="","",R14*INDIRECT(ADDRESS(MATCH(G14,'Cost Conversion'!$B$3:$B$48,0)+2,4,1,1,"Cost conversion"))*INDIRECT(ADDRESS(MATCH(H14,'Cost Conversion'!$F$3:$F$22,0)+2,8,1,1,"Cost conversion"))/IF(F14="$",'Cost Conversion'!$L$2,1))</f>
        <v/>
      </c>
      <c r="T14" s="106"/>
      <c r="U14" s="104"/>
      <c r="V14" s="120"/>
      <c r="W14" s="120"/>
      <c r="X14" s="112"/>
      <c r="Y14" s="112"/>
      <c r="Z14" s="112"/>
      <c r="AA14" s="112"/>
      <c r="AB14" s="112"/>
      <c r="AC14" s="112"/>
      <c r="AD14" s="112"/>
      <c r="AE14" s="112"/>
      <c r="AF14" s="112"/>
      <c r="AG14" s="112"/>
      <c r="AH14" s="113"/>
      <c r="AI14" s="113"/>
      <c r="AJ14" s="432"/>
    </row>
    <row r="15" spans="1:36" ht="18.600000000000001" customHeight="1" x14ac:dyDescent="0.3">
      <c r="A15" s="83"/>
      <c r="B15" s="104"/>
      <c r="C15" s="438"/>
      <c r="D15" s="435"/>
      <c r="E15" s="597"/>
      <c r="F15" s="597"/>
      <c r="G15" s="597"/>
      <c r="H15" s="597"/>
      <c r="I15" s="597"/>
      <c r="J15" s="389"/>
      <c r="K15" s="597"/>
      <c r="L15" s="597"/>
      <c r="M15" s="597"/>
      <c r="N15" s="390"/>
      <c r="O15" s="597"/>
      <c r="P15" s="435"/>
      <c r="Q15" s="597"/>
      <c r="R15" s="390" t="str">
        <f t="shared" ref="R15:R34" si="0">+IF(C15="","",(P15/M15)^K15*O15*(Q15/(N15/M15))^L15)</f>
        <v/>
      </c>
      <c r="S15" s="195" t="str" cm="1">
        <f t="array" aca="1" ref="S15" ca="1">+IF(R15="","",R15*INDIRECT(ADDRESS(MATCH(G15,'Cost Conversion'!$B$3:$B$48,0)+2,4,1,1,"Cost conversion"))*INDIRECT(ADDRESS(MATCH(H15,'Cost Conversion'!$F$3:$F$22,0)+2,8,1,1,"Cost conversion"))/IF(F15="$",'Cost Conversion'!$L$2,1))</f>
        <v/>
      </c>
      <c r="T15" s="106"/>
      <c r="U15" s="104"/>
      <c r="V15" s="120"/>
      <c r="W15" s="120"/>
      <c r="X15" s="112"/>
      <c r="Y15" s="112"/>
      <c r="Z15" s="112"/>
      <c r="AA15" s="112"/>
      <c r="AB15" s="112"/>
      <c r="AC15" s="112"/>
      <c r="AD15" s="112"/>
      <c r="AE15" s="112"/>
      <c r="AF15" s="112"/>
      <c r="AG15" s="112"/>
      <c r="AH15" s="113"/>
      <c r="AI15" s="113"/>
      <c r="AJ15" s="432"/>
    </row>
    <row r="16" spans="1:36" ht="18.600000000000001" customHeight="1" x14ac:dyDescent="0.3">
      <c r="A16" s="83"/>
      <c r="B16" s="104"/>
      <c r="C16" s="438"/>
      <c r="D16" s="435"/>
      <c r="E16" s="597"/>
      <c r="F16" s="597"/>
      <c r="G16" s="597"/>
      <c r="H16" s="597"/>
      <c r="I16" s="597"/>
      <c r="J16" s="389"/>
      <c r="K16" s="597"/>
      <c r="L16" s="597"/>
      <c r="M16" s="597"/>
      <c r="N16" s="92"/>
      <c r="O16" s="597"/>
      <c r="P16" s="435"/>
      <c r="Q16" s="597"/>
      <c r="R16" s="390" t="str">
        <f t="shared" si="0"/>
        <v/>
      </c>
      <c r="S16" s="195" t="str" cm="1">
        <f t="array" aca="1" ref="S16" ca="1">+IF(R16="","",R16*INDIRECT(ADDRESS(MATCH(G16,'Cost Conversion'!$B$3:$B$48,0)+2,4,1,1,"Cost conversion"))*INDIRECT(ADDRESS(MATCH(H16,'Cost Conversion'!$F$3:$F$22,0)+2,8,1,1,"Cost conversion"))/IF(F16="$",'Cost Conversion'!$L$2,1))</f>
        <v/>
      </c>
      <c r="T16" s="106"/>
      <c r="U16" s="104"/>
      <c r="V16" s="120"/>
      <c r="W16" s="120"/>
      <c r="X16" s="112"/>
      <c r="Y16" s="112"/>
      <c r="Z16" s="112"/>
      <c r="AA16" s="112"/>
      <c r="AB16" s="112"/>
      <c r="AC16" s="112"/>
      <c r="AD16" s="112"/>
      <c r="AE16" s="112"/>
      <c r="AF16" s="112"/>
      <c r="AG16" s="112"/>
      <c r="AH16" s="113"/>
      <c r="AI16" s="113"/>
      <c r="AJ16" s="432"/>
    </row>
    <row r="17" spans="1:36" ht="18.600000000000001" customHeight="1" x14ac:dyDescent="0.3">
      <c r="A17" s="83"/>
      <c r="B17" s="104"/>
      <c r="C17" s="438"/>
      <c r="D17" s="435"/>
      <c r="E17" s="597"/>
      <c r="F17" s="597"/>
      <c r="G17" s="597"/>
      <c r="H17" s="597"/>
      <c r="I17" s="597"/>
      <c r="J17" s="389"/>
      <c r="K17" s="92"/>
      <c r="L17" s="92"/>
      <c r="M17" s="597"/>
      <c r="N17" s="92"/>
      <c r="O17" s="92"/>
      <c r="P17" s="91"/>
      <c r="Q17" s="597"/>
      <c r="R17" s="390" t="str">
        <f t="shared" si="0"/>
        <v/>
      </c>
      <c r="S17" s="195" t="str" cm="1">
        <f t="array" aca="1" ref="S17" ca="1">+IF(R17="","",R17*INDIRECT(ADDRESS(MATCH(G17,'Cost Conversion'!$B$3:$B$48,0)+2,4,1,1,"Cost conversion"))*INDIRECT(ADDRESS(MATCH(H17,'Cost Conversion'!$F$3:$F$22,0)+2,8,1,1,"Cost conversion"))/IF(F17="$",'Cost Conversion'!$L$2,1))</f>
        <v/>
      </c>
      <c r="T17" s="106"/>
      <c r="U17" s="104"/>
      <c r="V17" s="120"/>
      <c r="W17" s="120"/>
      <c r="X17" s="112"/>
      <c r="Y17" s="112"/>
      <c r="Z17" s="112"/>
      <c r="AA17" s="112"/>
      <c r="AB17" s="112"/>
      <c r="AC17" s="112"/>
      <c r="AD17" s="112"/>
      <c r="AE17" s="112"/>
      <c r="AF17" s="112"/>
      <c r="AG17" s="112"/>
      <c r="AH17" s="113"/>
      <c r="AI17" s="113"/>
      <c r="AJ17" s="432"/>
    </row>
    <row r="18" spans="1:36" ht="18.600000000000001" customHeight="1" x14ac:dyDescent="0.3">
      <c r="A18" s="83"/>
      <c r="B18" s="104"/>
      <c r="C18" s="438"/>
      <c r="D18" s="435"/>
      <c r="E18" s="597"/>
      <c r="F18" s="597"/>
      <c r="G18" s="597"/>
      <c r="H18" s="597"/>
      <c r="I18" s="597"/>
      <c r="J18" s="389"/>
      <c r="K18" s="92"/>
      <c r="L18" s="92"/>
      <c r="M18" s="597"/>
      <c r="N18" s="92"/>
      <c r="O18" s="597"/>
      <c r="P18" s="435"/>
      <c r="Q18" s="597"/>
      <c r="R18" s="390" t="str">
        <f t="shared" si="0"/>
        <v/>
      </c>
      <c r="S18" s="195" t="str" cm="1">
        <f t="array" aca="1" ref="S18" ca="1">+IF(R18="","",R18*INDIRECT(ADDRESS(MATCH(G18,'Cost Conversion'!$B$3:$B$48,0)+2,4,1,1,"Cost conversion"))*INDIRECT(ADDRESS(MATCH(H18,'Cost Conversion'!$F$3:$F$22,0)+2,8,1,1,"Cost conversion"))/IF(F18="$",'Cost Conversion'!$L$2,1))</f>
        <v/>
      </c>
      <c r="T18" s="106"/>
      <c r="U18" s="104"/>
      <c r="V18" s="120"/>
      <c r="W18" s="120"/>
      <c r="X18" s="112"/>
      <c r="Y18" s="112"/>
      <c r="Z18" s="112"/>
      <c r="AA18" s="112"/>
      <c r="AB18" s="112"/>
      <c r="AC18" s="112"/>
      <c r="AD18" s="112"/>
      <c r="AE18" s="112"/>
      <c r="AF18" s="112"/>
      <c r="AG18" s="112"/>
      <c r="AH18" s="113"/>
      <c r="AI18" s="113"/>
      <c r="AJ18" s="432"/>
    </row>
    <row r="19" spans="1:36" ht="18.600000000000001" customHeight="1" x14ac:dyDescent="0.3">
      <c r="A19" s="83"/>
      <c r="B19" s="104"/>
      <c r="C19" s="438"/>
      <c r="D19" s="435"/>
      <c r="E19" s="597"/>
      <c r="F19" s="597"/>
      <c r="G19" s="597"/>
      <c r="H19" s="597"/>
      <c r="I19" s="597"/>
      <c r="J19" s="389"/>
      <c r="K19" s="92"/>
      <c r="L19" s="92"/>
      <c r="M19" s="597"/>
      <c r="N19" s="597"/>
      <c r="O19" s="597"/>
      <c r="P19" s="435"/>
      <c r="Q19" s="597"/>
      <c r="R19" s="390" t="str">
        <f t="shared" si="0"/>
        <v/>
      </c>
      <c r="S19" s="195" t="str" cm="1">
        <f t="array" aca="1" ref="S19" ca="1">+IF(R19="","",R19*INDIRECT(ADDRESS(MATCH(G19,'Cost Conversion'!$B$3:$B$48,0)+2,4,1,1,"Cost conversion"))*INDIRECT(ADDRESS(MATCH(H19,'Cost Conversion'!$F$3:$F$22,0)+2,8,1,1,"Cost conversion"))/IF(F19="$",'Cost Conversion'!$L$2,1))</f>
        <v/>
      </c>
      <c r="T19" s="106"/>
      <c r="U19" s="104"/>
      <c r="V19" s="120"/>
      <c r="W19" s="120"/>
      <c r="X19" s="112"/>
      <c r="Y19" s="112"/>
      <c r="Z19" s="112"/>
      <c r="AA19" s="112"/>
      <c r="AB19" s="112"/>
      <c r="AC19" s="112"/>
      <c r="AD19" s="112"/>
      <c r="AE19" s="112"/>
      <c r="AF19" s="112"/>
      <c r="AG19" s="112"/>
      <c r="AH19" s="113"/>
      <c r="AI19" s="113"/>
      <c r="AJ19" s="432"/>
    </row>
    <row r="20" spans="1:36" ht="18.600000000000001" customHeight="1" x14ac:dyDescent="0.3">
      <c r="A20" s="83"/>
      <c r="B20" s="104"/>
      <c r="C20" s="438"/>
      <c r="D20" s="435"/>
      <c r="E20" s="597"/>
      <c r="F20" s="597"/>
      <c r="G20" s="597"/>
      <c r="H20" s="597"/>
      <c r="I20" s="597"/>
      <c r="J20" s="389"/>
      <c r="K20" s="92"/>
      <c r="L20" s="92"/>
      <c r="M20" s="597"/>
      <c r="N20" s="597"/>
      <c r="O20" s="597"/>
      <c r="P20" s="435"/>
      <c r="Q20" s="597"/>
      <c r="R20" s="390" t="str">
        <f t="shared" si="0"/>
        <v/>
      </c>
      <c r="S20" s="195" t="str" cm="1">
        <f t="array" aca="1" ref="S20" ca="1">+IF(R20="","",R20*INDIRECT(ADDRESS(MATCH(G20,'Cost Conversion'!$B$3:$B$48,0)+2,4,1,1,"Cost conversion"))*INDIRECT(ADDRESS(MATCH(H20,'Cost Conversion'!$F$3:$F$22,0)+2,8,1,1,"Cost conversion"))/IF(F20="$",'Cost Conversion'!$L$2,1))</f>
        <v/>
      </c>
      <c r="T20" s="106"/>
      <c r="U20" s="104"/>
      <c r="V20" s="120"/>
      <c r="W20" s="120"/>
      <c r="X20" s="112"/>
      <c r="Y20" s="112"/>
      <c r="Z20" s="112"/>
      <c r="AA20" s="112"/>
      <c r="AB20" s="112"/>
      <c r="AC20" s="112"/>
      <c r="AD20" s="112"/>
      <c r="AE20" s="112"/>
      <c r="AF20" s="112"/>
      <c r="AG20" s="112"/>
      <c r="AH20" s="113"/>
      <c r="AI20" s="113"/>
      <c r="AJ20" s="432"/>
    </row>
    <row r="21" spans="1:36" ht="18.600000000000001" customHeight="1" x14ac:dyDescent="0.3">
      <c r="A21" s="83"/>
      <c r="B21" s="104"/>
      <c r="C21" s="438"/>
      <c r="D21" s="91"/>
      <c r="E21" s="597"/>
      <c r="F21" s="597"/>
      <c r="G21" s="597"/>
      <c r="H21" s="597"/>
      <c r="I21" s="597"/>
      <c r="J21" s="389"/>
      <c r="K21" s="597"/>
      <c r="L21" s="597"/>
      <c r="M21" s="597"/>
      <c r="N21" s="597"/>
      <c r="O21" s="597"/>
      <c r="P21" s="435"/>
      <c r="Q21" s="597"/>
      <c r="R21" s="390" t="str">
        <f t="shared" si="0"/>
        <v/>
      </c>
      <c r="S21" s="195" t="str" cm="1">
        <f t="array" aca="1" ref="S21" ca="1">+IF(R21="","",R21*INDIRECT(ADDRESS(MATCH(G21,'Cost Conversion'!$B$3:$B$48,0)+2,4,1,1,"Cost conversion"))*INDIRECT(ADDRESS(MATCH(H21,'Cost Conversion'!$F$3:$F$22,0)+2,8,1,1,"Cost conversion"))/IF(F21="$",'Cost Conversion'!$L$2,1))</f>
        <v/>
      </c>
      <c r="T21" s="106"/>
      <c r="U21" s="105"/>
      <c r="V21" s="120"/>
      <c r="W21" s="120"/>
      <c r="X21" s="112"/>
      <c r="Y21" s="112"/>
      <c r="Z21" s="112"/>
      <c r="AA21" s="112"/>
      <c r="AB21" s="112"/>
      <c r="AC21" s="112"/>
      <c r="AD21" s="112"/>
      <c r="AE21" s="112"/>
      <c r="AF21" s="112"/>
      <c r="AG21" s="112"/>
      <c r="AH21" s="113"/>
      <c r="AI21" s="113"/>
      <c r="AJ21" s="432"/>
    </row>
    <row r="22" spans="1:36" ht="18.600000000000001" customHeight="1" x14ac:dyDescent="0.3">
      <c r="A22" s="83"/>
      <c r="B22" s="104"/>
      <c r="C22" s="438"/>
      <c r="D22" s="435"/>
      <c r="E22" s="597"/>
      <c r="F22" s="597"/>
      <c r="G22" s="597"/>
      <c r="H22" s="597"/>
      <c r="I22" s="597"/>
      <c r="J22" s="389"/>
      <c r="K22" s="597"/>
      <c r="L22" s="597"/>
      <c r="M22" s="597"/>
      <c r="N22" s="597"/>
      <c r="O22" s="597"/>
      <c r="P22" s="435"/>
      <c r="Q22" s="597"/>
      <c r="R22" s="390" t="str">
        <f t="shared" si="0"/>
        <v/>
      </c>
      <c r="S22" s="195" t="str" cm="1">
        <f t="array" aca="1" ref="S22" ca="1">+IF(R22="","",R22*INDIRECT(ADDRESS(MATCH(G22,'Cost Conversion'!$B$3:$B$48,0)+2,4,1,1,"Cost conversion"))*INDIRECT(ADDRESS(MATCH(H22,'Cost Conversion'!$F$3:$F$22,0)+2,8,1,1,"Cost conversion"))/IF(F22="$",'Cost Conversion'!$L$2,1))</f>
        <v/>
      </c>
      <c r="T22" s="106"/>
      <c r="U22" s="105"/>
      <c r="V22" s="120"/>
      <c r="W22" s="120"/>
      <c r="X22" s="112"/>
      <c r="Y22" s="112"/>
      <c r="Z22" s="112"/>
      <c r="AA22" s="112"/>
      <c r="AB22" s="112"/>
      <c r="AC22" s="112"/>
      <c r="AD22" s="112"/>
      <c r="AE22" s="112"/>
      <c r="AF22" s="112"/>
      <c r="AG22" s="112"/>
      <c r="AH22" s="113"/>
      <c r="AI22" s="113"/>
      <c r="AJ22" s="432"/>
    </row>
    <row r="23" spans="1:36" ht="18.600000000000001" customHeight="1" x14ac:dyDescent="0.3">
      <c r="A23" s="83"/>
      <c r="B23" s="104"/>
      <c r="C23" s="438"/>
      <c r="D23" s="435"/>
      <c r="E23" s="597"/>
      <c r="F23" s="597"/>
      <c r="G23" s="597"/>
      <c r="H23" s="597"/>
      <c r="I23" s="597"/>
      <c r="J23" s="389"/>
      <c r="K23" s="597"/>
      <c r="L23" s="597"/>
      <c r="M23" s="597"/>
      <c r="N23" s="597"/>
      <c r="O23" s="597"/>
      <c r="P23" s="435"/>
      <c r="Q23" s="597"/>
      <c r="R23" s="390" t="str">
        <f t="shared" si="0"/>
        <v/>
      </c>
      <c r="S23" s="195" t="str" cm="1">
        <f t="array" aca="1" ref="S23" ca="1">+IF(R23="","",R23*INDIRECT(ADDRESS(MATCH(G23,'Cost Conversion'!$B$3:$B$48,0)+2,4,1,1,"Cost conversion"))*INDIRECT(ADDRESS(MATCH(H23,'Cost Conversion'!$F$3:$F$22,0)+2,8,1,1,"Cost conversion"))/IF(F23="$",'Cost Conversion'!$L$2,1))</f>
        <v/>
      </c>
      <c r="T23" s="106"/>
      <c r="U23" s="105"/>
      <c r="V23" s="120"/>
      <c r="W23" s="120"/>
      <c r="X23" s="112"/>
      <c r="Y23" s="112"/>
      <c r="Z23" s="112"/>
      <c r="AA23" s="112"/>
      <c r="AB23" s="112"/>
      <c r="AC23" s="112"/>
      <c r="AD23" s="112"/>
      <c r="AE23" s="112"/>
      <c r="AF23" s="112"/>
      <c r="AG23" s="112"/>
      <c r="AH23" s="113"/>
      <c r="AI23" s="113"/>
      <c r="AJ23" s="432"/>
    </row>
    <row r="24" spans="1:36" ht="18.600000000000001" customHeight="1" x14ac:dyDescent="0.3">
      <c r="A24" s="83"/>
      <c r="B24" s="104"/>
      <c r="C24" s="438"/>
      <c r="D24" s="435"/>
      <c r="E24" s="597"/>
      <c r="F24" s="597"/>
      <c r="G24" s="597"/>
      <c r="H24" s="597"/>
      <c r="I24" s="597"/>
      <c r="J24" s="389"/>
      <c r="K24" s="597"/>
      <c r="L24" s="597"/>
      <c r="M24" s="597"/>
      <c r="N24" s="597"/>
      <c r="O24" s="597"/>
      <c r="P24" s="435"/>
      <c r="Q24" s="597"/>
      <c r="R24" s="390" t="str">
        <f t="shared" si="0"/>
        <v/>
      </c>
      <c r="S24" s="195" t="str" cm="1">
        <f t="array" aca="1" ref="S24" ca="1">+IF(R24="","",R24*INDIRECT(ADDRESS(MATCH(G24,'Cost Conversion'!$B$3:$B$48,0)+2,4,1,1,"Cost conversion"))*INDIRECT(ADDRESS(MATCH(H24,'Cost Conversion'!$F$3:$F$22,0)+2,8,1,1,"Cost conversion"))/IF(F24="$",'Cost Conversion'!$L$2,1))</f>
        <v/>
      </c>
      <c r="T24" s="106"/>
      <c r="U24" s="105"/>
      <c r="V24" s="120"/>
      <c r="W24" s="120"/>
      <c r="X24" s="112"/>
      <c r="Y24" s="112"/>
      <c r="Z24" s="112"/>
      <c r="AA24" s="112"/>
      <c r="AB24" s="112"/>
      <c r="AC24" s="112"/>
      <c r="AD24" s="112"/>
      <c r="AE24" s="112"/>
      <c r="AF24" s="112"/>
      <c r="AG24" s="112"/>
      <c r="AH24" s="113"/>
      <c r="AI24" s="113"/>
      <c r="AJ24" s="432"/>
    </row>
    <row r="25" spans="1:36" ht="18.600000000000001" customHeight="1" x14ac:dyDescent="0.3">
      <c r="A25" s="83"/>
      <c r="B25" s="104"/>
      <c r="C25" s="438"/>
      <c r="D25" s="435"/>
      <c r="E25" s="597"/>
      <c r="F25" s="597"/>
      <c r="G25" s="597"/>
      <c r="H25" s="597"/>
      <c r="I25" s="597"/>
      <c r="J25" s="389"/>
      <c r="K25" s="597"/>
      <c r="L25" s="597"/>
      <c r="M25" s="597"/>
      <c r="N25" s="597"/>
      <c r="O25" s="597"/>
      <c r="P25" s="435"/>
      <c r="Q25" s="597"/>
      <c r="R25" s="390" t="str">
        <f t="shared" si="0"/>
        <v/>
      </c>
      <c r="S25" s="195" t="str" cm="1">
        <f t="array" aca="1" ref="S25" ca="1">+IF(R25="","",R25*INDIRECT(ADDRESS(MATCH(G25,'Cost Conversion'!$B$3:$B$48,0)+2,4,1,1,"Cost conversion"))*INDIRECT(ADDRESS(MATCH(H25,'Cost Conversion'!$F$3:$F$22,0)+2,8,1,1,"Cost conversion"))/IF(F25="$",'Cost Conversion'!$L$2,1))</f>
        <v/>
      </c>
      <c r="T25" s="106"/>
      <c r="U25" s="105"/>
      <c r="V25" s="120"/>
      <c r="W25" s="120"/>
      <c r="X25" s="112"/>
      <c r="Y25" s="112"/>
      <c r="Z25" s="112"/>
      <c r="AA25" s="112"/>
      <c r="AB25" s="112"/>
      <c r="AC25" s="112"/>
      <c r="AD25" s="112"/>
      <c r="AE25" s="112"/>
      <c r="AF25" s="112"/>
      <c r="AG25" s="112"/>
      <c r="AH25" s="113"/>
      <c r="AI25" s="113"/>
      <c r="AJ25" s="432"/>
    </row>
    <row r="26" spans="1:36" ht="18.600000000000001" customHeight="1" x14ac:dyDescent="0.3">
      <c r="A26" s="83"/>
      <c r="B26" s="104"/>
      <c r="C26" s="438"/>
      <c r="D26" s="435"/>
      <c r="E26" s="597"/>
      <c r="F26" s="597"/>
      <c r="G26" s="597"/>
      <c r="H26" s="597"/>
      <c r="I26" s="597"/>
      <c r="J26" s="389"/>
      <c r="K26" s="597"/>
      <c r="L26" s="597"/>
      <c r="M26" s="597"/>
      <c r="N26" s="597"/>
      <c r="O26" s="597"/>
      <c r="P26" s="435"/>
      <c r="Q26" s="597"/>
      <c r="R26" s="390" t="str">
        <f t="shared" si="0"/>
        <v/>
      </c>
      <c r="S26" s="195" t="str" cm="1">
        <f t="array" aca="1" ref="S26" ca="1">+IF(R26="","",R26*INDIRECT(ADDRESS(MATCH(G26,'Cost Conversion'!$B$3:$B$48,0)+2,4,1,1,"Cost conversion"))*INDIRECT(ADDRESS(MATCH(H26,'Cost Conversion'!$F$3:$F$22,0)+2,8,1,1,"Cost conversion"))/IF(F26="$",'Cost Conversion'!$L$2,1))</f>
        <v/>
      </c>
      <c r="T26" s="106"/>
      <c r="U26" s="105"/>
      <c r="V26" s="120"/>
      <c r="W26" s="120"/>
      <c r="X26" s="112"/>
      <c r="Y26" s="112"/>
      <c r="Z26" s="112"/>
      <c r="AA26" s="112"/>
      <c r="AB26" s="112"/>
      <c r="AC26" s="112"/>
      <c r="AD26" s="112"/>
      <c r="AE26" s="112"/>
      <c r="AF26" s="112"/>
      <c r="AG26" s="112"/>
      <c r="AH26" s="113"/>
      <c r="AI26" s="113"/>
      <c r="AJ26" s="432"/>
    </row>
    <row r="27" spans="1:36" ht="18.600000000000001" customHeight="1" x14ac:dyDescent="0.3">
      <c r="A27" s="83"/>
      <c r="B27" s="104"/>
      <c r="C27" s="408"/>
      <c r="D27" s="396"/>
      <c r="E27" s="210"/>
      <c r="F27" s="210"/>
      <c r="G27" s="210"/>
      <c r="H27" s="210"/>
      <c r="I27" s="210"/>
      <c r="J27" s="379"/>
      <c r="K27" s="210"/>
      <c r="L27" s="210"/>
      <c r="M27" s="210"/>
      <c r="N27" s="210"/>
      <c r="O27" s="210"/>
      <c r="P27" s="396"/>
      <c r="Q27" s="210"/>
      <c r="R27" s="390" t="str">
        <f t="shared" si="0"/>
        <v/>
      </c>
      <c r="S27" s="195" t="str" cm="1">
        <f t="array" aca="1" ref="S27" ca="1">+IF(R27="","",R27*INDIRECT(ADDRESS(MATCH(G27,'Cost Conversion'!$B$3:$B$48,0)+2,4,1,1,"Cost conversion"))*INDIRECT(ADDRESS(MATCH(H27,'Cost Conversion'!$F$3:$F$22,0)+2,8,1,1,"Cost conversion"))/IF(F27="$",'Cost Conversion'!$L$2,1))</f>
        <v/>
      </c>
      <c r="T27" s="106"/>
      <c r="U27" s="105"/>
      <c r="V27" s="120"/>
      <c r="W27" s="120"/>
      <c r="X27" s="112"/>
      <c r="Y27" s="112"/>
      <c r="Z27" s="112"/>
      <c r="AA27" s="112"/>
      <c r="AB27" s="112"/>
      <c r="AC27" s="112"/>
      <c r="AD27" s="112"/>
      <c r="AE27" s="112"/>
      <c r="AF27" s="112"/>
      <c r="AG27" s="112"/>
      <c r="AH27" s="113"/>
      <c r="AI27" s="113"/>
      <c r="AJ27" s="432"/>
    </row>
    <row r="28" spans="1:36" ht="18.600000000000001" customHeight="1" x14ac:dyDescent="0.3">
      <c r="A28" s="83"/>
      <c r="B28" s="104"/>
      <c r="C28" s="408"/>
      <c r="D28" s="396"/>
      <c r="E28" s="210"/>
      <c r="F28" s="210"/>
      <c r="G28" s="210"/>
      <c r="H28" s="210"/>
      <c r="I28" s="210"/>
      <c r="J28" s="379"/>
      <c r="K28" s="210"/>
      <c r="L28" s="210"/>
      <c r="M28" s="210"/>
      <c r="N28" s="210"/>
      <c r="O28" s="210"/>
      <c r="P28" s="396"/>
      <c r="Q28" s="210"/>
      <c r="R28" s="390" t="str">
        <f t="shared" si="0"/>
        <v/>
      </c>
      <c r="S28" s="195" t="str" cm="1">
        <f t="array" aca="1" ref="S28" ca="1">+IF(R28="","",R28*INDIRECT(ADDRESS(MATCH(G28,'Cost Conversion'!$B$3:$B$48,0)+2,4,1,1,"Cost conversion"))*INDIRECT(ADDRESS(MATCH(H28,'Cost Conversion'!$F$3:$F$22,0)+2,8,1,1,"Cost conversion"))/IF(F28="$",'Cost Conversion'!$L$2,1))</f>
        <v/>
      </c>
      <c r="T28" s="106"/>
      <c r="U28" s="105"/>
      <c r="V28" s="120"/>
      <c r="W28" s="120"/>
      <c r="X28" s="112"/>
      <c r="Y28" s="112"/>
      <c r="Z28" s="112"/>
      <c r="AA28" s="112"/>
      <c r="AB28" s="112"/>
      <c r="AC28" s="112"/>
      <c r="AD28" s="112"/>
      <c r="AE28" s="112"/>
      <c r="AF28" s="112"/>
      <c r="AG28" s="112"/>
      <c r="AH28" s="113"/>
      <c r="AI28" s="113"/>
      <c r="AJ28" s="432"/>
    </row>
    <row r="29" spans="1:36" ht="18.600000000000001" customHeight="1" x14ac:dyDescent="0.3">
      <c r="A29" s="83"/>
      <c r="B29" s="104"/>
      <c r="C29" s="438"/>
      <c r="D29" s="435"/>
      <c r="E29" s="597"/>
      <c r="F29" s="597"/>
      <c r="G29" s="597"/>
      <c r="H29" s="597"/>
      <c r="I29" s="597"/>
      <c r="J29" s="389"/>
      <c r="K29" s="380"/>
      <c r="L29" s="380"/>
      <c r="M29" s="380"/>
      <c r="N29" s="380"/>
      <c r="O29" s="380"/>
      <c r="P29" s="595"/>
      <c r="Q29" s="596"/>
      <c r="R29" s="390" t="str">
        <f t="shared" si="0"/>
        <v/>
      </c>
      <c r="S29" s="195" t="str" cm="1">
        <f t="array" aca="1" ref="S29" ca="1">+IF(R29="","",R29*INDIRECT(ADDRESS(MATCH(G29,'Cost Conversion'!$B$3:$B$48,0)+2,4,1,1,"Cost conversion"))*INDIRECT(ADDRESS(MATCH(H29,'Cost Conversion'!$F$3:$F$22,0)+2,8,1,1,"Cost conversion"))/IF(F29="$",'Cost Conversion'!$L$2,1))</f>
        <v/>
      </c>
      <c r="T29" s="106"/>
      <c r="U29" s="105"/>
      <c r="V29" s="120"/>
      <c r="W29" s="120"/>
      <c r="X29" s="112"/>
      <c r="Y29" s="112"/>
      <c r="Z29" s="112"/>
      <c r="AA29" s="112"/>
      <c r="AB29" s="112"/>
      <c r="AC29" s="112"/>
      <c r="AD29" s="112"/>
      <c r="AE29" s="112"/>
      <c r="AF29" s="112"/>
      <c r="AG29" s="112"/>
      <c r="AH29" s="113"/>
      <c r="AI29" s="113"/>
      <c r="AJ29" s="432"/>
    </row>
    <row r="30" spans="1:36" ht="18.600000000000001" customHeight="1" x14ac:dyDescent="0.3">
      <c r="A30" s="83"/>
      <c r="B30" s="104"/>
      <c r="C30" s="438"/>
      <c r="D30" s="435"/>
      <c r="E30" s="597"/>
      <c r="F30" s="597"/>
      <c r="G30" s="597"/>
      <c r="H30" s="597"/>
      <c r="I30" s="597"/>
      <c r="J30" s="389"/>
      <c r="K30" s="380"/>
      <c r="L30" s="380"/>
      <c r="M30" s="380"/>
      <c r="N30" s="380"/>
      <c r="O30" s="380"/>
      <c r="P30" s="595"/>
      <c r="Q30" s="596"/>
      <c r="R30" s="390" t="str">
        <f t="shared" si="0"/>
        <v/>
      </c>
      <c r="S30" s="195" t="str" cm="1">
        <f t="array" aca="1" ref="S30" ca="1">+IF(R30="","",R30*INDIRECT(ADDRESS(MATCH(G30,'Cost Conversion'!$B$3:$B$48,0)+2,4,1,1,"Cost conversion"))*INDIRECT(ADDRESS(MATCH(H30,'Cost Conversion'!$F$3:$F$22,0)+2,8,1,1,"Cost conversion"))/IF(F30="$",'Cost Conversion'!$L$2,1))</f>
        <v/>
      </c>
      <c r="T30" s="106"/>
      <c r="U30" s="105"/>
      <c r="V30" s="120"/>
      <c r="W30" s="120"/>
      <c r="X30" s="112"/>
      <c r="Y30" s="112"/>
      <c r="Z30" s="112"/>
      <c r="AA30" s="112"/>
      <c r="AB30" s="112"/>
      <c r="AC30" s="112"/>
      <c r="AD30" s="112"/>
      <c r="AE30" s="112"/>
      <c r="AF30" s="112"/>
      <c r="AG30" s="112"/>
      <c r="AH30" s="113"/>
      <c r="AI30" s="113"/>
      <c r="AJ30" s="432"/>
    </row>
    <row r="31" spans="1:36" ht="18.600000000000001" customHeight="1" x14ac:dyDescent="0.3">
      <c r="A31" s="83"/>
      <c r="B31" s="104"/>
      <c r="C31" s="438"/>
      <c r="D31" s="435"/>
      <c r="E31" s="597"/>
      <c r="F31" s="597"/>
      <c r="G31" s="597"/>
      <c r="H31" s="597"/>
      <c r="I31" s="597"/>
      <c r="J31" s="389"/>
      <c r="K31" s="380"/>
      <c r="L31" s="380"/>
      <c r="M31" s="380"/>
      <c r="N31" s="380"/>
      <c r="O31" s="380"/>
      <c r="P31" s="595"/>
      <c r="Q31" s="596"/>
      <c r="R31" s="390" t="str">
        <f t="shared" si="0"/>
        <v/>
      </c>
      <c r="S31" s="195" t="str" cm="1">
        <f t="array" aca="1" ref="S31" ca="1">+IF(R31="","",R31*INDIRECT(ADDRESS(MATCH(G31,'Cost Conversion'!$B$3:$B$48,0)+2,4,1,1,"Cost conversion"))*INDIRECT(ADDRESS(MATCH(H31,'Cost Conversion'!$F$3:$F$22,0)+2,8,1,1,"Cost conversion"))/IF(F31="$",'Cost Conversion'!$L$2,1))</f>
        <v/>
      </c>
      <c r="T31" s="106"/>
      <c r="U31" s="105"/>
      <c r="V31" s="120"/>
      <c r="W31" s="120"/>
      <c r="X31" s="112"/>
      <c r="Y31" s="112"/>
      <c r="Z31" s="112"/>
      <c r="AA31" s="112"/>
      <c r="AB31" s="112"/>
      <c r="AC31" s="112"/>
      <c r="AD31" s="112"/>
      <c r="AE31" s="112"/>
      <c r="AF31" s="112"/>
      <c r="AG31" s="112"/>
      <c r="AH31" s="113"/>
      <c r="AI31" s="113"/>
      <c r="AJ31" s="432"/>
    </row>
    <row r="32" spans="1:36" ht="18.600000000000001" customHeight="1" x14ac:dyDescent="0.3">
      <c r="A32" s="83"/>
      <c r="B32" s="104"/>
      <c r="C32" s="438"/>
      <c r="D32" s="435"/>
      <c r="E32" s="597"/>
      <c r="F32" s="597"/>
      <c r="G32" s="597"/>
      <c r="H32" s="597"/>
      <c r="I32" s="597"/>
      <c r="J32" s="389"/>
      <c r="K32" s="380"/>
      <c r="L32" s="380"/>
      <c r="M32" s="380"/>
      <c r="N32" s="380"/>
      <c r="O32" s="380"/>
      <c r="P32" s="595"/>
      <c r="Q32" s="596"/>
      <c r="R32" s="390" t="str">
        <f t="shared" si="0"/>
        <v/>
      </c>
      <c r="S32" s="195" t="str" cm="1">
        <f t="array" aca="1" ref="S32" ca="1">+IF(R32="","",R32*INDIRECT(ADDRESS(MATCH(G32,'Cost Conversion'!$B$3:$B$48,0)+2,4,1,1,"Cost conversion"))*INDIRECT(ADDRESS(MATCH(H32,'Cost Conversion'!$F$3:$F$22,0)+2,8,1,1,"Cost conversion"))/IF(F32="$",'Cost Conversion'!$L$2,1))</f>
        <v/>
      </c>
      <c r="T32" s="106"/>
      <c r="U32" s="105"/>
      <c r="V32" s="91"/>
      <c r="W32" s="120"/>
      <c r="X32" s="112"/>
      <c r="Y32" s="112"/>
      <c r="Z32" s="112"/>
      <c r="AA32" s="112"/>
      <c r="AB32" s="112"/>
      <c r="AC32" s="112"/>
      <c r="AD32" s="112"/>
      <c r="AE32" s="112"/>
      <c r="AF32" s="112"/>
      <c r="AG32" s="112"/>
      <c r="AH32" s="113"/>
      <c r="AI32" s="113"/>
      <c r="AJ32" s="433"/>
    </row>
    <row r="33" spans="1:36" ht="18.600000000000001" customHeight="1" x14ac:dyDescent="0.3">
      <c r="A33" s="83"/>
      <c r="B33" s="104"/>
      <c r="C33" s="438"/>
      <c r="D33" s="435"/>
      <c r="E33" s="597"/>
      <c r="F33" s="597"/>
      <c r="G33" s="597"/>
      <c r="H33" s="597"/>
      <c r="I33" s="597"/>
      <c r="J33" s="389"/>
      <c r="K33" s="380"/>
      <c r="L33" s="380"/>
      <c r="M33" s="399"/>
      <c r="N33" s="399"/>
      <c r="O33" s="399"/>
      <c r="P33" s="400"/>
      <c r="Q33" s="165"/>
      <c r="R33" s="390" t="str">
        <f t="shared" si="0"/>
        <v/>
      </c>
      <c r="S33" s="195" t="str" cm="1">
        <f t="array" aca="1" ref="S33" ca="1">+IF(R33="","",R33*INDIRECT(ADDRESS(MATCH(G33,'Cost Conversion'!$B$3:$B$48,0)+2,4,1,1,"Cost conversion"))*INDIRECT(ADDRESS(MATCH(H33,'Cost Conversion'!$F$3:$F$22,0)+2,8,1,1,"Cost conversion"))/IF(F33="$",'Cost Conversion'!$L$2,1))</f>
        <v/>
      </c>
      <c r="T33" s="106"/>
      <c r="U33" s="105"/>
      <c r="V33" s="120"/>
      <c r="W33" s="120"/>
      <c r="X33" s="112"/>
      <c r="Y33" s="112"/>
      <c r="Z33" s="112"/>
      <c r="AA33" s="112"/>
      <c r="AB33" s="112"/>
      <c r="AC33" s="112"/>
      <c r="AD33" s="112"/>
      <c r="AE33" s="112"/>
      <c r="AF33" s="112"/>
      <c r="AG33" s="112"/>
      <c r="AH33" s="113"/>
      <c r="AI33" s="113"/>
      <c r="AJ33" s="433"/>
    </row>
    <row r="34" spans="1:36" ht="18.600000000000001" customHeight="1" x14ac:dyDescent="0.3">
      <c r="A34" s="83"/>
      <c r="B34" s="104"/>
      <c r="C34" s="439"/>
      <c r="D34" s="398"/>
      <c r="E34" s="220"/>
      <c r="F34" s="220"/>
      <c r="G34" s="597"/>
      <c r="H34" s="597"/>
      <c r="I34" s="597"/>
      <c r="J34" s="389"/>
      <c r="K34" s="597"/>
      <c r="L34" s="92"/>
      <c r="M34" s="440"/>
      <c r="N34" s="440"/>
      <c r="O34" s="440"/>
      <c r="P34" s="940"/>
      <c r="Q34" s="941"/>
      <c r="R34" s="390" t="str">
        <f t="shared" si="0"/>
        <v/>
      </c>
      <c r="S34" s="195" t="str" cm="1">
        <f t="array" aca="1" ref="S34" ca="1">+IF(R34="","",R34*INDIRECT(ADDRESS(MATCH(G34,'Cost Conversion'!$B$3:$B$48,0)+2,4,1,1,"Cost conversion"))*INDIRECT(ADDRESS(MATCH(H34,'Cost Conversion'!$F$3:$F$22,0)+2,8,1,1,"Cost conversion"))/IF(F34="$",'Cost Conversion'!$L$2,1))</f>
        <v/>
      </c>
      <c r="T34" s="106"/>
      <c r="U34" s="105"/>
      <c r="V34" s="120"/>
      <c r="W34" s="104"/>
      <c r="X34" s="105"/>
      <c r="Y34" s="105"/>
      <c r="Z34" s="105"/>
      <c r="AA34" s="105"/>
      <c r="AB34" s="105"/>
      <c r="AC34" s="105"/>
      <c r="AD34" s="105"/>
      <c r="AE34" s="105"/>
      <c r="AF34" s="105"/>
      <c r="AG34" s="105"/>
      <c r="AH34" s="113"/>
      <c r="AI34" s="113"/>
      <c r="AJ34" s="433"/>
    </row>
    <row r="35" spans="1:36" ht="18.600000000000001" customHeight="1" x14ac:dyDescent="0.3">
      <c r="A35" s="83"/>
      <c r="B35" s="104"/>
      <c r="C35" s="402"/>
      <c r="D35" s="403"/>
      <c r="E35" s="403"/>
      <c r="F35" s="403"/>
      <c r="G35" s="403"/>
      <c r="H35" s="403"/>
      <c r="I35" s="403"/>
      <c r="J35" s="403"/>
      <c r="K35" s="403"/>
      <c r="L35" s="403"/>
      <c r="M35" s="403"/>
      <c r="N35" s="403"/>
      <c r="O35" s="403"/>
      <c r="P35" s="403"/>
      <c r="Q35" s="403"/>
      <c r="R35" s="404"/>
      <c r="S35" s="610" t="s">
        <v>639</v>
      </c>
      <c r="T35" s="106"/>
      <c r="U35" s="105"/>
      <c r="V35" s="120"/>
      <c r="W35" s="120"/>
      <c r="X35" s="112"/>
      <c r="Y35" s="112"/>
      <c r="Z35" s="112"/>
      <c r="AA35" s="112"/>
      <c r="AB35" s="112"/>
      <c r="AC35" s="112"/>
      <c r="AD35" s="112"/>
      <c r="AE35" s="112"/>
      <c r="AF35" s="112"/>
      <c r="AG35" s="112"/>
      <c r="AH35" s="113"/>
      <c r="AI35" s="113"/>
      <c r="AJ35" s="433"/>
    </row>
    <row r="36" spans="1:36" ht="18.600000000000001" customHeight="1" x14ac:dyDescent="0.3">
      <c r="A36" s="83"/>
      <c r="B36" s="104"/>
      <c r="C36" s="405"/>
      <c r="D36" s="406"/>
      <c r="E36" s="406"/>
      <c r="F36" s="406"/>
      <c r="G36" s="406"/>
      <c r="H36" s="406"/>
      <c r="I36" s="406"/>
      <c r="J36" s="406"/>
      <c r="K36" s="406"/>
      <c r="L36" s="406"/>
      <c r="M36" s="406"/>
      <c r="N36" s="406"/>
      <c r="O36" s="406"/>
      <c r="P36" s="406"/>
      <c r="Q36" s="406"/>
      <c r="R36" s="407"/>
      <c r="S36" s="285" t="str">
        <f ca="1">IF(SUM(S13:S34)&gt;0,SUM(S13:S34),"")</f>
        <v/>
      </c>
      <c r="T36" s="106"/>
      <c r="U36" s="105"/>
      <c r="V36" s="120"/>
      <c r="W36" s="121"/>
      <c r="X36" s="122"/>
      <c r="Y36" s="122"/>
      <c r="Z36" s="122"/>
      <c r="AA36" s="122"/>
      <c r="AB36" s="122"/>
      <c r="AC36" s="122"/>
      <c r="AD36" s="122"/>
      <c r="AE36" s="122"/>
      <c r="AF36" s="122"/>
      <c r="AG36" s="122"/>
      <c r="AH36" s="123"/>
      <c r="AI36" s="113"/>
      <c r="AJ36" s="433"/>
    </row>
    <row r="37" spans="1:36" ht="18.600000000000001" customHeight="1" x14ac:dyDescent="0.3">
      <c r="A37" s="83"/>
      <c r="B37" s="107"/>
      <c r="C37" s="108"/>
      <c r="D37" s="108"/>
      <c r="E37" s="108"/>
      <c r="F37" s="108"/>
      <c r="G37" s="108"/>
      <c r="H37" s="108"/>
      <c r="I37" s="108"/>
      <c r="J37" s="108"/>
      <c r="K37" s="108"/>
      <c r="L37" s="108"/>
      <c r="M37" s="108"/>
      <c r="N37" s="108"/>
      <c r="O37" s="108"/>
      <c r="P37" s="108"/>
      <c r="Q37" s="108"/>
      <c r="R37" s="108"/>
      <c r="S37" s="395"/>
      <c r="T37" s="109"/>
      <c r="U37" s="105"/>
      <c r="V37" s="121"/>
      <c r="W37" s="122"/>
      <c r="X37" s="122"/>
      <c r="Y37" s="122"/>
      <c r="Z37" s="122"/>
      <c r="AA37" s="122"/>
      <c r="AB37" s="122"/>
      <c r="AC37" s="122"/>
      <c r="AD37" s="122"/>
      <c r="AE37" s="122"/>
      <c r="AF37" s="122"/>
      <c r="AG37" s="122"/>
      <c r="AH37" s="122"/>
      <c r="AI37" s="123"/>
      <c r="AJ37" s="433"/>
    </row>
    <row r="38" spans="1:36" ht="18.600000000000001" customHeight="1" x14ac:dyDescent="0.3">
      <c r="A38" s="83"/>
      <c r="B38" s="83"/>
      <c r="C38" s="197"/>
      <c r="D38" s="197"/>
      <c r="E38" s="197"/>
      <c r="F38" s="197"/>
      <c r="G38" s="197"/>
      <c r="H38" s="197"/>
      <c r="I38" s="197"/>
      <c r="J38" s="197"/>
      <c r="K38" s="197"/>
      <c r="L38" s="197"/>
      <c r="M38" s="176"/>
      <c r="N38" s="197"/>
      <c r="O38" s="197"/>
      <c r="P38" s="197"/>
      <c r="Q38" s="197"/>
      <c r="S38" s="83"/>
      <c r="T38" s="83"/>
      <c r="U38" s="83"/>
      <c r="V38" s="105"/>
      <c r="W38" s="105"/>
      <c r="X38" s="105"/>
      <c r="Y38" s="105"/>
      <c r="Z38" s="105"/>
      <c r="AA38" s="105"/>
      <c r="AB38" s="105"/>
      <c r="AC38" s="105"/>
      <c r="AD38" s="105"/>
      <c r="AE38" s="105"/>
      <c r="AF38" s="105"/>
      <c r="AG38" s="105"/>
      <c r="AH38" s="105"/>
      <c r="AI38" s="105"/>
      <c r="AJ38" s="433"/>
    </row>
    <row r="39" spans="1:36" ht="18.600000000000001" customHeight="1" x14ac:dyDescent="0.3">
      <c r="A39" s="83"/>
      <c r="B39" s="879" t="str">
        <f>+"BEC Distribution: "&amp;E6</f>
        <v>BEC Distribution: Unit 4</v>
      </c>
      <c r="C39" s="880"/>
      <c r="D39" s="880"/>
      <c r="E39" s="880"/>
      <c r="F39" s="880"/>
      <c r="G39" s="879" t="str">
        <f>+"Estimate Benchmark: "&amp;E6</f>
        <v>Estimate Benchmark: Unit 4</v>
      </c>
      <c r="H39" s="880"/>
      <c r="I39" s="880"/>
      <c r="J39" s="881"/>
      <c r="K39" s="879" t="s">
        <v>634</v>
      </c>
      <c r="L39" s="880"/>
      <c r="M39" s="881"/>
      <c r="N39" s="176"/>
      <c r="O39" s="176"/>
      <c r="P39" s="176"/>
      <c r="Q39" s="197"/>
      <c r="R39" s="105"/>
      <c r="S39" s="105"/>
      <c r="T39" s="83"/>
      <c r="U39" s="83"/>
      <c r="V39" s="83"/>
      <c r="W39" s="83"/>
      <c r="X39" s="178"/>
      <c r="Y39" s="178"/>
      <c r="Z39" s="178"/>
      <c r="AA39" s="178"/>
      <c r="AB39" s="178"/>
      <c r="AC39" s="178"/>
      <c r="AD39" s="178"/>
      <c r="AE39" s="178"/>
      <c r="AF39" s="178"/>
      <c r="AG39" s="178"/>
      <c r="AH39" s="178"/>
      <c r="AI39" s="83"/>
      <c r="AJ39" s="432"/>
    </row>
    <row r="40" spans="1:36" ht="18.600000000000001" customHeight="1" x14ac:dyDescent="0.3">
      <c r="A40" s="83"/>
      <c r="B40" s="101"/>
      <c r="C40" s="346"/>
      <c r="D40" s="329"/>
      <c r="E40" s="329"/>
      <c r="F40" s="124"/>
      <c r="G40" s="349"/>
      <c r="H40" s="346"/>
      <c r="I40" s="346"/>
      <c r="J40" s="350"/>
      <c r="K40" s="788" t="s">
        <v>589</v>
      </c>
      <c r="L40" s="944" t="s">
        <v>633</v>
      </c>
      <c r="M40" s="945"/>
      <c r="N40" s="176"/>
      <c r="O40" s="176"/>
      <c r="P40" s="176"/>
      <c r="Q40" s="197"/>
      <c r="R40" s="198"/>
      <c r="S40" s="105"/>
      <c r="T40" s="83"/>
      <c r="U40" s="83"/>
      <c r="V40" s="83"/>
      <c r="W40" s="83"/>
      <c r="X40" s="178"/>
      <c r="Y40" s="178"/>
      <c r="Z40" s="178"/>
      <c r="AA40" s="178"/>
      <c r="AB40" s="178">
        <v>1995</v>
      </c>
      <c r="AC40" s="178">
        <v>381.1</v>
      </c>
      <c r="AD40" s="178">
        <v>1.5825242718446602</v>
      </c>
      <c r="AE40" s="178"/>
      <c r="AF40" s="178"/>
      <c r="AG40" s="178"/>
      <c r="AH40" s="178"/>
      <c r="AI40" s="83"/>
      <c r="AJ40" s="432"/>
    </row>
    <row r="41" spans="1:36" ht="18.600000000000001" customHeight="1" x14ac:dyDescent="0.3">
      <c r="A41" s="83"/>
      <c r="B41" s="104"/>
      <c r="C41" s="177"/>
      <c r="D41" s="92"/>
      <c r="E41" s="92"/>
      <c r="F41" s="84"/>
      <c r="G41" s="351"/>
      <c r="H41" s="177"/>
      <c r="I41" s="177"/>
      <c r="J41" s="177"/>
      <c r="K41" s="620" t="str">
        <f>+IF(C13="","",TEXT(C13,0))</f>
        <v/>
      </c>
      <c r="L41" s="934"/>
      <c r="M41" s="935"/>
      <c r="N41" s="176"/>
      <c r="O41" s="176"/>
      <c r="P41" s="176"/>
      <c r="Q41" s="197"/>
      <c r="R41" s="409"/>
      <c r="S41" s="105"/>
      <c r="T41" s="83"/>
      <c r="U41" s="83"/>
      <c r="V41" s="83"/>
      <c r="W41" s="83"/>
      <c r="X41" s="178"/>
      <c r="Y41" s="178"/>
      <c r="Z41" s="178"/>
      <c r="AA41" s="178"/>
      <c r="AB41" s="178">
        <v>1996</v>
      </c>
      <c r="AC41" s="178">
        <v>381.7</v>
      </c>
      <c r="AD41" s="178">
        <v>1.5800366780193871</v>
      </c>
      <c r="AE41" s="178"/>
      <c r="AF41" s="178"/>
      <c r="AG41" s="178"/>
      <c r="AH41" s="178"/>
      <c r="AI41" s="83"/>
      <c r="AJ41" s="432"/>
    </row>
    <row r="42" spans="1:36" ht="18.600000000000001" customHeight="1" x14ac:dyDescent="0.3">
      <c r="A42" s="83"/>
      <c r="B42" s="104"/>
      <c r="C42" s="177"/>
      <c r="D42" s="92"/>
      <c r="E42" s="92"/>
      <c r="F42" s="84"/>
      <c r="G42" s="351"/>
      <c r="H42" s="177"/>
      <c r="I42" s="177"/>
      <c r="J42" s="177"/>
      <c r="K42" s="621"/>
      <c r="L42" s="932"/>
      <c r="M42" s="933"/>
      <c r="N42" s="176"/>
      <c r="O42" s="176"/>
      <c r="P42" s="176"/>
      <c r="Q42" s="197"/>
      <c r="R42" s="198"/>
      <c r="S42" s="105"/>
      <c r="T42" s="83"/>
      <c r="U42" s="83"/>
      <c r="V42" s="83"/>
      <c r="W42" s="83"/>
      <c r="X42" s="178"/>
      <c r="Y42" s="178"/>
      <c r="Z42" s="178"/>
      <c r="AA42" s="178"/>
      <c r="AB42" s="178">
        <v>1997</v>
      </c>
      <c r="AC42" s="178">
        <v>386.5</v>
      </c>
      <c r="AD42" s="178">
        <v>1.5604139715394567</v>
      </c>
      <c r="AE42" s="178"/>
      <c r="AF42" s="178"/>
      <c r="AG42" s="178"/>
      <c r="AH42" s="178"/>
      <c r="AI42" s="83"/>
      <c r="AJ42" s="432"/>
    </row>
    <row r="43" spans="1:36" ht="18.600000000000001" customHeight="1" x14ac:dyDescent="0.3">
      <c r="A43" s="83"/>
      <c r="B43" s="104"/>
      <c r="C43" s="177"/>
      <c r="D43" s="92"/>
      <c r="E43" s="92"/>
      <c r="F43" s="84"/>
      <c r="G43" s="351"/>
      <c r="H43" s="177"/>
      <c r="I43" s="177"/>
      <c r="J43" s="177"/>
      <c r="K43" s="621"/>
      <c r="L43" s="932"/>
      <c r="M43" s="933"/>
      <c r="N43" s="176"/>
      <c r="O43" s="176"/>
      <c r="P43" s="176"/>
      <c r="Q43" s="197"/>
      <c r="R43" s="197"/>
      <c r="S43" s="83"/>
      <c r="T43" s="83"/>
      <c r="U43" s="83"/>
      <c r="V43" s="83"/>
      <c r="W43" s="83"/>
      <c r="X43" s="178"/>
      <c r="Y43" s="178"/>
      <c r="Z43" s="178"/>
      <c r="AA43" s="178"/>
      <c r="AB43" s="178"/>
      <c r="AC43" s="178"/>
      <c r="AD43" s="178"/>
      <c r="AE43" s="178"/>
      <c r="AF43" s="178"/>
      <c r="AG43" s="178"/>
      <c r="AH43" s="178"/>
      <c r="AI43" s="83"/>
      <c r="AJ43" s="432"/>
    </row>
    <row r="44" spans="1:36" ht="18.600000000000001" customHeight="1" x14ac:dyDescent="0.3">
      <c r="A44" s="83"/>
      <c r="B44" s="104"/>
      <c r="C44" s="177"/>
      <c r="D44" s="92"/>
      <c r="E44" s="92"/>
      <c r="F44" s="84"/>
      <c r="G44" s="351"/>
      <c r="H44" s="177"/>
      <c r="I44" s="177"/>
      <c r="J44" s="177"/>
      <c r="K44" s="621"/>
      <c r="L44" s="932"/>
      <c r="M44" s="933"/>
      <c r="N44" s="176"/>
      <c r="O44" s="176"/>
      <c r="P44" s="176"/>
      <c r="Q44" s="197"/>
      <c r="R44" s="197"/>
      <c r="S44" s="83"/>
      <c r="T44" s="83"/>
      <c r="U44" s="83"/>
      <c r="V44" s="83"/>
      <c r="W44" s="83"/>
      <c r="X44" s="178"/>
      <c r="Y44" s="178"/>
      <c r="Z44" s="178"/>
      <c r="AA44" s="178"/>
      <c r="AB44" s="178">
        <v>1998</v>
      </c>
      <c r="AC44" s="178">
        <v>389.5</v>
      </c>
      <c r="AD44" s="178">
        <v>1.548395378690629</v>
      </c>
      <c r="AE44" s="178"/>
      <c r="AF44" s="178"/>
      <c r="AG44" s="178"/>
      <c r="AH44" s="178"/>
      <c r="AI44" s="83"/>
      <c r="AJ44" s="83"/>
    </row>
    <row r="45" spans="1:36" ht="18.600000000000001" customHeight="1" x14ac:dyDescent="0.3">
      <c r="A45" s="83"/>
      <c r="B45" s="104"/>
      <c r="C45" s="177"/>
      <c r="D45" s="92"/>
      <c r="E45" s="92"/>
      <c r="F45" s="84"/>
      <c r="G45" s="351"/>
      <c r="H45" s="177"/>
      <c r="I45" s="177"/>
      <c r="J45" s="177"/>
      <c r="K45" s="621"/>
      <c r="L45" s="380"/>
      <c r="M45" s="347"/>
      <c r="N45" s="176"/>
      <c r="O45" s="176"/>
      <c r="P45" s="176"/>
      <c r="Q45" s="197"/>
      <c r="R45" s="197"/>
      <c r="S45" s="83"/>
      <c r="T45" s="83"/>
      <c r="U45" s="83"/>
      <c r="V45" s="83"/>
      <c r="W45" s="83"/>
      <c r="X45" s="178"/>
      <c r="Y45" s="178"/>
      <c r="Z45" s="178"/>
      <c r="AA45" s="178"/>
      <c r="AB45" s="178">
        <v>1999</v>
      </c>
      <c r="AC45" s="178">
        <v>390.6</v>
      </c>
      <c r="AD45" s="178">
        <v>1.5440348182283665</v>
      </c>
      <c r="AE45" s="178"/>
      <c r="AF45" s="178"/>
      <c r="AG45" s="178"/>
      <c r="AH45" s="178"/>
      <c r="AI45" s="83"/>
      <c r="AJ45" s="83"/>
    </row>
    <row r="46" spans="1:36" ht="18.600000000000001" customHeight="1" x14ac:dyDescent="0.3">
      <c r="A46" s="83"/>
      <c r="B46" s="104"/>
      <c r="C46" s="177"/>
      <c r="D46" s="92"/>
      <c r="E46" s="92"/>
      <c r="F46" s="84"/>
      <c r="G46" s="351"/>
      <c r="H46" s="177"/>
      <c r="I46" s="177"/>
      <c r="J46" s="177"/>
      <c r="K46" s="621"/>
      <c r="L46" s="380"/>
      <c r="M46" s="347"/>
      <c r="N46" s="176"/>
      <c r="O46" s="176"/>
      <c r="P46" s="176"/>
      <c r="Q46" s="197"/>
      <c r="R46" s="197"/>
      <c r="S46" s="83"/>
      <c r="T46" s="83"/>
      <c r="U46" s="83"/>
      <c r="V46" s="83"/>
      <c r="W46" s="83"/>
      <c r="X46" s="178"/>
      <c r="Y46" s="178"/>
      <c r="Z46" s="178"/>
      <c r="AA46" s="178"/>
      <c r="AB46" s="178">
        <v>2000</v>
      </c>
      <c r="AC46" s="178">
        <v>394.1</v>
      </c>
      <c r="AD46" s="178">
        <v>1.5303222532352194</v>
      </c>
      <c r="AE46" s="178"/>
      <c r="AF46" s="178"/>
      <c r="AG46" s="178"/>
      <c r="AH46" s="178"/>
      <c r="AI46" s="83"/>
      <c r="AJ46" s="83"/>
    </row>
    <row r="47" spans="1:36" ht="18.600000000000001" customHeight="1" x14ac:dyDescent="0.3">
      <c r="A47" s="83"/>
      <c r="B47" s="104"/>
      <c r="C47" s="177"/>
      <c r="D47" s="92"/>
      <c r="E47" s="92"/>
      <c r="F47" s="84"/>
      <c r="G47" s="351"/>
      <c r="H47" s="177"/>
      <c r="I47" s="177"/>
      <c r="J47" s="177"/>
      <c r="K47" s="621" t="str">
        <f>+IF(C19="","",TEXT(C19,0))</f>
        <v/>
      </c>
      <c r="L47" s="380"/>
      <c r="M47" s="347"/>
      <c r="N47" s="176"/>
      <c r="O47" s="176"/>
      <c r="P47" s="176"/>
      <c r="Q47" s="197"/>
      <c r="R47" s="197"/>
      <c r="S47" s="83"/>
      <c r="T47" s="83"/>
      <c r="U47" s="83"/>
      <c r="V47" s="83"/>
      <c r="W47" s="83"/>
      <c r="X47" s="178"/>
      <c r="Y47" s="178"/>
      <c r="Z47" s="178"/>
      <c r="AA47" s="178"/>
      <c r="AB47" s="178">
        <v>2001</v>
      </c>
      <c r="AC47" s="178">
        <v>394.3</v>
      </c>
      <c r="AD47" s="178">
        <v>1.5295460309409079</v>
      </c>
      <c r="AE47" s="178"/>
      <c r="AF47" s="178"/>
      <c r="AG47" s="178"/>
      <c r="AH47" s="178"/>
      <c r="AI47" s="83"/>
      <c r="AJ47" s="83"/>
    </row>
    <row r="48" spans="1:36" ht="18.600000000000001" customHeight="1" x14ac:dyDescent="0.3">
      <c r="A48" s="83"/>
      <c r="B48" s="104"/>
      <c r="C48" s="177"/>
      <c r="D48" s="92"/>
      <c r="E48" s="92"/>
      <c r="F48" s="84"/>
      <c r="G48" s="351"/>
      <c r="H48" s="177"/>
      <c r="I48" s="177"/>
      <c r="J48" s="177"/>
      <c r="K48" s="621"/>
      <c r="L48" s="380"/>
      <c r="M48" s="347"/>
      <c r="N48" s="176"/>
      <c r="O48" s="176"/>
      <c r="P48" s="176"/>
      <c r="Q48" s="197"/>
      <c r="R48" s="197"/>
      <c r="S48" s="83"/>
      <c r="T48" s="83"/>
      <c r="U48" s="83"/>
      <c r="V48" s="83"/>
      <c r="W48" s="83"/>
      <c r="X48" s="178"/>
      <c r="Y48" s="178"/>
      <c r="Z48" s="178"/>
      <c r="AA48" s="178"/>
      <c r="AB48" s="178">
        <v>2002</v>
      </c>
      <c r="AC48" s="178">
        <v>395.6</v>
      </c>
      <c r="AD48" s="178">
        <v>1.5245197168857432</v>
      </c>
      <c r="AE48" s="178"/>
      <c r="AF48" s="178"/>
      <c r="AG48" s="178"/>
      <c r="AH48" s="178"/>
      <c r="AI48" s="83"/>
      <c r="AJ48" s="83"/>
    </row>
    <row r="49" spans="1:36" ht="18.600000000000001" customHeight="1" x14ac:dyDescent="0.3">
      <c r="A49" s="83"/>
      <c r="B49" s="104"/>
      <c r="C49" s="177"/>
      <c r="D49" s="92"/>
      <c r="E49" s="92"/>
      <c r="F49" s="84"/>
      <c r="G49" s="351"/>
      <c r="H49" s="177"/>
      <c r="I49" s="177"/>
      <c r="J49" s="177"/>
      <c r="K49" s="621"/>
      <c r="L49" s="380"/>
      <c r="M49" s="347"/>
      <c r="N49" s="176"/>
      <c r="O49" s="176"/>
      <c r="P49" s="176"/>
      <c r="Q49" s="197"/>
      <c r="R49" s="197"/>
      <c r="S49" s="83"/>
      <c r="T49" s="83"/>
      <c r="U49" s="83"/>
      <c r="V49" s="83"/>
      <c r="W49" s="83"/>
      <c r="X49" s="178"/>
      <c r="Y49" s="178"/>
      <c r="Z49" s="178"/>
      <c r="AA49" s="178"/>
      <c r="AB49" s="178">
        <v>2003</v>
      </c>
      <c r="AC49" s="178">
        <v>402</v>
      </c>
      <c r="AD49" s="178">
        <v>1.5002487562189055</v>
      </c>
      <c r="AE49" s="178"/>
      <c r="AF49" s="178"/>
      <c r="AG49" s="178"/>
      <c r="AH49" s="178"/>
      <c r="AI49" s="83"/>
      <c r="AJ49" s="83"/>
    </row>
    <row r="50" spans="1:36" ht="18.600000000000001" customHeight="1" x14ac:dyDescent="0.3">
      <c r="A50" s="83"/>
      <c r="B50" s="104"/>
      <c r="C50" s="177"/>
      <c r="D50" s="92"/>
      <c r="E50" s="92"/>
      <c r="F50" s="84"/>
      <c r="G50" s="351"/>
      <c r="H50" s="177"/>
      <c r="I50" s="177"/>
      <c r="J50" s="177"/>
      <c r="K50" s="621"/>
      <c r="L50" s="380"/>
      <c r="M50" s="347"/>
      <c r="N50" s="176"/>
      <c r="O50" s="176"/>
      <c r="P50" s="176"/>
      <c r="Q50" s="197"/>
      <c r="R50" s="197"/>
      <c r="S50" s="83"/>
      <c r="T50" s="83"/>
      <c r="U50" s="83"/>
      <c r="V50" s="83"/>
      <c r="W50" s="83"/>
      <c r="X50" s="178"/>
      <c r="Y50" s="178"/>
      <c r="Z50" s="178"/>
      <c r="AA50" s="178"/>
      <c r="AB50" s="178">
        <v>2004</v>
      </c>
      <c r="AC50" s="178">
        <v>444.2</v>
      </c>
      <c r="AD50" s="178">
        <v>1.3577217469608285</v>
      </c>
      <c r="AE50" s="178"/>
      <c r="AF50" s="178"/>
      <c r="AG50" s="178"/>
      <c r="AH50" s="178"/>
      <c r="AI50" s="83"/>
      <c r="AJ50" s="83"/>
    </row>
    <row r="51" spans="1:36" ht="18.600000000000001" customHeight="1" x14ac:dyDescent="0.3">
      <c r="A51" s="83"/>
      <c r="B51" s="104"/>
      <c r="C51" s="177"/>
      <c r="D51" s="92"/>
      <c r="E51" s="92"/>
      <c r="F51" s="84"/>
      <c r="G51" s="351"/>
      <c r="H51" s="177"/>
      <c r="I51" s="177"/>
      <c r="J51" s="177"/>
      <c r="K51" s="621"/>
      <c r="L51" s="380"/>
      <c r="M51" s="347"/>
      <c r="N51" s="176"/>
      <c r="O51" s="176"/>
      <c r="P51" s="176"/>
      <c r="Q51" s="197"/>
      <c r="R51" s="197"/>
      <c r="S51" s="83"/>
      <c r="T51" s="83"/>
      <c r="U51" s="83"/>
      <c r="V51" s="83"/>
      <c r="W51" s="83"/>
      <c r="X51" s="178"/>
      <c r="Y51" s="178"/>
      <c r="Z51" s="178"/>
      <c r="AA51" s="178"/>
      <c r="AB51" s="178">
        <v>2005</v>
      </c>
      <c r="AC51" s="178">
        <v>468.2</v>
      </c>
      <c r="AD51" s="178">
        <v>1.2881247330200769</v>
      </c>
      <c r="AE51" s="178"/>
      <c r="AF51" s="178"/>
      <c r="AG51" s="178"/>
      <c r="AH51" s="178"/>
      <c r="AI51" s="83"/>
      <c r="AJ51" s="83"/>
    </row>
    <row r="52" spans="1:36" ht="18.600000000000001" customHeight="1" x14ac:dyDescent="0.3">
      <c r="A52" s="83"/>
      <c r="B52" s="104"/>
      <c r="C52" s="177"/>
      <c r="D52" s="92"/>
      <c r="E52" s="92"/>
      <c r="F52" s="84"/>
      <c r="G52" s="351"/>
      <c r="H52" s="177"/>
      <c r="I52" s="177"/>
      <c r="J52" s="177"/>
      <c r="K52" s="621"/>
      <c r="L52" s="380"/>
      <c r="M52" s="347"/>
      <c r="N52" s="176"/>
      <c r="O52" s="176"/>
      <c r="P52" s="176"/>
      <c r="Q52" s="197"/>
      <c r="R52" s="197"/>
      <c r="S52" s="83"/>
      <c r="T52" s="83"/>
      <c r="U52" s="83"/>
      <c r="V52" s="83"/>
      <c r="W52" s="83"/>
      <c r="X52" s="178"/>
      <c r="Y52" s="178"/>
      <c r="Z52" s="178"/>
      <c r="AA52" s="178"/>
      <c r="AB52" s="178"/>
      <c r="AC52" s="178"/>
      <c r="AD52" s="178"/>
      <c r="AE52" s="178"/>
      <c r="AF52" s="178"/>
      <c r="AG52" s="178"/>
      <c r="AH52" s="178"/>
      <c r="AI52" s="83"/>
      <c r="AJ52" s="83"/>
    </row>
    <row r="53" spans="1:36" ht="18.600000000000001" customHeight="1" x14ac:dyDescent="0.3">
      <c r="A53" s="83"/>
      <c r="B53" s="104"/>
      <c r="C53" s="177"/>
      <c r="D53" s="92"/>
      <c r="E53" s="92"/>
      <c r="F53" s="84"/>
      <c r="G53" s="351"/>
      <c r="H53" s="177"/>
      <c r="I53" s="177"/>
      <c r="J53" s="177"/>
      <c r="K53" s="622"/>
      <c r="L53" s="380"/>
      <c r="M53" s="347"/>
      <c r="N53" s="176"/>
      <c r="O53" s="176"/>
      <c r="P53" s="176"/>
      <c r="Q53" s="197"/>
      <c r="R53" s="197"/>
      <c r="S53" s="83"/>
      <c r="T53" s="83"/>
      <c r="U53" s="83"/>
      <c r="V53" s="83"/>
      <c r="W53" s="83"/>
      <c r="X53" s="178"/>
      <c r="Y53" s="178"/>
      <c r="Z53" s="178"/>
      <c r="AA53" s="178"/>
      <c r="AB53" s="178">
        <v>2006</v>
      </c>
      <c r="AC53" s="178">
        <v>499.6</v>
      </c>
      <c r="AD53" s="178">
        <v>1.2071657325860687</v>
      </c>
      <c r="AE53" s="178"/>
      <c r="AF53" s="178"/>
      <c r="AG53" s="178"/>
      <c r="AH53" s="178"/>
      <c r="AI53" s="83"/>
      <c r="AJ53" s="83"/>
    </row>
    <row r="54" spans="1:36" ht="18.600000000000001" customHeight="1" x14ac:dyDescent="0.3">
      <c r="A54" s="83"/>
      <c r="B54" s="104"/>
      <c r="C54" s="177"/>
      <c r="D54" s="92"/>
      <c r="E54" s="92"/>
      <c r="F54" s="84"/>
      <c r="G54" s="351"/>
      <c r="H54" s="177"/>
      <c r="I54" s="177"/>
      <c r="J54" s="177"/>
      <c r="K54" s="622"/>
      <c r="L54" s="380"/>
      <c r="M54" s="347"/>
      <c r="N54" s="176"/>
      <c r="O54" s="176"/>
      <c r="P54" s="176"/>
      <c r="Q54" s="197"/>
      <c r="R54" s="197"/>
      <c r="S54" s="83"/>
      <c r="T54" s="83"/>
      <c r="U54" s="83"/>
      <c r="V54" s="83"/>
      <c r="W54" s="83"/>
      <c r="X54" s="178"/>
      <c r="Y54" s="178"/>
      <c r="Z54" s="178"/>
      <c r="AA54" s="178"/>
      <c r="AB54" s="178">
        <v>2007</v>
      </c>
      <c r="AC54" s="178">
        <v>525.4</v>
      </c>
      <c r="AD54" s="178">
        <v>1.147887323943662</v>
      </c>
      <c r="AE54" s="178"/>
      <c r="AF54" s="178"/>
      <c r="AG54" s="178"/>
      <c r="AH54" s="178"/>
      <c r="AI54" s="83"/>
      <c r="AJ54" s="83"/>
    </row>
    <row r="55" spans="1:36" ht="18.600000000000001" customHeight="1" x14ac:dyDescent="0.3">
      <c r="A55" s="83"/>
      <c r="B55" s="104"/>
      <c r="C55" s="177"/>
      <c r="D55" s="92"/>
      <c r="E55" s="92"/>
      <c r="F55" s="84"/>
      <c r="G55" s="351"/>
      <c r="H55" s="177"/>
      <c r="I55" s="177"/>
      <c r="J55" s="177"/>
      <c r="K55" s="622"/>
      <c r="L55" s="380"/>
      <c r="M55" s="347"/>
      <c r="N55" s="176"/>
      <c r="O55" s="176"/>
      <c r="P55" s="176"/>
      <c r="Q55" s="197"/>
      <c r="R55" s="197"/>
      <c r="S55" s="83"/>
      <c r="T55" s="83"/>
      <c r="U55" s="83"/>
      <c r="V55" s="83"/>
      <c r="W55" s="83"/>
      <c r="X55" s="178"/>
      <c r="Y55" s="178"/>
      <c r="Z55" s="178"/>
      <c r="AA55" s="178"/>
      <c r="AB55" s="178">
        <v>2008</v>
      </c>
      <c r="AC55" s="178">
        <v>575.4</v>
      </c>
      <c r="AD55" s="178">
        <v>1.0481404240528329</v>
      </c>
      <c r="AE55" s="178"/>
      <c r="AF55" s="178"/>
      <c r="AG55" s="178"/>
      <c r="AH55" s="178"/>
      <c r="AI55" s="83"/>
      <c r="AJ55" s="83"/>
    </row>
    <row r="56" spans="1:36" ht="18.600000000000001" customHeight="1" x14ac:dyDescent="0.3">
      <c r="A56" s="83"/>
      <c r="B56" s="104"/>
      <c r="C56" s="177"/>
      <c r="D56" s="92"/>
      <c r="E56" s="92"/>
      <c r="F56" s="84"/>
      <c r="G56" s="351"/>
      <c r="H56" s="177"/>
      <c r="I56" s="177"/>
      <c r="J56" s="177"/>
      <c r="K56" s="622"/>
      <c r="L56" s="380"/>
      <c r="M56" s="347"/>
      <c r="N56" s="176"/>
      <c r="O56" s="176"/>
      <c r="P56" s="176"/>
      <c r="Q56" s="197"/>
      <c r="R56" s="197"/>
      <c r="S56" s="83"/>
      <c r="T56" s="83"/>
      <c r="U56" s="83"/>
      <c r="V56" s="83"/>
      <c r="W56" s="83"/>
      <c r="X56" s="178"/>
      <c r="Y56" s="178"/>
      <c r="Z56" s="178"/>
      <c r="AA56" s="178"/>
      <c r="AB56" s="178">
        <v>2009</v>
      </c>
      <c r="AC56" s="178">
        <v>521.9</v>
      </c>
      <c r="AD56" s="178">
        <v>1.1555853611803029</v>
      </c>
      <c r="AE56" s="178"/>
      <c r="AF56" s="178"/>
      <c r="AG56" s="178"/>
      <c r="AH56" s="178"/>
      <c r="AI56" s="83"/>
      <c r="AJ56" s="83"/>
    </row>
    <row r="57" spans="1:36" ht="18.600000000000001" customHeight="1" x14ac:dyDescent="0.3">
      <c r="A57" s="83"/>
      <c r="B57" s="104"/>
      <c r="C57" s="177"/>
      <c r="D57" s="177"/>
      <c r="E57" s="177"/>
      <c r="F57" s="347"/>
      <c r="G57" s="351"/>
      <c r="H57" s="177"/>
      <c r="I57" s="177"/>
      <c r="J57" s="177"/>
      <c r="K57" s="622"/>
      <c r="L57" s="380"/>
      <c r="M57" s="347"/>
      <c r="N57" s="176"/>
      <c r="O57" s="176"/>
      <c r="P57" s="176"/>
      <c r="Q57" s="197"/>
      <c r="R57" s="197"/>
      <c r="S57" s="83"/>
      <c r="T57" s="83"/>
      <c r="U57" s="83"/>
      <c r="V57" s="83"/>
      <c r="W57" s="83"/>
      <c r="X57" s="178"/>
      <c r="Y57" s="178"/>
      <c r="Z57" s="178"/>
      <c r="AA57" s="178"/>
      <c r="AB57" s="178">
        <v>2010</v>
      </c>
      <c r="AC57" s="178">
        <v>550.79999999999995</v>
      </c>
      <c r="AD57" s="178">
        <v>1.0949527959331882</v>
      </c>
      <c r="AE57" s="178"/>
      <c r="AF57" s="178"/>
      <c r="AG57" s="178"/>
      <c r="AH57" s="178"/>
      <c r="AI57" s="83"/>
      <c r="AJ57" s="83"/>
    </row>
    <row r="58" spans="1:36" ht="18.600000000000001" customHeight="1" x14ac:dyDescent="0.3">
      <c r="A58" s="83"/>
      <c r="B58" s="104"/>
      <c r="C58" s="177"/>
      <c r="D58" s="177"/>
      <c r="E58" s="177"/>
      <c r="F58" s="347"/>
      <c r="G58" s="351"/>
      <c r="H58" s="177"/>
      <c r="I58" s="177"/>
      <c r="J58" s="177"/>
      <c r="K58" s="622"/>
      <c r="L58" s="380"/>
      <c r="M58" s="347"/>
      <c r="N58" s="176"/>
      <c r="O58" s="176"/>
      <c r="P58" s="176"/>
      <c r="Q58" s="197"/>
      <c r="R58" s="197"/>
      <c r="S58" s="83"/>
      <c r="T58" s="83"/>
      <c r="U58" s="83"/>
      <c r="V58" s="83"/>
      <c r="W58" s="83"/>
      <c r="X58" s="178"/>
      <c r="Y58" s="178"/>
      <c r="Z58" s="178"/>
      <c r="AA58" s="178"/>
      <c r="AB58" s="178">
        <v>2011</v>
      </c>
      <c r="AC58" s="178">
        <v>585.70000000000005</v>
      </c>
      <c r="AD58" s="178">
        <v>1.0297080416595525</v>
      </c>
      <c r="AE58" s="178"/>
      <c r="AF58" s="178"/>
      <c r="AG58" s="178"/>
      <c r="AH58" s="178"/>
      <c r="AI58" s="83"/>
      <c r="AJ58" s="83"/>
    </row>
    <row r="59" spans="1:36" ht="18.600000000000001" customHeight="1" x14ac:dyDescent="0.3">
      <c r="A59" s="83"/>
      <c r="B59" s="104"/>
      <c r="C59" s="177"/>
      <c r="D59" s="177"/>
      <c r="E59" s="177"/>
      <c r="F59" s="347"/>
      <c r="G59" s="351"/>
      <c r="H59" s="177"/>
      <c r="I59" s="177"/>
      <c r="J59" s="177"/>
      <c r="K59" s="622"/>
      <c r="L59" s="380"/>
      <c r="M59" s="347"/>
      <c r="N59" s="176"/>
      <c r="O59" s="176"/>
      <c r="P59" s="176"/>
      <c r="Q59" s="197"/>
      <c r="R59" s="197"/>
      <c r="S59" s="83"/>
      <c r="T59" s="83"/>
      <c r="U59" s="83"/>
      <c r="V59" s="83"/>
      <c r="W59" s="83"/>
      <c r="X59" s="178"/>
      <c r="Y59" s="178"/>
      <c r="Z59" s="178"/>
      <c r="AA59" s="178"/>
      <c r="AB59" s="178">
        <v>2012</v>
      </c>
      <c r="AC59" s="178">
        <v>584.6</v>
      </c>
      <c r="AD59" s="178">
        <v>1.0316455696202531</v>
      </c>
      <c r="AE59" s="178"/>
      <c r="AF59" s="178"/>
      <c r="AG59" s="178"/>
      <c r="AH59" s="178"/>
      <c r="AI59" s="83"/>
      <c r="AJ59" s="83"/>
    </row>
    <row r="60" spans="1:36" ht="18.600000000000001" customHeight="1" x14ac:dyDescent="0.3">
      <c r="A60" s="83"/>
      <c r="B60" s="104"/>
      <c r="C60" s="177"/>
      <c r="D60" s="177"/>
      <c r="E60" s="177"/>
      <c r="F60" s="347"/>
      <c r="G60" s="351"/>
      <c r="H60" s="177"/>
      <c r="I60" s="177"/>
      <c r="J60" s="177"/>
      <c r="K60" s="622"/>
      <c r="L60" s="380"/>
      <c r="M60" s="347"/>
      <c r="N60" s="176"/>
      <c r="O60" s="176"/>
      <c r="P60" s="176"/>
      <c r="Q60" s="197"/>
      <c r="R60" s="197"/>
      <c r="S60" s="83"/>
      <c r="T60" s="83"/>
      <c r="U60" s="83"/>
      <c r="V60" s="83"/>
      <c r="W60" s="83"/>
      <c r="X60" s="178"/>
      <c r="Y60" s="178"/>
      <c r="Z60" s="178"/>
      <c r="AA60" s="178"/>
      <c r="AB60" s="178">
        <v>2013</v>
      </c>
      <c r="AC60" s="178">
        <v>567.29999999999995</v>
      </c>
      <c r="AD60" s="178">
        <v>1.0631059404195313</v>
      </c>
      <c r="AE60" s="178"/>
      <c r="AF60" s="178"/>
      <c r="AG60" s="178"/>
      <c r="AH60" s="178"/>
      <c r="AI60" s="83"/>
      <c r="AJ60" s="83"/>
    </row>
    <row r="61" spans="1:36" ht="18.600000000000001" customHeight="1" x14ac:dyDescent="0.3">
      <c r="A61" s="83"/>
      <c r="B61" s="104"/>
      <c r="C61" s="177"/>
      <c r="D61" s="177"/>
      <c r="E61" s="177"/>
      <c r="F61" s="347"/>
      <c r="G61" s="351"/>
      <c r="H61" s="177"/>
      <c r="I61" s="177"/>
      <c r="J61" s="177"/>
      <c r="K61" s="622"/>
      <c r="L61" s="380"/>
      <c r="M61" s="347"/>
      <c r="N61" s="176"/>
      <c r="O61" s="176"/>
      <c r="P61" s="176"/>
      <c r="Q61" s="197"/>
      <c r="R61" s="197"/>
      <c r="S61" s="83"/>
      <c r="T61" s="83"/>
      <c r="U61" s="83"/>
      <c r="V61" s="83"/>
      <c r="W61" s="83"/>
      <c r="X61" s="178"/>
      <c r="Y61" s="178"/>
      <c r="Z61" s="178"/>
      <c r="AA61" s="178"/>
      <c r="AB61" s="178">
        <v>2014</v>
      </c>
      <c r="AC61" s="178">
        <v>576.1</v>
      </c>
      <c r="AD61" s="178">
        <v>1.0468668633917722</v>
      </c>
      <c r="AE61" s="178"/>
      <c r="AF61" s="178"/>
      <c r="AG61" s="178"/>
      <c r="AH61" s="178"/>
      <c r="AI61" s="83"/>
      <c r="AJ61" s="83"/>
    </row>
    <row r="62" spans="1:36" ht="18.600000000000001" customHeight="1" x14ac:dyDescent="0.3">
      <c r="A62" s="83"/>
      <c r="B62" s="104"/>
      <c r="C62" s="177"/>
      <c r="D62" s="177"/>
      <c r="E62" s="177"/>
      <c r="F62" s="347"/>
      <c r="G62" s="351"/>
      <c r="H62" s="177"/>
      <c r="I62" s="177"/>
      <c r="J62" s="177"/>
      <c r="K62" s="622"/>
      <c r="L62" s="380"/>
      <c r="M62" s="347"/>
      <c r="N62" s="176"/>
      <c r="O62" s="176"/>
      <c r="P62" s="176"/>
      <c r="Q62" s="197"/>
      <c r="R62" s="197"/>
      <c r="S62" s="83"/>
      <c r="T62" s="83"/>
      <c r="U62" s="83"/>
      <c r="V62" s="83"/>
      <c r="W62" s="83"/>
      <c r="X62" s="178"/>
      <c r="Y62" s="178"/>
      <c r="Z62" s="178"/>
      <c r="AA62" s="178"/>
      <c r="AB62" s="178">
        <v>2015</v>
      </c>
      <c r="AC62" s="178">
        <v>556.79999999999995</v>
      </c>
      <c r="AD62" s="178">
        <v>1.0831537356321841</v>
      </c>
      <c r="AE62" s="178"/>
      <c r="AF62" s="178"/>
      <c r="AG62" s="178"/>
      <c r="AH62" s="178"/>
      <c r="AI62" s="83"/>
      <c r="AJ62" s="83"/>
    </row>
    <row r="63" spans="1:36" ht="18.600000000000001" customHeight="1" x14ac:dyDescent="0.3">
      <c r="A63" s="83"/>
      <c r="B63" s="104"/>
      <c r="C63" s="177"/>
      <c r="D63" s="177"/>
      <c r="E63" s="177"/>
      <c r="F63" s="347"/>
      <c r="G63" s="351"/>
      <c r="H63" s="177"/>
      <c r="I63" s="177"/>
      <c r="J63" s="177"/>
      <c r="K63" s="622"/>
      <c r="L63" s="380"/>
      <c r="M63" s="347"/>
      <c r="N63" s="176"/>
      <c r="O63" s="176"/>
      <c r="P63" s="176"/>
      <c r="Q63" s="197"/>
      <c r="R63" s="197"/>
      <c r="S63" s="83"/>
      <c r="T63" s="83"/>
      <c r="U63" s="83"/>
      <c r="V63" s="83"/>
      <c r="W63" s="83"/>
      <c r="X63" s="178"/>
      <c r="Y63" s="178"/>
      <c r="Z63" s="178"/>
      <c r="AA63" s="178"/>
      <c r="AB63" s="178"/>
      <c r="AC63" s="178"/>
      <c r="AD63" s="178"/>
      <c r="AE63" s="178"/>
      <c r="AF63" s="178"/>
      <c r="AG63" s="178"/>
      <c r="AH63" s="178"/>
      <c r="AI63" s="83"/>
      <c r="AJ63" s="83"/>
    </row>
    <row r="64" spans="1:36" ht="18.600000000000001" customHeight="1" x14ac:dyDescent="0.3">
      <c r="A64" s="83"/>
      <c r="B64" s="913" t="s">
        <v>765</v>
      </c>
      <c r="C64" s="914"/>
      <c r="D64" s="914"/>
      <c r="E64" s="914"/>
      <c r="F64" s="915"/>
      <c r="G64" s="88" t="s">
        <v>699</v>
      </c>
      <c r="H64" s="88" t="s">
        <v>360</v>
      </c>
      <c r="I64" s="936" t="s">
        <v>580</v>
      </c>
      <c r="J64" s="936"/>
      <c r="K64" s="622"/>
      <c r="L64" s="380"/>
      <c r="M64" s="347"/>
      <c r="N64" s="176"/>
      <c r="O64" s="176"/>
      <c r="P64" s="176"/>
      <c r="Q64" s="197"/>
      <c r="R64" s="197"/>
      <c r="S64" s="83"/>
      <c r="T64" s="83"/>
      <c r="U64" s="83"/>
      <c r="V64" s="83"/>
      <c r="W64" s="83"/>
      <c r="X64" s="178"/>
      <c r="Y64" s="178"/>
      <c r="Z64" s="178"/>
      <c r="AA64" s="178"/>
      <c r="AB64" s="178"/>
      <c r="AC64" s="178"/>
      <c r="AD64" s="178"/>
      <c r="AE64" s="178"/>
      <c r="AF64" s="178"/>
      <c r="AG64" s="178"/>
      <c r="AH64" s="178"/>
      <c r="AI64" s="83"/>
      <c r="AJ64" s="83"/>
    </row>
    <row r="65" spans="1:36" ht="18.600000000000001" customHeight="1" x14ac:dyDescent="0.3">
      <c r="A65" s="83"/>
      <c r="B65" s="916"/>
      <c r="C65" s="917"/>
      <c r="D65" s="917"/>
      <c r="E65" s="917"/>
      <c r="F65" s="918"/>
      <c r="G65" s="651"/>
      <c r="H65" s="651"/>
      <c r="I65" s="938"/>
      <c r="J65" s="939"/>
      <c r="K65" s="623"/>
      <c r="L65" s="624"/>
      <c r="M65" s="348"/>
      <c r="N65" s="176"/>
      <c r="O65" s="176"/>
      <c r="P65" s="176"/>
      <c r="Q65" s="197"/>
      <c r="R65" s="197"/>
      <c r="S65" s="83"/>
      <c r="T65" s="83"/>
      <c r="U65" s="83"/>
      <c r="V65" s="83"/>
      <c r="W65" s="83"/>
      <c r="X65" s="178"/>
      <c r="Y65" s="178"/>
      <c r="Z65" s="178"/>
      <c r="AA65" s="178"/>
      <c r="AB65" s="178"/>
      <c r="AC65" s="178"/>
      <c r="AD65" s="178"/>
      <c r="AE65" s="178"/>
      <c r="AF65" s="178"/>
      <c r="AG65" s="178"/>
      <c r="AH65" s="178"/>
      <c r="AI65" s="83"/>
      <c r="AJ65" s="83"/>
    </row>
    <row r="66" spans="1:36" ht="18.600000000000001" customHeight="1" x14ac:dyDescent="0.3">
      <c r="A66" s="83"/>
      <c r="B66" s="105"/>
      <c r="C66" s="177"/>
      <c r="D66" s="177"/>
      <c r="E66" s="177"/>
      <c r="F66" s="177"/>
      <c r="G66" s="177"/>
      <c r="H66" s="177"/>
      <c r="I66" s="177"/>
      <c r="J66" s="177"/>
      <c r="K66" s="177"/>
      <c r="L66" s="177"/>
      <c r="M66" s="176"/>
      <c r="N66" s="176"/>
      <c r="O66" s="176"/>
      <c r="P66" s="176"/>
      <c r="Q66" s="197"/>
      <c r="R66" s="197"/>
      <c r="S66" s="83"/>
      <c r="T66" s="83"/>
      <c r="U66" s="83"/>
      <c r="V66" s="83"/>
      <c r="W66" s="83"/>
      <c r="X66" s="178"/>
      <c r="Y66" s="178"/>
      <c r="Z66" s="178"/>
      <c r="AA66" s="178"/>
      <c r="AB66" s="178"/>
      <c r="AC66" s="178"/>
      <c r="AD66" s="178"/>
      <c r="AE66" s="178"/>
      <c r="AF66" s="178"/>
      <c r="AG66" s="178"/>
      <c r="AH66" s="178"/>
      <c r="AI66" s="83"/>
      <c r="AJ66" s="83"/>
    </row>
    <row r="67" spans="1:36" x14ac:dyDescent="0.3">
      <c r="A67" s="83"/>
      <c r="B67" s="105"/>
      <c r="C67" s="177"/>
      <c r="D67" s="177"/>
      <c r="E67" s="177"/>
      <c r="F67" s="177"/>
      <c r="G67" s="177"/>
      <c r="H67" s="177"/>
      <c r="I67" s="177"/>
      <c r="J67" s="177"/>
      <c r="K67" s="177"/>
      <c r="L67" s="177"/>
      <c r="M67" s="176"/>
      <c r="N67" s="176"/>
      <c r="O67" s="176"/>
      <c r="P67" s="176"/>
      <c r="Q67" s="197"/>
      <c r="R67" s="197"/>
      <c r="S67" s="83"/>
      <c r="T67" s="83"/>
      <c r="U67" s="83"/>
      <c r="V67" s="83"/>
      <c r="W67" s="83"/>
      <c r="X67" s="83"/>
      <c r="Y67" s="83"/>
      <c r="Z67" s="83"/>
      <c r="AA67" s="83"/>
      <c r="AB67" s="83"/>
      <c r="AC67" s="83"/>
      <c r="AD67" s="83"/>
      <c r="AE67" s="83"/>
      <c r="AF67" s="83"/>
      <c r="AG67" s="83"/>
      <c r="AH67" s="83"/>
      <c r="AI67" s="83"/>
      <c r="AJ67" s="83"/>
    </row>
    <row r="68" spans="1:36" x14ac:dyDescent="0.3">
      <c r="A68" s="83"/>
      <c r="B68" s="83"/>
      <c r="C68" s="176"/>
      <c r="D68" s="176"/>
      <c r="E68" s="176"/>
      <c r="F68" s="176"/>
      <c r="G68" s="176"/>
      <c r="H68" s="176"/>
      <c r="I68" s="176"/>
      <c r="J68" s="176"/>
      <c r="K68" s="176"/>
      <c r="L68" s="176"/>
      <c r="M68" s="176"/>
      <c r="N68" s="176"/>
      <c r="O68" s="176"/>
      <c r="P68" s="176"/>
      <c r="Q68" s="197"/>
      <c r="R68" s="197"/>
      <c r="S68" s="83"/>
      <c r="T68" s="83"/>
      <c r="U68" s="83"/>
      <c r="V68" s="83"/>
      <c r="W68" s="83"/>
      <c r="X68" s="83"/>
      <c r="Y68" s="83"/>
      <c r="Z68" s="83"/>
      <c r="AA68" s="83"/>
      <c r="AB68" s="83"/>
      <c r="AC68" s="83"/>
      <c r="AD68" s="83"/>
      <c r="AE68" s="83"/>
      <c r="AF68" s="83"/>
      <c r="AG68" s="83"/>
      <c r="AH68" s="83"/>
      <c r="AI68" s="83"/>
      <c r="AJ68" s="83"/>
    </row>
    <row r="69" spans="1:36" x14ac:dyDescent="0.3">
      <c r="A69" s="83"/>
      <c r="B69" s="83"/>
      <c r="C69" s="176"/>
      <c r="D69" s="176"/>
      <c r="E69" s="176"/>
      <c r="F69" s="176"/>
      <c r="G69" s="176"/>
      <c r="H69" s="176"/>
      <c r="I69" s="176"/>
      <c r="J69" s="176"/>
      <c r="K69" s="176"/>
      <c r="L69" s="176"/>
      <c r="M69" s="176"/>
      <c r="N69" s="176"/>
      <c r="O69" s="176"/>
      <c r="P69" s="176"/>
      <c r="Q69" s="197"/>
      <c r="R69" s="197"/>
      <c r="S69" s="83"/>
      <c r="T69" s="83"/>
      <c r="U69" s="83"/>
      <c r="V69" s="83"/>
      <c r="W69" s="83"/>
      <c r="X69" s="83"/>
      <c r="Y69" s="83"/>
      <c r="Z69" s="83"/>
      <c r="AA69" s="83"/>
      <c r="AB69" s="83"/>
      <c r="AC69" s="83"/>
      <c r="AD69" s="83"/>
      <c r="AE69" s="83"/>
      <c r="AF69" s="83"/>
      <c r="AG69" s="83"/>
      <c r="AH69" s="83"/>
      <c r="AI69" s="83"/>
      <c r="AJ69" s="83"/>
    </row>
  </sheetData>
  <mergeCells count="28">
    <mergeCell ref="B64:F65"/>
    <mergeCell ref="I65:J65"/>
    <mergeCell ref="O5:S5"/>
    <mergeCell ref="O6:S9"/>
    <mergeCell ref="W3:AH3"/>
    <mergeCell ref="L40:M40"/>
    <mergeCell ref="L41:M41"/>
    <mergeCell ref="L42:M42"/>
    <mergeCell ref="L43:M43"/>
    <mergeCell ref="L44:M44"/>
    <mergeCell ref="I64:J64"/>
    <mergeCell ref="D11:J11"/>
    <mergeCell ref="K11:O11"/>
    <mergeCell ref="P11:R11"/>
    <mergeCell ref="P34:Q34"/>
    <mergeCell ref="B39:F39"/>
    <mergeCell ref="G39:J39"/>
    <mergeCell ref="C3:F3"/>
    <mergeCell ref="G3:H3"/>
    <mergeCell ref="J3:M3"/>
    <mergeCell ref="O3:S3"/>
    <mergeCell ref="K39:M39"/>
    <mergeCell ref="D5:E5"/>
    <mergeCell ref="G5:H5"/>
    <mergeCell ref="C6:C7"/>
    <mergeCell ref="C8:C9"/>
    <mergeCell ref="D8:D9"/>
    <mergeCell ref="E8:E9"/>
  </mergeCells>
  <dataValidations count="4">
    <dataValidation type="list" allowBlank="1" showInputMessage="1" showErrorMessage="1" sqref="E8:E9" xr:uid="{41FEA5A9-904E-42AF-AFC3-5C6A30938824}">
      <formula1>Case</formula1>
    </dataValidation>
    <dataValidation type="list" allowBlank="1" showInputMessage="1" showErrorMessage="1" sqref="H13:H34" xr:uid="{C671E7CE-E7C1-42A4-A472-88E446994445}">
      <formula1>Location</formula1>
    </dataValidation>
    <dataValidation type="list" allowBlank="1" showInputMessage="1" showErrorMessage="1" sqref="G13:G34" xr:uid="{0DE9877A-EB44-4C3C-B052-EDF03ADD5504}">
      <formula1>Year</formula1>
    </dataValidation>
    <dataValidation type="list" allowBlank="1" showInputMessage="1" showErrorMessage="1" sqref="F13:F34" xr:uid="{7EFCE98D-94E8-41FF-8DF2-D9B5AB44611E}">
      <formula1>Currency</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32449" r:id="rId4" name="Button 1">
              <controlPr defaultSize="0" print="0" autoFill="0" autoPict="0" macro="[0]!Plant">
                <anchor moveWithCells="1" sizeWithCells="1">
                  <from>
                    <xdr:col>2</xdr:col>
                    <xdr:colOff>60960</xdr:colOff>
                    <xdr:row>7</xdr:row>
                    <xdr:rowOff>30480</xdr:rowOff>
                  </from>
                  <to>
                    <xdr:col>2</xdr:col>
                    <xdr:colOff>1577340</xdr:colOff>
                    <xdr:row>8</xdr:row>
                    <xdr:rowOff>175260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0"/>
  <dimension ref="A1:O50"/>
  <sheetViews>
    <sheetView showGridLines="0" zoomScale="40" zoomScaleNormal="40" workbookViewId="0">
      <selection activeCell="G31" sqref="G31"/>
    </sheetView>
  </sheetViews>
  <sheetFormatPr defaultColWidth="11.109375" defaultRowHeight="14.4" x14ac:dyDescent="0.3"/>
  <cols>
    <col min="1" max="1" width="4" customWidth="1"/>
    <col min="2" max="3" width="45.6640625" customWidth="1"/>
    <col min="4" max="71" width="32.5546875" customWidth="1"/>
  </cols>
  <sheetData>
    <row r="1" spans="1:15" ht="31.2" x14ac:dyDescent="0.3">
      <c r="A1" s="83"/>
      <c r="B1" s="678" t="s">
        <v>574</v>
      </c>
      <c r="C1" s="83"/>
      <c r="D1" s="83"/>
      <c r="E1" s="83"/>
      <c r="F1" s="83"/>
      <c r="G1" s="83"/>
      <c r="H1" s="83"/>
      <c r="I1" s="105"/>
      <c r="J1" s="105"/>
      <c r="K1" s="105"/>
      <c r="L1" s="83"/>
      <c r="M1" s="83"/>
      <c r="N1" s="83"/>
      <c r="O1" s="83"/>
    </row>
    <row r="2" spans="1:15" ht="24" customHeight="1" x14ac:dyDescent="0.3">
      <c r="B2" s="288"/>
      <c r="C2" s="288"/>
      <c r="D2" s="288"/>
      <c r="E2" s="288"/>
      <c r="F2" s="288"/>
      <c r="G2" s="288"/>
      <c r="H2" s="288"/>
      <c r="I2" s="449"/>
      <c r="J2" s="449"/>
      <c r="K2" s="449"/>
      <c r="L2" s="83"/>
      <c r="M2" s="83"/>
      <c r="N2" s="172"/>
      <c r="O2" s="172"/>
    </row>
    <row r="3" spans="1:15" ht="38.4" customHeight="1" x14ac:dyDescent="0.3">
      <c r="A3" s="83"/>
      <c r="B3" s="561" t="s">
        <v>462</v>
      </c>
      <c r="C3" s="562" t="s">
        <v>463</v>
      </c>
      <c r="D3" s="560" t="s">
        <v>663</v>
      </c>
      <c r="E3" s="560" t="s">
        <v>664</v>
      </c>
      <c r="F3" s="560" t="s">
        <v>692</v>
      </c>
      <c r="G3" s="560" t="s">
        <v>693</v>
      </c>
      <c r="H3" s="560" t="s">
        <v>441</v>
      </c>
      <c r="I3" s="172"/>
      <c r="J3" s="92"/>
      <c r="K3" s="92"/>
    </row>
    <row r="4" spans="1:15" ht="38.4" customHeight="1" x14ac:dyDescent="0.3">
      <c r="A4" s="83"/>
      <c r="B4" s="87" t="s">
        <v>675</v>
      </c>
      <c r="C4" s="535" t="s">
        <v>356</v>
      </c>
      <c r="D4" s="536" t="str">
        <f>+'Unit-100'!E6</f>
        <v>Unit 1</v>
      </c>
      <c r="E4" s="536" t="str">
        <f>+'Unit-200'!E6</f>
        <v>Unit 2</v>
      </c>
      <c r="F4" s="536" t="str">
        <f>+'Unit-300'!E6</f>
        <v>Unit 3</v>
      </c>
      <c r="G4" s="536" t="str">
        <f>+'Unit-400'!E6</f>
        <v>Unit 4</v>
      </c>
      <c r="H4" s="466" t="str">
        <f>+'Plant Overview'!E6</f>
        <v>Plant A</v>
      </c>
      <c r="I4" s="172"/>
      <c r="J4" s="92"/>
      <c r="K4" s="92"/>
    </row>
    <row r="5" spans="1:15" ht="38.4" customHeight="1" x14ac:dyDescent="0.3">
      <c r="A5" s="83"/>
      <c r="B5" s="534" t="s">
        <v>239</v>
      </c>
      <c r="C5" s="535" t="s">
        <v>356</v>
      </c>
      <c r="D5" s="468" t="s">
        <v>240</v>
      </c>
      <c r="E5" s="468" t="str">
        <f>+'Unit-200'!E7</f>
        <v>U-200</v>
      </c>
      <c r="F5" s="468" t="str">
        <f>+'Unit-300'!E7</f>
        <v>U-300</v>
      </c>
      <c r="G5" s="468" t="str">
        <f>+'Unit-400'!E7</f>
        <v>U-400</v>
      </c>
      <c r="H5" s="466" t="s">
        <v>590</v>
      </c>
      <c r="I5" s="172"/>
      <c r="J5" s="92"/>
      <c r="K5" s="92"/>
    </row>
    <row r="6" spans="1:15" ht="38.4" customHeight="1" thickBot="1" x14ac:dyDescent="0.35">
      <c r="A6" s="83"/>
      <c r="B6" s="276" t="s">
        <v>587</v>
      </c>
      <c r="C6" s="187" t="s">
        <v>588</v>
      </c>
      <c r="D6" s="484" t="e">
        <f ca="1">+'Unit-100'!S52+'Unit-100'!S53</f>
        <v>#VALUE!</v>
      </c>
      <c r="E6" s="484" t="e">
        <f ca="1">+'Unit-200'!S52+'Unit-200'!S53</f>
        <v>#VALUE!</v>
      </c>
      <c r="F6" s="484" t="e">
        <f ca="1">+'Unit-300'!S36+0</f>
        <v>#VALUE!</v>
      </c>
      <c r="G6" s="484" t="e">
        <f ca="1">+'Unit-400'!S36+0</f>
        <v>#VALUE!</v>
      </c>
      <c r="H6" s="485"/>
      <c r="I6" s="172"/>
      <c r="J6" s="92"/>
      <c r="K6" s="92"/>
    </row>
    <row r="7" spans="1:15" ht="38.4" customHeight="1" thickTop="1" x14ac:dyDescent="0.3">
      <c r="A7" s="83"/>
      <c r="B7" s="290" t="s">
        <v>273</v>
      </c>
      <c r="C7" s="160" t="s">
        <v>657</v>
      </c>
      <c r="D7" s="485" t="e">
        <f ca="1">+D6*D18</f>
        <v>#VALUE!</v>
      </c>
      <c r="E7" s="485" t="e">
        <f ca="1">+E6*E18</f>
        <v>#VALUE!</v>
      </c>
      <c r="F7" s="485" t="e">
        <f ca="1">+F6*F18</f>
        <v>#VALUE!</v>
      </c>
      <c r="G7" s="485" t="e">
        <f ca="1">+G6*G18</f>
        <v>#VALUE!</v>
      </c>
      <c r="H7" s="485"/>
      <c r="I7" s="172"/>
      <c r="J7" s="92"/>
      <c r="K7" s="92"/>
    </row>
    <row r="8" spans="1:15" ht="38.4" customHeight="1" x14ac:dyDescent="0.3">
      <c r="A8" s="83"/>
      <c r="B8" s="158" t="s">
        <v>274</v>
      </c>
      <c r="C8" s="161" t="s">
        <v>657</v>
      </c>
      <c r="D8" s="485" t="e">
        <f ca="1">+D19*D6</f>
        <v>#VALUE!</v>
      </c>
      <c r="E8" s="485" t="e">
        <f ca="1">+E19*E6</f>
        <v>#VALUE!</v>
      </c>
      <c r="F8" s="485" t="e">
        <f ca="1">+F19*F6</f>
        <v>#VALUE!</v>
      </c>
      <c r="G8" s="485" t="e">
        <f ca="1">+G19*G6</f>
        <v>#VALUE!</v>
      </c>
      <c r="H8" s="485"/>
      <c r="I8" s="83"/>
    </row>
    <row r="9" spans="1:15" ht="38.4" customHeight="1" x14ac:dyDescent="0.3">
      <c r="A9" s="83"/>
      <c r="B9" s="158" t="s">
        <v>275</v>
      </c>
      <c r="C9" s="286" t="s">
        <v>658</v>
      </c>
      <c r="D9" s="485" t="e">
        <f ca="1">+D20*(D6+D7+D8)</f>
        <v>#VALUE!</v>
      </c>
      <c r="E9" s="485" t="e">
        <f ca="1">+E20*(E6+E7+E8)</f>
        <v>#VALUE!</v>
      </c>
      <c r="F9" s="485" t="e">
        <f ca="1">+F20*(F6+F7+F8)</f>
        <v>#VALUE!</v>
      </c>
      <c r="G9" s="485" t="e">
        <f ca="1">+G20*(G6+G7+G8)</f>
        <v>#VALUE!</v>
      </c>
      <c r="H9" s="485"/>
      <c r="I9" s="83"/>
    </row>
    <row r="10" spans="1:15" ht="38.4" customHeight="1" x14ac:dyDescent="0.3">
      <c r="A10" s="83"/>
      <c r="B10" s="158" t="s">
        <v>276</v>
      </c>
      <c r="C10" s="159" t="s">
        <v>277</v>
      </c>
      <c r="D10" s="485" t="e">
        <f ca="1">+SUM(D8+D9)</f>
        <v>#VALUE!</v>
      </c>
      <c r="E10" s="485" t="e">
        <f t="shared" ref="E10:G10" ca="1" si="0">+SUM(E8+E9)</f>
        <v>#VALUE!</v>
      </c>
      <c r="F10" s="485" t="e">
        <f t="shared" ca="1" si="0"/>
        <v>#VALUE!</v>
      </c>
      <c r="G10" s="485" t="e">
        <f t="shared" ca="1" si="0"/>
        <v>#VALUE!</v>
      </c>
      <c r="H10" s="485"/>
      <c r="I10" s="83"/>
    </row>
    <row r="11" spans="1:15" ht="38.4" customHeight="1" x14ac:dyDescent="0.3">
      <c r="A11" s="83"/>
      <c r="B11" s="158" t="s">
        <v>278</v>
      </c>
      <c r="C11" s="159" t="s">
        <v>279</v>
      </c>
      <c r="D11" s="485" t="e">
        <f ca="1">+D6+D7+D10</f>
        <v>#VALUE!</v>
      </c>
      <c r="E11" s="485" t="e">
        <f t="shared" ref="E11:G11" ca="1" si="1">+E6+E7+E10</f>
        <v>#VALUE!</v>
      </c>
      <c r="F11" s="485" t="e">
        <f t="shared" ca="1" si="1"/>
        <v>#VALUE!</v>
      </c>
      <c r="G11" s="485" t="e">
        <f t="shared" ca="1" si="1"/>
        <v>#VALUE!</v>
      </c>
      <c r="H11" s="485"/>
      <c r="I11" s="83"/>
    </row>
    <row r="12" spans="1:15" ht="38.4" customHeight="1" x14ac:dyDescent="0.3">
      <c r="A12" s="83"/>
      <c r="B12" s="158" t="s">
        <v>280</v>
      </c>
      <c r="C12" s="159" t="s">
        <v>655</v>
      </c>
      <c r="D12" s="485" t="e">
        <f ca="1">+D11*D23</f>
        <v>#VALUE!</v>
      </c>
      <c r="E12" s="485" t="e">
        <f ca="1">+E11*E23</f>
        <v>#VALUE!</v>
      </c>
      <c r="F12" s="485" t="e">
        <f ca="1">+F11*F23</f>
        <v>#VALUE!</v>
      </c>
      <c r="G12" s="485" t="e">
        <f ca="1">+G11*G23</f>
        <v>#VALUE!</v>
      </c>
      <c r="H12" s="485"/>
      <c r="I12" s="83"/>
    </row>
    <row r="13" spans="1:15" ht="38.4" customHeight="1" thickBot="1" x14ac:dyDescent="0.35">
      <c r="A13" s="83"/>
      <c r="B13" s="189" t="s">
        <v>281</v>
      </c>
      <c r="C13" s="190" t="s">
        <v>282</v>
      </c>
      <c r="D13" s="485" t="e">
        <f ca="1">+D11+D12</f>
        <v>#VALUE!</v>
      </c>
      <c r="E13" s="485" t="e">
        <f t="shared" ref="E13:G13" ca="1" si="2">+E11+E12</f>
        <v>#VALUE!</v>
      </c>
      <c r="F13" s="485" t="e">
        <f t="shared" ca="1" si="2"/>
        <v>#VALUE!</v>
      </c>
      <c r="G13" s="485" t="e">
        <f t="shared" ca="1" si="2"/>
        <v>#VALUE!</v>
      </c>
      <c r="H13" s="485"/>
      <c r="I13" s="83"/>
    </row>
    <row r="14" spans="1:15" ht="38.4" customHeight="1" thickTop="1" x14ac:dyDescent="0.3">
      <c r="A14" s="83"/>
      <c r="B14" s="191" t="s">
        <v>283</v>
      </c>
      <c r="C14" s="160" t="s">
        <v>656</v>
      </c>
      <c r="D14" s="485" t="e">
        <f ca="1">+D13*D25</f>
        <v>#VALUE!</v>
      </c>
      <c r="E14" s="485" t="e">
        <f ca="1">+E13*E25</f>
        <v>#VALUE!</v>
      </c>
      <c r="F14" s="485" t="e">
        <f ca="1">+F13*F25</f>
        <v>#VALUE!</v>
      </c>
      <c r="G14" s="485" t="e">
        <f ca="1">+G13*G25</f>
        <v>#VALUE!</v>
      </c>
      <c r="H14" s="485"/>
      <c r="I14" s="83"/>
    </row>
    <row r="15" spans="1:15" x14ac:dyDescent="0.3">
      <c r="A15" s="83"/>
      <c r="B15" s="83"/>
      <c r="C15" s="83"/>
      <c r="D15" s="246"/>
      <c r="E15" s="246"/>
      <c r="F15" s="246"/>
      <c r="G15" s="246"/>
      <c r="H15" s="246"/>
      <c r="M15" s="83"/>
      <c r="N15" s="83"/>
      <c r="O15" s="83"/>
    </row>
    <row r="16" spans="1:15" ht="38.4" customHeight="1" x14ac:dyDescent="0.3">
      <c r="A16" s="83"/>
      <c r="B16" s="561" t="s">
        <v>360</v>
      </c>
      <c r="C16" s="561" t="s">
        <v>463</v>
      </c>
      <c r="D16" s="582" t="s">
        <v>663</v>
      </c>
      <c r="E16" s="582" t="s">
        <v>664</v>
      </c>
      <c r="F16" s="582" t="s">
        <v>692</v>
      </c>
      <c r="G16" s="582" t="s">
        <v>693</v>
      </c>
      <c r="H16" s="176"/>
      <c r="I16" s="83"/>
      <c r="J16" s="83"/>
    </row>
    <row r="17" spans="1:15" ht="38.4" customHeight="1" x14ac:dyDescent="0.3">
      <c r="A17" s="83"/>
      <c r="B17" s="86" t="s">
        <v>271</v>
      </c>
      <c r="C17" s="86" t="s">
        <v>272</v>
      </c>
      <c r="D17" s="531" t="s">
        <v>354</v>
      </c>
      <c r="E17" s="531" t="s">
        <v>354</v>
      </c>
      <c r="F17" s="531" t="s">
        <v>354</v>
      </c>
      <c r="G17" s="531" t="s">
        <v>354</v>
      </c>
      <c r="H17" s="176"/>
      <c r="I17" s="83"/>
      <c r="J17" s="83"/>
    </row>
    <row r="18" spans="1:15" ht="38.4" customHeight="1" x14ac:dyDescent="0.3">
      <c r="A18" s="83"/>
      <c r="B18" s="619" t="s">
        <v>273</v>
      </c>
      <c r="C18" s="86" t="s">
        <v>657</v>
      </c>
      <c r="D18" s="532">
        <v>0.08</v>
      </c>
      <c r="E18" s="532">
        <v>0.08</v>
      </c>
      <c r="F18" s="532">
        <v>0.08</v>
      </c>
      <c r="G18" s="532">
        <v>0.08</v>
      </c>
      <c r="H18" s="176"/>
      <c r="I18" s="83"/>
      <c r="J18" s="83"/>
    </row>
    <row r="19" spans="1:15" ht="38.4" customHeight="1" x14ac:dyDescent="0.3">
      <c r="A19" s="83"/>
      <c r="B19" s="86" t="s">
        <v>274</v>
      </c>
      <c r="C19" s="86" t="s">
        <v>657</v>
      </c>
      <c r="D19" s="533">
        <v>0</v>
      </c>
      <c r="E19" s="533">
        <v>0</v>
      </c>
      <c r="F19" s="533">
        <v>0</v>
      </c>
      <c r="G19" s="533">
        <v>0</v>
      </c>
      <c r="H19" s="176"/>
      <c r="I19" s="83"/>
      <c r="J19" s="83"/>
    </row>
    <row r="20" spans="1:15" ht="38.4" customHeight="1" x14ac:dyDescent="0.3">
      <c r="A20" s="83"/>
      <c r="B20" s="86" t="s">
        <v>275</v>
      </c>
      <c r="C20" s="86" t="s">
        <v>658</v>
      </c>
      <c r="D20" s="533">
        <v>0.15</v>
      </c>
      <c r="E20" s="533">
        <v>0.15</v>
      </c>
      <c r="F20" s="533">
        <v>0.15</v>
      </c>
      <c r="G20" s="533">
        <v>0.15</v>
      </c>
      <c r="H20" s="176"/>
      <c r="I20" s="83"/>
      <c r="J20" s="83"/>
    </row>
    <row r="21" spans="1:15" ht="38.4" customHeight="1" x14ac:dyDescent="0.3">
      <c r="A21" s="83"/>
      <c r="B21" s="86" t="s">
        <v>276</v>
      </c>
      <c r="C21" s="86" t="s">
        <v>277</v>
      </c>
      <c r="D21" s="380" t="s">
        <v>354</v>
      </c>
      <c r="E21" s="380" t="s">
        <v>354</v>
      </c>
      <c r="F21" s="380" t="s">
        <v>354</v>
      </c>
      <c r="G21" s="380" t="s">
        <v>354</v>
      </c>
      <c r="H21" s="176"/>
      <c r="I21" s="83"/>
      <c r="J21" s="83"/>
    </row>
    <row r="22" spans="1:15" ht="38.4" customHeight="1" x14ac:dyDescent="0.3">
      <c r="A22" s="83"/>
      <c r="B22" s="86" t="s">
        <v>278</v>
      </c>
      <c r="C22" s="86" t="s">
        <v>279</v>
      </c>
      <c r="D22" s="380" t="s">
        <v>354</v>
      </c>
      <c r="E22" s="380" t="s">
        <v>354</v>
      </c>
      <c r="F22" s="380" t="s">
        <v>354</v>
      </c>
      <c r="G22" s="380" t="s">
        <v>354</v>
      </c>
      <c r="H22" s="176"/>
      <c r="I22" s="83"/>
      <c r="J22" s="83"/>
    </row>
    <row r="23" spans="1:15" ht="38.4" customHeight="1" x14ac:dyDescent="0.3">
      <c r="A23" s="83"/>
      <c r="B23" s="86" t="s">
        <v>280</v>
      </c>
      <c r="C23" s="86" t="s">
        <v>655</v>
      </c>
      <c r="D23" s="533">
        <v>0.15</v>
      </c>
      <c r="E23" s="533">
        <v>0.15</v>
      </c>
      <c r="F23" s="533">
        <v>0.15</v>
      </c>
      <c r="G23" s="533">
        <v>0.15</v>
      </c>
      <c r="H23" s="176"/>
      <c r="I23" s="83"/>
      <c r="J23" s="83"/>
    </row>
    <row r="24" spans="1:15" ht="38.4" customHeight="1" x14ac:dyDescent="0.3">
      <c r="A24" s="83"/>
      <c r="B24" s="86" t="s">
        <v>281</v>
      </c>
      <c r="C24" s="86" t="s">
        <v>282</v>
      </c>
      <c r="D24" s="380" t="s">
        <v>354</v>
      </c>
      <c r="E24" s="380" t="s">
        <v>354</v>
      </c>
      <c r="F24" s="380" t="s">
        <v>354</v>
      </c>
      <c r="G24" s="380" t="s">
        <v>354</v>
      </c>
      <c r="H24" s="176"/>
      <c r="I24" s="83"/>
      <c r="J24" s="83"/>
    </row>
    <row r="25" spans="1:15" ht="38.4" customHeight="1" x14ac:dyDescent="0.3">
      <c r="A25" s="83"/>
      <c r="B25" s="86" t="s">
        <v>283</v>
      </c>
      <c r="C25" s="86" t="s">
        <v>284</v>
      </c>
      <c r="D25" s="533">
        <v>1.1100000000000001</v>
      </c>
      <c r="E25" s="533">
        <v>1.1100000000000001</v>
      </c>
      <c r="F25" s="533">
        <v>1.1100000000000001</v>
      </c>
      <c r="G25" s="533">
        <v>1.1100000000000001</v>
      </c>
      <c r="H25" s="176"/>
      <c r="I25" s="83"/>
      <c r="J25" s="83"/>
    </row>
    <row r="26" spans="1:15" x14ac:dyDescent="0.3">
      <c r="A26" s="83"/>
      <c r="B26" s="83"/>
      <c r="C26" s="83"/>
      <c r="D26" s="83"/>
      <c r="E26" s="83"/>
      <c r="F26" s="83"/>
      <c r="G26" s="83"/>
      <c r="H26" s="83"/>
      <c r="I26" s="83"/>
      <c r="J26" s="83"/>
      <c r="K26" s="83"/>
      <c r="L26" s="83"/>
      <c r="M26" s="83"/>
      <c r="N26" s="83"/>
      <c r="O26" s="83"/>
    </row>
    <row r="27" spans="1:15" x14ac:dyDescent="0.3">
      <c r="A27" s="83"/>
      <c r="B27" s="83"/>
      <c r="C27" s="83"/>
      <c r="D27" s="83"/>
      <c r="E27" s="83"/>
      <c r="F27" s="83"/>
      <c r="G27" s="83"/>
      <c r="H27" s="83"/>
      <c r="I27" s="83"/>
      <c r="J27" s="83"/>
      <c r="K27" s="83"/>
      <c r="L27" s="83"/>
      <c r="M27" s="83"/>
      <c r="N27" s="83"/>
      <c r="O27" s="83"/>
    </row>
    <row r="28" spans="1:15" ht="36" customHeight="1" x14ac:dyDescent="0.3">
      <c r="A28" s="83"/>
      <c r="B28" s="946" t="s">
        <v>632</v>
      </c>
      <c r="C28" s="947"/>
      <c r="D28" s="92"/>
      <c r="E28" s="287"/>
      <c r="G28" s="83"/>
      <c r="H28" s="83"/>
      <c r="I28" s="83"/>
      <c r="J28" s="83"/>
      <c r="K28" s="83"/>
      <c r="L28" s="83"/>
      <c r="M28" s="83"/>
      <c r="N28" s="83"/>
      <c r="O28" s="83"/>
    </row>
    <row r="29" spans="1:15" ht="36" customHeight="1" x14ac:dyDescent="0.3">
      <c r="A29" s="83"/>
      <c r="B29" s="519" t="s">
        <v>464</v>
      </c>
      <c r="C29" s="574" t="str">
        <f>+'Plant Overview'!E9</f>
        <v>€</v>
      </c>
      <c r="D29" s="579" t="s">
        <v>496</v>
      </c>
      <c r="E29" s="289"/>
      <c r="F29" s="83"/>
      <c r="G29" s="83"/>
      <c r="H29" s="83"/>
      <c r="I29" s="83"/>
      <c r="J29" s="83"/>
      <c r="K29" s="83"/>
      <c r="L29" s="83"/>
      <c r="M29" s="83"/>
      <c r="N29" s="83"/>
      <c r="O29" s="83"/>
    </row>
    <row r="30" spans="1:15" ht="36" customHeight="1" x14ac:dyDescent="0.3">
      <c r="A30" s="83"/>
      <c r="B30" s="575" t="s">
        <v>315</v>
      </c>
      <c r="C30" s="576">
        <f>+'Plant Overview'!E8</f>
        <v>2020</v>
      </c>
      <c r="D30" s="486"/>
      <c r="E30" s="105"/>
      <c r="F30" s="83"/>
      <c r="G30" s="83"/>
      <c r="H30" s="83"/>
      <c r="I30" s="83"/>
      <c r="J30" s="83"/>
      <c r="K30" s="83"/>
      <c r="L30" s="83"/>
      <c r="M30" s="83"/>
      <c r="N30" s="83"/>
      <c r="O30" s="83"/>
    </row>
    <row r="31" spans="1:15" ht="36" customHeight="1" x14ac:dyDescent="0.3">
      <c r="A31" s="83"/>
      <c r="B31" s="577" t="s">
        <v>477</v>
      </c>
      <c r="C31" s="578" t="str">
        <f>+'Plant Overview'!E7</f>
        <v>Western Europe</v>
      </c>
      <c r="D31" s="487"/>
      <c r="E31" s="105"/>
      <c r="F31" s="83"/>
      <c r="G31" s="83"/>
      <c r="H31" s="83"/>
      <c r="I31" s="83"/>
      <c r="J31" s="83"/>
      <c r="K31" s="83"/>
      <c r="L31" s="83"/>
      <c r="M31" s="83"/>
      <c r="N31" s="83"/>
      <c r="O31" s="83"/>
    </row>
    <row r="32" spans="1:15" ht="36" customHeight="1" x14ac:dyDescent="0.3">
      <c r="A32" s="83"/>
      <c r="B32" s="83"/>
      <c r="C32" s="176"/>
      <c r="D32" s="176"/>
      <c r="E32" s="105"/>
      <c r="F32" s="83"/>
      <c r="G32" s="83"/>
      <c r="H32" s="83"/>
      <c r="I32" s="83"/>
      <c r="J32" s="83"/>
      <c r="K32" s="83"/>
      <c r="L32" s="83"/>
      <c r="M32" s="83"/>
      <c r="N32" s="83"/>
      <c r="O32" s="83"/>
    </row>
    <row r="33" spans="1:15" ht="36" customHeight="1" x14ac:dyDescent="0.3">
      <c r="A33" s="83"/>
      <c r="B33" s="538" t="s">
        <v>593</v>
      </c>
      <c r="C33" s="539" t="str">
        <f>+"Total (M"&amp;C29&amp;")"</f>
        <v>Total (M€)</v>
      </c>
      <c r="D33" s="540" t="str">
        <f>+"Specific ("&amp;C29&amp;"/"&amp;'Plant Overview'!J32&amp;")"</f>
        <v>Specific (€/unit P)</v>
      </c>
      <c r="E33" s="83"/>
      <c r="F33" s="83"/>
      <c r="G33" s="83"/>
      <c r="H33" s="83"/>
      <c r="I33" s="83"/>
      <c r="J33" s="83"/>
      <c r="K33" s="83"/>
      <c r="L33" s="83"/>
      <c r="M33" s="83"/>
      <c r="N33" s="83"/>
      <c r="O33" s="83"/>
    </row>
    <row r="34" spans="1:15" ht="36" customHeight="1" x14ac:dyDescent="0.3">
      <c r="A34" s="83"/>
      <c r="B34" s="577" t="s">
        <v>591</v>
      </c>
      <c r="C34" s="580">
        <f>+H13</f>
        <v>0</v>
      </c>
      <c r="D34" s="580" t="e">
        <f>+C34/'Cash Flow Analysis'!D5*1000</f>
        <v>#DIV/0!</v>
      </c>
      <c r="E34" s="83"/>
      <c r="F34" s="83"/>
      <c r="G34" s="83"/>
      <c r="H34" s="83"/>
      <c r="I34" s="83"/>
      <c r="J34" s="83"/>
      <c r="K34" s="83"/>
      <c r="L34" s="83"/>
      <c r="M34" s="83"/>
      <c r="N34" s="83"/>
      <c r="O34" s="83"/>
    </row>
    <row r="35" spans="1:15" ht="36" customHeight="1" x14ac:dyDescent="0.3">
      <c r="A35" s="83"/>
      <c r="B35" s="577" t="s">
        <v>592</v>
      </c>
      <c r="C35" s="580">
        <f>+H14</f>
        <v>0</v>
      </c>
      <c r="D35" s="581" t="e">
        <f>+C35/'Cash Flow Analysis'!D5*1000</f>
        <v>#DIV/0!</v>
      </c>
      <c r="E35" s="83"/>
      <c r="F35" s="83"/>
      <c r="G35" s="83"/>
      <c r="H35" s="83"/>
      <c r="I35" s="83"/>
      <c r="J35" s="83"/>
      <c r="K35" s="83"/>
      <c r="L35" s="83"/>
      <c r="M35" s="83"/>
      <c r="N35" s="83"/>
      <c r="O35" s="83"/>
    </row>
    <row r="36" spans="1:15" ht="36" customHeight="1" x14ac:dyDescent="0.3">
      <c r="A36" s="83"/>
      <c r="B36" s="83"/>
      <c r="C36" s="83"/>
      <c r="D36" s="83"/>
      <c r="E36" s="83"/>
      <c r="F36" s="83"/>
      <c r="G36" s="83"/>
      <c r="H36" s="83"/>
      <c r="I36" s="83"/>
      <c r="J36" s="83"/>
      <c r="K36" s="83"/>
      <c r="L36" s="83"/>
      <c r="M36" s="83"/>
      <c r="N36" s="83"/>
      <c r="O36" s="83"/>
    </row>
    <row r="37" spans="1:15" ht="36" customHeight="1" x14ac:dyDescent="0.3">
      <c r="A37" s="83"/>
      <c r="B37" s="807" t="s">
        <v>775</v>
      </c>
      <c r="C37" s="434" t="s">
        <v>595</v>
      </c>
      <c r="D37" s="258"/>
      <c r="E37" s="83"/>
      <c r="F37" s="83"/>
      <c r="G37" s="83"/>
      <c r="H37" s="83"/>
      <c r="I37" s="83"/>
      <c r="J37" s="83"/>
      <c r="K37" s="83"/>
      <c r="L37" s="83"/>
      <c r="M37" s="83"/>
      <c r="N37" s="83"/>
      <c r="O37" s="83"/>
    </row>
    <row r="38" spans="1:15" ht="36" customHeight="1" x14ac:dyDescent="0.3">
      <c r="A38" s="83"/>
      <c r="B38" s="808"/>
      <c r="C38" s="291" t="s">
        <v>596</v>
      </c>
      <c r="D38" s="258"/>
      <c r="E38" s="83"/>
      <c r="F38" s="83"/>
      <c r="G38" s="83"/>
      <c r="H38" s="83"/>
      <c r="I38" s="83"/>
      <c r="J38" s="83"/>
      <c r="K38" s="83"/>
      <c r="L38" s="83"/>
      <c r="M38" s="83"/>
      <c r="N38" s="83"/>
      <c r="O38" s="83"/>
    </row>
    <row r="39" spans="1:15" x14ac:dyDescent="0.3">
      <c r="A39" s="83"/>
      <c r="B39" s="83"/>
      <c r="C39" s="83"/>
      <c r="D39" s="83"/>
      <c r="E39" s="83"/>
      <c r="F39" s="83"/>
      <c r="G39" s="83"/>
      <c r="H39" s="83"/>
      <c r="I39" s="83"/>
      <c r="J39" s="83"/>
      <c r="K39" s="83"/>
      <c r="L39" s="83"/>
      <c r="M39" s="83"/>
      <c r="N39" s="83"/>
      <c r="O39" s="83"/>
    </row>
    <row r="40" spans="1:15" x14ac:dyDescent="0.3">
      <c r="A40" s="83"/>
      <c r="B40" s="83"/>
      <c r="C40" s="83"/>
      <c r="D40" s="83"/>
      <c r="E40" s="83"/>
      <c r="F40" s="83"/>
      <c r="G40" s="83"/>
      <c r="H40" s="83"/>
      <c r="I40" s="83"/>
      <c r="J40" s="83"/>
      <c r="K40" s="83"/>
      <c r="L40" s="83"/>
      <c r="M40" s="83"/>
      <c r="N40" s="83"/>
      <c r="O40" s="83"/>
    </row>
    <row r="41" spans="1:15" x14ac:dyDescent="0.3">
      <c r="A41" s="83"/>
      <c r="B41" s="83"/>
      <c r="C41" s="83"/>
      <c r="D41" s="83"/>
      <c r="E41" s="83"/>
      <c r="F41" s="83"/>
      <c r="G41" s="83"/>
      <c r="H41" s="83"/>
      <c r="I41" s="83"/>
      <c r="J41" s="83"/>
      <c r="K41" s="83"/>
      <c r="L41" s="83"/>
      <c r="M41" s="83"/>
      <c r="N41" s="83"/>
      <c r="O41" s="83"/>
    </row>
    <row r="42" spans="1:15" x14ac:dyDescent="0.3">
      <c r="A42" s="83"/>
      <c r="B42" s="83"/>
      <c r="C42" s="83"/>
      <c r="D42" s="83"/>
      <c r="E42" s="83"/>
      <c r="F42" s="83"/>
      <c r="G42" s="83"/>
      <c r="H42" s="83"/>
      <c r="I42" s="83"/>
      <c r="J42" s="83"/>
      <c r="K42" s="83"/>
      <c r="L42" s="83"/>
      <c r="M42" s="83"/>
      <c r="N42" s="83"/>
      <c r="O42" s="83"/>
    </row>
    <row r="43" spans="1:15" x14ac:dyDescent="0.3">
      <c r="A43" s="83"/>
      <c r="B43" s="83"/>
      <c r="C43" s="83"/>
      <c r="D43" s="83"/>
      <c r="E43" s="83"/>
      <c r="F43" s="83"/>
      <c r="G43" s="83"/>
      <c r="H43" s="83"/>
      <c r="I43" s="83"/>
      <c r="J43" s="83"/>
      <c r="K43" s="83"/>
      <c r="L43" s="83"/>
      <c r="M43" s="83"/>
      <c r="N43" s="83"/>
      <c r="O43" s="83"/>
    </row>
    <row r="44" spans="1:15" x14ac:dyDescent="0.3">
      <c r="A44" s="83"/>
      <c r="B44" s="83"/>
      <c r="C44" s="83"/>
      <c r="D44" s="83"/>
      <c r="E44" s="83"/>
      <c r="F44" s="83"/>
      <c r="G44" s="83"/>
      <c r="H44" s="83"/>
      <c r="I44" s="83"/>
      <c r="J44" s="83"/>
      <c r="K44" s="83"/>
      <c r="L44" s="83"/>
      <c r="M44" s="83"/>
      <c r="N44" s="83"/>
      <c r="O44" s="83"/>
    </row>
    <row r="45" spans="1:15" x14ac:dyDescent="0.3">
      <c r="A45" s="83"/>
      <c r="B45" s="83"/>
      <c r="C45" s="83"/>
      <c r="D45" s="83"/>
      <c r="E45" s="83"/>
      <c r="F45" s="83"/>
      <c r="G45" s="83"/>
      <c r="H45" s="83"/>
      <c r="I45" s="83"/>
      <c r="J45" s="83"/>
      <c r="K45" s="83"/>
      <c r="L45" s="83"/>
      <c r="M45" s="83"/>
      <c r="N45" s="83"/>
      <c r="O45" s="83"/>
    </row>
    <row r="46" spans="1:15" x14ac:dyDescent="0.3">
      <c r="A46" s="83"/>
      <c r="B46" s="83"/>
      <c r="C46" s="83"/>
      <c r="D46" s="83"/>
      <c r="E46" s="83"/>
      <c r="F46" s="83"/>
      <c r="G46" s="83"/>
      <c r="H46" s="83"/>
      <c r="I46" s="83"/>
      <c r="J46" s="83"/>
      <c r="K46" s="83"/>
      <c r="L46" s="83"/>
      <c r="M46" s="83"/>
      <c r="N46" s="83"/>
      <c r="O46" s="83"/>
    </row>
    <row r="47" spans="1:15" x14ac:dyDescent="0.3">
      <c r="A47" s="83"/>
      <c r="B47" s="83"/>
      <c r="C47" s="83"/>
      <c r="D47" s="83"/>
      <c r="E47" s="83"/>
      <c r="F47" s="83"/>
      <c r="G47" s="83"/>
      <c r="H47" s="83"/>
      <c r="I47" s="83"/>
      <c r="J47" s="83"/>
      <c r="K47" s="83"/>
      <c r="L47" s="83"/>
      <c r="M47" s="83"/>
      <c r="N47" s="83"/>
      <c r="O47" s="83"/>
    </row>
    <row r="48" spans="1:15" x14ac:dyDescent="0.3">
      <c r="A48" s="83"/>
      <c r="B48" s="83"/>
      <c r="C48" s="83"/>
      <c r="D48" s="83"/>
      <c r="E48" s="83"/>
      <c r="F48" s="83"/>
      <c r="G48" s="83"/>
      <c r="H48" s="83"/>
      <c r="I48" s="83"/>
      <c r="J48" s="83"/>
      <c r="K48" s="83"/>
      <c r="L48" s="83"/>
      <c r="M48" s="83"/>
      <c r="N48" s="83"/>
      <c r="O48" s="83"/>
    </row>
    <row r="49" spans="1:15" x14ac:dyDescent="0.3">
      <c r="A49" s="83"/>
      <c r="B49" s="83"/>
      <c r="C49" s="83"/>
      <c r="D49" s="83"/>
      <c r="E49" s="83"/>
      <c r="F49" s="83"/>
      <c r="G49" s="83"/>
      <c r="H49" s="83"/>
      <c r="I49" s="83"/>
      <c r="J49" s="83"/>
      <c r="K49" s="83"/>
      <c r="L49" s="83"/>
      <c r="M49" s="83"/>
      <c r="N49" s="83"/>
      <c r="O49" s="83"/>
    </row>
    <row r="50" spans="1:15" x14ac:dyDescent="0.3">
      <c r="A50" s="83"/>
      <c r="B50" s="83"/>
      <c r="C50" s="83"/>
      <c r="D50" s="83"/>
      <c r="E50" s="83"/>
      <c r="F50" s="83"/>
      <c r="G50" s="83"/>
      <c r="H50" s="83"/>
      <c r="I50" s="83"/>
      <c r="J50" s="83"/>
      <c r="K50" s="83"/>
      <c r="L50" s="83"/>
      <c r="M50" s="83"/>
      <c r="N50" s="83"/>
      <c r="O50" s="83"/>
    </row>
  </sheetData>
  <mergeCells count="1">
    <mergeCell ref="B28:C28"/>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1986" r:id="rId4" name="Button 2">
              <controlPr defaultSize="0" print="0" autoFill="0" autoPict="0" macro="[0]!Plant">
                <anchor moveWithCells="1" sizeWithCells="1">
                  <from>
                    <xdr:col>3</xdr:col>
                    <xdr:colOff>22860</xdr:colOff>
                    <xdr:row>29</xdr:row>
                    <xdr:rowOff>15240</xdr:rowOff>
                  </from>
                  <to>
                    <xdr:col>3</xdr:col>
                    <xdr:colOff>2232660</xdr:colOff>
                    <xdr:row>30</xdr:row>
                    <xdr:rowOff>434340</xdr:rowOff>
                  </to>
                </anchor>
              </controlPr>
            </control>
          </mc:Choice>
        </mc:AlternateContent>
        <mc:AlternateContent xmlns:mc="http://schemas.openxmlformats.org/markup-compatibility/2006">
          <mc:Choice Requires="x14">
            <control shapeId="41991" r:id="rId5" name="Button 7">
              <controlPr defaultSize="0" print="0" autoFill="0" autoPict="0" macro="[0]!Itemu">
                <anchor moveWithCells="1" sizeWithCells="1">
                  <from>
                    <xdr:col>3</xdr:col>
                    <xdr:colOff>15240</xdr:colOff>
                    <xdr:row>36</xdr:row>
                    <xdr:rowOff>15240</xdr:rowOff>
                  </from>
                  <to>
                    <xdr:col>4</xdr:col>
                    <xdr:colOff>0</xdr:colOff>
                    <xdr:row>37</xdr:row>
                    <xdr:rowOff>7620</xdr:rowOff>
                  </to>
                </anchor>
              </controlPr>
            </control>
          </mc:Choice>
        </mc:AlternateContent>
        <mc:AlternateContent xmlns:mc="http://schemas.openxmlformats.org/markup-compatibility/2006">
          <mc:Choice Requires="x14">
            <control shapeId="41992" r:id="rId6" name="Button 8">
              <controlPr defaultSize="0" print="0" autoFill="0" autoPict="0" macro="[0]!Itemd">
                <anchor moveWithCells="1" sizeWithCells="1">
                  <from>
                    <xdr:col>3</xdr:col>
                    <xdr:colOff>15240</xdr:colOff>
                    <xdr:row>37</xdr:row>
                    <xdr:rowOff>22860</xdr:rowOff>
                  </from>
                  <to>
                    <xdr:col>3</xdr:col>
                    <xdr:colOff>2217420</xdr:colOff>
                    <xdr:row>38</xdr:row>
                    <xdr:rowOff>0</xdr:rowOff>
                  </to>
                </anchor>
              </controlPr>
            </control>
          </mc:Choice>
        </mc:AlternateContent>
        <mc:AlternateContent xmlns:mc="http://schemas.openxmlformats.org/markup-compatibility/2006">
          <mc:Choice Requires="x14">
            <control shapeId="41993" r:id="rId7" name="Button 9">
              <controlPr defaultSize="0" print="0" autoFill="0" autoPict="0" macro="[0]!UpTot">
                <anchor moveWithCells="1" sizeWithCells="1">
                  <from>
                    <xdr:col>1</xdr:col>
                    <xdr:colOff>30480</xdr:colOff>
                    <xdr:row>37</xdr:row>
                    <xdr:rowOff>30480</xdr:rowOff>
                  </from>
                  <to>
                    <xdr:col>1</xdr:col>
                    <xdr:colOff>3116580</xdr:colOff>
                    <xdr:row>37</xdr:row>
                    <xdr:rowOff>441960</xdr:rowOff>
                  </to>
                </anchor>
              </controlPr>
            </control>
          </mc:Choice>
        </mc:AlternateContent>
      </controls>
    </mc:Choice>
  </mc:AlternateContent>
  <tableParts count="2">
    <tablePart r:id="rId8"/>
    <tablePart r:id="rId9"/>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3BD1B-6070-4D78-9C87-5A37B076EB82}">
  <sheetPr codeName="Hoja11"/>
  <dimension ref="A1:Y53"/>
  <sheetViews>
    <sheetView showGridLines="0" zoomScale="40" zoomScaleNormal="40" workbookViewId="0">
      <selection activeCell="B2" sqref="B2:C3"/>
    </sheetView>
  </sheetViews>
  <sheetFormatPr defaultColWidth="11.109375" defaultRowHeight="14.4" x14ac:dyDescent="0.3"/>
  <cols>
    <col min="1" max="1" width="3.33203125" customWidth="1"/>
    <col min="2" max="7" width="19.109375" customWidth="1"/>
    <col min="8" max="8" width="3.33203125" style="83" customWidth="1"/>
    <col min="9" max="14" width="19.109375" customWidth="1"/>
    <col min="15" max="15" width="3.33203125" customWidth="1"/>
    <col min="16" max="21" width="19.109375" customWidth="1"/>
    <col min="23" max="23" width="11.109375" style="92"/>
  </cols>
  <sheetData>
    <row r="1" spans="1:25" ht="21" customHeight="1" x14ac:dyDescent="0.3">
      <c r="H1"/>
    </row>
    <row r="2" spans="1:25" ht="21" customHeight="1" x14ac:dyDescent="0.3">
      <c r="A2" s="83"/>
      <c r="B2" s="985" t="s">
        <v>575</v>
      </c>
      <c r="C2" s="985"/>
      <c r="D2" s="105"/>
      <c r="E2" s="105"/>
      <c r="F2" s="105"/>
      <c r="G2" s="105"/>
      <c r="H2" s="105"/>
      <c r="I2" s="105"/>
      <c r="J2" s="83"/>
      <c r="K2" s="83"/>
      <c r="L2" s="83"/>
      <c r="M2" s="83"/>
      <c r="N2" s="83"/>
      <c r="O2" s="83"/>
      <c r="P2" s="83"/>
      <c r="Q2" s="83"/>
      <c r="R2" s="83"/>
      <c r="S2" s="879" t="s">
        <v>644</v>
      </c>
      <c r="T2" s="880"/>
      <c r="U2" s="880"/>
      <c r="V2" s="880"/>
      <c r="W2" s="880"/>
      <c r="X2" s="880"/>
      <c r="Y2" s="881"/>
    </row>
    <row r="3" spans="1:25" ht="21" customHeight="1" x14ac:dyDescent="0.3">
      <c r="A3" s="83"/>
      <c r="B3" s="985"/>
      <c r="C3" s="985"/>
      <c r="D3" s="105"/>
      <c r="E3" s="105"/>
      <c r="F3" s="105"/>
      <c r="G3" s="105"/>
      <c r="H3" s="105"/>
      <c r="I3" s="105"/>
      <c r="J3" s="462"/>
      <c r="K3" s="462"/>
      <c r="L3" s="462"/>
      <c r="M3" s="105"/>
      <c r="N3" s="83"/>
      <c r="O3" s="83"/>
      <c r="P3" s="882" t="s">
        <v>267</v>
      </c>
      <c r="Q3" s="883"/>
      <c r="T3" s="83"/>
      <c r="U3" s="83"/>
      <c r="V3" s="83"/>
    </row>
    <row r="4" spans="1:25" ht="21" customHeight="1" x14ac:dyDescent="0.3">
      <c r="A4" s="83"/>
      <c r="B4" s="974" t="s">
        <v>496</v>
      </c>
      <c r="C4" s="975"/>
      <c r="D4" s="105"/>
      <c r="E4" s="105"/>
      <c r="F4" s="260" t="s">
        <v>578</v>
      </c>
      <c r="G4" s="261" t="s">
        <v>579</v>
      </c>
      <c r="H4" s="105"/>
      <c r="I4" s="105"/>
      <c r="J4" s="105"/>
      <c r="K4" s="248"/>
      <c r="L4" s="245"/>
      <c r="M4" s="242"/>
      <c r="N4" s="83"/>
      <c r="O4" s="83"/>
      <c r="P4" s="447"/>
      <c r="Q4" s="393" t="s">
        <v>262</v>
      </c>
      <c r="S4" s="127" t="s">
        <v>699</v>
      </c>
      <c r="T4" s="128" t="s">
        <v>360</v>
      </c>
      <c r="U4" s="906" t="s">
        <v>580</v>
      </c>
      <c r="V4" s="907"/>
      <c r="W4" s="907"/>
      <c r="X4" s="907"/>
      <c r="Y4" s="908"/>
    </row>
    <row r="5" spans="1:25" ht="21" customHeight="1" x14ac:dyDescent="0.3">
      <c r="A5" s="83"/>
      <c r="B5" s="976"/>
      <c r="C5" s="977"/>
      <c r="D5" s="105"/>
      <c r="E5" s="259" t="s">
        <v>458</v>
      </c>
      <c r="F5" s="258"/>
      <c r="G5" s="258"/>
      <c r="H5" s="105"/>
      <c r="I5" s="105"/>
      <c r="J5" s="105"/>
      <c r="K5" s="242"/>
      <c r="L5" s="245"/>
      <c r="M5" s="242"/>
      <c r="N5" s="83"/>
      <c r="O5" s="83"/>
      <c r="P5" s="527"/>
      <c r="Q5" s="393" t="s">
        <v>263</v>
      </c>
      <c r="S5" s="649"/>
      <c r="T5" s="650"/>
      <c r="U5" s="899"/>
      <c r="V5" s="900"/>
      <c r="W5" s="900"/>
      <c r="X5" s="900"/>
      <c r="Y5" s="901"/>
    </row>
    <row r="6" spans="1:25" ht="21" customHeight="1" x14ac:dyDescent="0.3">
      <c r="A6" s="83"/>
      <c r="B6" s="974"/>
      <c r="C6" s="975"/>
      <c r="D6" s="105"/>
      <c r="E6" s="259" t="s">
        <v>577</v>
      </c>
      <c r="F6" s="258"/>
      <c r="G6" s="258"/>
      <c r="H6" s="105"/>
      <c r="I6" s="105"/>
      <c r="J6" s="105"/>
      <c r="K6" s="455"/>
      <c r="L6" s="245"/>
      <c r="M6" s="242"/>
      <c r="N6" s="83"/>
      <c r="O6" s="83"/>
      <c r="P6" s="528"/>
      <c r="Q6" s="472" t="s">
        <v>264</v>
      </c>
      <c r="S6" s="649"/>
      <c r="T6" s="650"/>
      <c r="U6" s="899"/>
      <c r="V6" s="900"/>
      <c r="W6" s="900"/>
      <c r="X6" s="900"/>
      <c r="Y6" s="901"/>
    </row>
    <row r="7" spans="1:25" s="83" customFormat="1" ht="21" customHeight="1" x14ac:dyDescent="0.3">
      <c r="B7" s="978"/>
      <c r="C7" s="979"/>
      <c r="D7" s="105"/>
      <c r="E7" s="259" t="s">
        <v>459</v>
      </c>
      <c r="F7" s="258"/>
      <c r="G7" s="258"/>
      <c r="H7" s="105"/>
      <c r="I7" s="105"/>
      <c r="J7" s="105"/>
      <c r="K7" s="242"/>
      <c r="L7" s="245"/>
      <c r="M7" s="242"/>
      <c r="P7" s="529"/>
      <c r="Q7" s="516" t="s">
        <v>268</v>
      </c>
      <c r="S7" s="649"/>
      <c r="T7" s="650"/>
      <c r="U7" s="899"/>
      <c r="V7" s="900"/>
      <c r="W7" s="900"/>
      <c r="X7" s="900"/>
      <c r="Y7" s="901"/>
    </row>
    <row r="8" spans="1:25" s="83" customFormat="1" ht="21" customHeight="1" x14ac:dyDescent="0.3">
      <c r="B8" s="978"/>
      <c r="C8" s="979"/>
      <c r="D8" s="105"/>
      <c r="E8" s="974" t="s">
        <v>742</v>
      </c>
      <c r="F8" s="980"/>
      <c r="G8" s="975"/>
      <c r="H8" s="105"/>
      <c r="I8" s="105"/>
      <c r="J8" s="105"/>
      <c r="K8" s="242"/>
      <c r="L8" s="245"/>
      <c r="M8" s="242"/>
      <c r="S8" s="649"/>
      <c r="T8" s="650"/>
      <c r="U8" s="899"/>
      <c r="V8" s="900"/>
      <c r="W8" s="900"/>
      <c r="X8" s="900"/>
      <c r="Y8" s="901"/>
    </row>
    <row r="9" spans="1:25" ht="21" customHeight="1" x14ac:dyDescent="0.3">
      <c r="A9" s="83"/>
      <c r="B9" s="976"/>
      <c r="C9" s="977"/>
      <c r="D9" s="459"/>
      <c r="E9" s="976"/>
      <c r="F9" s="981"/>
      <c r="G9" s="977"/>
      <c r="H9" s="105"/>
      <c r="I9" s="105"/>
      <c r="J9" s="242"/>
      <c r="K9" s="242"/>
      <c r="L9" s="242"/>
      <c r="M9" s="242"/>
      <c r="N9" s="83"/>
      <c r="O9" s="83"/>
      <c r="P9" s="277" t="s">
        <v>691</v>
      </c>
      <c r="Q9" s="583">
        <f>+'Cost Conversion'!L2</f>
        <v>1.2</v>
      </c>
      <c r="S9" s="649"/>
      <c r="T9" s="650"/>
      <c r="U9" s="899"/>
      <c r="V9" s="900"/>
      <c r="W9" s="900"/>
      <c r="X9" s="900"/>
      <c r="Y9" s="901"/>
    </row>
    <row r="10" spans="1:25" ht="21" customHeight="1" x14ac:dyDescent="0.3">
      <c r="A10" s="83"/>
      <c r="B10" s="105"/>
      <c r="C10" s="105"/>
      <c r="D10" s="459"/>
      <c r="E10" s="105"/>
      <c r="F10" s="244"/>
      <c r="G10" s="105"/>
      <c r="H10" s="105"/>
      <c r="I10" s="105"/>
      <c r="J10" s="242"/>
      <c r="K10" s="242"/>
      <c r="L10" s="242"/>
      <c r="M10" s="242"/>
      <c r="N10" s="83"/>
      <c r="O10" s="83"/>
      <c r="P10" s="277" t="s">
        <v>774</v>
      </c>
      <c r="Q10" s="804">
        <f>365.25*24</f>
        <v>8766</v>
      </c>
      <c r="T10" s="241"/>
      <c r="U10" s="241"/>
      <c r="V10" s="241"/>
    </row>
    <row r="11" spans="1:25" ht="21" customHeight="1" x14ac:dyDescent="0.3">
      <c r="A11" s="83"/>
      <c r="B11" s="105"/>
      <c r="C11" s="105"/>
      <c r="D11" s="459"/>
      <c r="E11" s="105"/>
      <c r="F11" s="244"/>
      <c r="G11" s="105"/>
      <c r="H11" s="105"/>
      <c r="I11" s="105"/>
      <c r="J11" s="242"/>
      <c r="K11" s="242"/>
      <c r="L11" s="242"/>
      <c r="M11" s="242"/>
      <c r="N11" s="83"/>
      <c r="O11" s="83"/>
      <c r="T11" s="241"/>
      <c r="U11" s="241"/>
      <c r="V11" s="241"/>
    </row>
    <row r="12" spans="1:25" ht="21" customHeight="1" x14ac:dyDescent="0.3">
      <c r="A12" s="83"/>
      <c r="B12" s="105"/>
      <c r="C12" s="83"/>
      <c r="D12" s="459"/>
      <c r="E12" s="105"/>
      <c r="F12" s="244"/>
      <c r="G12" s="105"/>
      <c r="H12" s="105"/>
      <c r="J12" s="242"/>
      <c r="K12" s="242"/>
      <c r="L12" s="242"/>
      <c r="M12" s="242"/>
      <c r="N12" s="83"/>
      <c r="O12" s="83"/>
      <c r="T12" s="241"/>
      <c r="U12" s="241"/>
      <c r="V12" s="241"/>
    </row>
    <row r="13" spans="1:25" ht="21" customHeight="1" x14ac:dyDescent="0.3">
      <c r="A13" s="83"/>
      <c r="B13" s="83"/>
      <c r="C13" s="83"/>
      <c r="D13" s="242"/>
      <c r="E13" s="242"/>
      <c r="F13" s="242"/>
      <c r="G13" s="242"/>
      <c r="H13" s="105"/>
      <c r="I13" s="105"/>
      <c r="J13" s="251"/>
      <c r="K13" s="244"/>
      <c r="L13" s="83"/>
      <c r="M13" s="83"/>
      <c r="N13" s="83"/>
      <c r="O13" s="83"/>
      <c r="P13" s="241"/>
      <c r="Q13" s="241"/>
      <c r="R13" s="241"/>
      <c r="S13" s="241"/>
      <c r="T13" s="241"/>
      <c r="U13" s="241"/>
      <c r="V13" s="241"/>
    </row>
    <row r="14" spans="1:25" ht="21" customHeight="1" x14ac:dyDescent="0.3">
      <c r="A14" s="83"/>
      <c r="B14" s="982" t="s">
        <v>449</v>
      </c>
      <c r="C14" s="983"/>
      <c r="D14" s="983"/>
      <c r="E14" s="983"/>
      <c r="F14" s="983"/>
      <c r="G14" s="984"/>
      <c r="H14" s="203"/>
      <c r="I14" s="982" t="s">
        <v>708</v>
      </c>
      <c r="J14" s="983"/>
      <c r="K14" s="983"/>
      <c r="L14" s="983"/>
      <c r="M14" s="983"/>
      <c r="N14" s="984"/>
      <c r="O14" s="83"/>
      <c r="P14" s="879" t="s">
        <v>451</v>
      </c>
      <c r="Q14" s="880"/>
      <c r="R14" s="880"/>
      <c r="S14" s="880"/>
      <c r="T14" s="880"/>
      <c r="U14" s="881"/>
      <c r="V14" s="241"/>
      <c r="W14" s="467" t="str">
        <f>+B18</f>
        <v>Total FOM</v>
      </c>
    </row>
    <row r="15" spans="1:25" ht="21" customHeight="1" x14ac:dyDescent="0.3">
      <c r="A15" s="83"/>
      <c r="B15" s="584" t="s">
        <v>678</v>
      </c>
      <c r="C15" s="585" t="s">
        <v>667</v>
      </c>
      <c r="D15" s="584" t="s">
        <v>676</v>
      </c>
      <c r="E15" s="585" t="s">
        <v>576</v>
      </c>
      <c r="F15" s="584" t="s">
        <v>677</v>
      </c>
      <c r="G15" s="681" t="s">
        <v>717</v>
      </c>
      <c r="H15" s="460"/>
      <c r="I15" s="584" t="s">
        <v>678</v>
      </c>
      <c r="J15" s="585" t="s">
        <v>667</v>
      </c>
      <c r="K15" s="584" t="s">
        <v>676</v>
      </c>
      <c r="L15" s="585" t="s">
        <v>576</v>
      </c>
      <c r="M15" s="584" t="s">
        <v>677</v>
      </c>
      <c r="N15" s="586" t="s">
        <v>718</v>
      </c>
      <c r="O15" s="461"/>
      <c r="P15" s="587" t="s">
        <v>678</v>
      </c>
      <c r="Q15" s="588" t="s">
        <v>667</v>
      </c>
      <c r="R15" s="589" t="s">
        <v>676</v>
      </c>
      <c r="S15" s="588" t="s">
        <v>576</v>
      </c>
      <c r="T15" s="589" t="s">
        <v>677</v>
      </c>
      <c r="U15" s="590" t="s">
        <v>718</v>
      </c>
      <c r="V15" s="241"/>
      <c r="W15" s="467" t="str">
        <f>+I16</f>
        <v>Fuel 1</v>
      </c>
    </row>
    <row r="16" spans="1:25" ht="21" customHeight="1" x14ac:dyDescent="0.3">
      <c r="A16" s="83"/>
      <c r="B16" s="517" t="s">
        <v>663</v>
      </c>
      <c r="C16" s="688"/>
      <c r="D16" s="129"/>
      <c r="E16" s="688"/>
      <c r="F16" s="255"/>
      <c r="G16" s="166">
        <f t="shared" ref="G16" si="0">+C16*E16</f>
        <v>0</v>
      </c>
      <c r="H16" s="203"/>
      <c r="I16" s="97" t="str">
        <f>+'Plant Overview'!H71</f>
        <v>Fuel 1</v>
      </c>
      <c r="J16" s="267"/>
      <c r="K16" s="129"/>
      <c r="L16" s="688"/>
      <c r="M16" s="97"/>
      <c r="N16" s="525">
        <f>+J16*L16/10^6</f>
        <v>0</v>
      </c>
      <c r="O16" s="83"/>
      <c r="P16" s="517" t="s">
        <v>670</v>
      </c>
      <c r="Q16" s="267"/>
      <c r="R16" s="517"/>
      <c r="S16" s="688"/>
      <c r="T16" s="517"/>
      <c r="U16" s="166">
        <f>+Q16*S16/10^6</f>
        <v>0</v>
      </c>
      <c r="V16" s="241"/>
      <c r="W16" s="467" t="str">
        <f>+I17</f>
        <v>Fuel 2</v>
      </c>
    </row>
    <row r="17" spans="1:23" ht="21" customHeight="1" x14ac:dyDescent="0.35">
      <c r="A17" s="83"/>
      <c r="B17" s="733" t="s">
        <v>664</v>
      </c>
      <c r="C17" s="688"/>
      <c r="D17" s="129"/>
      <c r="E17" s="688"/>
      <c r="F17" s="255"/>
      <c r="G17" s="166">
        <f>+C17*E17</f>
        <v>0</v>
      </c>
      <c r="H17" s="249"/>
      <c r="I17" s="436" t="str">
        <f>+'Plant Overview'!H72</f>
        <v>Fuel 2</v>
      </c>
      <c r="J17" s="267"/>
      <c r="K17" s="129"/>
      <c r="L17" s="688"/>
      <c r="M17" s="436"/>
      <c r="N17" s="524">
        <f>+J17*L17/10^6</f>
        <v>0</v>
      </c>
      <c r="O17" s="83"/>
      <c r="P17" s="517" t="s">
        <v>663</v>
      </c>
      <c r="Q17" s="267"/>
      <c r="R17" s="517"/>
      <c r="S17" s="688"/>
      <c r="T17" s="517"/>
      <c r="U17" s="166">
        <f>+Q17*S17/10^6</f>
        <v>0</v>
      </c>
      <c r="V17" s="241"/>
      <c r="W17" s="467" t="str">
        <f>+P18</f>
        <v>Total VOM (exl. Fuel &amp; CO2 tax)</v>
      </c>
    </row>
    <row r="18" spans="1:23" ht="21" customHeight="1" x14ac:dyDescent="0.35">
      <c r="A18" s="83"/>
      <c r="B18" s="971" t="s">
        <v>450</v>
      </c>
      <c r="C18" s="972"/>
      <c r="D18" s="972"/>
      <c r="E18" s="972"/>
      <c r="F18" s="973"/>
      <c r="G18" s="524">
        <f>SUM(Tabla60[cost/year])</f>
        <v>0</v>
      </c>
      <c r="H18" s="249"/>
      <c r="I18" s="105"/>
      <c r="J18" s="83"/>
      <c r="K18" s="83"/>
      <c r="L18" s="241"/>
      <c r="M18" s="241"/>
      <c r="N18" s="241"/>
      <c r="O18" s="241"/>
      <c r="P18" s="971" t="s">
        <v>571</v>
      </c>
      <c r="Q18" s="972"/>
      <c r="R18" s="972"/>
      <c r="S18" s="972"/>
      <c r="T18" s="973"/>
      <c r="U18" s="526">
        <f>SUM(Tabla58[cost/year])-U16</f>
        <v>0</v>
      </c>
      <c r="V18" s="241"/>
    </row>
    <row r="19" spans="1:23" ht="21" customHeight="1" x14ac:dyDescent="0.3">
      <c r="A19" s="83"/>
      <c r="B19" s="236"/>
      <c r="C19" s="236"/>
      <c r="D19" s="236"/>
      <c r="E19" s="236"/>
      <c r="F19" s="236"/>
      <c r="G19" s="162"/>
      <c r="H19" s="203"/>
      <c r="I19" s="105"/>
      <c r="J19" s="83"/>
      <c r="K19" s="83"/>
      <c r="L19" s="241"/>
      <c r="M19" s="241"/>
      <c r="N19" s="241"/>
      <c r="O19" s="241"/>
      <c r="P19" s="971" t="s">
        <v>494</v>
      </c>
      <c r="Q19" s="972"/>
      <c r="R19" s="972"/>
      <c r="S19" s="972"/>
      <c r="T19" s="972"/>
      <c r="U19" s="524">
        <f>+U16</f>
        <v>0</v>
      </c>
      <c r="V19" s="241"/>
    </row>
    <row r="20" spans="1:23" ht="21" customHeight="1" x14ac:dyDescent="0.3">
      <c r="A20" s="83"/>
      <c r="H20" s="203"/>
      <c r="I20" s="105"/>
      <c r="J20" s="83"/>
      <c r="K20" s="83"/>
      <c r="L20" s="241"/>
      <c r="M20" s="241"/>
      <c r="N20" s="241"/>
      <c r="O20" s="241"/>
      <c r="P20" s="241"/>
      <c r="Q20" s="241"/>
      <c r="R20" s="241"/>
      <c r="S20" s="241"/>
      <c r="T20" s="241"/>
      <c r="U20" s="241"/>
      <c r="V20" s="241"/>
    </row>
    <row r="21" spans="1:23" ht="21" customHeight="1" x14ac:dyDescent="0.3">
      <c r="A21" s="83"/>
      <c r="H21" s="248"/>
      <c r="I21" s="105"/>
      <c r="J21" s="83"/>
      <c r="K21" s="83"/>
      <c r="L21" s="241"/>
      <c r="M21" s="241"/>
      <c r="N21" s="241"/>
      <c r="O21" s="241"/>
      <c r="P21" s="241"/>
      <c r="Q21" s="241"/>
      <c r="R21" s="241"/>
      <c r="S21" s="242"/>
      <c r="T21" s="241"/>
      <c r="U21" s="241"/>
      <c r="V21" s="241"/>
    </row>
    <row r="22" spans="1:23" ht="21" customHeight="1" x14ac:dyDescent="0.3"/>
    <row r="23" spans="1:23" ht="21" customHeight="1" x14ac:dyDescent="0.3"/>
    <row r="24" spans="1:23" ht="21" customHeight="1" x14ac:dyDescent="0.3"/>
    <row r="25" spans="1:23" ht="21" customHeight="1" x14ac:dyDescent="0.3"/>
    <row r="26" spans="1:23" ht="21" customHeight="1" x14ac:dyDescent="0.3"/>
    <row r="27" spans="1:23" ht="21" customHeight="1" x14ac:dyDescent="0.3"/>
    <row r="28" spans="1:23" ht="21" customHeight="1" x14ac:dyDescent="0.3"/>
    <row r="29" spans="1:23" ht="21" customHeight="1" x14ac:dyDescent="0.3"/>
    <row r="30" spans="1:23" ht="21" customHeight="1" x14ac:dyDescent="0.3"/>
    <row r="31" spans="1:23" ht="21" customHeight="1" x14ac:dyDescent="0.3"/>
    <row r="32" spans="1:23" ht="21" customHeight="1" x14ac:dyDescent="0.3"/>
    <row r="33" ht="21" customHeight="1" x14ac:dyDescent="0.3"/>
    <row r="34" ht="21" customHeight="1" x14ac:dyDescent="0.3"/>
    <row r="35" ht="21" customHeight="1" x14ac:dyDescent="0.3"/>
    <row r="36" ht="21" customHeight="1" x14ac:dyDescent="0.3"/>
    <row r="37" ht="21" customHeight="1" x14ac:dyDescent="0.3"/>
    <row r="38" ht="21" customHeight="1" x14ac:dyDescent="0.3"/>
    <row r="39" ht="21" customHeight="1" x14ac:dyDescent="0.3"/>
    <row r="40" ht="21" customHeight="1" x14ac:dyDescent="0.3"/>
    <row r="41" ht="21" customHeight="1" x14ac:dyDescent="0.3"/>
    <row r="42" ht="21" customHeight="1" x14ac:dyDescent="0.3"/>
    <row r="43" ht="21" customHeight="1" x14ac:dyDescent="0.3"/>
    <row r="44" ht="21" customHeight="1" x14ac:dyDescent="0.3"/>
    <row r="45" ht="21" customHeight="1" x14ac:dyDescent="0.3"/>
    <row r="46" ht="15.6" customHeight="1" x14ac:dyDescent="0.3"/>
    <row r="47" ht="15.6" customHeight="1" x14ac:dyDescent="0.3"/>
    <row r="48" ht="15.6" customHeight="1" x14ac:dyDescent="0.3"/>
    <row r="49" ht="15.6" customHeight="1" x14ac:dyDescent="0.3"/>
    <row r="50" ht="15.6" customHeight="1" x14ac:dyDescent="0.3"/>
    <row r="51" ht="15.6" customHeight="1" x14ac:dyDescent="0.3"/>
    <row r="52" ht="15.6" customHeight="1" x14ac:dyDescent="0.3"/>
    <row r="53" ht="15.6" customHeight="1" x14ac:dyDescent="0.3"/>
  </sheetData>
  <mergeCells count="18">
    <mergeCell ref="S2:Y2"/>
    <mergeCell ref="P3:Q3"/>
    <mergeCell ref="B2:C3"/>
    <mergeCell ref="P18:T18"/>
    <mergeCell ref="B14:G14"/>
    <mergeCell ref="P19:T19"/>
    <mergeCell ref="B18:F18"/>
    <mergeCell ref="B4:C5"/>
    <mergeCell ref="B6:C9"/>
    <mergeCell ref="E8:G9"/>
    <mergeCell ref="I14:N14"/>
    <mergeCell ref="P14:U14"/>
    <mergeCell ref="U4:Y4"/>
    <mergeCell ref="U5:Y5"/>
    <mergeCell ref="U6:Y6"/>
    <mergeCell ref="U7:Y7"/>
    <mergeCell ref="U8:Y8"/>
    <mergeCell ref="U9:Y9"/>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412" r:id="rId4" name="Button 4">
              <controlPr defaultSize="0" print="0" autoFill="0" autoPict="0" macro="[0]!Plant">
                <anchor moveWithCells="1" sizeWithCells="1">
                  <from>
                    <xdr:col>1</xdr:col>
                    <xdr:colOff>99060</xdr:colOff>
                    <xdr:row>5</xdr:row>
                    <xdr:rowOff>68580</xdr:rowOff>
                  </from>
                  <to>
                    <xdr:col>2</xdr:col>
                    <xdr:colOff>1226820</xdr:colOff>
                    <xdr:row>8</xdr:row>
                    <xdr:rowOff>190500</xdr:rowOff>
                  </to>
                </anchor>
              </controlPr>
            </control>
          </mc:Choice>
        </mc:AlternateContent>
        <mc:AlternateContent xmlns:mc="http://schemas.openxmlformats.org/markup-compatibility/2006">
          <mc:Choice Requires="x14">
            <control shapeId="17429" r:id="rId5" name="Button 21">
              <controlPr defaultSize="0" print="0" autoFill="0" autoPict="0" macro="[0]!VOMu">
                <anchor moveWithCells="1" sizeWithCells="1">
                  <from>
                    <xdr:col>5</xdr:col>
                    <xdr:colOff>7620</xdr:colOff>
                    <xdr:row>6</xdr:row>
                    <xdr:rowOff>7620</xdr:rowOff>
                  </from>
                  <to>
                    <xdr:col>6</xdr:col>
                    <xdr:colOff>0</xdr:colOff>
                    <xdr:row>7</xdr:row>
                    <xdr:rowOff>0</xdr:rowOff>
                  </to>
                </anchor>
              </controlPr>
            </control>
          </mc:Choice>
        </mc:AlternateContent>
        <mc:AlternateContent xmlns:mc="http://schemas.openxmlformats.org/markup-compatibility/2006">
          <mc:Choice Requires="x14">
            <control shapeId="17430" r:id="rId6" name="Button 22">
              <controlPr defaultSize="0" print="0" autoFill="0" autoPict="0" macro="[0]!VOMd">
                <anchor moveWithCells="1" sizeWithCells="1">
                  <from>
                    <xdr:col>6</xdr:col>
                    <xdr:colOff>7620</xdr:colOff>
                    <xdr:row>6</xdr:row>
                    <xdr:rowOff>15240</xdr:rowOff>
                  </from>
                  <to>
                    <xdr:col>7</xdr:col>
                    <xdr:colOff>0</xdr:colOff>
                    <xdr:row>7</xdr:row>
                    <xdr:rowOff>0</xdr:rowOff>
                  </to>
                </anchor>
              </controlPr>
            </control>
          </mc:Choice>
        </mc:AlternateContent>
        <mc:AlternateContent xmlns:mc="http://schemas.openxmlformats.org/markup-compatibility/2006">
          <mc:Choice Requires="x14">
            <control shapeId="17431" r:id="rId7" name="Button 23">
              <controlPr defaultSize="0" print="0" autoFill="0" autoPict="0" macro="[0]!FOMu">
                <anchor moveWithCells="1" sizeWithCells="1">
                  <from>
                    <xdr:col>5</xdr:col>
                    <xdr:colOff>7620</xdr:colOff>
                    <xdr:row>4</xdr:row>
                    <xdr:rowOff>7620</xdr:rowOff>
                  </from>
                  <to>
                    <xdr:col>6</xdr:col>
                    <xdr:colOff>0</xdr:colOff>
                    <xdr:row>5</xdr:row>
                    <xdr:rowOff>0</xdr:rowOff>
                  </to>
                </anchor>
              </controlPr>
            </control>
          </mc:Choice>
        </mc:AlternateContent>
        <mc:AlternateContent xmlns:mc="http://schemas.openxmlformats.org/markup-compatibility/2006">
          <mc:Choice Requires="x14">
            <control shapeId="17432" r:id="rId8" name="Button 24">
              <controlPr defaultSize="0" print="0" autoFill="0" autoPict="0" macro="[0]!FOMd">
                <anchor moveWithCells="1" sizeWithCells="1">
                  <from>
                    <xdr:col>6</xdr:col>
                    <xdr:colOff>7620</xdr:colOff>
                    <xdr:row>4</xdr:row>
                    <xdr:rowOff>7620</xdr:rowOff>
                  </from>
                  <to>
                    <xdr:col>7</xdr:col>
                    <xdr:colOff>0</xdr:colOff>
                    <xdr:row>4</xdr:row>
                    <xdr:rowOff>266700</xdr:rowOff>
                  </to>
                </anchor>
              </controlPr>
            </control>
          </mc:Choice>
        </mc:AlternateContent>
        <mc:AlternateContent xmlns:mc="http://schemas.openxmlformats.org/markup-compatibility/2006">
          <mc:Choice Requires="x14">
            <control shapeId="17433" r:id="rId9" name="Button 25">
              <controlPr defaultSize="0" print="0" autoFill="0" autoPict="0" macro="[0]!Fuelu">
                <anchor moveWithCells="1" sizeWithCells="1">
                  <from>
                    <xdr:col>5</xdr:col>
                    <xdr:colOff>7620</xdr:colOff>
                    <xdr:row>5</xdr:row>
                    <xdr:rowOff>7620</xdr:rowOff>
                  </from>
                  <to>
                    <xdr:col>5</xdr:col>
                    <xdr:colOff>1310640</xdr:colOff>
                    <xdr:row>6</xdr:row>
                    <xdr:rowOff>7620</xdr:rowOff>
                  </to>
                </anchor>
              </controlPr>
            </control>
          </mc:Choice>
        </mc:AlternateContent>
        <mc:AlternateContent xmlns:mc="http://schemas.openxmlformats.org/markup-compatibility/2006">
          <mc:Choice Requires="x14">
            <control shapeId="17434" r:id="rId10" name="Button 26">
              <controlPr defaultSize="0" print="0" autoFill="0" autoPict="0" macro="[0]!Fueld">
                <anchor moveWithCells="1" sizeWithCells="1">
                  <from>
                    <xdr:col>6</xdr:col>
                    <xdr:colOff>7620</xdr:colOff>
                    <xdr:row>5</xdr:row>
                    <xdr:rowOff>7620</xdr:rowOff>
                  </from>
                  <to>
                    <xdr:col>7</xdr:col>
                    <xdr:colOff>0</xdr:colOff>
                    <xdr:row>6</xdr:row>
                    <xdr:rowOff>0</xdr:rowOff>
                  </to>
                </anchor>
              </controlPr>
            </control>
          </mc:Choice>
        </mc:AlternateContent>
      </controls>
    </mc:Choice>
  </mc:AlternateContent>
  <tableParts count="3">
    <tablePart r:id="rId11"/>
    <tablePart r:id="rId12"/>
    <tablePart r:id="rId13"/>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6DCF8-C615-4CC1-8176-59A3B0761BC2}">
  <sheetPr codeName="Hoja15"/>
  <dimension ref="A1:BR98"/>
  <sheetViews>
    <sheetView showGridLines="0" zoomScale="55" zoomScaleNormal="55" workbookViewId="0">
      <selection activeCell="K9" sqref="K9"/>
    </sheetView>
  </sheetViews>
  <sheetFormatPr defaultColWidth="11.109375" defaultRowHeight="14.4" x14ac:dyDescent="0.3"/>
  <cols>
    <col min="1" max="1" width="5" customWidth="1"/>
    <col min="2" max="3" width="13.77734375" customWidth="1"/>
    <col min="4" max="46" width="12.77734375" customWidth="1"/>
    <col min="70" max="70" width="0" hidden="1" customWidth="1"/>
  </cols>
  <sheetData>
    <row r="1" spans="1:70" ht="25.8" customHeight="1" x14ac:dyDescent="0.3">
      <c r="B1" s="967" t="s">
        <v>584</v>
      </c>
      <c r="C1" s="968"/>
      <c r="D1" s="968"/>
      <c r="E1" s="969"/>
      <c r="G1" s="965" t="s">
        <v>495</v>
      </c>
      <c r="H1" s="966"/>
      <c r="I1" s="965" t="s">
        <v>584</v>
      </c>
      <c r="J1" s="966"/>
    </row>
    <row r="2" spans="1:70" ht="19.2" customHeight="1" x14ac:dyDescent="0.3">
      <c r="G2" s="690"/>
      <c r="H2" s="691"/>
      <c r="I2" s="694"/>
      <c r="J2" s="695"/>
      <c r="S2" s="246"/>
      <c r="T2" s="246"/>
      <c r="V2" s="246"/>
      <c r="BR2" t="s">
        <v>724</v>
      </c>
    </row>
    <row r="3" spans="1:70" ht="19.2" customHeight="1" x14ac:dyDescent="0.3">
      <c r="A3" s="83"/>
      <c r="B3" s="876" t="s">
        <v>728</v>
      </c>
      <c r="C3" s="877"/>
      <c r="D3" s="877"/>
      <c r="E3" s="970"/>
      <c r="F3" s="83"/>
      <c r="G3" s="692"/>
      <c r="H3" s="693"/>
      <c r="I3" s="696"/>
      <c r="J3" s="697"/>
      <c r="K3" s="83"/>
      <c r="S3" s="176"/>
      <c r="T3" s="176"/>
      <c r="U3" s="246"/>
      <c r="V3" s="176"/>
      <c r="W3" s="83"/>
      <c r="X3" s="83"/>
      <c r="Y3" s="83"/>
      <c r="Z3" s="83"/>
      <c r="AA3" s="83"/>
      <c r="AB3" s="83"/>
      <c r="AC3" s="83"/>
      <c r="AD3" s="83"/>
      <c r="AE3" s="83"/>
      <c r="AF3" s="83"/>
      <c r="AG3" s="83"/>
      <c r="AH3" s="83"/>
      <c r="AI3" s="83"/>
      <c r="AJ3" s="83"/>
      <c r="AK3" s="83"/>
      <c r="BR3" t="s">
        <v>665</v>
      </c>
    </row>
    <row r="4" spans="1:70" ht="19.2" customHeight="1" x14ac:dyDescent="0.3">
      <c r="A4" s="83"/>
      <c r="B4" s="960" t="s">
        <v>572</v>
      </c>
      <c r="C4" s="960"/>
      <c r="D4" s="707">
        <f>+'Plant Overview'!I71+'Plant Overview'!I72</f>
        <v>0</v>
      </c>
      <c r="E4" s="541" t="str">
        <f>+'Plant Overview'!J71</f>
        <v>unit R</v>
      </c>
      <c r="F4" s="83"/>
      <c r="K4" s="83"/>
      <c r="U4" s="176"/>
      <c r="V4" s="176"/>
      <c r="W4" s="83"/>
      <c r="X4" s="83"/>
      <c r="Y4" s="83"/>
      <c r="Z4" s="83"/>
      <c r="AA4" s="83"/>
      <c r="AB4" s="83"/>
      <c r="AC4" s="83"/>
      <c r="AD4" s="83"/>
      <c r="AE4" s="83"/>
      <c r="AF4" s="83"/>
      <c r="AG4" s="83"/>
      <c r="AH4" s="83"/>
      <c r="AI4" s="83"/>
      <c r="AJ4" s="83"/>
      <c r="AK4" s="83"/>
      <c r="BR4" t="s">
        <v>723</v>
      </c>
    </row>
    <row r="5" spans="1:70" ht="19.2" customHeight="1" x14ac:dyDescent="0.3">
      <c r="A5" s="83"/>
      <c r="B5" s="960" t="s">
        <v>668</v>
      </c>
      <c r="C5" s="960"/>
      <c r="D5" s="707">
        <f>+'Plant Overview'!I32</f>
        <v>0</v>
      </c>
      <c r="E5" s="541" t="str">
        <f>+'Plant Overview'!J32</f>
        <v>unit P</v>
      </c>
      <c r="F5" s="83"/>
      <c r="G5" s="964" t="s">
        <v>732</v>
      </c>
      <c r="H5" s="964"/>
      <c r="I5" s="883" t="s">
        <v>665</v>
      </c>
      <c r="J5" s="884"/>
      <c r="K5" s="83"/>
      <c r="S5" s="176"/>
      <c r="T5" s="176"/>
      <c r="U5" s="176"/>
      <c r="V5" s="176"/>
      <c r="W5" s="83"/>
      <c r="X5" s="83"/>
      <c r="Y5" s="83"/>
      <c r="Z5" s="83"/>
      <c r="AA5" s="83"/>
      <c r="AB5" s="83"/>
      <c r="AC5" s="83"/>
      <c r="AD5" s="83"/>
      <c r="AE5" s="83"/>
      <c r="AF5" s="83"/>
      <c r="AG5" s="83"/>
      <c r="AH5" s="83"/>
      <c r="AI5" s="83"/>
      <c r="AJ5" s="83"/>
      <c r="AK5" s="83"/>
      <c r="BR5" t="s">
        <v>722</v>
      </c>
    </row>
    <row r="6" spans="1:70" ht="19.2" customHeight="1" x14ac:dyDescent="0.3">
      <c r="A6" s="83"/>
      <c r="B6" s="960" t="s">
        <v>669</v>
      </c>
      <c r="C6" s="960"/>
      <c r="D6" s="707" t="e">
        <f>D5/D4</f>
        <v>#DIV/0!</v>
      </c>
      <c r="E6" s="86" t="str">
        <f>+E5&amp;" / "&amp;E4</f>
        <v>unit P / unit R</v>
      </c>
      <c r="F6" s="83"/>
      <c r="G6" s="955" t="s">
        <v>665</v>
      </c>
      <c r="H6" s="956"/>
      <c r="I6" s="705">
        <f>+IF(I5="LCOP",D20,"-")</f>
        <v>1.5</v>
      </c>
      <c r="J6" s="699" t="str">
        <f>+'Plant Overview'!E9&amp;"/"&amp;'Plant Overview'!J32</f>
        <v>€/unit P</v>
      </c>
      <c r="K6" s="83"/>
      <c r="S6" s="176"/>
      <c r="T6" s="176"/>
      <c r="U6" s="176"/>
      <c r="V6" s="176"/>
      <c r="W6" s="83"/>
      <c r="X6" s="83"/>
      <c r="Y6" s="83"/>
      <c r="Z6" s="83"/>
      <c r="AA6" s="83"/>
      <c r="AB6" s="83"/>
      <c r="AC6" s="83"/>
      <c r="AD6" s="83"/>
      <c r="AE6" s="83"/>
      <c r="AF6" s="83"/>
      <c r="AG6" s="83"/>
      <c r="AH6" s="83"/>
      <c r="AI6" s="83"/>
      <c r="AJ6" s="83"/>
      <c r="AK6" s="83"/>
    </row>
    <row r="7" spans="1:70" ht="19.2" customHeight="1" x14ac:dyDescent="0.3">
      <c r="A7" s="83"/>
      <c r="B7" s="960" t="s">
        <v>591</v>
      </c>
      <c r="C7" s="960"/>
      <c r="D7" s="708">
        <f>+'Plant CAPEX'!H13</f>
        <v>0</v>
      </c>
      <c r="E7" s="709" t="str">
        <f>+J7</f>
        <v>M€</v>
      </c>
      <c r="F7" s="83"/>
      <c r="G7" s="955" t="s">
        <v>722</v>
      </c>
      <c r="H7" s="956"/>
      <c r="I7" s="700" t="str">
        <f>IF(I5="NPV",HLOOKUP(D16,C24:AT39,16),"-")</f>
        <v>-</v>
      </c>
      <c r="J7" s="86" t="str">
        <f>+"M"&amp;'Plant Overview'!E9</f>
        <v>M€</v>
      </c>
      <c r="K7" s="83"/>
      <c r="S7" s="176"/>
      <c r="T7" s="176"/>
      <c r="U7" s="176"/>
      <c r="V7" s="176"/>
      <c r="W7" s="83"/>
      <c r="X7" s="83"/>
      <c r="Y7" s="83"/>
      <c r="Z7" s="83"/>
      <c r="AA7" s="83"/>
      <c r="AB7" s="83"/>
      <c r="AC7" s="83"/>
      <c r="AD7" s="83"/>
      <c r="AE7" s="83"/>
      <c r="AF7" s="83"/>
      <c r="AG7" s="83"/>
      <c r="AH7" s="83"/>
      <c r="AI7" s="83"/>
      <c r="AJ7" s="83"/>
      <c r="AK7" s="83"/>
    </row>
    <row r="8" spans="1:70" ht="19.2" customHeight="1" x14ac:dyDescent="0.3">
      <c r="A8" s="83"/>
      <c r="B8" s="961" t="s">
        <v>458</v>
      </c>
      <c r="C8" s="961"/>
      <c r="D8" s="707">
        <f>+'Plant OPEX'!G18</f>
        <v>0</v>
      </c>
      <c r="E8" s="709" t="str">
        <f>+"M"&amp;'Plant Overview'!$E$9&amp;"/y"</f>
        <v>M€/y</v>
      </c>
      <c r="F8" s="83"/>
      <c r="G8" s="955" t="s">
        <v>723</v>
      </c>
      <c r="H8" s="956"/>
      <c r="I8" s="703" t="str">
        <f>+IF(I5="IRR",D21,"-")</f>
        <v>-</v>
      </c>
      <c r="J8" s="704" t="str">
        <f>+E21</f>
        <v>%</v>
      </c>
      <c r="K8" s="83"/>
      <c r="S8" s="176"/>
      <c r="T8" s="176"/>
      <c r="U8" s="176"/>
      <c r="V8" s="176"/>
      <c r="W8" s="83"/>
      <c r="X8" s="83"/>
      <c r="Y8" s="83"/>
      <c r="Z8" s="83"/>
      <c r="AA8" s="83"/>
      <c r="AB8" s="83"/>
      <c r="AC8" s="83"/>
      <c r="AD8" s="83"/>
      <c r="AE8" s="83"/>
      <c r="AF8" s="83"/>
      <c r="AG8" s="83"/>
      <c r="AH8" s="83"/>
      <c r="AI8" s="83"/>
      <c r="AJ8" s="83"/>
      <c r="AK8" s="83"/>
    </row>
    <row r="9" spans="1:70" ht="19.2" customHeight="1" x14ac:dyDescent="0.3">
      <c r="A9" s="83"/>
      <c r="B9" s="960" t="str">
        <f>+'Plant OPEX'!I16</f>
        <v>Fuel 1</v>
      </c>
      <c r="C9" s="960"/>
      <c r="D9" s="707">
        <f>+'Plant OPEX'!N16</f>
        <v>0</v>
      </c>
      <c r="E9" s="709" t="str">
        <f>+"M"&amp;'Plant Overview'!$E$9&amp;"/y"</f>
        <v>M€/y</v>
      </c>
      <c r="F9" s="83"/>
      <c r="G9" s="953" t="s">
        <v>729</v>
      </c>
      <c r="H9" s="954"/>
      <c r="I9" s="378" t="e" cm="1">
        <f t="array" ref="I9">+MATCH(TRUE,G38:AT38&gt;0,0)</f>
        <v>#N/A</v>
      </c>
      <c r="J9" s="86" t="s">
        <v>452</v>
      </c>
      <c r="K9" s="83"/>
      <c r="S9" s="176"/>
      <c r="T9" s="176"/>
      <c r="U9" s="176"/>
      <c r="V9" s="176"/>
      <c r="W9" s="83"/>
      <c r="X9" s="83"/>
      <c r="Y9" s="83"/>
      <c r="Z9" s="83"/>
      <c r="AA9" s="83"/>
      <c r="AB9" s="83"/>
      <c r="AC9" s="83"/>
      <c r="AD9" s="83"/>
      <c r="AE9" s="83"/>
      <c r="AF9" s="83"/>
      <c r="AG9" s="83"/>
      <c r="AH9" s="83"/>
      <c r="AI9" s="83"/>
      <c r="AJ9" s="83"/>
      <c r="AK9" s="83"/>
    </row>
    <row r="10" spans="1:70" ht="19.2" customHeight="1" x14ac:dyDescent="0.3">
      <c r="A10" s="83"/>
      <c r="B10" s="960" t="str">
        <f>+'Plant OPEX'!I17</f>
        <v>Fuel 2</v>
      </c>
      <c r="C10" s="960"/>
      <c r="D10" s="707">
        <f>+'Plant OPEX'!N17</f>
        <v>0</v>
      </c>
      <c r="E10" s="709" t="str">
        <f>+"M"&amp;'Plant Overview'!$E$9&amp;"/y"</f>
        <v>M€/y</v>
      </c>
      <c r="F10" s="83"/>
      <c r="G10" s="953" t="s">
        <v>730</v>
      </c>
      <c r="H10" s="954"/>
      <c r="I10" s="86" t="str" cm="1">
        <f t="array" ref="I10">+IF(I5="LCOP","-",IF(I5="IRR","-",MATCH(TRUE,G39:AT39&gt;0,0)))</f>
        <v>-</v>
      </c>
      <c r="J10" s="86" t="str">
        <f>+J9</f>
        <v>years</v>
      </c>
      <c r="K10" s="83"/>
      <c r="S10" s="176"/>
      <c r="T10" s="176"/>
      <c r="U10" s="176"/>
      <c r="V10" s="176"/>
      <c r="W10" s="83"/>
      <c r="X10" s="83"/>
      <c r="Y10" s="83"/>
      <c r="Z10" s="83"/>
      <c r="AA10" s="83"/>
      <c r="AB10" s="83"/>
      <c r="AC10" s="83"/>
      <c r="AD10" s="83"/>
      <c r="AE10" s="83"/>
      <c r="AF10" s="83"/>
      <c r="AG10" s="83"/>
      <c r="AH10" s="83"/>
      <c r="AI10" s="83"/>
      <c r="AJ10" s="83"/>
      <c r="AK10" s="83"/>
    </row>
    <row r="11" spans="1:70" ht="19.2" customHeight="1" x14ac:dyDescent="0.3">
      <c r="A11" s="83"/>
      <c r="B11" s="960" t="s">
        <v>459</v>
      </c>
      <c r="C11" s="960"/>
      <c r="D11" s="707">
        <f>+'Plant OPEX'!U18</f>
        <v>0</v>
      </c>
      <c r="E11" s="709" t="str">
        <f>+"M"&amp;'Plant Overview'!$E$9&amp;"/y"</f>
        <v>M€/y</v>
      </c>
      <c r="F11" s="83"/>
      <c r="G11" s="962" t="s">
        <v>685</v>
      </c>
      <c r="H11" s="963"/>
      <c r="I11" s="554" t="str">
        <f>+IF(I5="LCOP",IF(I15="","Ref.",(I6-I16)/(I15-H15)),"-")</f>
        <v>Ref.</v>
      </c>
      <c r="J11" s="86" t="str">
        <f>+'Plant Overview'!E9&amp;"/"&amp;'Plant Overview'!J52</f>
        <v>€/unit E</v>
      </c>
      <c r="K11" s="83"/>
      <c r="S11" s="176"/>
      <c r="T11" s="176"/>
      <c r="U11" s="176"/>
      <c r="V11" s="176"/>
      <c r="W11" s="83"/>
      <c r="X11" s="83"/>
      <c r="Y11" s="83"/>
      <c r="Z11" s="83"/>
      <c r="AA11" s="83"/>
      <c r="AB11" s="83"/>
      <c r="AC11" s="83"/>
      <c r="AD11" s="83"/>
      <c r="AE11" s="83"/>
      <c r="AF11" s="83"/>
      <c r="AG11" s="83"/>
      <c r="AH11" s="83"/>
      <c r="AI11" s="83"/>
      <c r="AJ11" s="83"/>
      <c r="AK11" s="83"/>
    </row>
    <row r="12" spans="1:70" ht="19.2" customHeight="1" x14ac:dyDescent="0.3">
      <c r="A12" s="83"/>
      <c r="F12" s="83"/>
      <c r="G12" s="83"/>
      <c r="H12" s="83"/>
      <c r="I12" s="83"/>
      <c r="J12" s="83"/>
      <c r="K12" s="83"/>
      <c r="L12" s="83"/>
      <c r="M12" s="83"/>
      <c r="N12" s="83"/>
      <c r="O12" s="83"/>
      <c r="P12" s="83"/>
      <c r="Q12" s="83"/>
      <c r="R12" s="83"/>
      <c r="S12" s="176"/>
      <c r="T12" s="176"/>
      <c r="U12" s="176"/>
      <c r="V12" s="176"/>
      <c r="W12" s="83"/>
      <c r="X12" s="83"/>
      <c r="Y12" s="83"/>
      <c r="Z12" s="83"/>
      <c r="AA12" s="83"/>
      <c r="AB12" s="83"/>
      <c r="AC12" s="83"/>
      <c r="AD12" s="83"/>
      <c r="AE12" s="83"/>
      <c r="AF12" s="83"/>
      <c r="AG12" s="83"/>
      <c r="AH12" s="83"/>
      <c r="AI12" s="83"/>
      <c r="AJ12" s="83"/>
      <c r="AK12" s="83"/>
    </row>
    <row r="13" spans="1:70" ht="19.2" customHeight="1" x14ac:dyDescent="0.3">
      <c r="A13" s="83"/>
      <c r="B13" s="950" t="s">
        <v>636</v>
      </c>
      <c r="C13" s="951"/>
      <c r="D13" s="951"/>
      <c r="E13" s="952"/>
      <c r="F13" s="83"/>
      <c r="G13" s="950" t="s">
        <v>731</v>
      </c>
      <c r="H13" s="951"/>
      <c r="I13" s="951"/>
      <c r="J13" s="952"/>
      <c r="K13" s="83"/>
      <c r="L13" s="83"/>
      <c r="M13" s="83"/>
      <c r="N13" s="83"/>
      <c r="O13" s="83"/>
      <c r="P13" s="83"/>
      <c r="Q13" s="83"/>
      <c r="R13" s="83"/>
      <c r="S13" s="176"/>
      <c r="T13" s="176"/>
      <c r="U13" s="176"/>
      <c r="V13" s="176"/>
      <c r="W13" s="83"/>
      <c r="X13" s="83"/>
      <c r="Y13" s="83"/>
      <c r="Z13" s="83"/>
      <c r="AA13" s="83"/>
      <c r="AB13" s="83"/>
      <c r="AC13" s="83"/>
      <c r="AD13" s="83"/>
      <c r="AE13" s="83"/>
      <c r="AF13" s="83"/>
      <c r="AG13" s="83"/>
      <c r="AH13" s="83"/>
      <c r="AI13" s="83"/>
      <c r="AJ13" s="83"/>
      <c r="AK13" s="83"/>
    </row>
    <row r="14" spans="1:70" ht="19.2" customHeight="1" x14ac:dyDescent="0.3">
      <c r="A14" s="83"/>
      <c r="B14" s="959" t="s">
        <v>460</v>
      </c>
      <c r="C14" s="959"/>
      <c r="D14" s="611">
        <v>0.65</v>
      </c>
      <c r="E14" s="86" t="s">
        <v>354</v>
      </c>
      <c r="F14" s="83"/>
      <c r="G14" s="702"/>
      <c r="H14" s="706" t="str">
        <f>+'Plant Overview'!E6</f>
        <v>Plant A</v>
      </c>
      <c r="I14" s="553" t="s">
        <v>359</v>
      </c>
      <c r="J14" s="393"/>
      <c r="K14" s="83"/>
      <c r="L14" s="83"/>
      <c r="M14" s="83"/>
      <c r="N14" s="83"/>
      <c r="O14" s="83"/>
      <c r="P14" s="83"/>
      <c r="Q14" s="83"/>
      <c r="R14" s="83"/>
      <c r="S14" s="176"/>
      <c r="T14" s="176"/>
      <c r="U14" s="176"/>
      <c r="V14" s="176"/>
      <c r="W14" s="83"/>
      <c r="X14" s="83"/>
      <c r="Y14" s="83"/>
      <c r="Z14" s="83"/>
      <c r="AA14" s="83"/>
      <c r="AB14" s="83"/>
      <c r="AC14" s="83"/>
      <c r="AD14" s="83"/>
      <c r="AE14" s="83"/>
      <c r="AF14" s="83"/>
      <c r="AG14" s="83"/>
      <c r="AH14" s="83"/>
      <c r="AI14" s="83"/>
      <c r="AJ14" s="83"/>
      <c r="AK14" s="83"/>
    </row>
    <row r="15" spans="1:70" ht="19.2" customHeight="1" x14ac:dyDescent="0.3">
      <c r="A15" s="83"/>
      <c r="B15" s="959" t="s">
        <v>461</v>
      </c>
      <c r="C15" s="959"/>
      <c r="D15" s="611">
        <v>0.85</v>
      </c>
      <c r="E15" s="86" t="s">
        <v>354</v>
      </c>
      <c r="F15" s="83"/>
      <c r="G15" s="710" t="s">
        <v>688</v>
      </c>
      <c r="H15" s="701" t="e">
        <f>+('Plant Overview'!I32/'Plant Overview'!I52)^-1</f>
        <v>#DIV/0!</v>
      </c>
      <c r="I15" s="615"/>
      <c r="J15" s="543" t="str">
        <f>+'Plant Overview'!J52&amp;"/"&amp;'Plant Overview'!J32</f>
        <v>unit E/unit P</v>
      </c>
      <c r="K15" s="83"/>
      <c r="L15" s="83"/>
      <c r="M15" s="83"/>
      <c r="N15" s="83"/>
      <c r="O15" s="83"/>
      <c r="P15" s="83"/>
      <c r="Q15" s="83"/>
      <c r="R15" s="83"/>
      <c r="S15" s="176"/>
      <c r="T15" s="176"/>
      <c r="U15" s="176"/>
      <c r="V15" s="176"/>
      <c r="W15" s="83"/>
      <c r="X15" s="83"/>
      <c r="Y15" s="83"/>
      <c r="Z15" s="83"/>
      <c r="AA15" s="83"/>
      <c r="AB15" s="83"/>
      <c r="AC15" s="83"/>
      <c r="AD15" s="83"/>
      <c r="AE15" s="83"/>
      <c r="AF15" s="83"/>
      <c r="AG15" s="83"/>
      <c r="AH15" s="83"/>
      <c r="AI15" s="83"/>
      <c r="AJ15" s="83"/>
      <c r="AK15" s="83"/>
    </row>
    <row r="16" spans="1:70" ht="19.2" customHeight="1" x14ac:dyDescent="0.3">
      <c r="A16" s="83"/>
      <c r="B16" s="958" t="s">
        <v>635</v>
      </c>
      <c r="C16" s="958"/>
      <c r="D16" s="612">
        <v>25</v>
      </c>
      <c r="E16" s="86" t="s">
        <v>452</v>
      </c>
      <c r="F16" s="83"/>
      <c r="G16" s="710" t="str">
        <f>+G6</f>
        <v>LCOP</v>
      </c>
      <c r="H16" s="542" t="e">
        <f>+IF(I5="LCOP",SUM(H17:H22),"-")</f>
        <v>#DIV/0!</v>
      </c>
      <c r="I16" s="615"/>
      <c r="J16" s="543" t="str">
        <f>+J6</f>
        <v>€/unit P</v>
      </c>
      <c r="K16" s="83"/>
      <c r="L16" s="83"/>
      <c r="M16" s="83"/>
      <c r="N16" s="83"/>
      <c r="O16" s="83"/>
      <c r="P16" s="83"/>
      <c r="Q16" s="83"/>
      <c r="R16" s="83"/>
      <c r="S16" s="176"/>
      <c r="T16" s="176"/>
      <c r="U16" s="176"/>
      <c r="V16" s="176"/>
      <c r="W16" s="83"/>
      <c r="X16" s="83"/>
      <c r="Y16" s="83"/>
      <c r="Z16" s="83"/>
      <c r="AA16" s="83"/>
      <c r="AB16" s="83"/>
      <c r="AC16" s="83"/>
      <c r="AD16" s="83"/>
      <c r="AE16" s="83"/>
      <c r="AF16" s="83"/>
      <c r="AG16" s="83"/>
      <c r="AH16" s="83"/>
      <c r="AI16" s="83"/>
      <c r="AJ16" s="83"/>
      <c r="AK16" s="83"/>
    </row>
    <row r="17" spans="1:48" ht="19.2" customHeight="1" x14ac:dyDescent="0.3">
      <c r="A17" s="83"/>
      <c r="B17" s="958" t="s">
        <v>439</v>
      </c>
      <c r="C17" s="958"/>
      <c r="D17" s="613">
        <v>4</v>
      </c>
      <c r="E17" s="86" t="s">
        <v>452</v>
      </c>
      <c r="F17" s="83"/>
      <c r="G17" s="206" t="str">
        <f>+B29</f>
        <v>Capital</v>
      </c>
      <c r="H17" s="482" t="e">
        <f>+IF(I5="LCOP",SUMPRODUCT(C29:AT29,C36:AT36)/SUMPRODUCT(C27:AT27,C36:AT36)*I6,"-")</f>
        <v>#DIV/0!</v>
      </c>
      <c r="I17" s="616"/>
      <c r="J17" s="711"/>
      <c r="K17" s="83"/>
      <c r="L17" s="83"/>
      <c r="M17" s="83"/>
      <c r="N17" s="83"/>
      <c r="O17" s="83"/>
      <c r="P17" s="83"/>
      <c r="Q17" s="83"/>
      <c r="R17" s="83"/>
      <c r="S17" s="176"/>
      <c r="T17" s="176"/>
      <c r="U17" s="176"/>
      <c r="V17" s="176"/>
      <c r="W17" s="83"/>
      <c r="X17" s="83"/>
      <c r="Y17" s="83"/>
      <c r="Z17" s="83"/>
      <c r="AA17" s="83"/>
      <c r="AB17" s="83"/>
      <c r="AC17" s="83"/>
      <c r="AD17" s="83"/>
      <c r="AE17" s="83"/>
      <c r="AF17" s="83"/>
      <c r="AG17" s="83"/>
      <c r="AH17" s="83"/>
      <c r="AI17" s="83"/>
      <c r="AJ17" s="83"/>
      <c r="AK17" s="83"/>
    </row>
    <row r="18" spans="1:48" ht="19.2" customHeight="1" x14ac:dyDescent="0.3">
      <c r="A18" s="83"/>
      <c r="F18" s="83"/>
      <c r="G18" s="192" t="str">
        <f>+B30</f>
        <v>FOM</v>
      </c>
      <c r="H18" s="483" t="e">
        <f>+IF(I5="LCOP",SUMPRODUCT(C30:AT30,C36:AT36)/SUMPRODUCT(C27:AT27,C36:AT36)*I6,"-")</f>
        <v>#DIV/0!</v>
      </c>
      <c r="I18" s="617"/>
      <c r="J18" s="712"/>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row>
    <row r="19" spans="1:48" ht="19.2" customHeight="1" x14ac:dyDescent="0.3">
      <c r="A19" s="83"/>
      <c r="B19" s="950" t="s">
        <v>727</v>
      </c>
      <c r="C19" s="951"/>
      <c r="D19" s="951"/>
      <c r="E19" s="952"/>
      <c r="F19" s="83"/>
      <c r="G19" s="192" t="str">
        <f>+B34</f>
        <v>VOM</v>
      </c>
      <c r="H19" s="483" t="e">
        <f>+IF(I5="LCOP",SUMPRODUCT(C34:AJ34,C36:AJ36)/SUMPRODUCT(C27:AJ27,C36:AJ36)*I6,"-")</f>
        <v>#DIV/0!</v>
      </c>
      <c r="I19" s="617"/>
      <c r="J19" s="712"/>
      <c r="K19" s="83"/>
      <c r="L19" s="83"/>
      <c r="M19" s="83"/>
      <c r="N19" s="83"/>
      <c r="O19" s="83"/>
      <c r="P19" s="83"/>
      <c r="Q19" s="83"/>
      <c r="R19" s="197"/>
      <c r="S19" s="178"/>
      <c r="T19" s="83"/>
      <c r="U19" s="83"/>
      <c r="V19" s="83"/>
      <c r="W19" s="83"/>
      <c r="X19" s="83"/>
      <c r="Y19" s="83"/>
      <c r="Z19" s="83"/>
      <c r="AA19" s="83"/>
      <c r="AB19" s="83"/>
      <c r="AC19" s="83"/>
      <c r="AD19" s="83"/>
      <c r="AE19" s="83"/>
      <c r="AF19" s="83"/>
      <c r="AG19" s="83"/>
      <c r="AH19" s="83"/>
      <c r="AI19" s="83"/>
      <c r="AJ19" s="83"/>
      <c r="AK19" s="83"/>
    </row>
    <row r="20" spans="1:48" ht="19.2" customHeight="1" x14ac:dyDescent="0.3">
      <c r="A20" s="83"/>
      <c r="B20" s="957" t="s">
        <v>725</v>
      </c>
      <c r="C20" s="957"/>
      <c r="D20" s="86">
        <v>1.5</v>
      </c>
      <c r="E20" s="86" t="str">
        <f>+J6</f>
        <v>€/unit P</v>
      </c>
      <c r="F20" s="83"/>
      <c r="G20" s="192" t="str">
        <f>+B33</f>
        <v>CO2 tax</v>
      </c>
      <c r="H20" s="483" t="e">
        <f>+IF(I5="LCOP",SUMPRODUCT(C33:AT33,C37:AT37)/SUMPRODUCT(C27:AT27,C37:AT37)*I6,"-")</f>
        <v>#DIV/0!</v>
      </c>
      <c r="I20" s="617"/>
      <c r="J20" s="712"/>
      <c r="K20" s="83"/>
      <c r="L20" s="83"/>
      <c r="M20" s="83"/>
      <c r="N20" s="83"/>
      <c r="O20" s="83"/>
      <c r="P20" s="83"/>
      <c r="Q20" s="83"/>
      <c r="R20" s="197"/>
      <c r="S20" s="178"/>
      <c r="T20" s="83"/>
      <c r="U20" s="83"/>
      <c r="V20" s="83"/>
      <c r="W20" s="83"/>
      <c r="X20" s="83"/>
      <c r="Y20" s="83"/>
      <c r="Z20" s="83"/>
      <c r="AA20" s="83"/>
      <c r="AB20" s="83"/>
      <c r="AC20" s="83"/>
      <c r="AD20" s="83"/>
      <c r="AE20" s="83"/>
      <c r="AF20" s="83"/>
      <c r="AG20" s="83"/>
      <c r="AH20" s="83"/>
      <c r="AI20" s="83"/>
      <c r="AJ20" s="83"/>
      <c r="AK20" s="83"/>
    </row>
    <row r="21" spans="1:48" ht="19.2" customHeight="1" x14ac:dyDescent="0.3">
      <c r="A21" s="83"/>
      <c r="B21" s="959" t="s">
        <v>440</v>
      </c>
      <c r="C21" s="959"/>
      <c r="D21" s="614">
        <v>0.08</v>
      </c>
      <c r="E21" s="689" t="s">
        <v>457</v>
      </c>
      <c r="F21" s="83"/>
      <c r="G21" s="192" t="str">
        <f>+B31</f>
        <v>Fuel 1</v>
      </c>
      <c r="H21" s="483" t="e">
        <f>+IF(I5="LCOP",SUMPRODUCT(C31:AJ31,C37:AJ37)/SUMPRODUCT(C27:AJ27,C37:AJ37)*I6,"-")</f>
        <v>#DIV/0!</v>
      </c>
      <c r="I21" s="617"/>
      <c r="J21" s="712"/>
      <c r="K21" s="83"/>
      <c r="L21" s="83"/>
      <c r="M21" s="83"/>
      <c r="N21" s="83"/>
      <c r="O21" s="83"/>
      <c r="P21" s="83"/>
      <c r="Q21" s="83"/>
      <c r="R21" s="197"/>
      <c r="S21" s="178"/>
      <c r="T21" s="83"/>
      <c r="U21" s="83"/>
      <c r="V21" s="83"/>
      <c r="W21" s="83"/>
      <c r="X21" s="83"/>
      <c r="Y21" s="83"/>
      <c r="Z21" s="83"/>
      <c r="AA21" s="83"/>
      <c r="AB21" s="83"/>
      <c r="AC21" s="83"/>
      <c r="AD21" s="83"/>
      <c r="AE21" s="83"/>
      <c r="AF21" s="83"/>
      <c r="AG21" s="83"/>
      <c r="AH21" s="83"/>
      <c r="AI21" s="83"/>
      <c r="AJ21" s="83"/>
      <c r="AK21" s="83"/>
    </row>
    <row r="22" spans="1:48" ht="19.2" customHeight="1" x14ac:dyDescent="0.3">
      <c r="A22" s="83"/>
      <c r="B22" s="948" t="s">
        <v>726</v>
      </c>
      <c r="C22" s="949"/>
      <c r="D22" s="86">
        <f>HLOOKUP(D16,C24:AT39,16)</f>
        <v>0</v>
      </c>
      <c r="E22" s="86" t="str">
        <f>+E7</f>
        <v>M€</v>
      </c>
      <c r="F22" s="83"/>
      <c r="G22" s="193" t="str">
        <f>+B32</f>
        <v>Fuel 2</v>
      </c>
      <c r="H22" s="714" t="e">
        <f>+IF(I5="LCOP",SUMPRODUCT(C32:AT32,C37:AT37)/SUMPRODUCT(C27:AT27,C37:AT37)*I6,"-")</f>
        <v>#DIV/0!</v>
      </c>
      <c r="I22" s="715"/>
      <c r="J22" s="713"/>
      <c r="K22" s="83"/>
      <c r="P22" s="83"/>
      <c r="Q22" s="83"/>
      <c r="R22" s="197"/>
      <c r="S22" s="178"/>
      <c r="T22" s="83"/>
      <c r="U22" s="83"/>
      <c r="V22" s="83"/>
      <c r="W22" s="83"/>
      <c r="X22" s="83"/>
      <c r="Y22" s="83"/>
      <c r="Z22" s="83"/>
      <c r="AA22" s="83"/>
      <c r="AB22" s="83"/>
      <c r="AC22" s="83"/>
      <c r="AD22" s="83"/>
      <c r="AE22" s="83"/>
      <c r="AF22" s="83"/>
      <c r="AG22" s="83"/>
      <c r="AH22" s="83"/>
      <c r="AI22" s="83"/>
      <c r="AJ22" s="83"/>
      <c r="AK22" s="83"/>
    </row>
    <row r="23" spans="1:48" ht="19.2" customHeight="1" x14ac:dyDescent="0.3">
      <c r="A23" s="83"/>
      <c r="B23" s="105"/>
      <c r="C23" s="105"/>
      <c r="D23" s="105"/>
      <c r="E23" s="105"/>
      <c r="F23" s="105"/>
      <c r="G23" s="105"/>
      <c r="H23" s="105"/>
      <c r="I23" s="105"/>
      <c r="J23" s="105"/>
      <c r="K23" s="105"/>
      <c r="L23" s="105"/>
      <c r="M23" s="105"/>
      <c r="N23" s="105"/>
      <c r="O23" s="105"/>
      <c r="P23" s="105"/>
      <c r="Q23" s="105"/>
      <c r="R23" s="105"/>
      <c r="S23" s="105"/>
      <c r="T23" s="105"/>
      <c r="U23" s="105"/>
      <c r="V23" s="105"/>
      <c r="W23" s="105"/>
      <c r="X23" s="105"/>
      <c r="Y23" s="105"/>
      <c r="Z23" s="105"/>
      <c r="AA23" s="105"/>
      <c r="AB23" s="105"/>
      <c r="AC23" s="105"/>
      <c r="AD23" s="105"/>
      <c r="AE23" s="105"/>
      <c r="AF23" s="105"/>
      <c r="AG23" s="105"/>
      <c r="AH23" s="105"/>
      <c r="AI23" s="105"/>
      <c r="AJ23" s="105"/>
      <c r="AK23" s="105"/>
      <c r="AL23" s="92"/>
      <c r="AM23" s="92"/>
      <c r="AN23" s="92"/>
      <c r="AO23" s="92"/>
      <c r="AP23" s="92"/>
      <c r="AQ23" s="92"/>
      <c r="AR23" s="92"/>
      <c r="AS23" s="92"/>
      <c r="AT23" s="92"/>
      <c r="AV23" s="92"/>
    </row>
    <row r="24" spans="1:48" ht="19.2" customHeight="1" x14ac:dyDescent="0.3">
      <c r="A24" s="83"/>
      <c r="B24" s="573" t="s">
        <v>315</v>
      </c>
      <c r="C24" s="632">
        <v>-4</v>
      </c>
      <c r="D24" s="633">
        <v>-3</v>
      </c>
      <c r="E24" s="633">
        <v>-2</v>
      </c>
      <c r="F24" s="634">
        <v>-1</v>
      </c>
      <c r="G24" s="633">
        <v>1</v>
      </c>
      <c r="H24" s="633">
        <v>2</v>
      </c>
      <c r="I24" s="633">
        <v>3</v>
      </c>
      <c r="J24" s="633">
        <v>4</v>
      </c>
      <c r="K24" s="633">
        <v>5</v>
      </c>
      <c r="L24" s="633">
        <v>6</v>
      </c>
      <c r="M24" s="633">
        <v>7</v>
      </c>
      <c r="N24" s="633">
        <v>8</v>
      </c>
      <c r="O24" s="633">
        <v>9</v>
      </c>
      <c r="P24" s="633">
        <v>10</v>
      </c>
      <c r="Q24" s="633">
        <v>11</v>
      </c>
      <c r="R24" s="633">
        <v>12</v>
      </c>
      <c r="S24" s="633">
        <v>13</v>
      </c>
      <c r="T24" s="633">
        <v>14</v>
      </c>
      <c r="U24" s="633">
        <v>15</v>
      </c>
      <c r="V24" s="633">
        <v>16</v>
      </c>
      <c r="W24" s="633">
        <v>17</v>
      </c>
      <c r="X24" s="633">
        <v>18</v>
      </c>
      <c r="Y24" s="633">
        <v>19</v>
      </c>
      <c r="Z24" s="633">
        <v>20</v>
      </c>
      <c r="AA24" s="633">
        <v>21</v>
      </c>
      <c r="AB24" s="633">
        <v>22</v>
      </c>
      <c r="AC24" s="633">
        <v>23</v>
      </c>
      <c r="AD24" s="633">
        <v>24</v>
      </c>
      <c r="AE24" s="633">
        <v>25</v>
      </c>
      <c r="AF24" s="633">
        <v>26</v>
      </c>
      <c r="AG24" s="633">
        <v>27</v>
      </c>
      <c r="AH24" s="633">
        <v>28</v>
      </c>
      <c r="AI24" s="633">
        <v>29</v>
      </c>
      <c r="AJ24" s="633">
        <v>30</v>
      </c>
      <c r="AK24" s="633">
        <v>31</v>
      </c>
      <c r="AL24" s="633">
        <v>32</v>
      </c>
      <c r="AM24" s="633">
        <v>33</v>
      </c>
      <c r="AN24" s="633">
        <v>34</v>
      </c>
      <c r="AO24" s="633">
        <v>35</v>
      </c>
      <c r="AP24" s="633">
        <v>36</v>
      </c>
      <c r="AQ24" s="633">
        <v>37</v>
      </c>
      <c r="AR24" s="633">
        <v>38</v>
      </c>
      <c r="AS24" s="633">
        <v>39</v>
      </c>
      <c r="AT24" s="634">
        <v>40</v>
      </c>
      <c r="AU24" s="480"/>
      <c r="AV24" s="480"/>
    </row>
    <row r="25" spans="1:48" ht="19.2" customHeight="1" x14ac:dyDescent="0.3">
      <c r="A25" s="83"/>
      <c r="B25" s="629" t="s">
        <v>443</v>
      </c>
      <c r="C25" s="630"/>
      <c r="D25" s="630"/>
      <c r="E25" s="630"/>
      <c r="F25" s="630"/>
      <c r="G25" s="685">
        <f>+D14</f>
        <v>0.65</v>
      </c>
      <c r="H25" s="686">
        <f t="shared" ref="H25:AT25" si="0">+IF(H24&lt;=$D$16,$D$15,0)</f>
        <v>0.85</v>
      </c>
      <c r="I25" s="686">
        <f t="shared" si="0"/>
        <v>0.85</v>
      </c>
      <c r="J25" s="686">
        <f t="shared" si="0"/>
        <v>0.85</v>
      </c>
      <c r="K25" s="686">
        <f t="shared" si="0"/>
        <v>0.85</v>
      </c>
      <c r="L25" s="686">
        <f t="shared" si="0"/>
        <v>0.85</v>
      </c>
      <c r="M25" s="686">
        <f t="shared" si="0"/>
        <v>0.85</v>
      </c>
      <c r="N25" s="686">
        <f t="shared" si="0"/>
        <v>0.85</v>
      </c>
      <c r="O25" s="686">
        <f t="shared" si="0"/>
        <v>0.85</v>
      </c>
      <c r="P25" s="686">
        <f t="shared" si="0"/>
        <v>0.85</v>
      </c>
      <c r="Q25" s="686">
        <f t="shared" si="0"/>
        <v>0.85</v>
      </c>
      <c r="R25" s="686">
        <f t="shared" si="0"/>
        <v>0.85</v>
      </c>
      <c r="S25" s="686">
        <f t="shared" si="0"/>
        <v>0.85</v>
      </c>
      <c r="T25" s="686">
        <f t="shared" si="0"/>
        <v>0.85</v>
      </c>
      <c r="U25" s="686">
        <f t="shared" si="0"/>
        <v>0.85</v>
      </c>
      <c r="V25" s="686">
        <f t="shared" si="0"/>
        <v>0.85</v>
      </c>
      <c r="W25" s="686">
        <f t="shared" si="0"/>
        <v>0.85</v>
      </c>
      <c r="X25" s="686">
        <f t="shared" si="0"/>
        <v>0.85</v>
      </c>
      <c r="Y25" s="686">
        <f t="shared" si="0"/>
        <v>0.85</v>
      </c>
      <c r="Z25" s="686">
        <f t="shared" si="0"/>
        <v>0.85</v>
      </c>
      <c r="AA25" s="686">
        <f t="shared" si="0"/>
        <v>0.85</v>
      </c>
      <c r="AB25" s="686">
        <f t="shared" si="0"/>
        <v>0.85</v>
      </c>
      <c r="AC25" s="686">
        <f t="shared" si="0"/>
        <v>0.85</v>
      </c>
      <c r="AD25" s="686">
        <f t="shared" si="0"/>
        <v>0.85</v>
      </c>
      <c r="AE25" s="686">
        <f t="shared" si="0"/>
        <v>0.85</v>
      </c>
      <c r="AF25" s="686">
        <f t="shared" si="0"/>
        <v>0</v>
      </c>
      <c r="AG25" s="686">
        <f t="shared" si="0"/>
        <v>0</v>
      </c>
      <c r="AH25" s="686">
        <f t="shared" si="0"/>
        <v>0</v>
      </c>
      <c r="AI25" s="686">
        <f t="shared" si="0"/>
        <v>0</v>
      </c>
      <c r="AJ25" s="686">
        <f t="shared" si="0"/>
        <v>0</v>
      </c>
      <c r="AK25" s="686">
        <f t="shared" si="0"/>
        <v>0</v>
      </c>
      <c r="AL25" s="686">
        <f t="shared" si="0"/>
        <v>0</v>
      </c>
      <c r="AM25" s="686">
        <f t="shared" si="0"/>
        <v>0</v>
      </c>
      <c r="AN25" s="686">
        <f t="shared" si="0"/>
        <v>0</v>
      </c>
      <c r="AO25" s="686">
        <f t="shared" si="0"/>
        <v>0</v>
      </c>
      <c r="AP25" s="686">
        <f t="shared" si="0"/>
        <v>0</v>
      </c>
      <c r="AQ25" s="686">
        <f t="shared" si="0"/>
        <v>0</v>
      </c>
      <c r="AR25" s="686">
        <f t="shared" si="0"/>
        <v>0</v>
      </c>
      <c r="AS25" s="686">
        <f t="shared" si="0"/>
        <v>0</v>
      </c>
      <c r="AT25" s="687">
        <f t="shared" si="0"/>
        <v>0</v>
      </c>
      <c r="AV25" s="92"/>
    </row>
    <row r="26" spans="1:48" ht="19.2" customHeight="1" x14ac:dyDescent="0.3">
      <c r="A26" s="83"/>
      <c r="B26" s="698" t="s">
        <v>442</v>
      </c>
      <c r="C26" s="329"/>
      <c r="D26" s="329"/>
      <c r="E26" s="329"/>
      <c r="F26" s="329"/>
      <c r="G26" s="618"/>
      <c r="H26" s="329"/>
      <c r="I26" s="329"/>
      <c r="J26" s="329"/>
      <c r="K26" s="329"/>
      <c r="L26" s="329"/>
      <c r="M26" s="329"/>
      <c r="N26" s="329"/>
      <c r="O26" s="329"/>
      <c r="P26" s="329"/>
      <c r="Q26" s="329"/>
      <c r="R26" s="329"/>
      <c r="S26" s="329"/>
      <c r="T26" s="329"/>
      <c r="U26" s="329"/>
      <c r="V26" s="329"/>
      <c r="W26" s="329"/>
      <c r="X26" s="329"/>
      <c r="Y26" s="329"/>
      <c r="Z26" s="329"/>
      <c r="AA26" s="329"/>
      <c r="AB26" s="329"/>
      <c r="AC26" s="329"/>
      <c r="AD26" s="329"/>
      <c r="AE26" s="329"/>
      <c r="AF26" s="329"/>
      <c r="AG26" s="329"/>
      <c r="AH26" s="329"/>
      <c r="AI26" s="329"/>
      <c r="AJ26" s="329"/>
      <c r="AK26" s="329"/>
      <c r="AL26" s="329"/>
      <c r="AM26" s="329"/>
      <c r="AN26" s="329"/>
      <c r="AO26" s="329"/>
      <c r="AP26" s="329"/>
      <c r="AQ26" s="329"/>
      <c r="AR26" s="329"/>
      <c r="AS26" s="329"/>
      <c r="AT26" s="124"/>
      <c r="AV26" s="92"/>
    </row>
    <row r="27" spans="1:48" ht="19.2" customHeight="1" x14ac:dyDescent="0.3">
      <c r="A27" s="83"/>
      <c r="B27" s="628" t="s">
        <v>666</v>
      </c>
      <c r="C27" s="571"/>
      <c r="D27" s="571"/>
      <c r="E27" s="571"/>
      <c r="F27" s="571"/>
      <c r="G27" s="682">
        <f>365.25*24*G25*$D$20*3600*'Plant Overview'!$I$32/10^6</f>
        <v>0</v>
      </c>
      <c r="H27" s="683">
        <f>365.25*24*H25*$D$20*3600*'Plant Overview'!$I$32/10^6</f>
        <v>0</v>
      </c>
      <c r="I27" s="683">
        <f>365.25*24*I25*$D$20*3600*'Plant Overview'!$I$32/10^6</f>
        <v>0</v>
      </c>
      <c r="J27" s="683">
        <f>365.25*24*J25*$D$20*3600*'Plant Overview'!$I$32/10^6</f>
        <v>0</v>
      </c>
      <c r="K27" s="683">
        <f>365.25*24*K25*$D$20*3600*'Plant Overview'!$I$32/10^6</f>
        <v>0</v>
      </c>
      <c r="L27" s="683">
        <f>365.25*24*L25*$D$20*3600*'Plant Overview'!$I$32/10^6</f>
        <v>0</v>
      </c>
      <c r="M27" s="683">
        <f>365.25*24*M25*$D$20*3600*'Plant Overview'!$I$32/10^6</f>
        <v>0</v>
      </c>
      <c r="N27" s="683">
        <f>365.25*24*N25*$D$20*3600*'Plant Overview'!$I$32/10^6</f>
        <v>0</v>
      </c>
      <c r="O27" s="683">
        <f>365.25*24*O25*$D$20*3600*'Plant Overview'!$I$32/10^6</f>
        <v>0</v>
      </c>
      <c r="P27" s="683">
        <f>365.25*24*P25*$D$20*3600*'Plant Overview'!$I$32/10^6</f>
        <v>0</v>
      </c>
      <c r="Q27" s="683">
        <f>365.25*24*Q25*$D$20*3600*'Plant Overview'!$I$32/10^6</f>
        <v>0</v>
      </c>
      <c r="R27" s="683">
        <f>365.25*24*R25*$D$20*3600*'Plant Overview'!$I$32/10^6</f>
        <v>0</v>
      </c>
      <c r="S27" s="683">
        <f>365.25*24*S25*$D$20*3600*'Plant Overview'!$I$32/10^6</f>
        <v>0</v>
      </c>
      <c r="T27" s="683">
        <f>365.25*24*T25*$D$20*3600*'Plant Overview'!$I$32/10^6</f>
        <v>0</v>
      </c>
      <c r="U27" s="683">
        <f>365.25*24*U25*$D$20*3600*'Plant Overview'!$I$32/10^6</f>
        <v>0</v>
      </c>
      <c r="V27" s="683">
        <f>365.25*24*V25*$D$20*3600*'Plant Overview'!$I$32/10^6</f>
        <v>0</v>
      </c>
      <c r="W27" s="683">
        <f>365.25*24*W25*$D$20*3600*'Plant Overview'!$I$32/10^6</f>
        <v>0</v>
      </c>
      <c r="X27" s="683">
        <f>365.25*24*X25*$D$20*3600*'Plant Overview'!$I$32/10^6</f>
        <v>0</v>
      </c>
      <c r="Y27" s="683">
        <f>365.25*24*Y25*$D$20*3600*'Plant Overview'!$I$32/10^6</f>
        <v>0</v>
      </c>
      <c r="Z27" s="683">
        <f>365.25*24*Z25*$D$20*3600*'Plant Overview'!$I$32/10^6</f>
        <v>0</v>
      </c>
      <c r="AA27" s="683">
        <f>365.25*24*AA25*$D$20*3600*'Plant Overview'!$I$32/10^6</f>
        <v>0</v>
      </c>
      <c r="AB27" s="683">
        <f>365.25*24*AB25*$D$20*3600*'Plant Overview'!$I$32/10^6</f>
        <v>0</v>
      </c>
      <c r="AC27" s="683">
        <f>365.25*24*AC25*$D$20*3600*'Plant Overview'!$I$32/10^6</f>
        <v>0</v>
      </c>
      <c r="AD27" s="683">
        <f>365.25*24*AD25*$D$20*3600*'Plant Overview'!$I$32/10^6</f>
        <v>0</v>
      </c>
      <c r="AE27" s="683">
        <f>365.25*24*AE25*$D$20*3600*'Plant Overview'!$I$32/10^6</f>
        <v>0</v>
      </c>
      <c r="AF27" s="683">
        <f>365.25*24*AF25*$D$20*3600*'Plant Overview'!$I$32/10^6</f>
        <v>0</v>
      </c>
      <c r="AG27" s="683">
        <f>365.25*24*AG25*$D$20*3600*'Plant Overview'!$I$32/10^6</f>
        <v>0</v>
      </c>
      <c r="AH27" s="683">
        <f>365.25*24*AH25*$D$20*3600*'Plant Overview'!$I$32/10^6</f>
        <v>0</v>
      </c>
      <c r="AI27" s="683">
        <f>365.25*24*AI25*$D$20*3600*'Plant Overview'!$I$32/10^6</f>
        <v>0</v>
      </c>
      <c r="AJ27" s="683">
        <f>365.25*24*AJ25*$D$20*3600*'Plant Overview'!$I$32/10^6</f>
        <v>0</v>
      </c>
      <c r="AK27" s="683">
        <f>365.25*24*AK25*$D$20*3600*'Plant Overview'!$I$32/10^6</f>
        <v>0</v>
      </c>
      <c r="AL27" s="683">
        <f>365.25*24*AL25*$D$20*3600*'Plant Overview'!$I$32/10^6</f>
        <v>0</v>
      </c>
      <c r="AM27" s="683">
        <f>365.25*24*AM25*$D$20*3600*'Plant Overview'!$I$32/10^6</f>
        <v>0</v>
      </c>
      <c r="AN27" s="683">
        <f>365.25*24*AN25*$D$20*3600*'Plant Overview'!$I$32/10^6</f>
        <v>0</v>
      </c>
      <c r="AO27" s="683">
        <f>365.25*24*AO25*$D$20*3600*'Plant Overview'!$I$32/10^6</f>
        <v>0</v>
      </c>
      <c r="AP27" s="683">
        <f>365.25*24*AP25*$D$20*3600*'Plant Overview'!$I$32/10^6</f>
        <v>0</v>
      </c>
      <c r="AQ27" s="683">
        <f>365.25*24*AQ25*$D$20*3600*'Plant Overview'!$I$32/10^6</f>
        <v>0</v>
      </c>
      <c r="AR27" s="683">
        <f>365.25*24*AR25*$D$20*3600*'Plant Overview'!$I$32/10^6</f>
        <v>0</v>
      </c>
      <c r="AS27" s="683">
        <f>365.25*24*AS25*$D$20*3600*'Plant Overview'!$I$32/10^6</f>
        <v>0</v>
      </c>
      <c r="AT27" s="684">
        <f>365.25*24*AT25*$D$20*3600*'Plant Overview'!$I$32/10^6</f>
        <v>0</v>
      </c>
    </row>
    <row r="28" spans="1:48" ht="19.2" customHeight="1" x14ac:dyDescent="0.3">
      <c r="A28" s="83"/>
      <c r="B28" s="679" t="s">
        <v>444</v>
      </c>
      <c r="C28" s="631"/>
      <c r="D28" s="563"/>
      <c r="E28" s="563"/>
      <c r="F28" s="563"/>
      <c r="G28" s="564"/>
      <c r="H28" s="565"/>
      <c r="I28" s="565"/>
      <c r="J28" s="565"/>
      <c r="K28" s="565"/>
      <c r="L28" s="565"/>
      <c r="M28" s="565"/>
      <c r="N28" s="565"/>
      <c r="O28" s="565"/>
      <c r="P28" s="565"/>
      <c r="Q28" s="565"/>
      <c r="R28" s="565"/>
      <c r="S28" s="565"/>
      <c r="T28" s="565"/>
      <c r="U28" s="565"/>
      <c r="V28" s="565"/>
      <c r="W28" s="565"/>
      <c r="X28" s="565"/>
      <c r="Y28" s="565"/>
      <c r="Z28" s="565"/>
      <c r="AA28" s="565"/>
      <c r="AB28" s="565"/>
      <c r="AC28" s="565"/>
      <c r="AD28" s="565"/>
      <c r="AE28" s="565"/>
      <c r="AF28" s="531"/>
      <c r="AG28" s="531"/>
      <c r="AH28" s="531"/>
      <c r="AI28" s="531"/>
      <c r="AJ28" s="531"/>
      <c r="AK28" s="567"/>
      <c r="AL28" s="568"/>
      <c r="AM28" s="568"/>
      <c r="AN28" s="568"/>
      <c r="AO28" s="568"/>
      <c r="AP28" s="568"/>
      <c r="AQ28" s="568"/>
      <c r="AR28" s="568"/>
      <c r="AS28" s="568"/>
      <c r="AT28" s="569"/>
    </row>
    <row r="29" spans="1:48" ht="19.2" customHeight="1" x14ac:dyDescent="0.3">
      <c r="A29" s="83"/>
      <c r="B29" s="626" t="s">
        <v>438</v>
      </c>
      <c r="C29" s="565">
        <f>IF($D$17&gt;3,$D$7/$D$17,0)</f>
        <v>0</v>
      </c>
      <c r="D29" s="565">
        <f>IF($D$17&gt;2,$D$7/$D$17,0)</f>
        <v>0</v>
      </c>
      <c r="E29" s="565">
        <f>IF($D$17&gt;1,$D$7/$D$17,0)</f>
        <v>0</v>
      </c>
      <c r="F29" s="565">
        <f>$D$7/$D$17</f>
        <v>0</v>
      </c>
      <c r="G29" s="564"/>
      <c r="H29" s="565"/>
      <c r="I29" s="565"/>
      <c r="J29" s="565"/>
      <c r="K29" s="565"/>
      <c r="L29" s="565"/>
      <c r="M29" s="565"/>
      <c r="N29" s="565"/>
      <c r="O29" s="565"/>
      <c r="P29" s="565"/>
      <c r="Q29" s="565"/>
      <c r="R29" s="565"/>
      <c r="S29" s="565"/>
      <c r="T29" s="565"/>
      <c r="U29" s="565"/>
      <c r="V29" s="565"/>
      <c r="W29" s="565"/>
      <c r="X29" s="565"/>
      <c r="Y29" s="565"/>
      <c r="Z29" s="565"/>
      <c r="AA29" s="565"/>
      <c r="AB29" s="565"/>
      <c r="AC29" s="565"/>
      <c r="AD29" s="565"/>
      <c r="AE29" s="565"/>
      <c r="AF29" s="531"/>
      <c r="AG29" s="531"/>
      <c r="AH29" s="531"/>
      <c r="AI29" s="531"/>
      <c r="AJ29" s="531"/>
      <c r="AK29" s="567"/>
      <c r="AL29" s="568"/>
      <c r="AM29" s="568"/>
      <c r="AN29" s="568"/>
      <c r="AO29" s="568"/>
      <c r="AP29" s="568"/>
      <c r="AQ29" s="568"/>
      <c r="AR29" s="568"/>
      <c r="AS29" s="568"/>
      <c r="AT29" s="569"/>
    </row>
    <row r="30" spans="1:48" ht="19.2" customHeight="1" x14ac:dyDescent="0.3">
      <c r="A30" s="83"/>
      <c r="B30" s="627" t="s">
        <v>458</v>
      </c>
      <c r="C30" s="565"/>
      <c r="D30" s="565"/>
      <c r="E30" s="565"/>
      <c r="F30" s="565"/>
      <c r="G30" s="636">
        <f>+$D$8</f>
        <v>0</v>
      </c>
      <c r="H30" s="635">
        <f t="shared" ref="H30:AT30" si="1">+IF(H24&lt;=$D$16,$D$8,0)</f>
        <v>0</v>
      </c>
      <c r="I30" s="635">
        <f t="shared" si="1"/>
        <v>0</v>
      </c>
      <c r="J30" s="635">
        <f t="shared" si="1"/>
        <v>0</v>
      </c>
      <c r="K30" s="635">
        <f t="shared" si="1"/>
        <v>0</v>
      </c>
      <c r="L30" s="635">
        <f t="shared" si="1"/>
        <v>0</v>
      </c>
      <c r="M30" s="635">
        <f t="shared" si="1"/>
        <v>0</v>
      </c>
      <c r="N30" s="635">
        <f t="shared" si="1"/>
        <v>0</v>
      </c>
      <c r="O30" s="635">
        <f t="shared" si="1"/>
        <v>0</v>
      </c>
      <c r="P30" s="635">
        <f t="shared" si="1"/>
        <v>0</v>
      </c>
      <c r="Q30" s="635">
        <f t="shared" si="1"/>
        <v>0</v>
      </c>
      <c r="R30" s="635">
        <f t="shared" si="1"/>
        <v>0</v>
      </c>
      <c r="S30" s="635">
        <f t="shared" si="1"/>
        <v>0</v>
      </c>
      <c r="T30" s="635">
        <f t="shared" si="1"/>
        <v>0</v>
      </c>
      <c r="U30" s="635">
        <f t="shared" si="1"/>
        <v>0</v>
      </c>
      <c r="V30" s="635">
        <f t="shared" si="1"/>
        <v>0</v>
      </c>
      <c r="W30" s="635">
        <f t="shared" si="1"/>
        <v>0</v>
      </c>
      <c r="X30" s="635">
        <f t="shared" si="1"/>
        <v>0</v>
      </c>
      <c r="Y30" s="635">
        <f t="shared" si="1"/>
        <v>0</v>
      </c>
      <c r="Z30" s="635">
        <f t="shared" si="1"/>
        <v>0</v>
      </c>
      <c r="AA30" s="635">
        <f t="shared" si="1"/>
        <v>0</v>
      </c>
      <c r="AB30" s="635">
        <f t="shared" si="1"/>
        <v>0</v>
      </c>
      <c r="AC30" s="635">
        <f t="shared" si="1"/>
        <v>0</v>
      </c>
      <c r="AD30" s="635">
        <f t="shared" si="1"/>
        <v>0</v>
      </c>
      <c r="AE30" s="635">
        <f t="shared" si="1"/>
        <v>0</v>
      </c>
      <c r="AF30" s="635">
        <f t="shared" si="1"/>
        <v>0</v>
      </c>
      <c r="AG30" s="635">
        <f t="shared" si="1"/>
        <v>0</v>
      </c>
      <c r="AH30" s="635">
        <f t="shared" si="1"/>
        <v>0</v>
      </c>
      <c r="AI30" s="635">
        <f t="shared" si="1"/>
        <v>0</v>
      </c>
      <c r="AJ30" s="635">
        <f t="shared" si="1"/>
        <v>0</v>
      </c>
      <c r="AK30" s="635">
        <f t="shared" si="1"/>
        <v>0</v>
      </c>
      <c r="AL30" s="635">
        <f t="shared" si="1"/>
        <v>0</v>
      </c>
      <c r="AM30" s="635">
        <f t="shared" si="1"/>
        <v>0</v>
      </c>
      <c r="AN30" s="635">
        <f t="shared" si="1"/>
        <v>0</v>
      </c>
      <c r="AO30" s="635">
        <f t="shared" si="1"/>
        <v>0</v>
      </c>
      <c r="AP30" s="635">
        <f t="shared" si="1"/>
        <v>0</v>
      </c>
      <c r="AQ30" s="635">
        <f t="shared" si="1"/>
        <v>0</v>
      </c>
      <c r="AR30" s="635">
        <f t="shared" si="1"/>
        <v>0</v>
      </c>
      <c r="AS30" s="635">
        <f t="shared" si="1"/>
        <v>0</v>
      </c>
      <c r="AT30" s="637">
        <f t="shared" si="1"/>
        <v>0</v>
      </c>
    </row>
    <row r="31" spans="1:48" ht="19.2" customHeight="1" x14ac:dyDescent="0.3">
      <c r="A31" s="83"/>
      <c r="B31" s="626" t="str">
        <f>+B9</f>
        <v>Fuel 1</v>
      </c>
      <c r="C31" s="565"/>
      <c r="D31" s="565"/>
      <c r="E31" s="565"/>
      <c r="F31" s="565"/>
      <c r="G31" s="636">
        <f t="shared" ref="G31:AT31" si="2">+$D$9*G25</f>
        <v>0</v>
      </c>
      <c r="H31" s="635">
        <f t="shared" si="2"/>
        <v>0</v>
      </c>
      <c r="I31" s="635">
        <f t="shared" si="2"/>
        <v>0</v>
      </c>
      <c r="J31" s="635">
        <f t="shared" si="2"/>
        <v>0</v>
      </c>
      <c r="K31" s="635">
        <f t="shared" si="2"/>
        <v>0</v>
      </c>
      <c r="L31" s="635">
        <f t="shared" si="2"/>
        <v>0</v>
      </c>
      <c r="M31" s="635">
        <f t="shared" si="2"/>
        <v>0</v>
      </c>
      <c r="N31" s="635">
        <f t="shared" si="2"/>
        <v>0</v>
      </c>
      <c r="O31" s="635">
        <f t="shared" si="2"/>
        <v>0</v>
      </c>
      <c r="P31" s="635">
        <f t="shared" si="2"/>
        <v>0</v>
      </c>
      <c r="Q31" s="635">
        <f t="shared" si="2"/>
        <v>0</v>
      </c>
      <c r="R31" s="635">
        <f t="shared" si="2"/>
        <v>0</v>
      </c>
      <c r="S31" s="635">
        <f t="shared" si="2"/>
        <v>0</v>
      </c>
      <c r="T31" s="635">
        <f t="shared" si="2"/>
        <v>0</v>
      </c>
      <c r="U31" s="635">
        <f t="shared" si="2"/>
        <v>0</v>
      </c>
      <c r="V31" s="635">
        <f t="shared" si="2"/>
        <v>0</v>
      </c>
      <c r="W31" s="635">
        <f t="shared" si="2"/>
        <v>0</v>
      </c>
      <c r="X31" s="635">
        <f t="shared" si="2"/>
        <v>0</v>
      </c>
      <c r="Y31" s="635">
        <f t="shared" si="2"/>
        <v>0</v>
      </c>
      <c r="Z31" s="635">
        <f t="shared" si="2"/>
        <v>0</v>
      </c>
      <c r="AA31" s="635">
        <f t="shared" si="2"/>
        <v>0</v>
      </c>
      <c r="AB31" s="635">
        <f t="shared" si="2"/>
        <v>0</v>
      </c>
      <c r="AC31" s="635">
        <f t="shared" si="2"/>
        <v>0</v>
      </c>
      <c r="AD31" s="635">
        <f t="shared" si="2"/>
        <v>0</v>
      </c>
      <c r="AE31" s="635">
        <f t="shared" si="2"/>
        <v>0</v>
      </c>
      <c r="AF31" s="635">
        <f t="shared" si="2"/>
        <v>0</v>
      </c>
      <c r="AG31" s="635">
        <f t="shared" si="2"/>
        <v>0</v>
      </c>
      <c r="AH31" s="635">
        <f t="shared" si="2"/>
        <v>0</v>
      </c>
      <c r="AI31" s="635">
        <f t="shared" si="2"/>
        <v>0</v>
      </c>
      <c r="AJ31" s="635">
        <f t="shared" si="2"/>
        <v>0</v>
      </c>
      <c r="AK31" s="635">
        <f t="shared" si="2"/>
        <v>0</v>
      </c>
      <c r="AL31" s="635">
        <f t="shared" si="2"/>
        <v>0</v>
      </c>
      <c r="AM31" s="635">
        <f t="shared" si="2"/>
        <v>0</v>
      </c>
      <c r="AN31" s="635">
        <f t="shared" si="2"/>
        <v>0</v>
      </c>
      <c r="AO31" s="635">
        <f t="shared" si="2"/>
        <v>0</v>
      </c>
      <c r="AP31" s="635">
        <f t="shared" si="2"/>
        <v>0</v>
      </c>
      <c r="AQ31" s="635">
        <f t="shared" si="2"/>
        <v>0</v>
      </c>
      <c r="AR31" s="635">
        <f t="shared" si="2"/>
        <v>0</v>
      </c>
      <c r="AS31" s="635">
        <f t="shared" si="2"/>
        <v>0</v>
      </c>
      <c r="AT31" s="637">
        <f t="shared" si="2"/>
        <v>0</v>
      </c>
    </row>
    <row r="32" spans="1:48" ht="19.2" customHeight="1" x14ac:dyDescent="0.3">
      <c r="A32" s="83"/>
      <c r="B32" s="626" t="str">
        <f>+B10</f>
        <v>Fuel 2</v>
      </c>
      <c r="C32" s="565"/>
      <c r="D32" s="565"/>
      <c r="E32" s="565"/>
      <c r="F32" s="565"/>
      <c r="G32" s="636">
        <f t="shared" ref="G32:AT32" si="3">+$D$10*G25</f>
        <v>0</v>
      </c>
      <c r="H32" s="635">
        <f t="shared" si="3"/>
        <v>0</v>
      </c>
      <c r="I32" s="635">
        <f t="shared" si="3"/>
        <v>0</v>
      </c>
      <c r="J32" s="635">
        <f t="shared" si="3"/>
        <v>0</v>
      </c>
      <c r="K32" s="635">
        <f t="shared" si="3"/>
        <v>0</v>
      </c>
      <c r="L32" s="635">
        <f t="shared" si="3"/>
        <v>0</v>
      </c>
      <c r="M32" s="635">
        <f t="shared" si="3"/>
        <v>0</v>
      </c>
      <c r="N32" s="635">
        <f t="shared" si="3"/>
        <v>0</v>
      </c>
      <c r="O32" s="635">
        <f t="shared" si="3"/>
        <v>0</v>
      </c>
      <c r="P32" s="635">
        <f t="shared" si="3"/>
        <v>0</v>
      </c>
      <c r="Q32" s="635">
        <f t="shared" si="3"/>
        <v>0</v>
      </c>
      <c r="R32" s="635">
        <f t="shared" si="3"/>
        <v>0</v>
      </c>
      <c r="S32" s="635">
        <f t="shared" si="3"/>
        <v>0</v>
      </c>
      <c r="T32" s="635">
        <f t="shared" si="3"/>
        <v>0</v>
      </c>
      <c r="U32" s="635">
        <f t="shared" si="3"/>
        <v>0</v>
      </c>
      <c r="V32" s="635">
        <f t="shared" si="3"/>
        <v>0</v>
      </c>
      <c r="W32" s="635">
        <f t="shared" si="3"/>
        <v>0</v>
      </c>
      <c r="X32" s="635">
        <f t="shared" si="3"/>
        <v>0</v>
      </c>
      <c r="Y32" s="635">
        <f t="shared" si="3"/>
        <v>0</v>
      </c>
      <c r="Z32" s="635">
        <f t="shared" si="3"/>
        <v>0</v>
      </c>
      <c r="AA32" s="635">
        <f t="shared" si="3"/>
        <v>0</v>
      </c>
      <c r="AB32" s="635">
        <f t="shared" si="3"/>
        <v>0</v>
      </c>
      <c r="AC32" s="635">
        <f t="shared" si="3"/>
        <v>0</v>
      </c>
      <c r="AD32" s="635">
        <f t="shared" si="3"/>
        <v>0</v>
      </c>
      <c r="AE32" s="635">
        <f t="shared" si="3"/>
        <v>0</v>
      </c>
      <c r="AF32" s="635">
        <f t="shared" si="3"/>
        <v>0</v>
      </c>
      <c r="AG32" s="635">
        <f t="shared" si="3"/>
        <v>0</v>
      </c>
      <c r="AH32" s="635">
        <f t="shared" si="3"/>
        <v>0</v>
      </c>
      <c r="AI32" s="635">
        <f t="shared" si="3"/>
        <v>0</v>
      </c>
      <c r="AJ32" s="635">
        <f t="shared" si="3"/>
        <v>0</v>
      </c>
      <c r="AK32" s="635">
        <f t="shared" si="3"/>
        <v>0</v>
      </c>
      <c r="AL32" s="635">
        <f t="shared" si="3"/>
        <v>0</v>
      </c>
      <c r="AM32" s="635">
        <f t="shared" si="3"/>
        <v>0</v>
      </c>
      <c r="AN32" s="635">
        <f t="shared" si="3"/>
        <v>0</v>
      </c>
      <c r="AO32" s="635">
        <f t="shared" si="3"/>
        <v>0</v>
      </c>
      <c r="AP32" s="635">
        <f t="shared" si="3"/>
        <v>0</v>
      </c>
      <c r="AQ32" s="635">
        <f t="shared" si="3"/>
        <v>0</v>
      </c>
      <c r="AR32" s="635">
        <f t="shared" si="3"/>
        <v>0</v>
      </c>
      <c r="AS32" s="635">
        <f t="shared" si="3"/>
        <v>0</v>
      </c>
      <c r="AT32" s="637">
        <f t="shared" si="3"/>
        <v>0</v>
      </c>
    </row>
    <row r="33" spans="1:46" ht="19.2" customHeight="1" x14ac:dyDescent="0.3">
      <c r="A33" s="83"/>
      <c r="B33" s="626" t="s">
        <v>494</v>
      </c>
      <c r="C33" s="565"/>
      <c r="D33" s="565"/>
      <c r="E33" s="565"/>
      <c r="F33" s="565"/>
      <c r="G33" s="636">
        <f>'Plant OPEX'!$U$19*'Cash Flow Analysis'!G25</f>
        <v>0</v>
      </c>
      <c r="H33" s="635">
        <f>'Plant OPEX'!$U$19*'Cash Flow Analysis'!H25</f>
        <v>0</v>
      </c>
      <c r="I33" s="635">
        <f>'Plant OPEX'!$U$19*'Cash Flow Analysis'!I25</f>
        <v>0</v>
      </c>
      <c r="J33" s="635">
        <f>'Plant OPEX'!$U$19*'Cash Flow Analysis'!J25</f>
        <v>0</v>
      </c>
      <c r="K33" s="635">
        <f>'Plant OPEX'!$U$19*'Cash Flow Analysis'!K25</f>
        <v>0</v>
      </c>
      <c r="L33" s="635">
        <f>'Plant OPEX'!$U$19*'Cash Flow Analysis'!L25</f>
        <v>0</v>
      </c>
      <c r="M33" s="635">
        <f>'Plant OPEX'!$U$19*'Cash Flow Analysis'!M25</f>
        <v>0</v>
      </c>
      <c r="N33" s="635">
        <f>'Plant OPEX'!$U$19*'Cash Flow Analysis'!N25</f>
        <v>0</v>
      </c>
      <c r="O33" s="635">
        <f>'Plant OPEX'!$U$19*'Cash Flow Analysis'!O25</f>
        <v>0</v>
      </c>
      <c r="P33" s="635">
        <f>'Plant OPEX'!$U$19*'Cash Flow Analysis'!P25</f>
        <v>0</v>
      </c>
      <c r="Q33" s="635">
        <f>'Plant OPEX'!$U$19*'Cash Flow Analysis'!Q25</f>
        <v>0</v>
      </c>
      <c r="R33" s="635">
        <f>'Plant OPEX'!$U$19*'Cash Flow Analysis'!R25</f>
        <v>0</v>
      </c>
      <c r="S33" s="635">
        <f>'Plant OPEX'!$U$19*'Cash Flow Analysis'!S25</f>
        <v>0</v>
      </c>
      <c r="T33" s="635">
        <f>'Plant OPEX'!$U$19*'Cash Flow Analysis'!T25</f>
        <v>0</v>
      </c>
      <c r="U33" s="635">
        <f>'Plant OPEX'!$U$19*'Cash Flow Analysis'!U25</f>
        <v>0</v>
      </c>
      <c r="V33" s="635">
        <f>'Plant OPEX'!$U$19*'Cash Flow Analysis'!V25</f>
        <v>0</v>
      </c>
      <c r="W33" s="635">
        <f>'Plant OPEX'!$U$19*'Cash Flow Analysis'!W25</f>
        <v>0</v>
      </c>
      <c r="X33" s="635">
        <f>'Plant OPEX'!$U$19*'Cash Flow Analysis'!X25</f>
        <v>0</v>
      </c>
      <c r="Y33" s="635">
        <f>'Plant OPEX'!$U$19*'Cash Flow Analysis'!Y25</f>
        <v>0</v>
      </c>
      <c r="Z33" s="635">
        <f>'Plant OPEX'!$U$19*'Cash Flow Analysis'!Z25</f>
        <v>0</v>
      </c>
      <c r="AA33" s="635">
        <f>'Plant OPEX'!$U$19*'Cash Flow Analysis'!AA25</f>
        <v>0</v>
      </c>
      <c r="AB33" s="635">
        <f>'Plant OPEX'!$U$19*'Cash Flow Analysis'!AB25</f>
        <v>0</v>
      </c>
      <c r="AC33" s="635">
        <f>'Plant OPEX'!$U$19*'Cash Flow Analysis'!AC25</f>
        <v>0</v>
      </c>
      <c r="AD33" s="635">
        <f>'Plant OPEX'!$U$19*'Cash Flow Analysis'!AD25</f>
        <v>0</v>
      </c>
      <c r="AE33" s="635">
        <f>'Plant OPEX'!$U$19*'Cash Flow Analysis'!AE25</f>
        <v>0</v>
      </c>
      <c r="AF33" s="635">
        <f>'Plant OPEX'!$U$19*'Cash Flow Analysis'!AF25</f>
        <v>0</v>
      </c>
      <c r="AG33" s="635">
        <f>'Plant OPEX'!$U$19*'Cash Flow Analysis'!AG25</f>
        <v>0</v>
      </c>
      <c r="AH33" s="635">
        <f>'Plant OPEX'!$U$19*'Cash Flow Analysis'!AH25</f>
        <v>0</v>
      </c>
      <c r="AI33" s="635">
        <f>'Plant OPEX'!$U$19*'Cash Flow Analysis'!AI25</f>
        <v>0</v>
      </c>
      <c r="AJ33" s="635">
        <f>'Plant OPEX'!$U$19*'Cash Flow Analysis'!AJ25</f>
        <v>0</v>
      </c>
      <c r="AK33" s="635">
        <f>'Plant OPEX'!$U$19*'Cash Flow Analysis'!AK25</f>
        <v>0</v>
      </c>
      <c r="AL33" s="635">
        <f>'Plant OPEX'!$U$19*'Cash Flow Analysis'!AL25</f>
        <v>0</v>
      </c>
      <c r="AM33" s="635">
        <f>'Plant OPEX'!$U$19*'Cash Flow Analysis'!AM25</f>
        <v>0</v>
      </c>
      <c r="AN33" s="635">
        <f>'Plant OPEX'!$U$19*'Cash Flow Analysis'!AN25</f>
        <v>0</v>
      </c>
      <c r="AO33" s="635">
        <f>'Plant OPEX'!$U$19*'Cash Flow Analysis'!AO25</f>
        <v>0</v>
      </c>
      <c r="AP33" s="635">
        <f>'Plant OPEX'!$U$19*'Cash Flow Analysis'!AP25</f>
        <v>0</v>
      </c>
      <c r="AQ33" s="635">
        <f>'Plant OPEX'!$U$19*'Cash Flow Analysis'!AQ25</f>
        <v>0</v>
      </c>
      <c r="AR33" s="635">
        <f>'Plant OPEX'!$U$19*'Cash Flow Analysis'!AR25</f>
        <v>0</v>
      </c>
      <c r="AS33" s="635">
        <f>'Plant OPEX'!$U$19*'Cash Flow Analysis'!AS25</f>
        <v>0</v>
      </c>
      <c r="AT33" s="637">
        <f>'Plant OPEX'!$U$19*'Cash Flow Analysis'!AT25</f>
        <v>0</v>
      </c>
    </row>
    <row r="34" spans="1:46" ht="19.2" customHeight="1" x14ac:dyDescent="0.3">
      <c r="A34" s="83"/>
      <c r="B34" s="627" t="str">
        <f>+B11</f>
        <v>VOM</v>
      </c>
      <c r="C34" s="565"/>
      <c r="D34" s="565"/>
      <c r="E34" s="565"/>
      <c r="F34" s="565"/>
      <c r="G34" s="636">
        <f t="shared" ref="G34:AT34" si="4">+$D$11*G25</f>
        <v>0</v>
      </c>
      <c r="H34" s="635">
        <f t="shared" si="4"/>
        <v>0</v>
      </c>
      <c r="I34" s="635">
        <f t="shared" si="4"/>
        <v>0</v>
      </c>
      <c r="J34" s="635">
        <f t="shared" si="4"/>
        <v>0</v>
      </c>
      <c r="K34" s="635">
        <f t="shared" si="4"/>
        <v>0</v>
      </c>
      <c r="L34" s="635">
        <f t="shared" si="4"/>
        <v>0</v>
      </c>
      <c r="M34" s="635">
        <f t="shared" si="4"/>
        <v>0</v>
      </c>
      <c r="N34" s="635">
        <f t="shared" si="4"/>
        <v>0</v>
      </c>
      <c r="O34" s="635">
        <f t="shared" si="4"/>
        <v>0</v>
      </c>
      <c r="P34" s="635">
        <f t="shared" si="4"/>
        <v>0</v>
      </c>
      <c r="Q34" s="635">
        <f t="shared" si="4"/>
        <v>0</v>
      </c>
      <c r="R34" s="635">
        <f t="shared" si="4"/>
        <v>0</v>
      </c>
      <c r="S34" s="635">
        <f t="shared" si="4"/>
        <v>0</v>
      </c>
      <c r="T34" s="635">
        <f t="shared" si="4"/>
        <v>0</v>
      </c>
      <c r="U34" s="635">
        <f t="shared" si="4"/>
        <v>0</v>
      </c>
      <c r="V34" s="635">
        <f t="shared" si="4"/>
        <v>0</v>
      </c>
      <c r="W34" s="635">
        <f t="shared" si="4"/>
        <v>0</v>
      </c>
      <c r="X34" s="635">
        <f t="shared" si="4"/>
        <v>0</v>
      </c>
      <c r="Y34" s="635">
        <f t="shared" si="4"/>
        <v>0</v>
      </c>
      <c r="Z34" s="635">
        <f t="shared" si="4"/>
        <v>0</v>
      </c>
      <c r="AA34" s="635">
        <f t="shared" si="4"/>
        <v>0</v>
      </c>
      <c r="AB34" s="635">
        <f t="shared" si="4"/>
        <v>0</v>
      </c>
      <c r="AC34" s="635">
        <f t="shared" si="4"/>
        <v>0</v>
      </c>
      <c r="AD34" s="635">
        <f t="shared" si="4"/>
        <v>0</v>
      </c>
      <c r="AE34" s="635">
        <f t="shared" si="4"/>
        <v>0</v>
      </c>
      <c r="AF34" s="635">
        <f t="shared" si="4"/>
        <v>0</v>
      </c>
      <c r="AG34" s="635">
        <f t="shared" si="4"/>
        <v>0</v>
      </c>
      <c r="AH34" s="635">
        <f t="shared" si="4"/>
        <v>0</v>
      </c>
      <c r="AI34" s="635">
        <f t="shared" si="4"/>
        <v>0</v>
      </c>
      <c r="AJ34" s="635">
        <f t="shared" si="4"/>
        <v>0</v>
      </c>
      <c r="AK34" s="635">
        <f t="shared" si="4"/>
        <v>0</v>
      </c>
      <c r="AL34" s="635">
        <f t="shared" si="4"/>
        <v>0</v>
      </c>
      <c r="AM34" s="635">
        <f t="shared" si="4"/>
        <v>0</v>
      </c>
      <c r="AN34" s="635">
        <f t="shared" si="4"/>
        <v>0</v>
      </c>
      <c r="AO34" s="635">
        <f t="shared" si="4"/>
        <v>0</v>
      </c>
      <c r="AP34" s="635">
        <f t="shared" si="4"/>
        <v>0</v>
      </c>
      <c r="AQ34" s="635">
        <f t="shared" si="4"/>
        <v>0</v>
      </c>
      <c r="AR34" s="635">
        <f t="shared" si="4"/>
        <v>0</v>
      </c>
      <c r="AS34" s="635">
        <f t="shared" si="4"/>
        <v>0</v>
      </c>
      <c r="AT34" s="637">
        <f t="shared" si="4"/>
        <v>0</v>
      </c>
    </row>
    <row r="35" spans="1:46" ht="19.2" customHeight="1" x14ac:dyDescent="0.3">
      <c r="A35" s="83"/>
      <c r="B35" s="680" t="s">
        <v>441</v>
      </c>
      <c r="C35" s="571">
        <f t="shared" ref="C35:AT35" si="5">C27-SUM(C29:C34)</f>
        <v>0</v>
      </c>
      <c r="D35" s="571">
        <f t="shared" si="5"/>
        <v>0</v>
      </c>
      <c r="E35" s="571">
        <f t="shared" si="5"/>
        <v>0</v>
      </c>
      <c r="F35" s="571">
        <f t="shared" si="5"/>
        <v>0</v>
      </c>
      <c r="G35" s="682">
        <f>G27-SUM(G29:G34)</f>
        <v>0</v>
      </c>
      <c r="H35" s="683">
        <f t="shared" si="5"/>
        <v>0</v>
      </c>
      <c r="I35" s="683">
        <f t="shared" si="5"/>
        <v>0</v>
      </c>
      <c r="J35" s="683">
        <f t="shared" si="5"/>
        <v>0</v>
      </c>
      <c r="K35" s="683">
        <f t="shared" si="5"/>
        <v>0</v>
      </c>
      <c r="L35" s="683">
        <f t="shared" si="5"/>
        <v>0</v>
      </c>
      <c r="M35" s="683">
        <f t="shared" si="5"/>
        <v>0</v>
      </c>
      <c r="N35" s="683">
        <f t="shared" si="5"/>
        <v>0</v>
      </c>
      <c r="O35" s="683">
        <f t="shared" si="5"/>
        <v>0</v>
      </c>
      <c r="P35" s="683">
        <f t="shared" si="5"/>
        <v>0</v>
      </c>
      <c r="Q35" s="683">
        <f t="shared" si="5"/>
        <v>0</v>
      </c>
      <c r="R35" s="683">
        <f t="shared" si="5"/>
        <v>0</v>
      </c>
      <c r="S35" s="683">
        <f t="shared" si="5"/>
        <v>0</v>
      </c>
      <c r="T35" s="683">
        <f t="shared" si="5"/>
        <v>0</v>
      </c>
      <c r="U35" s="683">
        <f t="shared" si="5"/>
        <v>0</v>
      </c>
      <c r="V35" s="683">
        <f t="shared" si="5"/>
        <v>0</v>
      </c>
      <c r="W35" s="683">
        <f t="shared" si="5"/>
        <v>0</v>
      </c>
      <c r="X35" s="683">
        <f t="shared" si="5"/>
        <v>0</v>
      </c>
      <c r="Y35" s="683">
        <f t="shared" si="5"/>
        <v>0</v>
      </c>
      <c r="Z35" s="683">
        <f t="shared" si="5"/>
        <v>0</v>
      </c>
      <c r="AA35" s="683">
        <f t="shared" si="5"/>
        <v>0</v>
      </c>
      <c r="AB35" s="683">
        <f t="shared" si="5"/>
        <v>0</v>
      </c>
      <c r="AC35" s="683">
        <f t="shared" si="5"/>
        <v>0</v>
      </c>
      <c r="AD35" s="683">
        <f t="shared" si="5"/>
        <v>0</v>
      </c>
      <c r="AE35" s="683">
        <f t="shared" si="5"/>
        <v>0</v>
      </c>
      <c r="AF35" s="683">
        <f t="shared" si="5"/>
        <v>0</v>
      </c>
      <c r="AG35" s="683">
        <f t="shared" si="5"/>
        <v>0</v>
      </c>
      <c r="AH35" s="683">
        <f t="shared" si="5"/>
        <v>0</v>
      </c>
      <c r="AI35" s="683">
        <f t="shared" si="5"/>
        <v>0</v>
      </c>
      <c r="AJ35" s="683">
        <f t="shared" si="5"/>
        <v>0</v>
      </c>
      <c r="AK35" s="683">
        <f t="shared" si="5"/>
        <v>0</v>
      </c>
      <c r="AL35" s="683">
        <f t="shared" si="5"/>
        <v>0</v>
      </c>
      <c r="AM35" s="683">
        <f t="shared" si="5"/>
        <v>0</v>
      </c>
      <c r="AN35" s="683">
        <f t="shared" si="5"/>
        <v>0</v>
      </c>
      <c r="AO35" s="683">
        <f t="shared" si="5"/>
        <v>0</v>
      </c>
      <c r="AP35" s="683">
        <f t="shared" si="5"/>
        <v>0</v>
      </c>
      <c r="AQ35" s="683">
        <f t="shared" si="5"/>
        <v>0</v>
      </c>
      <c r="AR35" s="683">
        <f t="shared" si="5"/>
        <v>0</v>
      </c>
      <c r="AS35" s="683">
        <f t="shared" si="5"/>
        <v>0</v>
      </c>
      <c r="AT35" s="684">
        <f t="shared" si="5"/>
        <v>0</v>
      </c>
    </row>
    <row r="36" spans="1:46" ht="19.2" customHeight="1" x14ac:dyDescent="0.3">
      <c r="A36" s="83"/>
      <c r="B36" s="626" t="s">
        <v>445</v>
      </c>
      <c r="C36" s="635">
        <v>1</v>
      </c>
      <c r="D36" s="635">
        <f>C36/(1+$D$21)</f>
        <v>0.92592592592592582</v>
      </c>
      <c r="E36" s="635">
        <f>D36/(1+$D$21)</f>
        <v>0.8573388203017831</v>
      </c>
      <c r="F36" s="635">
        <f>E36/(1+$D$21)</f>
        <v>0.79383224102016947</v>
      </c>
      <c r="G36" s="636">
        <f>F36/(1+$D$21)</f>
        <v>0.73502985279645316</v>
      </c>
      <c r="H36" s="635">
        <f t="shared" ref="H36:AT36" si="6">IF(H24&lt;=$D$16,G36/(1+$D$21),0)</f>
        <v>0.68058319703375292</v>
      </c>
      <c r="I36" s="635">
        <f t="shared" si="6"/>
        <v>0.63016962688310452</v>
      </c>
      <c r="J36" s="635">
        <f t="shared" si="6"/>
        <v>0.58349039526213375</v>
      </c>
      <c r="K36" s="635">
        <f t="shared" si="6"/>
        <v>0.54026888450197563</v>
      </c>
      <c r="L36" s="635">
        <f t="shared" si="6"/>
        <v>0.50024896713145883</v>
      </c>
      <c r="M36" s="635">
        <f t="shared" si="6"/>
        <v>0.46319348808468408</v>
      </c>
      <c r="N36" s="635">
        <f t="shared" si="6"/>
        <v>0.4288828593376704</v>
      </c>
      <c r="O36" s="635">
        <f t="shared" si="6"/>
        <v>0.39711375864599108</v>
      </c>
      <c r="P36" s="635">
        <f t="shared" si="6"/>
        <v>0.36769792467221396</v>
      </c>
      <c r="Q36" s="635">
        <f t="shared" si="6"/>
        <v>0.34046104136316108</v>
      </c>
      <c r="R36" s="635">
        <f t="shared" si="6"/>
        <v>0.31524170496588988</v>
      </c>
      <c r="S36" s="635">
        <f t="shared" si="6"/>
        <v>0.29189046756100911</v>
      </c>
      <c r="T36" s="635">
        <f t="shared" si="6"/>
        <v>0.27026895144537877</v>
      </c>
      <c r="U36" s="635">
        <f t="shared" si="6"/>
        <v>0.25024902911609143</v>
      </c>
      <c r="V36" s="635">
        <f t="shared" si="6"/>
        <v>0.23171206399638095</v>
      </c>
      <c r="W36" s="635">
        <f t="shared" si="6"/>
        <v>0.21454820740405642</v>
      </c>
      <c r="X36" s="635">
        <f t="shared" si="6"/>
        <v>0.19865574759634852</v>
      </c>
      <c r="Y36" s="635">
        <f t="shared" si="6"/>
        <v>0.18394050703365603</v>
      </c>
      <c r="Z36" s="635">
        <f t="shared" si="6"/>
        <v>0.17031528429042223</v>
      </c>
      <c r="AA36" s="635">
        <f t="shared" si="6"/>
        <v>0.15769933730594649</v>
      </c>
      <c r="AB36" s="635">
        <f t="shared" si="6"/>
        <v>0.14601790491291342</v>
      </c>
      <c r="AC36" s="635">
        <f t="shared" si="6"/>
        <v>0.13520176380825316</v>
      </c>
      <c r="AD36" s="635">
        <f t="shared" si="6"/>
        <v>0.12518681834097514</v>
      </c>
      <c r="AE36" s="635">
        <f t="shared" si="6"/>
        <v>0.11591372068608809</v>
      </c>
      <c r="AF36" s="635">
        <f t="shared" si="6"/>
        <v>0</v>
      </c>
      <c r="AG36" s="635">
        <f t="shared" si="6"/>
        <v>0</v>
      </c>
      <c r="AH36" s="635">
        <f t="shared" si="6"/>
        <v>0</v>
      </c>
      <c r="AI36" s="635">
        <f t="shared" si="6"/>
        <v>0</v>
      </c>
      <c r="AJ36" s="635">
        <f t="shared" si="6"/>
        <v>0</v>
      </c>
      <c r="AK36" s="635">
        <f t="shared" si="6"/>
        <v>0</v>
      </c>
      <c r="AL36" s="635">
        <f t="shared" si="6"/>
        <v>0</v>
      </c>
      <c r="AM36" s="635">
        <f t="shared" si="6"/>
        <v>0</v>
      </c>
      <c r="AN36" s="635">
        <f t="shared" si="6"/>
        <v>0</v>
      </c>
      <c r="AO36" s="635">
        <f t="shared" si="6"/>
        <v>0</v>
      </c>
      <c r="AP36" s="635">
        <f t="shared" si="6"/>
        <v>0</v>
      </c>
      <c r="AQ36" s="635">
        <f t="shared" si="6"/>
        <v>0</v>
      </c>
      <c r="AR36" s="635">
        <f t="shared" si="6"/>
        <v>0</v>
      </c>
      <c r="AS36" s="635">
        <f t="shared" si="6"/>
        <v>0</v>
      </c>
      <c r="AT36" s="637">
        <f t="shared" si="6"/>
        <v>0</v>
      </c>
    </row>
    <row r="37" spans="1:46" ht="19.2" customHeight="1" x14ac:dyDescent="0.3">
      <c r="A37" s="83"/>
      <c r="B37" s="626" t="s">
        <v>446</v>
      </c>
      <c r="C37" s="565">
        <f>C35*C36</f>
        <v>0</v>
      </c>
      <c r="D37" s="565">
        <f>D35*D36</f>
        <v>0</v>
      </c>
      <c r="E37" s="565">
        <f>E35*E36</f>
        <v>0</v>
      </c>
      <c r="F37" s="565">
        <f>F35*F36</f>
        <v>0</v>
      </c>
      <c r="G37" s="564">
        <f t="shared" ref="G37:AT37" si="7">G35*G36</f>
        <v>0</v>
      </c>
      <c r="H37" s="565">
        <f t="shared" si="7"/>
        <v>0</v>
      </c>
      <c r="I37" s="565">
        <f t="shared" si="7"/>
        <v>0</v>
      </c>
      <c r="J37" s="565">
        <f t="shared" si="7"/>
        <v>0</v>
      </c>
      <c r="K37" s="565">
        <f t="shared" si="7"/>
        <v>0</v>
      </c>
      <c r="L37" s="565">
        <f t="shared" si="7"/>
        <v>0</v>
      </c>
      <c r="M37" s="565">
        <f t="shared" si="7"/>
        <v>0</v>
      </c>
      <c r="N37" s="565">
        <f t="shared" si="7"/>
        <v>0</v>
      </c>
      <c r="O37" s="565">
        <f t="shared" si="7"/>
        <v>0</v>
      </c>
      <c r="P37" s="565">
        <f t="shared" si="7"/>
        <v>0</v>
      </c>
      <c r="Q37" s="565">
        <f t="shared" si="7"/>
        <v>0</v>
      </c>
      <c r="R37" s="565">
        <f t="shared" si="7"/>
        <v>0</v>
      </c>
      <c r="S37" s="565">
        <f t="shared" si="7"/>
        <v>0</v>
      </c>
      <c r="T37" s="565">
        <f t="shared" si="7"/>
        <v>0</v>
      </c>
      <c r="U37" s="565">
        <f t="shared" si="7"/>
        <v>0</v>
      </c>
      <c r="V37" s="565">
        <f t="shared" si="7"/>
        <v>0</v>
      </c>
      <c r="W37" s="565">
        <f t="shared" si="7"/>
        <v>0</v>
      </c>
      <c r="X37" s="565">
        <f t="shared" si="7"/>
        <v>0</v>
      </c>
      <c r="Y37" s="565">
        <f t="shared" si="7"/>
        <v>0</v>
      </c>
      <c r="Z37" s="565">
        <f t="shared" si="7"/>
        <v>0</v>
      </c>
      <c r="AA37" s="565">
        <f t="shared" si="7"/>
        <v>0</v>
      </c>
      <c r="AB37" s="565">
        <f t="shared" si="7"/>
        <v>0</v>
      </c>
      <c r="AC37" s="565">
        <f t="shared" si="7"/>
        <v>0</v>
      </c>
      <c r="AD37" s="565">
        <f t="shared" si="7"/>
        <v>0</v>
      </c>
      <c r="AE37" s="565">
        <f t="shared" si="7"/>
        <v>0</v>
      </c>
      <c r="AF37" s="565">
        <f t="shared" si="7"/>
        <v>0</v>
      </c>
      <c r="AG37" s="565">
        <f t="shared" si="7"/>
        <v>0</v>
      </c>
      <c r="AH37" s="565">
        <f t="shared" si="7"/>
        <v>0</v>
      </c>
      <c r="AI37" s="565">
        <f t="shared" si="7"/>
        <v>0</v>
      </c>
      <c r="AJ37" s="565">
        <f t="shared" si="7"/>
        <v>0</v>
      </c>
      <c r="AK37" s="565">
        <f t="shared" si="7"/>
        <v>0</v>
      </c>
      <c r="AL37" s="565">
        <f t="shared" si="7"/>
        <v>0</v>
      </c>
      <c r="AM37" s="565">
        <f t="shared" si="7"/>
        <v>0</v>
      </c>
      <c r="AN37" s="565">
        <f t="shared" si="7"/>
        <v>0</v>
      </c>
      <c r="AO37" s="565">
        <f t="shared" si="7"/>
        <v>0</v>
      </c>
      <c r="AP37" s="565">
        <f t="shared" si="7"/>
        <v>0</v>
      </c>
      <c r="AQ37" s="565">
        <f t="shared" si="7"/>
        <v>0</v>
      </c>
      <c r="AR37" s="565">
        <f t="shared" si="7"/>
        <v>0</v>
      </c>
      <c r="AS37" s="565">
        <f t="shared" si="7"/>
        <v>0</v>
      </c>
      <c r="AT37" s="566">
        <f t="shared" si="7"/>
        <v>0</v>
      </c>
    </row>
    <row r="38" spans="1:46" ht="19.2" customHeight="1" x14ac:dyDescent="0.3">
      <c r="A38" s="83"/>
      <c r="B38" s="626" t="s">
        <v>447</v>
      </c>
      <c r="C38" s="565">
        <f>+C37</f>
        <v>0</v>
      </c>
      <c r="D38" s="565">
        <f>D35+C38</f>
        <v>0</v>
      </c>
      <c r="E38" s="565">
        <f>E35+D38</f>
        <v>0</v>
      </c>
      <c r="F38" s="565">
        <f>F35+E38</f>
        <v>0</v>
      </c>
      <c r="G38" s="636">
        <f>G35+F38</f>
        <v>0</v>
      </c>
      <c r="H38" s="565">
        <f t="shared" ref="H38:AT38" si="8">IF(H24&lt;=$D$16,H35+G38,0)</f>
        <v>0</v>
      </c>
      <c r="I38" s="565">
        <f t="shared" si="8"/>
        <v>0</v>
      </c>
      <c r="J38" s="565">
        <f t="shared" si="8"/>
        <v>0</v>
      </c>
      <c r="K38" s="565">
        <f t="shared" si="8"/>
        <v>0</v>
      </c>
      <c r="L38" s="565">
        <f t="shared" si="8"/>
        <v>0</v>
      </c>
      <c r="M38" s="565">
        <f t="shared" si="8"/>
        <v>0</v>
      </c>
      <c r="N38" s="565">
        <f t="shared" si="8"/>
        <v>0</v>
      </c>
      <c r="O38" s="565">
        <f t="shared" si="8"/>
        <v>0</v>
      </c>
      <c r="P38" s="565">
        <f t="shared" si="8"/>
        <v>0</v>
      </c>
      <c r="Q38" s="565">
        <f t="shared" si="8"/>
        <v>0</v>
      </c>
      <c r="R38" s="565">
        <f t="shared" si="8"/>
        <v>0</v>
      </c>
      <c r="S38" s="565">
        <f t="shared" si="8"/>
        <v>0</v>
      </c>
      <c r="T38" s="565">
        <f t="shared" si="8"/>
        <v>0</v>
      </c>
      <c r="U38" s="565">
        <f t="shared" si="8"/>
        <v>0</v>
      </c>
      <c r="V38" s="565">
        <f t="shared" si="8"/>
        <v>0</v>
      </c>
      <c r="W38" s="565">
        <f t="shared" si="8"/>
        <v>0</v>
      </c>
      <c r="X38" s="565">
        <f t="shared" si="8"/>
        <v>0</v>
      </c>
      <c r="Y38" s="565">
        <f t="shared" si="8"/>
        <v>0</v>
      </c>
      <c r="Z38" s="565">
        <f t="shared" si="8"/>
        <v>0</v>
      </c>
      <c r="AA38" s="565">
        <f t="shared" si="8"/>
        <v>0</v>
      </c>
      <c r="AB38" s="565">
        <f t="shared" si="8"/>
        <v>0</v>
      </c>
      <c r="AC38" s="565">
        <f t="shared" si="8"/>
        <v>0</v>
      </c>
      <c r="AD38" s="565">
        <f t="shared" si="8"/>
        <v>0</v>
      </c>
      <c r="AE38" s="565">
        <f t="shared" si="8"/>
        <v>0</v>
      </c>
      <c r="AF38" s="565">
        <f t="shared" si="8"/>
        <v>0</v>
      </c>
      <c r="AG38" s="565">
        <f t="shared" si="8"/>
        <v>0</v>
      </c>
      <c r="AH38" s="565">
        <f t="shared" si="8"/>
        <v>0</v>
      </c>
      <c r="AI38" s="565">
        <f t="shared" si="8"/>
        <v>0</v>
      </c>
      <c r="AJ38" s="565">
        <f t="shared" si="8"/>
        <v>0</v>
      </c>
      <c r="AK38" s="565">
        <f t="shared" si="8"/>
        <v>0</v>
      </c>
      <c r="AL38" s="565">
        <f t="shared" si="8"/>
        <v>0</v>
      </c>
      <c r="AM38" s="565">
        <f t="shared" si="8"/>
        <v>0</v>
      </c>
      <c r="AN38" s="565">
        <f t="shared" si="8"/>
        <v>0</v>
      </c>
      <c r="AO38" s="565">
        <f t="shared" si="8"/>
        <v>0</v>
      </c>
      <c r="AP38" s="565">
        <f t="shared" si="8"/>
        <v>0</v>
      </c>
      <c r="AQ38" s="565">
        <f t="shared" si="8"/>
        <v>0</v>
      </c>
      <c r="AR38" s="565">
        <f t="shared" si="8"/>
        <v>0</v>
      </c>
      <c r="AS38" s="565">
        <f t="shared" si="8"/>
        <v>0</v>
      </c>
      <c r="AT38" s="566">
        <f t="shared" si="8"/>
        <v>0</v>
      </c>
    </row>
    <row r="39" spans="1:46" ht="19.2" customHeight="1" x14ac:dyDescent="0.3">
      <c r="A39" s="83"/>
      <c r="B39" s="628" t="s">
        <v>448</v>
      </c>
      <c r="C39" s="571">
        <f>+C38</f>
        <v>0</v>
      </c>
      <c r="D39" s="571">
        <f>D37+C39</f>
        <v>0</v>
      </c>
      <c r="E39" s="571">
        <f>E37+D39</f>
        <v>0</v>
      </c>
      <c r="F39" s="571">
        <f>F37+E39</f>
        <v>0</v>
      </c>
      <c r="G39" s="570">
        <f>G37+F39</f>
        <v>0</v>
      </c>
      <c r="H39" s="571">
        <f t="shared" ref="H39:AT39" si="9">IF(H24&lt;=$D$16,H37+G39,0)</f>
        <v>0</v>
      </c>
      <c r="I39" s="571">
        <f t="shared" si="9"/>
        <v>0</v>
      </c>
      <c r="J39" s="571">
        <f t="shared" si="9"/>
        <v>0</v>
      </c>
      <c r="K39" s="571">
        <f t="shared" si="9"/>
        <v>0</v>
      </c>
      <c r="L39" s="571">
        <f t="shared" si="9"/>
        <v>0</v>
      </c>
      <c r="M39" s="571">
        <f t="shared" si="9"/>
        <v>0</v>
      </c>
      <c r="N39" s="571">
        <f t="shared" si="9"/>
        <v>0</v>
      </c>
      <c r="O39" s="571">
        <f t="shared" si="9"/>
        <v>0</v>
      </c>
      <c r="P39" s="571">
        <f t="shared" si="9"/>
        <v>0</v>
      </c>
      <c r="Q39" s="571">
        <f t="shared" si="9"/>
        <v>0</v>
      </c>
      <c r="R39" s="571">
        <f t="shared" si="9"/>
        <v>0</v>
      </c>
      <c r="S39" s="571">
        <f t="shared" si="9"/>
        <v>0</v>
      </c>
      <c r="T39" s="571">
        <f t="shared" si="9"/>
        <v>0</v>
      </c>
      <c r="U39" s="571">
        <f t="shared" si="9"/>
        <v>0</v>
      </c>
      <c r="V39" s="571">
        <f t="shared" si="9"/>
        <v>0</v>
      </c>
      <c r="W39" s="571">
        <f t="shared" si="9"/>
        <v>0</v>
      </c>
      <c r="X39" s="571">
        <f t="shared" si="9"/>
        <v>0</v>
      </c>
      <c r="Y39" s="571">
        <f t="shared" si="9"/>
        <v>0</v>
      </c>
      <c r="Z39" s="571">
        <f t="shared" si="9"/>
        <v>0</v>
      </c>
      <c r="AA39" s="571">
        <f t="shared" si="9"/>
        <v>0</v>
      </c>
      <c r="AB39" s="571">
        <f t="shared" si="9"/>
        <v>0</v>
      </c>
      <c r="AC39" s="571">
        <f t="shared" si="9"/>
        <v>0</v>
      </c>
      <c r="AD39" s="571">
        <f t="shared" si="9"/>
        <v>0</v>
      </c>
      <c r="AE39" s="571">
        <f t="shared" si="9"/>
        <v>0</v>
      </c>
      <c r="AF39" s="571">
        <f t="shared" si="9"/>
        <v>0</v>
      </c>
      <c r="AG39" s="571">
        <f t="shared" si="9"/>
        <v>0</v>
      </c>
      <c r="AH39" s="571">
        <f t="shared" si="9"/>
        <v>0</v>
      </c>
      <c r="AI39" s="571">
        <f t="shared" si="9"/>
        <v>0</v>
      </c>
      <c r="AJ39" s="571">
        <f t="shared" si="9"/>
        <v>0</v>
      </c>
      <c r="AK39" s="571">
        <f t="shared" si="9"/>
        <v>0</v>
      </c>
      <c r="AL39" s="571">
        <f t="shared" si="9"/>
        <v>0</v>
      </c>
      <c r="AM39" s="571">
        <f t="shared" si="9"/>
        <v>0</v>
      </c>
      <c r="AN39" s="571">
        <f t="shared" si="9"/>
        <v>0</v>
      </c>
      <c r="AO39" s="571">
        <f t="shared" si="9"/>
        <v>0</v>
      </c>
      <c r="AP39" s="571">
        <f t="shared" si="9"/>
        <v>0</v>
      </c>
      <c r="AQ39" s="571">
        <f t="shared" si="9"/>
        <v>0</v>
      </c>
      <c r="AR39" s="571">
        <f t="shared" si="9"/>
        <v>0</v>
      </c>
      <c r="AS39" s="571">
        <f t="shared" si="9"/>
        <v>0</v>
      </c>
      <c r="AT39" s="572">
        <f t="shared" si="9"/>
        <v>0</v>
      </c>
    </row>
    <row r="40" spans="1:46" x14ac:dyDescent="0.3">
      <c r="A40" s="83"/>
      <c r="B40" s="105"/>
      <c r="C40" s="172">
        <f>+C24</f>
        <v>-4</v>
      </c>
      <c r="D40" s="172">
        <f t="shared" ref="D40:AT40" si="10">+D24</f>
        <v>-3</v>
      </c>
      <c r="E40" s="172">
        <f t="shared" si="10"/>
        <v>-2</v>
      </c>
      <c r="F40" s="172">
        <f t="shared" si="10"/>
        <v>-1</v>
      </c>
      <c r="G40" s="172">
        <f t="shared" si="10"/>
        <v>1</v>
      </c>
      <c r="H40" s="172">
        <f t="shared" si="10"/>
        <v>2</v>
      </c>
      <c r="I40" s="172">
        <f t="shared" si="10"/>
        <v>3</v>
      </c>
      <c r="J40" s="172">
        <f t="shared" si="10"/>
        <v>4</v>
      </c>
      <c r="K40" s="172">
        <f t="shared" si="10"/>
        <v>5</v>
      </c>
      <c r="L40" s="172">
        <f t="shared" si="10"/>
        <v>6</v>
      </c>
      <c r="M40" s="172">
        <f t="shared" si="10"/>
        <v>7</v>
      </c>
      <c r="N40" s="172">
        <f t="shared" si="10"/>
        <v>8</v>
      </c>
      <c r="O40" s="172">
        <f t="shared" si="10"/>
        <v>9</v>
      </c>
      <c r="P40" s="172">
        <f t="shared" si="10"/>
        <v>10</v>
      </c>
      <c r="Q40" s="172">
        <f t="shared" si="10"/>
        <v>11</v>
      </c>
      <c r="R40" s="172">
        <f t="shared" si="10"/>
        <v>12</v>
      </c>
      <c r="S40" s="172">
        <f t="shared" si="10"/>
        <v>13</v>
      </c>
      <c r="T40" s="172">
        <f t="shared" si="10"/>
        <v>14</v>
      </c>
      <c r="U40" s="172">
        <f t="shared" si="10"/>
        <v>15</v>
      </c>
      <c r="V40" s="172">
        <f t="shared" si="10"/>
        <v>16</v>
      </c>
      <c r="W40" s="172">
        <f t="shared" si="10"/>
        <v>17</v>
      </c>
      <c r="X40" s="172">
        <f t="shared" si="10"/>
        <v>18</v>
      </c>
      <c r="Y40" s="172">
        <f t="shared" si="10"/>
        <v>19</v>
      </c>
      <c r="Z40" s="172">
        <f t="shared" si="10"/>
        <v>20</v>
      </c>
      <c r="AA40" s="172">
        <f t="shared" si="10"/>
        <v>21</v>
      </c>
      <c r="AB40" s="172">
        <f t="shared" si="10"/>
        <v>22</v>
      </c>
      <c r="AC40" s="172">
        <f t="shared" si="10"/>
        <v>23</v>
      </c>
      <c r="AD40" s="172">
        <f t="shared" si="10"/>
        <v>24</v>
      </c>
      <c r="AE40" s="172">
        <f t="shared" si="10"/>
        <v>25</v>
      </c>
      <c r="AF40" s="172">
        <f t="shared" si="10"/>
        <v>26</v>
      </c>
      <c r="AG40" s="172">
        <f t="shared" si="10"/>
        <v>27</v>
      </c>
      <c r="AH40" s="172">
        <f t="shared" si="10"/>
        <v>28</v>
      </c>
      <c r="AI40" s="172">
        <f t="shared" si="10"/>
        <v>29</v>
      </c>
      <c r="AJ40" s="172">
        <f t="shared" si="10"/>
        <v>30</v>
      </c>
      <c r="AK40" s="172">
        <f t="shared" si="10"/>
        <v>31</v>
      </c>
      <c r="AL40" s="172">
        <f t="shared" si="10"/>
        <v>32</v>
      </c>
      <c r="AM40" s="172">
        <f t="shared" si="10"/>
        <v>33</v>
      </c>
      <c r="AN40" s="172">
        <f t="shared" si="10"/>
        <v>34</v>
      </c>
      <c r="AO40" s="172">
        <f t="shared" si="10"/>
        <v>35</v>
      </c>
      <c r="AP40" s="172">
        <f t="shared" si="10"/>
        <v>36</v>
      </c>
      <c r="AQ40" s="172">
        <f t="shared" si="10"/>
        <v>37</v>
      </c>
      <c r="AR40" s="172">
        <f t="shared" si="10"/>
        <v>38</v>
      </c>
      <c r="AS40" s="172">
        <f t="shared" si="10"/>
        <v>39</v>
      </c>
      <c r="AT40" s="172">
        <f t="shared" si="10"/>
        <v>40</v>
      </c>
    </row>
    <row r="41" spans="1:46" x14ac:dyDescent="0.3">
      <c r="A41" s="83"/>
      <c r="B41" s="105"/>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c r="AB41" s="105"/>
      <c r="AC41" s="105"/>
      <c r="AD41" s="105"/>
      <c r="AE41" s="105"/>
      <c r="AF41" s="105"/>
      <c r="AG41" s="105"/>
      <c r="AH41" s="105"/>
      <c r="AI41" s="105"/>
      <c r="AJ41" s="105"/>
      <c r="AK41" s="105"/>
      <c r="AL41" s="92"/>
      <c r="AM41" s="92"/>
      <c r="AN41" s="92"/>
      <c r="AO41" s="92"/>
      <c r="AP41" s="92"/>
      <c r="AQ41" s="92"/>
      <c r="AR41" s="92"/>
      <c r="AS41" s="92"/>
      <c r="AT41" s="92"/>
    </row>
    <row r="42" spans="1:46" x14ac:dyDescent="0.3">
      <c r="A42" s="83"/>
      <c r="B42" s="105"/>
      <c r="C42" s="105"/>
      <c r="D42" s="105"/>
      <c r="L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row>
    <row r="43" spans="1:46" x14ac:dyDescent="0.3">
      <c r="A43" s="83"/>
      <c r="B43" s="105"/>
      <c r="C43" s="105"/>
      <c r="D43" s="105"/>
      <c r="E43" s="105"/>
      <c r="F43" s="105"/>
      <c r="G43" s="105"/>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row>
    <row r="44" spans="1:46" x14ac:dyDescent="0.3">
      <c r="A44" s="83"/>
      <c r="B44" s="105"/>
      <c r="C44" s="281"/>
      <c r="D44" s="281"/>
      <c r="E44" s="105"/>
      <c r="F44" s="105"/>
      <c r="G44" s="105"/>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row>
    <row r="45" spans="1:46" x14ac:dyDescent="0.3">
      <c r="A45" s="83"/>
      <c r="B45" s="105"/>
      <c r="C45" s="283"/>
      <c r="D45" s="283"/>
      <c r="E45" s="283"/>
      <c r="F45" s="282"/>
      <c r="G45" s="105"/>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row>
    <row r="46" spans="1:46" x14ac:dyDescent="0.3">
      <c r="A46" s="83"/>
      <c r="B46" s="105"/>
      <c r="C46" s="283"/>
      <c r="D46" s="283"/>
      <c r="E46" s="283"/>
      <c r="F46" s="282"/>
      <c r="G46" s="105"/>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row>
    <row r="47" spans="1:46" x14ac:dyDescent="0.3">
      <c r="A47" s="83"/>
      <c r="B47" s="105"/>
      <c r="C47" s="283"/>
      <c r="D47" s="283"/>
      <c r="E47" s="283"/>
      <c r="F47" s="282"/>
      <c r="G47" s="105"/>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row>
    <row r="48" spans="1:46" x14ac:dyDescent="0.3">
      <c r="A48" s="83"/>
      <c r="B48" s="105"/>
      <c r="C48" s="283"/>
      <c r="D48" s="283"/>
      <c r="E48" s="283"/>
      <c r="F48" s="282"/>
      <c r="G48" s="105"/>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row>
    <row r="49" spans="1:37" x14ac:dyDescent="0.3">
      <c r="A49" s="83"/>
      <c r="B49" s="105"/>
      <c r="C49" s="283"/>
      <c r="D49" s="284"/>
      <c r="E49" s="283"/>
      <c r="F49" s="282"/>
      <c r="G49" s="105"/>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row>
    <row r="50" spans="1:37" x14ac:dyDescent="0.3">
      <c r="A50" s="83"/>
      <c r="B50" s="105"/>
      <c r="C50" s="283"/>
      <c r="D50" s="284"/>
      <c r="E50" s="283"/>
      <c r="F50" s="282"/>
      <c r="G50" s="105"/>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row>
    <row r="51" spans="1:37" x14ac:dyDescent="0.3">
      <c r="A51" s="83"/>
      <c r="B51" s="105"/>
      <c r="C51" s="283"/>
      <c r="D51" s="284"/>
      <c r="E51" s="283"/>
      <c r="F51" s="282"/>
      <c r="G51" s="105"/>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row>
    <row r="52" spans="1:37" x14ac:dyDescent="0.3">
      <c r="A52" s="83"/>
      <c r="B52" s="105"/>
      <c r="C52" s="283"/>
      <c r="D52" s="283"/>
      <c r="E52" s="283"/>
      <c r="F52" s="105"/>
      <c r="G52" s="282"/>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row>
    <row r="53" spans="1:37" x14ac:dyDescent="0.3">
      <c r="A53" s="83"/>
      <c r="B53" s="105"/>
      <c r="C53" s="283"/>
      <c r="D53" s="283"/>
      <c r="E53" s="283"/>
      <c r="F53" s="283"/>
      <c r="G53" s="105"/>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row>
    <row r="54" spans="1:37" x14ac:dyDescent="0.3">
      <c r="A54" s="83"/>
      <c r="B54" s="105"/>
      <c r="C54" s="283"/>
      <c r="D54" s="283"/>
      <c r="E54" s="283"/>
      <c r="F54" s="283"/>
      <c r="G54" s="105"/>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row>
    <row r="55" spans="1:37" x14ac:dyDescent="0.3">
      <c r="A55" s="83"/>
      <c r="B55" s="105"/>
      <c r="C55" s="283"/>
      <c r="D55" s="283"/>
      <c r="E55" s="283"/>
      <c r="F55" s="283"/>
      <c r="G55" s="105"/>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row>
    <row r="56" spans="1:37" x14ac:dyDescent="0.3">
      <c r="A56" s="83"/>
      <c r="B56" s="105"/>
      <c r="C56" s="281"/>
      <c r="D56" s="281"/>
      <c r="E56" s="281"/>
      <c r="F56" s="105"/>
      <c r="G56" s="105"/>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row>
    <row r="57" spans="1:37" x14ac:dyDescent="0.3">
      <c r="A57" s="83"/>
      <c r="B57" s="105"/>
      <c r="C57" s="283"/>
      <c r="D57" s="283"/>
      <c r="E57" s="283"/>
      <c r="F57" s="105"/>
      <c r="G57" s="105"/>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row>
    <row r="58" spans="1:37" x14ac:dyDescent="0.3">
      <c r="A58" s="83"/>
      <c r="B58" s="105"/>
      <c r="C58" s="283"/>
      <c r="D58" s="283"/>
      <c r="E58" s="283"/>
      <c r="F58" s="105"/>
      <c r="G58" s="105"/>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row>
    <row r="59" spans="1:37" x14ac:dyDescent="0.3">
      <c r="A59" s="83"/>
      <c r="B59" s="105"/>
      <c r="C59" s="283"/>
      <c r="D59" s="283"/>
      <c r="E59" s="283"/>
      <c r="F59" s="105"/>
      <c r="G59" s="105"/>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row>
    <row r="60" spans="1:37" x14ac:dyDescent="0.3">
      <c r="A60" s="83"/>
      <c r="B60" s="105"/>
      <c r="C60" s="281"/>
      <c r="D60" s="281"/>
      <c r="E60" s="281"/>
      <c r="F60" s="105"/>
      <c r="G60" s="105"/>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row>
    <row r="61" spans="1:37" x14ac:dyDescent="0.3">
      <c r="A61" s="83"/>
      <c r="B61" s="105"/>
      <c r="C61" s="283"/>
      <c r="D61" s="283"/>
      <c r="E61" s="283"/>
      <c r="F61" s="105"/>
      <c r="G61" s="105"/>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row>
    <row r="62" spans="1:37" x14ac:dyDescent="0.3">
      <c r="A62" s="83"/>
      <c r="B62" s="105"/>
      <c r="C62" s="105"/>
      <c r="D62" s="105"/>
      <c r="E62" s="105"/>
      <c r="F62" s="105"/>
      <c r="G62" s="105"/>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row>
    <row r="63" spans="1:37" x14ac:dyDescent="0.3">
      <c r="A63" s="83"/>
      <c r="B63" s="105"/>
      <c r="C63" s="105"/>
      <c r="D63" s="105"/>
      <c r="E63" s="105"/>
      <c r="F63" s="105"/>
      <c r="G63" s="105"/>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row>
    <row r="64" spans="1:37" x14ac:dyDescent="0.3">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row>
    <row r="65" spans="1:37" x14ac:dyDescent="0.3">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row>
    <row r="66" spans="1:37" x14ac:dyDescent="0.3">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row>
    <row r="67" spans="1:37" x14ac:dyDescent="0.3">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row>
    <row r="68" spans="1:37" x14ac:dyDescent="0.3">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row>
    <row r="69" spans="1:37" x14ac:dyDescent="0.3">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row>
    <row r="70" spans="1:37" x14ac:dyDescent="0.3">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row>
    <row r="71" spans="1:37" x14ac:dyDescent="0.3">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row>
    <row r="72" spans="1:37" x14ac:dyDescent="0.3">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row>
    <row r="73" spans="1:37" x14ac:dyDescent="0.3">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row>
    <row r="74" spans="1:37" x14ac:dyDescent="0.3">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row>
    <row r="75" spans="1:37" x14ac:dyDescent="0.3">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row>
    <row r="76" spans="1:37" x14ac:dyDescent="0.3">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row>
    <row r="77" spans="1:37" x14ac:dyDescent="0.3">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row>
    <row r="78" spans="1:37" x14ac:dyDescent="0.3">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row>
    <row r="79" spans="1:37" x14ac:dyDescent="0.3">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row>
    <row r="80" spans="1:37" x14ac:dyDescent="0.3">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row>
    <row r="81" spans="1:37" x14ac:dyDescent="0.3">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row>
    <row r="82" spans="1:37" x14ac:dyDescent="0.3">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row>
    <row r="83" spans="1:37"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row>
    <row r="84" spans="1:37"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row>
    <row r="85" spans="1:37"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row>
    <row r="86" spans="1:37" x14ac:dyDescent="0.3">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row>
    <row r="87" spans="1:37" x14ac:dyDescent="0.3">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row>
    <row r="88" spans="1:37" x14ac:dyDescent="0.3">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row>
    <row r="89" spans="1:37" x14ac:dyDescent="0.3">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row>
    <row r="90" spans="1:37" x14ac:dyDescent="0.3">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row>
    <row r="91" spans="1:37" x14ac:dyDescent="0.3">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row>
    <row r="92" spans="1:37" x14ac:dyDescent="0.3">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row>
    <row r="93" spans="1:37" x14ac:dyDescent="0.3">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row>
    <row r="94" spans="1:37" x14ac:dyDescent="0.3">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row>
    <row r="95" spans="1:37" x14ac:dyDescent="0.3">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row>
    <row r="96" spans="1:37" x14ac:dyDescent="0.3">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row>
    <row r="97" spans="1:37" x14ac:dyDescent="0.3">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row>
    <row r="98" spans="1:37" x14ac:dyDescent="0.3">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row>
  </sheetData>
  <mergeCells count="30">
    <mergeCell ref="G1:H1"/>
    <mergeCell ref="I1:J1"/>
    <mergeCell ref="B1:E1"/>
    <mergeCell ref="B3:E3"/>
    <mergeCell ref="B4:C4"/>
    <mergeCell ref="I5:J5"/>
    <mergeCell ref="B13:E13"/>
    <mergeCell ref="B14:C14"/>
    <mergeCell ref="G7:H7"/>
    <mergeCell ref="B7:C7"/>
    <mergeCell ref="B8:C8"/>
    <mergeCell ref="B9:C9"/>
    <mergeCell ref="B10:C10"/>
    <mergeCell ref="B11:C11"/>
    <mergeCell ref="B5:C5"/>
    <mergeCell ref="B6:C6"/>
    <mergeCell ref="G6:H6"/>
    <mergeCell ref="G11:H11"/>
    <mergeCell ref="G5:H5"/>
    <mergeCell ref="B22:C22"/>
    <mergeCell ref="B19:E19"/>
    <mergeCell ref="G10:H10"/>
    <mergeCell ref="G9:H9"/>
    <mergeCell ref="G8:H8"/>
    <mergeCell ref="G13:J13"/>
    <mergeCell ref="B20:C20"/>
    <mergeCell ref="B16:C16"/>
    <mergeCell ref="B17:C17"/>
    <mergeCell ref="B21:C21"/>
    <mergeCell ref="B15:C15"/>
  </mergeCells>
  <dataValidations count="3">
    <dataValidation type="list" allowBlank="1" showInputMessage="1" showErrorMessage="1" sqref="D17" xr:uid="{D25094CD-3A56-408D-BF27-4487B617C610}">
      <formula1>Construction</formula1>
    </dataValidation>
    <dataValidation type="list" allowBlank="1" showInputMessage="1" showErrorMessage="1" sqref="D16" xr:uid="{E0548C43-4A8D-4AD7-B0D2-26D5AFFBF665}">
      <formula1>Lifetime</formula1>
    </dataValidation>
    <dataValidation type="list" allowBlank="1" showInputMessage="1" showErrorMessage="1" sqref="I5:J5" xr:uid="{A3AFBBF5-4E07-474D-9E44-89CE4A2A97C8}">
      <formula1>Indicator</formula1>
    </dataValidation>
  </dataValidations>
  <pageMargins left="0.7" right="0.7" top="0.75" bottom="0.75" header="0.3" footer="0.3"/>
  <ignoredErrors>
    <ignoredError sqref="D6:D7" evalError="1"/>
  </ignoredErrors>
  <drawing r:id="rId1"/>
  <legacyDrawing r:id="rId2"/>
  <mc:AlternateContent xmlns:mc="http://schemas.openxmlformats.org/markup-compatibility/2006">
    <mc:Choice Requires="x14">
      <controls>
        <mc:AlternateContent xmlns:mc="http://schemas.openxmlformats.org/markup-compatibility/2006">
          <mc:Choice Requires="x14">
            <control shapeId="203777" r:id="rId3" name="Button 1">
              <controlPr defaultSize="0" print="0" autoFill="0" autoPict="0" macro="[0]!CFA">
                <anchor moveWithCells="1" sizeWithCells="1">
                  <from>
                    <xdr:col>8</xdr:col>
                    <xdr:colOff>45720</xdr:colOff>
                    <xdr:row>1</xdr:row>
                    <xdr:rowOff>60960</xdr:rowOff>
                  </from>
                  <to>
                    <xdr:col>9</xdr:col>
                    <xdr:colOff>838200</xdr:colOff>
                    <xdr:row>2</xdr:row>
                    <xdr:rowOff>182880</xdr:rowOff>
                  </to>
                </anchor>
              </controlPr>
            </control>
          </mc:Choice>
        </mc:AlternateContent>
        <mc:AlternateContent xmlns:mc="http://schemas.openxmlformats.org/markup-compatibility/2006">
          <mc:Choice Requires="x14">
            <control shapeId="203778" r:id="rId4" name="Button 2">
              <controlPr defaultSize="0" print="0" autoFill="0" autoPict="0" macro="[0]!Plant">
                <anchor moveWithCells="1" sizeWithCells="1">
                  <from>
                    <xdr:col>6</xdr:col>
                    <xdr:colOff>53340</xdr:colOff>
                    <xdr:row>1</xdr:row>
                    <xdr:rowOff>53340</xdr:rowOff>
                  </from>
                  <to>
                    <xdr:col>7</xdr:col>
                    <xdr:colOff>853440</xdr:colOff>
                    <xdr:row>2</xdr:row>
                    <xdr:rowOff>190500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030CF-F094-447E-A438-0267E4499F54}">
  <sheetPr codeName="Sheet2"/>
  <dimension ref="B2:N17"/>
  <sheetViews>
    <sheetView showGridLines="0" zoomScale="115" zoomScaleNormal="115" workbookViewId="0">
      <selection activeCell="K4" sqref="K4"/>
    </sheetView>
  </sheetViews>
  <sheetFormatPr defaultRowHeight="14.4" x14ac:dyDescent="0.3"/>
  <cols>
    <col min="1" max="1" width="2.88671875" customWidth="1"/>
    <col min="2" max="4" width="17.44140625" style="250" customWidth="1"/>
    <col min="5" max="5" width="2.88671875" customWidth="1"/>
    <col min="6" max="7" width="17.44140625" customWidth="1"/>
    <col min="8" max="8" width="2.88671875" customWidth="1"/>
    <col min="9" max="11" width="8.21875" customWidth="1"/>
    <col min="14" max="14" width="10.6640625" customWidth="1"/>
  </cols>
  <sheetData>
    <row r="2" spans="2:14" ht="18" x14ac:dyDescent="0.3">
      <c r="B2" s="876" t="str">
        <f>+'Plant Overview'!E6&amp;": Input to SSM"</f>
        <v>Plant A: Input to SSM</v>
      </c>
      <c r="C2" s="877"/>
      <c r="D2" s="877"/>
      <c r="E2" s="877"/>
      <c r="F2" s="877"/>
      <c r="G2" s="877"/>
      <c r="H2" s="877"/>
      <c r="I2" s="877"/>
      <c r="J2" s="877"/>
      <c r="K2" s="878"/>
    </row>
    <row r="4" spans="2:14" ht="17.399999999999999" customHeight="1" x14ac:dyDescent="0.3">
      <c r="B4" s="794" t="s">
        <v>462</v>
      </c>
      <c r="C4" s="795" t="s">
        <v>667</v>
      </c>
      <c r="D4" s="796" t="s">
        <v>235</v>
      </c>
      <c r="F4" s="995" t="str">
        <f>+'Plant Overview'!D5</f>
        <v>Cost Estimate Details</v>
      </c>
      <c r="G4" s="996"/>
      <c r="I4" s="997" t="s">
        <v>496</v>
      </c>
      <c r="J4" s="998"/>
      <c r="K4" s="797"/>
    </row>
    <row r="5" spans="2:14" ht="17.399999999999999" customHeight="1" x14ac:dyDescent="0.3">
      <c r="C5" s="798"/>
      <c r="F5" s="100" t="str">
        <f>+'Plant Overview'!D7</f>
        <v>Location</v>
      </c>
      <c r="G5" s="442" t="str">
        <f>+'Plant Overview'!E7</f>
        <v>Western Europe</v>
      </c>
      <c r="I5" s="799"/>
      <c r="J5" s="236"/>
      <c r="K5" s="236"/>
    </row>
    <row r="6" spans="2:14" ht="17.399999999999999" customHeight="1" x14ac:dyDescent="0.3">
      <c r="F6" s="100" t="str">
        <f>+'Plant Overview'!D8</f>
        <v>Year</v>
      </c>
      <c r="G6" s="100">
        <f>+'Plant Overview'!E8</f>
        <v>2020</v>
      </c>
      <c r="I6" s="999" t="s">
        <v>766</v>
      </c>
      <c r="J6" s="260" t="s">
        <v>578</v>
      </c>
      <c r="K6" s="261" t="s">
        <v>579</v>
      </c>
      <c r="N6" s="986"/>
    </row>
    <row r="7" spans="2:14" ht="17.399999999999999" customHeight="1" x14ac:dyDescent="0.3">
      <c r="F7" s="443" t="str">
        <f>+'Plant Overview'!D9</f>
        <v xml:space="preserve"> Currency</v>
      </c>
      <c r="G7" s="443" t="str">
        <f>+'Plant Overview'!E9</f>
        <v>€</v>
      </c>
      <c r="I7" s="1000"/>
      <c r="J7" s="86"/>
      <c r="K7" s="86"/>
      <c r="N7" s="986"/>
    </row>
    <row r="8" spans="2:14" ht="17.399999999999999" customHeight="1" x14ac:dyDescent="0.3">
      <c r="I8" s="800"/>
    </row>
    <row r="9" spans="2:14" ht="17.399999999999999" customHeight="1" x14ac:dyDescent="0.3">
      <c r="F9" s="835" t="s">
        <v>580</v>
      </c>
      <c r="G9" s="836"/>
      <c r="H9" s="836"/>
      <c r="I9" s="836"/>
      <c r="J9" s="836"/>
      <c r="K9" s="837"/>
    </row>
    <row r="10" spans="2:14" ht="17.399999999999999" customHeight="1" x14ac:dyDescent="0.3">
      <c r="F10" s="838"/>
      <c r="G10" s="987"/>
      <c r="H10" s="987"/>
      <c r="I10" s="987"/>
      <c r="J10" s="987"/>
      <c r="K10" s="988"/>
    </row>
    <row r="11" spans="2:14" ht="17.399999999999999" customHeight="1" x14ac:dyDescent="0.3">
      <c r="F11" s="989"/>
      <c r="G11" s="990"/>
      <c r="H11" s="990"/>
      <c r="I11" s="990"/>
      <c r="J11" s="990"/>
      <c r="K11" s="991"/>
    </row>
    <row r="12" spans="2:14" ht="17.399999999999999" customHeight="1" x14ac:dyDescent="0.3">
      <c r="F12" s="992"/>
      <c r="G12" s="993"/>
      <c r="H12" s="993"/>
      <c r="I12" s="993"/>
      <c r="J12" s="993"/>
      <c r="K12" s="994"/>
    </row>
    <row r="13" spans="2:14" ht="17.399999999999999" customHeight="1" x14ac:dyDescent="0.3"/>
    <row r="14" spans="2:14" ht="17.399999999999999" customHeight="1" x14ac:dyDescent="0.3"/>
    <row r="15" spans="2:14" ht="17.399999999999999" customHeight="1" x14ac:dyDescent="0.3"/>
    <row r="16" spans="2:14" ht="17.399999999999999" customHeight="1" x14ac:dyDescent="0.3"/>
    <row r="17" ht="17.399999999999999" customHeight="1" x14ac:dyDescent="0.3"/>
  </sheetData>
  <mergeCells count="7">
    <mergeCell ref="N6:N7"/>
    <mergeCell ref="F9:K9"/>
    <mergeCell ref="F10:K12"/>
    <mergeCell ref="B2:K2"/>
    <mergeCell ref="F4:G4"/>
    <mergeCell ref="I4:J4"/>
    <mergeCell ref="I6:I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1121" r:id="rId4" name="Button 1">
              <controlPr defaultSize="0" print="0" autoFill="0" autoPict="0" macro="[0]!SSMu">
                <anchor moveWithCells="1" sizeWithCells="1">
                  <from>
                    <xdr:col>9</xdr:col>
                    <xdr:colOff>22860</xdr:colOff>
                    <xdr:row>6</xdr:row>
                    <xdr:rowOff>7620</xdr:rowOff>
                  </from>
                  <to>
                    <xdr:col>9</xdr:col>
                    <xdr:colOff>556260</xdr:colOff>
                    <xdr:row>6</xdr:row>
                    <xdr:rowOff>205740</xdr:rowOff>
                  </to>
                </anchor>
              </controlPr>
            </control>
          </mc:Choice>
        </mc:AlternateContent>
        <mc:AlternateContent xmlns:mc="http://schemas.openxmlformats.org/markup-compatibility/2006">
          <mc:Choice Requires="x14">
            <control shapeId="261122" r:id="rId5" name="Button 2">
              <controlPr defaultSize="0" print="0" autoFill="0" autoPict="0" macro="[0]!SSMd">
                <anchor moveWithCells="1" sizeWithCells="1">
                  <from>
                    <xdr:col>10</xdr:col>
                    <xdr:colOff>22860</xdr:colOff>
                    <xdr:row>6</xdr:row>
                    <xdr:rowOff>15240</xdr:rowOff>
                  </from>
                  <to>
                    <xdr:col>10</xdr:col>
                    <xdr:colOff>556260</xdr:colOff>
                    <xdr:row>6</xdr:row>
                    <xdr:rowOff>205740</xdr:rowOff>
                  </to>
                </anchor>
              </controlPr>
            </control>
          </mc:Choice>
        </mc:AlternateContent>
        <mc:AlternateContent xmlns:mc="http://schemas.openxmlformats.org/markup-compatibility/2006">
          <mc:Choice Requires="x14">
            <control shapeId="261123" r:id="rId6" name="Button 3">
              <controlPr defaultSize="0" print="0" autoFill="0" autoPict="0" macro="[0]!Plant">
                <anchor moveWithCells="1" sizeWithCells="1">
                  <from>
                    <xdr:col>10</xdr:col>
                    <xdr:colOff>15240</xdr:colOff>
                    <xdr:row>3</xdr:row>
                    <xdr:rowOff>7620</xdr:rowOff>
                  </from>
                  <to>
                    <xdr:col>10</xdr:col>
                    <xdr:colOff>548640</xdr:colOff>
                    <xdr:row>3</xdr:row>
                    <xdr:rowOff>213360</xdr:rowOff>
                  </to>
                </anchor>
              </controlPr>
            </control>
          </mc:Choice>
        </mc:AlternateContent>
      </controls>
    </mc:Choice>
  </mc:AlternateContent>
  <tableParts count="1">
    <tablePart r:id="rId7"/>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9CEEE-8796-4405-8AF6-578CFB2151EB}">
  <sheetPr codeName="Hoja29">
    <tabColor theme="2"/>
  </sheetPr>
  <dimension ref="B1:AK44"/>
  <sheetViews>
    <sheetView showGridLines="0" zoomScale="40" zoomScaleNormal="40" workbookViewId="0">
      <selection activeCell="L34" sqref="L34"/>
    </sheetView>
  </sheetViews>
  <sheetFormatPr defaultColWidth="11.5546875" defaultRowHeight="14.4" x14ac:dyDescent="0.3"/>
  <cols>
    <col min="1" max="1" width="4.109375" customWidth="1"/>
    <col min="2" max="21" width="23.5546875" customWidth="1"/>
    <col min="23" max="23" width="15" customWidth="1"/>
    <col min="24" max="24" width="21" bestFit="1" customWidth="1"/>
  </cols>
  <sheetData>
    <row r="1" spans="2:37" ht="19.8" customHeight="1" x14ac:dyDescent="0.3"/>
    <row r="2" spans="2:37" ht="19.8" customHeight="1" x14ac:dyDescent="0.3">
      <c r="B2" s="207" t="s">
        <v>649</v>
      </c>
      <c r="C2" s="207"/>
      <c r="D2" s="207"/>
      <c r="E2" s="207"/>
      <c r="F2" s="207"/>
      <c r="G2" s="207"/>
      <c r="H2" s="207"/>
      <c r="I2" s="207"/>
      <c r="J2" s="207"/>
      <c r="K2" s="207"/>
      <c r="L2" s="209"/>
      <c r="M2" s="209"/>
      <c r="O2" s="1001" t="s">
        <v>500</v>
      </c>
      <c r="P2" s="1002"/>
      <c r="Q2" s="1002"/>
      <c r="R2" s="1003"/>
      <c r="T2" s="1001" t="s">
        <v>267</v>
      </c>
      <c r="U2" s="1003"/>
    </row>
    <row r="3" spans="2:37" ht="19.8" customHeight="1" x14ac:dyDescent="0.3">
      <c r="B3" s="1004" t="s">
        <v>698</v>
      </c>
      <c r="C3" s="1004"/>
      <c r="D3" s="1004"/>
      <c r="E3" s="1005"/>
      <c r="F3" s="1005"/>
      <c r="G3" s="1005"/>
      <c r="H3" s="1005"/>
      <c r="I3" s="1005"/>
      <c r="J3" s="1005"/>
      <c r="K3" s="207"/>
      <c r="L3" s="1006" t="s">
        <v>654</v>
      </c>
      <c r="M3" s="1007"/>
      <c r="N3" s="207"/>
      <c r="O3" s="470"/>
      <c r="P3" s="377"/>
      <c r="Q3" s="214" t="s">
        <v>470</v>
      </c>
      <c r="R3" s="215" t="s">
        <v>504</v>
      </c>
      <c r="T3" s="85"/>
      <c r="U3" s="393" t="s">
        <v>262</v>
      </c>
    </row>
    <row r="4" spans="2:37" ht="19.8" customHeight="1" x14ac:dyDescent="0.3">
      <c r="B4" s="423" t="s">
        <v>496</v>
      </c>
      <c r="C4" s="553" t="s">
        <v>697</v>
      </c>
      <c r="D4" s="609"/>
      <c r="E4" s="463"/>
      <c r="F4" s="427"/>
      <c r="G4" s="427"/>
      <c r="H4" s="427"/>
      <c r="I4" s="427"/>
      <c r="J4" s="428"/>
      <c r="K4" s="411"/>
      <c r="L4" s="425" t="s">
        <v>578</v>
      </c>
      <c r="M4" s="424"/>
      <c r="N4" s="411"/>
      <c r="O4" s="435"/>
      <c r="P4" s="389"/>
      <c r="Q4" s="188" t="s">
        <v>471</v>
      </c>
      <c r="R4" s="378" t="s">
        <v>505</v>
      </c>
      <c r="T4" s="208"/>
      <c r="U4" s="393" t="s">
        <v>263</v>
      </c>
    </row>
    <row r="5" spans="2:37" ht="19.8" customHeight="1" x14ac:dyDescent="0.3">
      <c r="B5" s="904"/>
      <c r="C5" s="546" t="s">
        <v>360</v>
      </c>
      <c r="D5" s="609"/>
      <c r="E5" s="464"/>
      <c r="F5" s="416"/>
      <c r="G5" s="416"/>
      <c r="H5" s="416"/>
      <c r="I5" s="416"/>
      <c r="J5" s="429"/>
      <c r="K5" s="411"/>
      <c r="L5" s="426" t="s">
        <v>579</v>
      </c>
      <c r="M5" s="424"/>
      <c r="N5" s="411"/>
      <c r="O5" s="435"/>
      <c r="P5" s="389"/>
      <c r="Q5" s="214" t="s">
        <v>465</v>
      </c>
      <c r="R5" s="215" t="s">
        <v>503</v>
      </c>
      <c r="T5" s="95"/>
      <c r="U5" s="472" t="s">
        <v>264</v>
      </c>
    </row>
    <row r="6" spans="2:37" ht="19.8" customHeight="1" x14ac:dyDescent="0.3">
      <c r="B6" s="1008"/>
      <c r="C6" s="553" t="s">
        <v>589</v>
      </c>
      <c r="D6" s="609"/>
      <c r="E6" s="464"/>
      <c r="F6" s="416"/>
      <c r="G6" s="416"/>
      <c r="H6" s="416"/>
      <c r="I6" s="416"/>
      <c r="J6" s="429"/>
      <c r="K6" s="411"/>
      <c r="L6" s="411"/>
      <c r="M6" s="411"/>
      <c r="N6" s="411"/>
      <c r="O6" s="435"/>
      <c r="P6" s="389"/>
      <c r="Q6" s="214" t="s">
        <v>466</v>
      </c>
      <c r="R6" s="215" t="s">
        <v>501</v>
      </c>
      <c r="T6" s="110"/>
      <c r="U6" s="477" t="s">
        <v>268</v>
      </c>
    </row>
    <row r="7" spans="2:37" ht="19.8" customHeight="1" x14ac:dyDescent="0.3">
      <c r="B7" s="905"/>
      <c r="C7" s="608" t="s">
        <v>312</v>
      </c>
      <c r="D7" s="609"/>
      <c r="E7" s="465"/>
      <c r="F7" s="430"/>
      <c r="G7" s="430"/>
      <c r="H7" s="430"/>
      <c r="I7" s="430"/>
      <c r="J7" s="431"/>
      <c r="K7" s="411"/>
      <c r="L7" s="411"/>
      <c r="M7" s="411"/>
      <c r="N7" s="411"/>
      <c r="O7" s="471"/>
      <c r="P7" s="472"/>
      <c r="Q7" s="214" t="s">
        <v>467</v>
      </c>
      <c r="R7" s="215" t="s">
        <v>502</v>
      </c>
    </row>
    <row r="8" spans="2:37" ht="19.8" customHeight="1" x14ac:dyDescent="0.3">
      <c r="B8" s="467">
        <v>1</v>
      </c>
      <c r="Q8" s="179"/>
      <c r="R8" s="179"/>
      <c r="S8" s="413"/>
      <c r="T8" s="412"/>
      <c r="AI8" s="92"/>
      <c r="AJ8" s="92"/>
      <c r="AK8" s="92"/>
    </row>
    <row r="9" spans="2:37" ht="19.8" customHeight="1" x14ac:dyDescent="0.3">
      <c r="B9" s="188" t="s">
        <v>653</v>
      </c>
      <c r="C9" s="1001"/>
      <c r="D9" s="1002"/>
      <c r="E9" s="1002"/>
      <c r="F9" s="1002"/>
      <c r="G9" s="1002"/>
      <c r="H9" s="1002"/>
      <c r="I9" s="1002"/>
      <c r="J9" s="1002"/>
      <c r="K9" s="1002"/>
      <c r="L9" s="1002"/>
      <c r="M9" s="1002"/>
      <c r="N9" s="1002"/>
      <c r="O9" s="1002"/>
      <c r="P9" s="1002"/>
      <c r="Q9" s="1002"/>
      <c r="R9" s="1002"/>
      <c r="S9" s="1002"/>
      <c r="T9" s="1002"/>
      <c r="U9" s="1003"/>
    </row>
    <row r="10" spans="2:37" ht="19.8" customHeight="1" x14ac:dyDescent="0.3">
      <c r="B10" s="879" t="s">
        <v>694</v>
      </c>
      <c r="C10" s="880"/>
      <c r="D10" s="880"/>
      <c r="E10" s="880"/>
      <c r="F10" s="880"/>
      <c r="G10" s="880"/>
      <c r="H10" s="880"/>
      <c r="I10" s="881"/>
      <c r="J10" s="879" t="s">
        <v>695</v>
      </c>
      <c r="K10" s="880"/>
      <c r="L10" s="880"/>
      <c r="M10" s="880"/>
      <c r="N10" s="880"/>
      <c r="O10" s="880"/>
      <c r="P10" s="880"/>
      <c r="Q10" s="880"/>
      <c r="R10" s="881"/>
      <c r="S10" s="879" t="s">
        <v>644</v>
      </c>
      <c r="T10" s="880"/>
      <c r="U10" s="881"/>
    </row>
    <row r="11" spans="2:37" ht="19.8" customHeight="1" x14ac:dyDescent="0.3">
      <c r="B11" s="553" t="s">
        <v>356</v>
      </c>
      <c r="C11" s="530" t="s">
        <v>646</v>
      </c>
      <c r="D11" s="553" t="s">
        <v>498</v>
      </c>
      <c r="E11" s="559" t="s">
        <v>464</v>
      </c>
      <c r="F11" s="559" t="s">
        <v>315</v>
      </c>
      <c r="G11" s="559" t="s">
        <v>509</v>
      </c>
      <c r="H11" s="553" t="s">
        <v>506</v>
      </c>
      <c r="I11" s="545" t="s">
        <v>235</v>
      </c>
      <c r="J11" s="544" t="s">
        <v>466</v>
      </c>
      <c r="K11" s="544" t="s">
        <v>467</v>
      </c>
      <c r="L11" s="551" t="s">
        <v>586</v>
      </c>
      <c r="M11" s="552" t="s">
        <v>469</v>
      </c>
      <c r="N11" s="548" t="s">
        <v>468</v>
      </c>
      <c r="O11" s="654" t="s">
        <v>650</v>
      </c>
      <c r="P11" s="654" t="s">
        <v>651</v>
      </c>
      <c r="Q11" s="552" t="s">
        <v>465</v>
      </c>
      <c r="R11" s="549" t="s">
        <v>639</v>
      </c>
      <c r="S11" s="654" t="s">
        <v>647</v>
      </c>
      <c r="T11" s="553" t="s">
        <v>360</v>
      </c>
      <c r="U11" s="606" t="s">
        <v>580</v>
      </c>
    </row>
    <row r="12" spans="2:37" ht="19.8" customHeight="1" x14ac:dyDescent="0.3">
      <c r="B12" s="470"/>
      <c r="C12" s="376"/>
      <c r="D12" s="376"/>
      <c r="E12" s="376"/>
      <c r="F12" s="376"/>
      <c r="G12" s="376"/>
      <c r="H12" s="376"/>
      <c r="I12" s="376"/>
      <c r="J12" s="470"/>
      <c r="K12" s="376"/>
      <c r="L12" s="376"/>
      <c r="M12" s="219"/>
      <c r="N12" s="219"/>
      <c r="O12" s="219"/>
      <c r="P12" s="219"/>
      <c r="Q12" s="376"/>
      <c r="R12" s="195" t="str" cm="1">
        <f t="array" aca="1" ref="R12" ca="1">+IF(N12&gt;0,N12*INDIRECT(ADDRESS(MATCH(F12,'Cost Conversion'!$B$3:$B$48,0)+2,4,1,1,"Cost conversion"))*INDIRECT(ADDRESS(MATCH(G12,'Cost Conversion'!$F$3:$F$22,0)+2,8,1,1,"Cost conversion"))/IF(E12="$",'Cost Conversion'!$L$2,1),"")</f>
        <v/>
      </c>
      <c r="S12" s="410"/>
      <c r="T12" s="329"/>
      <c r="U12" s="124"/>
    </row>
    <row r="13" spans="2:37" ht="19.8" customHeight="1" x14ac:dyDescent="0.3">
      <c r="B13" s="435"/>
      <c r="C13" s="476"/>
      <c r="D13" s="476"/>
      <c r="E13" s="476"/>
      <c r="F13" s="476"/>
      <c r="G13" s="476"/>
      <c r="H13" s="476"/>
      <c r="I13" s="476"/>
      <c r="J13" s="435"/>
      <c r="K13" s="476"/>
      <c r="L13" s="476"/>
      <c r="M13" s="390"/>
      <c r="N13" s="390"/>
      <c r="O13" s="476"/>
      <c r="P13" s="476"/>
      <c r="Q13" s="476"/>
      <c r="R13" s="195" t="str" cm="1">
        <f t="array" aca="1" ref="R13" ca="1">+IF(N13&gt;0,N13*INDIRECT(ADDRESS(MATCH(F13,'Cost Conversion'!$B$3:$B$48,0)+2,4,1,1,"Cost conversion"))*INDIRECT(ADDRESS(MATCH(G13,'Cost Conversion'!$F$3:$F$22,0)+2,8,1,1,"Cost conversion"))/IF(E13="$",'Cost Conversion'!$L$2,1),"")</f>
        <v/>
      </c>
      <c r="S13" s="435"/>
      <c r="T13" s="92"/>
      <c r="U13" s="84"/>
    </row>
    <row r="14" spans="2:37" ht="19.8" customHeight="1" x14ac:dyDescent="0.3">
      <c r="B14" s="435"/>
      <c r="C14" s="476"/>
      <c r="D14" s="476"/>
      <c r="E14" s="476"/>
      <c r="F14" s="476"/>
      <c r="G14" s="476"/>
      <c r="H14" s="476"/>
      <c r="I14" s="476"/>
      <c r="J14" s="435"/>
      <c r="K14" s="476"/>
      <c r="L14" s="476"/>
      <c r="M14" s="390"/>
      <c r="N14" s="390"/>
      <c r="O14" s="390"/>
      <c r="P14" s="390"/>
      <c r="Q14" s="476"/>
      <c r="R14" s="195" t="str" cm="1">
        <f t="array" aca="1" ref="R14" ca="1">+IF(N14&gt;0,N14*INDIRECT(ADDRESS(MATCH(F14,'Cost Conversion'!$B$3:$B$48,0)+2,4,1,1,"Cost conversion"))*INDIRECT(ADDRESS(MATCH(G14,'Cost Conversion'!$F$3:$F$22,0)+2,8,1,1,"Cost conversion"))/IF(E14="$",'Cost Conversion'!$L$2,1),"")</f>
        <v/>
      </c>
      <c r="S14" s="435"/>
      <c r="T14" s="92"/>
      <c r="U14" s="84"/>
    </row>
    <row r="15" spans="2:37" ht="19.8" customHeight="1" x14ac:dyDescent="0.3">
      <c r="B15" s="435"/>
      <c r="C15" s="476"/>
      <c r="D15" s="476"/>
      <c r="E15" s="476"/>
      <c r="F15" s="476"/>
      <c r="G15" s="476"/>
      <c r="H15" s="476"/>
      <c r="I15" s="414"/>
      <c r="J15" s="435"/>
      <c r="K15" s="476"/>
      <c r="L15" s="476"/>
      <c r="M15" s="390"/>
      <c r="N15" s="476"/>
      <c r="O15" s="476"/>
      <c r="P15" s="476"/>
      <c r="Q15" s="476"/>
      <c r="R15" s="195" t="str" cm="1">
        <f t="array" aca="1" ref="R15" ca="1">+IF(N15&gt;0,N15*INDIRECT(ADDRESS(MATCH(F15,'Cost Conversion'!$B$3:$B$48,0)+2,4,1,1,"Cost conversion"))*INDIRECT(ADDRESS(MATCH(G15,'Cost Conversion'!$F$3:$F$22,0)+2,8,1,1,"Cost conversion"))/IF(E15="$",'Cost Conversion'!$L$2,1),"")</f>
        <v/>
      </c>
      <c r="S15" s="435"/>
      <c r="T15" s="92"/>
      <c r="U15" s="84"/>
    </row>
    <row r="16" spans="2:37" ht="19.8" customHeight="1" x14ac:dyDescent="0.3">
      <c r="B16" s="435"/>
      <c r="C16" s="476"/>
      <c r="D16" s="476"/>
      <c r="E16" s="476"/>
      <c r="F16" s="476"/>
      <c r="G16" s="476"/>
      <c r="H16" s="476"/>
      <c r="I16" s="476"/>
      <c r="J16" s="435"/>
      <c r="K16" s="476"/>
      <c r="L16" s="476"/>
      <c r="M16" s="476"/>
      <c r="N16" s="476"/>
      <c r="O16" s="476"/>
      <c r="P16" s="476"/>
      <c r="Q16" s="476"/>
      <c r="R16" s="195" t="str" cm="1">
        <f t="array" aca="1" ref="R16" ca="1">+IF(N16&gt;0,N16*INDIRECT(ADDRESS(MATCH(F16,'Cost Conversion'!$B$3:$B$48,0)+2,4,1,1,"Cost conversion"))*INDIRECT(ADDRESS(MATCH(G16,'Cost Conversion'!$F$3:$F$22,0)+2,8,1,1,"Cost conversion"))/IF(E16="$",'Cost Conversion'!$L$2,1),"")</f>
        <v/>
      </c>
      <c r="S16" s="435"/>
      <c r="T16" s="92"/>
      <c r="U16" s="84"/>
    </row>
    <row r="17" spans="2:21" ht="19.8" customHeight="1" x14ac:dyDescent="0.3">
      <c r="B17" s="471"/>
      <c r="C17" s="388"/>
      <c r="D17" s="388"/>
      <c r="E17" s="388"/>
      <c r="F17" s="388"/>
      <c r="G17" s="388"/>
      <c r="H17" s="388"/>
      <c r="I17" s="388"/>
      <c r="J17" s="471"/>
      <c r="K17" s="388"/>
      <c r="L17" s="388"/>
      <c r="M17" s="388"/>
      <c r="N17" s="388"/>
      <c r="O17" s="388"/>
      <c r="P17" s="388"/>
      <c r="Q17" s="388"/>
      <c r="R17" s="195" t="str" cm="1">
        <f t="array" aca="1" ref="R17" ca="1">+IF(N17&gt;0,N17*INDIRECT(ADDRESS(MATCH(F17,'Cost Conversion'!$B$3:$B$48,0)+2,4,1,1,"Cost conversion"))*INDIRECT(ADDRESS(MATCH(G17,'Cost Conversion'!$F$3:$F$22,0)+2,8,1,1,"Cost conversion"))/IF(E17="$",'Cost Conversion'!$L$2,1),"")</f>
        <v/>
      </c>
      <c r="S17" s="471"/>
      <c r="T17" s="395"/>
      <c r="U17" s="397"/>
    </row>
    <row r="18" spans="2:21" ht="19.8" customHeight="1" x14ac:dyDescent="0.3">
      <c r="B18" s="470"/>
      <c r="C18" s="376"/>
      <c r="D18" s="376"/>
      <c r="E18" s="376"/>
      <c r="F18" s="376"/>
      <c r="G18" s="376"/>
      <c r="H18" s="376"/>
      <c r="I18" s="376"/>
      <c r="J18" s="376"/>
      <c r="K18" s="376"/>
      <c r="L18" s="376"/>
      <c r="M18" s="376"/>
      <c r="N18" s="376"/>
      <c r="O18" s="376"/>
      <c r="P18" s="376"/>
      <c r="Q18" s="376"/>
      <c r="R18" s="376"/>
      <c r="S18" s="376"/>
      <c r="T18" s="329"/>
      <c r="U18" s="124"/>
    </row>
    <row r="19" spans="2:21" ht="19.8" customHeight="1" x14ac:dyDescent="0.3">
      <c r="B19" s="435"/>
      <c r="C19" s="476"/>
      <c r="D19" s="476"/>
      <c r="E19" s="476"/>
      <c r="F19" s="476"/>
      <c r="G19" s="476"/>
      <c r="H19" s="476"/>
      <c r="I19" s="476"/>
      <c r="J19" s="476"/>
      <c r="K19" s="476"/>
      <c r="L19" s="476"/>
      <c r="M19" s="476"/>
      <c r="N19" s="476"/>
      <c r="O19" s="476"/>
      <c r="P19" s="476"/>
      <c r="Q19" s="476"/>
      <c r="R19" s="476"/>
      <c r="S19" s="476"/>
      <c r="T19" s="92"/>
      <c r="U19" s="84"/>
    </row>
    <row r="20" spans="2:21" ht="19.8" customHeight="1" x14ac:dyDescent="0.3">
      <c r="B20" s="435"/>
      <c r="C20" s="476"/>
      <c r="D20" s="476"/>
      <c r="E20" s="476"/>
      <c r="F20" s="476"/>
      <c r="G20" s="476"/>
      <c r="H20" s="476"/>
      <c r="I20" s="476"/>
      <c r="J20" s="476"/>
      <c r="K20" s="476"/>
      <c r="L20" s="476"/>
      <c r="M20" s="476"/>
      <c r="N20" s="476"/>
      <c r="O20" s="476"/>
      <c r="P20" s="476"/>
      <c r="Q20" s="476"/>
      <c r="R20" s="476"/>
      <c r="S20" s="476"/>
      <c r="T20" s="92"/>
      <c r="U20" s="84"/>
    </row>
    <row r="21" spans="2:21" ht="19.8" customHeight="1" x14ac:dyDescent="0.3">
      <c r="B21" s="435"/>
      <c r="C21" s="476"/>
      <c r="D21" s="476"/>
      <c r="E21" s="476"/>
      <c r="F21" s="476"/>
      <c r="G21" s="476"/>
      <c r="H21" s="476"/>
      <c r="I21" s="476"/>
      <c r="J21" s="971" t="str">
        <f>+B9&amp;" "&amp;D6</f>
        <v xml:space="preserve">BENCHMARK  </v>
      </c>
      <c r="K21" s="972"/>
      <c r="L21" s="972"/>
      <c r="M21" s="972"/>
      <c r="N21" s="972"/>
      <c r="O21" s="972"/>
      <c r="P21" s="972"/>
      <c r="Q21" s="972"/>
      <c r="R21" s="972"/>
      <c r="S21" s="972"/>
      <c r="T21" s="973"/>
      <c r="U21" s="84"/>
    </row>
    <row r="22" spans="2:21" ht="19.8" customHeight="1" x14ac:dyDescent="0.3">
      <c r="B22" s="435"/>
      <c r="C22" s="476"/>
      <c r="D22" s="476"/>
      <c r="E22" s="476"/>
      <c r="F22" s="476"/>
      <c r="G22" s="476"/>
      <c r="H22" s="476"/>
      <c r="I22" s="476"/>
      <c r="J22" s="417" t="s">
        <v>648</v>
      </c>
      <c r="K22" s="418">
        <v>1</v>
      </c>
      <c r="L22" s="418">
        <v>2</v>
      </c>
      <c r="M22" s="418">
        <v>3</v>
      </c>
      <c r="N22" s="418">
        <v>4</v>
      </c>
      <c r="O22" s="418">
        <v>5</v>
      </c>
      <c r="P22" s="418">
        <v>6</v>
      </c>
      <c r="Q22" s="418">
        <v>7</v>
      </c>
      <c r="R22" s="418">
        <v>8</v>
      </c>
      <c r="S22" s="418">
        <v>9</v>
      </c>
      <c r="T22" s="419">
        <v>10</v>
      </c>
      <c r="U22" s="84"/>
    </row>
    <row r="23" spans="2:21" ht="19.8" customHeight="1" x14ac:dyDescent="0.3">
      <c r="B23" s="435"/>
      <c r="C23" s="476"/>
      <c r="D23" s="476"/>
      <c r="E23" s="476"/>
      <c r="F23" s="476"/>
      <c r="G23" s="476"/>
      <c r="H23" s="476"/>
      <c r="I23" s="476"/>
      <c r="J23" s="86" t="str">
        <f>+TEXT(H12,0)&amp;" "&amp;"("&amp;TEXT(I12,0)&amp;")"</f>
        <v>0 (0)</v>
      </c>
      <c r="K23" s="448">
        <f>+P12</f>
        <v>0</v>
      </c>
      <c r="L23" s="420">
        <f>+K23+(O12-P12)/(T22-1)</f>
        <v>0</v>
      </c>
      <c r="M23" s="420">
        <f>+L23+(O12-P12)/(T22-1)</f>
        <v>0</v>
      </c>
      <c r="N23" s="420">
        <f>+M23+(O12-P12)/(T22-1)</f>
        <v>0</v>
      </c>
      <c r="O23" s="420">
        <f>+N23+(O12-P12)/(T22-1)</f>
        <v>0</v>
      </c>
      <c r="P23" s="420">
        <f>+O23+(O12-P12)/(T22-1)</f>
        <v>0</v>
      </c>
      <c r="Q23" s="420">
        <f>+P23+(O12-P12)/(T22-1)</f>
        <v>0</v>
      </c>
      <c r="R23" s="420">
        <f>+Q23+(O12-P12)/(T22-1)</f>
        <v>0</v>
      </c>
      <c r="S23" s="420">
        <f>+R23+(O12-P12)/(T22-1)</f>
        <v>0</v>
      </c>
      <c r="T23" s="421">
        <f>+S23+(O12-P12)/(T22-1)</f>
        <v>0</v>
      </c>
      <c r="U23" s="84"/>
    </row>
    <row r="24" spans="2:21" ht="19.8" customHeight="1" x14ac:dyDescent="0.3">
      <c r="B24" s="435"/>
      <c r="C24" s="476"/>
      <c r="D24" s="476"/>
      <c r="E24" s="476"/>
      <c r="F24" s="476"/>
      <c r="G24" s="476"/>
      <c r="H24" s="476"/>
      <c r="I24" s="476"/>
      <c r="J24" s="256" t="str">
        <f>+IF(B12="","",TEXT(B12,0)&amp;" - Scaling")</f>
        <v/>
      </c>
      <c r="K24" s="488" t="e">
        <f ca="1">+(Q12/L12)^J12*R12*((K23/Q12)/(M12/L12))^K12</f>
        <v>#DIV/0!</v>
      </c>
      <c r="L24" s="489" t="e">
        <f ca="1">+(Q12/L12)^J12*R12*((L23/Q12)/(M12/L12))^K12</f>
        <v>#DIV/0!</v>
      </c>
      <c r="M24" s="489" t="e">
        <f ca="1">+(Q12/L12)^J12*R12*((M23/Q12)/(M12/L12))^K12</f>
        <v>#DIV/0!</v>
      </c>
      <c r="N24" s="489" t="e">
        <f ca="1">+(Q12/L12)^J12*R12*((N23/Q12)/(M12/L12))^K12</f>
        <v>#DIV/0!</v>
      </c>
      <c r="O24" s="489" t="e">
        <f ca="1">+(Q12/L12)^J12*R12*((O23/Q12)/(M12/L12))^K12</f>
        <v>#DIV/0!</v>
      </c>
      <c r="P24" s="489" t="e">
        <f ca="1">+(Q12/L12)^J12*R12*((P23/Q12)/(M12/L12))^K12</f>
        <v>#DIV/0!</v>
      </c>
      <c r="Q24" s="489" t="e">
        <f ca="1">+(Q12/L12)^J12*R12*((Q23/Q12)/(M12/L12))^K12</f>
        <v>#DIV/0!</v>
      </c>
      <c r="R24" s="489" t="e">
        <f ca="1">+(Q12/L12)^J12*R12*((R23/Q12)/(M12/L12))^K12</f>
        <v>#DIV/0!</v>
      </c>
      <c r="S24" s="489" t="e">
        <f ca="1">+(Q12/L12)^J12*R12*((S23/Q12)/(M12/L12))^K12</f>
        <v>#DIV/0!</v>
      </c>
      <c r="T24" s="490" t="e">
        <f ca="1">+(Q12/L12)^J12*R12*((T23/Q12)/(M12/L12))^K12</f>
        <v>#DIV/0!</v>
      </c>
      <c r="U24" s="84"/>
    </row>
    <row r="25" spans="2:21" ht="19.8" customHeight="1" x14ac:dyDescent="0.3">
      <c r="B25" s="435"/>
      <c r="C25" s="476"/>
      <c r="D25" s="476"/>
      <c r="E25" s="476"/>
      <c r="F25" s="476"/>
      <c r="G25" s="476"/>
      <c r="H25" s="476"/>
      <c r="I25" s="476"/>
      <c r="J25" s="256" t="str">
        <f t="shared" ref="J25:J29" si="0">+IF(B13="","",TEXT(B13,0)&amp;" - Scaling")</f>
        <v/>
      </c>
      <c r="K25" s="491" t="e">
        <f ca="1">+(Q13/L13)^J13*R13*((K23/Q13)/(M13/L13))^K13</f>
        <v>#DIV/0!</v>
      </c>
      <c r="L25" s="173" t="e">
        <f ca="1">+(Q13/L13)^J13*R13*((L23/Q13)/(M13/L13))^K13</f>
        <v>#DIV/0!</v>
      </c>
      <c r="M25" s="173" t="e">
        <f ca="1">+(Q13/L13)^J13*R13*((M23/Q13)/(M13/L13))^K13</f>
        <v>#DIV/0!</v>
      </c>
      <c r="N25" s="173" t="e">
        <f ca="1">+(Q13/L13)^J13*R13*((N23/Q13)/(M13/L13))^K13</f>
        <v>#DIV/0!</v>
      </c>
      <c r="O25" s="173" t="e">
        <f ca="1">+(Q13/L13)^J13*R13*((O23/Q13)/(M13/L13))^K13</f>
        <v>#DIV/0!</v>
      </c>
      <c r="P25" s="173" t="e">
        <f ca="1">+(Q13/L13)^J13*R13*((P23/Q13)/(M13/L13))^K13</f>
        <v>#DIV/0!</v>
      </c>
      <c r="Q25" s="173" t="e">
        <f ca="1">+(Q13/L13)^J13*R13*((Q23/Q13)/(M13/L13))^K13</f>
        <v>#DIV/0!</v>
      </c>
      <c r="R25" s="173" t="e">
        <f ca="1">+(Q13/L13)^J13*R13*((R23/Q13)/(M13/L13))^K13</f>
        <v>#DIV/0!</v>
      </c>
      <c r="S25" s="173" t="e">
        <f ca="1">+(Q13/L13)^J13*R13*((S23/Q13)/(M13/L13))^K13</f>
        <v>#DIV/0!</v>
      </c>
      <c r="T25" s="492" t="e">
        <f ca="1">+(Q13/L13)^J13*R13*((T23/Q13)/(M13/L13))^K13</f>
        <v>#DIV/0!</v>
      </c>
      <c r="U25" s="84"/>
    </row>
    <row r="26" spans="2:21" ht="19.8" customHeight="1" x14ac:dyDescent="0.3">
      <c r="B26" s="435"/>
      <c r="C26" s="476"/>
      <c r="D26" s="476"/>
      <c r="E26" s="476"/>
      <c r="F26" s="476"/>
      <c r="G26" s="476"/>
      <c r="H26" s="476"/>
      <c r="I26" s="476"/>
      <c r="J26" s="256" t="str">
        <f t="shared" si="0"/>
        <v/>
      </c>
      <c r="K26" s="491" t="e">
        <f ca="1">+(Q14/L14)^J14*R14*((K23/Q14)/(M14/L14))^K14</f>
        <v>#DIV/0!</v>
      </c>
      <c r="L26" s="173" t="e">
        <f ca="1">+(Q14/L14)^J14*R14*((L23/Q14)/(M14/L14))^K14</f>
        <v>#DIV/0!</v>
      </c>
      <c r="M26" s="173" t="e">
        <f ca="1">+(Q14/L14)^J14*R14*((M23/Q14)/(M14/L14))^K14</f>
        <v>#DIV/0!</v>
      </c>
      <c r="N26" s="173" t="e">
        <f ca="1">+(Q14/L14)^J14*R14*((N23/Q14)/(M14/L14))^K14</f>
        <v>#DIV/0!</v>
      </c>
      <c r="O26" s="173" t="e">
        <f ca="1">+(Q14/L14)^J14*R14*((O23/Q14)/(M14/L14))^K14</f>
        <v>#DIV/0!</v>
      </c>
      <c r="P26" s="173" t="e">
        <f ca="1">+(Q14/L14)^J14*R14*((P23/Q14)/(M14/L14))^K14</f>
        <v>#DIV/0!</v>
      </c>
      <c r="Q26" s="173" t="e">
        <f ca="1">+(Q14/L14)^J14*R14*((Q23/Q14)/(M14/L14))^K14</f>
        <v>#DIV/0!</v>
      </c>
      <c r="R26" s="173" t="e">
        <f ca="1">+(Q14/L14)^J14*R14*((R23/Q14)/(M14/L14))^K14</f>
        <v>#DIV/0!</v>
      </c>
      <c r="S26" s="173" t="e">
        <f ca="1">+(Q14/L14)^J14*R14*((S23/Q14)/(M14/L14))^K14</f>
        <v>#DIV/0!</v>
      </c>
      <c r="T26" s="492" t="e">
        <f ca="1">+(Q14/L14)^J14*R14*((T23/Q14)/(M14/L14))^K14</f>
        <v>#DIV/0!</v>
      </c>
      <c r="U26" s="84"/>
    </row>
    <row r="27" spans="2:21" ht="19.8" customHeight="1" x14ac:dyDescent="0.3">
      <c r="B27" s="435"/>
      <c r="C27" s="476"/>
      <c r="D27" s="476"/>
      <c r="E27" s="476"/>
      <c r="F27" s="476"/>
      <c r="G27" s="476"/>
      <c r="H27" s="476"/>
      <c r="I27" s="476"/>
      <c r="J27" s="256" t="str">
        <f t="shared" si="0"/>
        <v/>
      </c>
      <c r="K27" s="491" t="e">
        <f ca="1">+(Q15/L15)^J15*R15*((K23/Q15)/(M15/L15))^K15</f>
        <v>#DIV/0!</v>
      </c>
      <c r="L27" s="173" t="e">
        <f ca="1">+(Q15/L15)^J15*R15*((L23/Q15)/(M15/L15))^K15</f>
        <v>#DIV/0!</v>
      </c>
      <c r="M27" s="173" t="e">
        <f ca="1">+(Q15/L15)^J15*R15*((M23/Q15)/(M15/L15))^K15</f>
        <v>#DIV/0!</v>
      </c>
      <c r="N27" s="173" t="e">
        <f ca="1">+(Q15/L15)^J15*R15*((N23/Q15)/(M15/L15))^K15</f>
        <v>#DIV/0!</v>
      </c>
      <c r="O27" s="173" t="e">
        <f ca="1">+(Q15/L15)^J15*R15*((O23/Q15)/(M15/L15))^K15</f>
        <v>#DIV/0!</v>
      </c>
      <c r="P27" s="173" t="e">
        <f ca="1">+(Q15/L15)^J15*R15*((P23/Q15)/(M15/L15))^K15</f>
        <v>#DIV/0!</v>
      </c>
      <c r="Q27" s="173" t="e">
        <f ca="1">+(Q15/L15)^J15*R15*((Q23/Q15)/(M15/L15))^K15</f>
        <v>#DIV/0!</v>
      </c>
      <c r="R27" s="173" t="e">
        <f ca="1">+(Q15/L15)^J15*R15*((R23/Q15)/(M15/L15))^K15</f>
        <v>#DIV/0!</v>
      </c>
      <c r="S27" s="173" t="e">
        <f ca="1">+(Q15/L15)^J15*R15*((S23/Q15)/(M15/L15))^K15</f>
        <v>#DIV/0!</v>
      </c>
      <c r="T27" s="492" t="e">
        <f ca="1">+(Q15/L15)^J15*R15*((T23/Q15)/(M15/L15))^K15</f>
        <v>#DIV/0!</v>
      </c>
      <c r="U27" s="84"/>
    </row>
    <row r="28" spans="2:21" ht="19.8" customHeight="1" x14ac:dyDescent="0.3">
      <c r="B28" s="435"/>
      <c r="C28" s="476"/>
      <c r="D28" s="476"/>
      <c r="E28" s="476"/>
      <c r="F28" s="476"/>
      <c r="G28" s="476"/>
      <c r="H28" s="476"/>
      <c r="I28" s="476"/>
      <c r="J28" s="256" t="str">
        <f t="shared" si="0"/>
        <v/>
      </c>
      <c r="K28" s="382" t="e">
        <f ca="1">+(Q16/L16)^J16*R16*((K24/Q16)/(M16/L16))^K16</f>
        <v>#DIV/0!</v>
      </c>
      <c r="L28" s="173" t="e">
        <f ca="1">+(Q16/L16)^J16*R16*((L23/Q16)/(M16/L16))^K16</f>
        <v>#DIV/0!</v>
      </c>
      <c r="M28" s="173" t="e">
        <f ca="1">+(Q16/L16)^J16*R16*((M23/Q16)/(M16/L16))^K16</f>
        <v>#DIV/0!</v>
      </c>
      <c r="N28" s="173" t="e">
        <f ca="1">+(Q16/L16)^J16*R16*((N23/Q16)/(M16/L16))^K16</f>
        <v>#DIV/0!</v>
      </c>
      <c r="O28" s="173" t="e">
        <f ca="1">+(Q16/L16)^J16*R16*((O23/Q16)/(M16/L16))^K16</f>
        <v>#DIV/0!</v>
      </c>
      <c r="P28" s="173" t="e">
        <f ca="1">+(Q16/L16)^J16*R16*((P23/Q16)/(M16/L16))^K16</f>
        <v>#DIV/0!</v>
      </c>
      <c r="Q28" s="173" t="e">
        <f ca="1">+(Q16/L16)^J16*R16*((Q23/Q16)/(M16/L16))^K16</f>
        <v>#DIV/0!</v>
      </c>
      <c r="R28" s="173" t="e">
        <f ca="1">+(Q16/L16)^J16*R16*((R23/Q16)/(M16/L16))^K16</f>
        <v>#DIV/0!</v>
      </c>
      <c r="S28" s="173" t="e">
        <f ca="1">+(Q16/L16)^J16*R16*((S23/Q16)/(M16/L16))^K16</f>
        <v>#DIV/0!</v>
      </c>
      <c r="T28" s="492" t="e">
        <f ca="1">+(Q16/L16)^J16*R16*((T23/Q16)/(M16/L16))^K16</f>
        <v>#DIV/0!</v>
      </c>
      <c r="U28" s="84"/>
    </row>
    <row r="29" spans="2:21" ht="19.8" customHeight="1" x14ac:dyDescent="0.3">
      <c r="B29" s="435"/>
      <c r="C29" s="476"/>
      <c r="D29" s="476"/>
      <c r="E29" s="476"/>
      <c r="F29" s="476"/>
      <c r="G29" s="476"/>
      <c r="H29" s="476"/>
      <c r="I29" s="476"/>
      <c r="J29" s="256" t="str">
        <f t="shared" si="0"/>
        <v/>
      </c>
      <c r="K29" s="493" t="e">
        <f ca="1">+(Q17/L17)^J17*R17*((K23/Q17)/(M17/L17))^K17</f>
        <v>#DIV/0!</v>
      </c>
      <c r="L29" s="494" t="e">
        <f ca="1">+(Q17/L17)^J17*R17*((L23/Q17)/(M17/L17))^K17</f>
        <v>#DIV/0!</v>
      </c>
      <c r="M29" s="494" t="e">
        <f ca="1">+(Q17/L17)^J17*R17*((M23/Q17)/(M17/L17))^K17</f>
        <v>#DIV/0!</v>
      </c>
      <c r="N29" s="494" t="e">
        <f ca="1">+(Q17/L17)^J17*R17*((N23/Q17)/(M17/L17))^K17</f>
        <v>#DIV/0!</v>
      </c>
      <c r="O29" s="494" t="e">
        <f ca="1">+(Q17/L17)^J17*R17*((O23/Q17)/(M17/L17))^K17</f>
        <v>#DIV/0!</v>
      </c>
      <c r="P29" s="494" t="e" cm="1">
        <f t="array" aca="1" ref="P29" ca="1">+(Q17/L17)^J17*R17*((P23/Q17)/(M17/P26L17))^K17</f>
        <v>#DIV/0!</v>
      </c>
      <c r="Q29" s="494" t="e">
        <f ca="1">+(Q17/L17)^J17*R17*((Q23/Q17)/(M17/L17))^K17</f>
        <v>#DIV/0!</v>
      </c>
      <c r="R29" s="494" t="e">
        <f ca="1">+(Q17/L17)^J17*R17*((R23/Q17)/(M17/L17))^K17</f>
        <v>#DIV/0!</v>
      </c>
      <c r="S29" s="494" t="e">
        <f ca="1">+(Q17/L17)^J17*R17*((S23/Q17)/(M17/L17))^K17</f>
        <v>#DIV/0!</v>
      </c>
      <c r="T29" s="495" t="e">
        <f ca="1">+(Q17/L17)^J17*R17*((T23/Q17)/(M17/L17))^K17</f>
        <v>#DIV/0!</v>
      </c>
      <c r="U29" s="84"/>
    </row>
    <row r="30" spans="2:21" ht="19.8" customHeight="1" x14ac:dyDescent="0.3">
      <c r="B30" s="435"/>
      <c r="C30" s="476"/>
      <c r="D30" s="476"/>
      <c r="E30" s="476"/>
      <c r="F30" s="476"/>
      <c r="G30" s="476"/>
      <c r="H30" s="476"/>
      <c r="I30" s="476"/>
      <c r="J30" s="497" t="s">
        <v>576</v>
      </c>
      <c r="K30" s="497" t="s">
        <v>652</v>
      </c>
      <c r="L30" s="255"/>
      <c r="M30" s="255"/>
      <c r="N30" s="255"/>
      <c r="O30" s="255"/>
      <c r="P30" s="255"/>
      <c r="Q30" s="255"/>
      <c r="R30" s="255"/>
      <c r="S30" s="255"/>
      <c r="T30" s="496"/>
      <c r="U30" s="84"/>
    </row>
    <row r="31" spans="2:21" ht="19.8" customHeight="1" x14ac:dyDescent="0.3">
      <c r="B31" s="435"/>
      <c r="C31" s="476"/>
      <c r="D31" s="476"/>
      <c r="E31" s="476"/>
      <c r="F31" s="476"/>
      <c r="G31" s="476"/>
      <c r="H31" s="476"/>
      <c r="I31" s="476"/>
      <c r="J31" s="789" t="str">
        <f>+IF(B12="","",B12)</f>
        <v/>
      </c>
      <c r="K31" s="790" t="e">
        <f ca="1">+R12/(M12/Q12)</f>
        <v>#VALUE!</v>
      </c>
      <c r="L31" s="255"/>
      <c r="M31" s="255"/>
      <c r="N31" s="255"/>
      <c r="O31" s="255"/>
      <c r="P31" s="255"/>
      <c r="Q31" s="255"/>
      <c r="R31" s="255"/>
      <c r="S31" s="255"/>
      <c r="T31" s="496"/>
      <c r="U31" s="84"/>
    </row>
    <row r="32" spans="2:21" ht="19.8" customHeight="1" x14ac:dyDescent="0.3">
      <c r="B32" s="435"/>
      <c r="C32" s="476"/>
      <c r="D32" s="476"/>
      <c r="E32" s="476"/>
      <c r="F32" s="476"/>
      <c r="G32" s="476"/>
      <c r="H32" s="476"/>
      <c r="I32" s="476"/>
      <c r="J32" s="382" t="str">
        <f t="shared" ref="J32:J34" si="1">+IF(B13="","",B13)</f>
        <v/>
      </c>
      <c r="K32" s="791" t="e">
        <f ca="1">+R13/(M13/Q13)</f>
        <v>#VALUE!</v>
      </c>
      <c r="L32" s="255"/>
      <c r="M32" s="255"/>
      <c r="N32" s="255"/>
      <c r="O32" s="255"/>
      <c r="P32" s="255"/>
      <c r="Q32" s="255"/>
      <c r="R32" s="255"/>
      <c r="S32" s="255"/>
      <c r="T32" s="496"/>
      <c r="U32" s="84"/>
    </row>
    <row r="33" spans="2:21" ht="19.8" customHeight="1" x14ac:dyDescent="0.3">
      <c r="B33" s="91"/>
      <c r="C33" s="92"/>
      <c r="D33" s="92"/>
      <c r="E33" s="92"/>
      <c r="F33" s="476"/>
      <c r="G33" s="476"/>
      <c r="H33" s="92"/>
      <c r="I33" s="92"/>
      <c r="J33" s="382" t="str">
        <f t="shared" si="1"/>
        <v/>
      </c>
      <c r="K33" s="791" t="e">
        <f ca="1">+R14/(M14/Q14)</f>
        <v>#VALUE!</v>
      </c>
      <c r="L33" s="496"/>
      <c r="M33" s="496"/>
      <c r="N33" s="496"/>
      <c r="O33" s="496"/>
      <c r="P33" s="496"/>
      <c r="Q33" s="496"/>
      <c r="R33" s="496"/>
      <c r="S33" s="496"/>
      <c r="T33" s="496"/>
      <c r="U33" s="84"/>
    </row>
    <row r="34" spans="2:21" ht="19.8" customHeight="1" x14ac:dyDescent="0.3">
      <c r="B34" s="91"/>
      <c r="C34" s="92"/>
      <c r="D34" s="92"/>
      <c r="E34" s="92"/>
      <c r="F34" s="476"/>
      <c r="G34" s="476"/>
      <c r="H34" s="92"/>
      <c r="I34" s="92"/>
      <c r="J34" s="382" t="str">
        <f t="shared" si="1"/>
        <v/>
      </c>
      <c r="K34" s="791" t="e">
        <f ca="1">+R15/(M15/Q15)</f>
        <v>#VALUE!</v>
      </c>
      <c r="L34" s="496"/>
      <c r="M34" s="496"/>
      <c r="N34" s="496"/>
      <c r="O34" s="496"/>
      <c r="P34" s="496"/>
      <c r="Q34" s="496"/>
      <c r="R34" s="496"/>
      <c r="S34" s="496"/>
      <c r="T34" s="496"/>
      <c r="U34" s="84"/>
    </row>
    <row r="35" spans="2:21" ht="19.8" customHeight="1" x14ac:dyDescent="0.3">
      <c r="B35" s="91"/>
      <c r="C35" s="92"/>
      <c r="D35" s="92"/>
      <c r="E35" s="92"/>
      <c r="F35" s="476"/>
      <c r="G35" s="476"/>
      <c r="H35" s="92"/>
      <c r="I35" s="92"/>
      <c r="J35" s="382" t="str">
        <f t="shared" ref="J35:J36" si="2">+IF(B16="","",B16)</f>
        <v/>
      </c>
      <c r="K35" s="791" t="e">
        <f t="shared" ref="K35:K36" ca="1" si="3">+R16/(M16/Q16)</f>
        <v>#VALUE!</v>
      </c>
      <c r="L35" s="496"/>
      <c r="M35" s="496"/>
      <c r="N35" s="496"/>
      <c r="O35" s="496"/>
      <c r="P35" s="496"/>
      <c r="Q35" s="496"/>
      <c r="R35" s="496"/>
      <c r="S35" s="496"/>
      <c r="T35" s="496"/>
      <c r="U35" s="84"/>
    </row>
    <row r="36" spans="2:21" ht="19.8" customHeight="1" x14ac:dyDescent="0.3">
      <c r="B36" s="91"/>
      <c r="C36" s="92"/>
      <c r="D36" s="92"/>
      <c r="E36" s="92"/>
      <c r="F36" s="476"/>
      <c r="G36" s="476"/>
      <c r="H36" s="92"/>
      <c r="I36" s="92"/>
      <c r="J36" s="493" t="str">
        <f t="shared" si="2"/>
        <v/>
      </c>
      <c r="K36" s="792" t="e">
        <f t="shared" ca="1" si="3"/>
        <v>#VALUE!</v>
      </c>
      <c r="L36" s="496"/>
      <c r="M36" s="496"/>
      <c r="N36" s="496"/>
      <c r="O36" s="496"/>
      <c r="P36" s="496"/>
      <c r="Q36" s="496"/>
      <c r="R36" s="496"/>
      <c r="S36" s="496"/>
      <c r="T36" s="496"/>
      <c r="U36" s="84"/>
    </row>
    <row r="37" spans="2:21" ht="19.8" customHeight="1" x14ac:dyDescent="0.3">
      <c r="B37" s="91"/>
      <c r="C37" s="92"/>
      <c r="D37" s="92"/>
      <c r="E37" s="92"/>
      <c r="F37" s="476"/>
      <c r="G37" s="476"/>
      <c r="H37" s="92"/>
      <c r="I37" s="92"/>
      <c r="J37" s="496"/>
      <c r="K37" s="496"/>
      <c r="L37" s="496"/>
      <c r="M37" s="496"/>
      <c r="N37" s="496"/>
      <c r="O37" s="496"/>
      <c r="P37" s="496"/>
      <c r="Q37" s="496"/>
      <c r="R37" s="496"/>
      <c r="S37" s="496"/>
      <c r="T37" s="496"/>
      <c r="U37" s="84"/>
    </row>
    <row r="38" spans="2:21" ht="19.8" customHeight="1" x14ac:dyDescent="0.3">
      <c r="B38" s="91"/>
      <c r="C38" s="92"/>
      <c r="D38" s="92"/>
      <c r="E38" s="92"/>
      <c r="F38" s="476"/>
      <c r="G38" s="476"/>
      <c r="H38" s="92"/>
      <c r="I38" s="92"/>
      <c r="J38" s="92"/>
      <c r="K38" s="92"/>
      <c r="L38" s="92"/>
      <c r="M38" s="92"/>
      <c r="N38" s="92"/>
      <c r="O38" s="92"/>
      <c r="P38" s="92"/>
      <c r="Q38" s="92"/>
      <c r="R38" s="92"/>
      <c r="S38" s="92"/>
      <c r="T38" s="92"/>
      <c r="U38" s="84"/>
    </row>
    <row r="39" spans="2:21" ht="19.8" customHeight="1" x14ac:dyDescent="0.3">
      <c r="B39" s="91"/>
      <c r="C39" s="92"/>
      <c r="D39" s="92"/>
      <c r="E39" s="92"/>
      <c r="F39" s="476"/>
      <c r="G39" s="476"/>
      <c r="H39" s="92"/>
      <c r="I39" s="92"/>
      <c r="J39" s="92"/>
      <c r="K39" s="92"/>
      <c r="L39" s="92"/>
      <c r="M39" s="92"/>
      <c r="N39" s="92"/>
      <c r="O39" s="92"/>
      <c r="P39" s="92"/>
      <c r="Q39" s="92"/>
      <c r="R39" s="92"/>
      <c r="S39" s="92"/>
      <c r="T39" s="92"/>
      <c r="U39" s="84"/>
    </row>
    <row r="40" spans="2:21" ht="19.8" customHeight="1" x14ac:dyDescent="0.3">
      <c r="B40" s="91"/>
      <c r="C40" s="92"/>
      <c r="D40" s="92"/>
      <c r="E40" s="92"/>
      <c r="F40" s="476"/>
      <c r="G40" s="476"/>
      <c r="H40" s="92"/>
      <c r="I40" s="92"/>
      <c r="J40" s="92"/>
      <c r="K40" s="92"/>
      <c r="L40" s="92"/>
      <c r="M40" s="92"/>
      <c r="N40" s="92"/>
      <c r="O40" s="92"/>
      <c r="P40" s="92"/>
      <c r="Q40" s="92"/>
      <c r="R40" s="92"/>
      <c r="S40" s="92"/>
      <c r="T40" s="92"/>
      <c r="U40" s="84"/>
    </row>
    <row r="41" spans="2:21" ht="19.8" customHeight="1" x14ac:dyDescent="0.3">
      <c r="B41" s="91"/>
      <c r="C41" s="92"/>
      <c r="D41" s="92"/>
      <c r="E41" s="92"/>
      <c r="F41" s="476"/>
      <c r="G41" s="476"/>
      <c r="H41" s="92"/>
      <c r="I41" s="92"/>
      <c r="J41" s="92"/>
      <c r="K41" s="92"/>
      <c r="L41" s="92"/>
      <c r="M41" s="92"/>
      <c r="N41" s="92"/>
      <c r="O41" s="92"/>
      <c r="P41" s="92"/>
      <c r="Q41" s="92"/>
      <c r="R41" s="92"/>
      <c r="S41" s="92"/>
      <c r="T41" s="92"/>
      <c r="U41" s="84"/>
    </row>
    <row r="42" spans="2:21" ht="19.8" customHeight="1" x14ac:dyDescent="0.3">
      <c r="B42" s="91"/>
      <c r="C42" s="92"/>
      <c r="D42" s="92"/>
      <c r="E42" s="92"/>
      <c r="F42" s="476"/>
      <c r="G42" s="476"/>
      <c r="H42" s="92"/>
      <c r="I42" s="92"/>
      <c r="J42" s="92"/>
      <c r="K42" s="92"/>
      <c r="L42" s="92"/>
      <c r="M42" s="92"/>
      <c r="N42" s="92"/>
      <c r="O42" s="92"/>
      <c r="P42" s="92"/>
      <c r="Q42" s="92"/>
      <c r="R42" s="92"/>
      <c r="S42" s="92"/>
      <c r="T42" s="92"/>
      <c r="U42" s="84"/>
    </row>
    <row r="43" spans="2:21" ht="19.8" customHeight="1" x14ac:dyDescent="0.3">
      <c r="B43" s="394"/>
      <c r="C43" s="395"/>
      <c r="D43" s="395"/>
      <c r="E43" s="395"/>
      <c r="F43" s="388"/>
      <c r="G43" s="388"/>
      <c r="H43" s="395"/>
      <c r="I43" s="395"/>
      <c r="J43" s="395"/>
      <c r="K43" s="395"/>
      <c r="L43" s="395"/>
      <c r="M43" s="395"/>
      <c r="N43" s="395"/>
      <c r="O43" s="395"/>
      <c r="P43" s="395"/>
      <c r="Q43" s="395"/>
      <c r="R43" s="395"/>
      <c r="S43" s="395"/>
      <c r="T43" s="395"/>
      <c r="U43" s="397"/>
    </row>
    <row r="44" spans="2:21" x14ac:dyDescent="0.3">
      <c r="B44" s="194">
        <v>1</v>
      </c>
    </row>
  </sheetData>
  <mergeCells count="10">
    <mergeCell ref="O2:R2"/>
    <mergeCell ref="T2:U2"/>
    <mergeCell ref="B3:J3"/>
    <mergeCell ref="L3:M3"/>
    <mergeCell ref="B5:B7"/>
    <mergeCell ref="B10:I10"/>
    <mergeCell ref="J10:R10"/>
    <mergeCell ref="S10:U10"/>
    <mergeCell ref="J21:T21"/>
    <mergeCell ref="C9:U9"/>
  </mergeCells>
  <dataValidations count="4">
    <dataValidation type="list" allowBlank="1" showInputMessage="1" showErrorMessage="1" sqref="G12:G17" xr:uid="{EA503A36-05AC-4508-A110-2E2CBD99D81E}">
      <formula1>Location</formula1>
    </dataValidation>
    <dataValidation type="list" allowBlank="1" showInputMessage="1" showErrorMessage="1" sqref="F12:F17" xr:uid="{AAAA94BE-7DE8-415C-A64D-CEBCC724616A}">
      <formula1>Year</formula1>
    </dataValidation>
    <dataValidation type="list" allowBlank="1" showInputMessage="1" showErrorMessage="1" sqref="E12:E17" xr:uid="{20BE641F-25FD-4DF7-8C98-C1DCD375FBA2}">
      <formula1>Currency</formula1>
    </dataValidation>
    <dataValidation type="list" allowBlank="1" showInputMessage="1" showErrorMessage="1" sqref="D7:N7" xr:uid="{0D78B6C5-2078-49F2-82A8-174244795B1C}">
      <formula1>Case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2753" r:id="rId3" name="Button 1">
              <controlPr defaultSize="0" print="0" autoFill="0" autoPict="0" macro="[0]!Plant">
                <anchor moveWithCells="1" sizeWithCells="1">
                  <from>
                    <xdr:col>1</xdr:col>
                    <xdr:colOff>83820</xdr:colOff>
                    <xdr:row>4</xdr:row>
                    <xdr:rowOff>53340</xdr:rowOff>
                  </from>
                  <to>
                    <xdr:col>1</xdr:col>
                    <xdr:colOff>2651760</xdr:colOff>
                    <xdr:row>6</xdr:row>
                    <xdr:rowOff>205740</xdr:rowOff>
                  </to>
                </anchor>
              </controlPr>
            </control>
          </mc:Choice>
        </mc:AlternateContent>
        <mc:AlternateContent xmlns:mc="http://schemas.openxmlformats.org/markup-compatibility/2006">
          <mc:Choice Requires="x14">
            <control shapeId="202754" r:id="rId4" name="Button 2">
              <controlPr defaultSize="0" print="0" autoFill="0" autoPict="0" macro="[0]!benchmarkup">
                <anchor moveWithCells="1" sizeWithCells="1">
                  <from>
                    <xdr:col>12</xdr:col>
                    <xdr:colOff>15240</xdr:colOff>
                    <xdr:row>3</xdr:row>
                    <xdr:rowOff>7620</xdr:rowOff>
                  </from>
                  <to>
                    <xdr:col>12</xdr:col>
                    <xdr:colOff>1584960</xdr:colOff>
                    <xdr:row>3</xdr:row>
                    <xdr:rowOff>243840</xdr:rowOff>
                  </to>
                </anchor>
              </controlPr>
            </control>
          </mc:Choice>
        </mc:AlternateContent>
        <mc:AlternateContent xmlns:mc="http://schemas.openxmlformats.org/markup-compatibility/2006">
          <mc:Choice Requires="x14">
            <control shapeId="202755" r:id="rId5" name="Button 3">
              <controlPr defaultSize="0" print="0" autoFill="0" autoPict="0" macro="[0]!benchmarkdown">
                <anchor moveWithCells="1" sizeWithCells="1">
                  <from>
                    <xdr:col>12</xdr:col>
                    <xdr:colOff>15240</xdr:colOff>
                    <xdr:row>4</xdr:row>
                    <xdr:rowOff>15240</xdr:rowOff>
                  </from>
                  <to>
                    <xdr:col>12</xdr:col>
                    <xdr:colOff>1592580</xdr:colOff>
                    <xdr:row>4</xdr:row>
                    <xdr:rowOff>236220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C2AF-E817-454E-90DF-F07A97B81CE1}">
  <sheetPr codeName="Hoja17">
    <pageSetUpPr autoPageBreaks="0"/>
  </sheetPr>
  <dimension ref="A1:CO120"/>
  <sheetViews>
    <sheetView showGridLines="0" zoomScale="55" zoomScaleNormal="55" zoomScaleSheetLayoutView="20" workbookViewId="0">
      <selection activeCell="K54" sqref="K54"/>
    </sheetView>
  </sheetViews>
  <sheetFormatPr defaultColWidth="11.109375" defaultRowHeight="14.4" x14ac:dyDescent="0.3"/>
  <cols>
    <col min="1" max="2" width="3.44140625" customWidth="1"/>
    <col min="3" max="19" width="20.33203125" customWidth="1"/>
    <col min="20" max="20" width="4.109375" customWidth="1"/>
    <col min="21" max="21" width="4.88671875" customWidth="1"/>
    <col min="22" max="22" width="11.109375" style="92" hidden="1" customWidth="1"/>
    <col min="23" max="23" width="17.44140625" hidden="1" customWidth="1"/>
    <col min="24" max="24" width="17.88671875" hidden="1" customWidth="1"/>
    <col min="25" max="25" width="21.109375" style="83" hidden="1" customWidth="1"/>
    <col min="26" max="26" width="18.88671875" style="83" hidden="1" customWidth="1"/>
    <col min="27" max="27" width="19.88671875" style="83" hidden="1" customWidth="1"/>
    <col min="28" max="28" width="18.6640625" style="83" hidden="1" customWidth="1"/>
    <col min="29" max="29" width="19.88671875" style="83" hidden="1" customWidth="1"/>
    <col min="30" max="30" width="23.5546875" style="83" hidden="1" customWidth="1"/>
    <col min="31" max="31" width="29" style="83" hidden="1" customWidth="1"/>
    <col min="32" max="32" width="31.6640625" style="83" hidden="1" customWidth="1"/>
    <col min="33" max="33" width="20.88671875" style="83" hidden="1" customWidth="1"/>
    <col min="34" max="34" width="24.33203125" style="83" hidden="1" customWidth="1"/>
    <col min="35" max="35" width="24.5546875" style="83" hidden="1" customWidth="1"/>
    <col min="36" max="36" width="27" style="83" hidden="1" customWidth="1"/>
    <col min="37" max="37" width="15.33203125" style="83" hidden="1" customWidth="1"/>
    <col min="38" max="38" width="20.5546875" style="83" hidden="1" customWidth="1"/>
    <col min="39" max="39" width="23.33203125" style="83" hidden="1" customWidth="1"/>
    <col min="40" max="40" width="14.44140625" style="83" hidden="1" customWidth="1"/>
    <col min="41" max="41" width="16.88671875" style="83" hidden="1" customWidth="1"/>
    <col min="42" max="42" width="18.6640625" style="83" hidden="1" customWidth="1"/>
    <col min="43" max="43" width="23.109375" style="83" hidden="1" customWidth="1"/>
    <col min="44" max="44" width="20.6640625" style="83" hidden="1" customWidth="1"/>
    <col min="45" max="45" width="23.33203125" style="83" hidden="1" customWidth="1"/>
    <col min="46" max="46" width="22.109375" style="83" hidden="1" customWidth="1"/>
    <col min="47" max="47" width="11.109375" style="83" hidden="1" customWidth="1"/>
    <col min="48" max="48" width="28.88671875" style="83" hidden="1" customWidth="1"/>
    <col min="49" max="49" width="19.5546875" style="83" hidden="1" customWidth="1"/>
    <col min="50" max="50" width="22.6640625" style="83" hidden="1" customWidth="1"/>
    <col min="51" max="51" width="20.44140625" style="83" hidden="1" customWidth="1"/>
    <col min="52" max="52" width="21.44140625" style="83" hidden="1" customWidth="1"/>
    <col min="53" max="53" width="16.109375" style="83" hidden="1" customWidth="1"/>
    <col min="54" max="54" width="16.33203125" style="83" hidden="1" customWidth="1"/>
    <col min="55" max="55" width="25" style="83" hidden="1" customWidth="1"/>
    <col min="56" max="56" width="15.109375" style="83" hidden="1" customWidth="1"/>
    <col min="57" max="57" width="16" style="83" hidden="1" customWidth="1"/>
    <col min="58" max="58" width="22.44140625" style="83" hidden="1" customWidth="1"/>
    <col min="59" max="59" width="21.6640625" style="83" hidden="1" customWidth="1"/>
    <col min="60" max="60" width="26.109375" style="83" hidden="1" customWidth="1"/>
    <col min="61" max="61" width="16.33203125" style="83" hidden="1" customWidth="1"/>
    <col min="62" max="62" width="17" style="83" hidden="1" customWidth="1"/>
    <col min="63" max="63" width="19" style="83" hidden="1" customWidth="1"/>
    <col min="64" max="64" width="18.33203125" style="83" hidden="1" customWidth="1"/>
    <col min="65" max="65" width="16.109375" style="83" hidden="1" customWidth="1"/>
    <col min="66" max="66" width="18.5546875" style="83" hidden="1" customWidth="1"/>
    <col min="67" max="67" width="20.44140625" style="83" hidden="1" customWidth="1"/>
    <col min="68" max="68" width="17.6640625" style="83" hidden="1" customWidth="1"/>
    <col min="69" max="69" width="22.33203125" style="83" hidden="1" customWidth="1"/>
    <col min="70" max="70" width="24.88671875" style="83" hidden="1" customWidth="1"/>
    <col min="71" max="71" width="11.109375" style="83" hidden="1" customWidth="1"/>
    <col min="72" max="72" width="38.33203125" style="83" hidden="1" customWidth="1"/>
    <col min="73" max="73" width="49.44140625" style="83" hidden="1" customWidth="1"/>
    <col min="74" max="74" width="50.5546875" style="83" hidden="1" customWidth="1"/>
    <col min="75" max="75" width="39.6640625" style="83" hidden="1" customWidth="1"/>
    <col min="76" max="76" width="35.109375" style="83" hidden="1" customWidth="1"/>
    <col min="77" max="77" width="40.44140625" style="83" hidden="1" customWidth="1"/>
    <col min="78" max="78" width="39.5546875" style="83" hidden="1" customWidth="1"/>
    <col min="79" max="79" width="38.109375" style="83" hidden="1" customWidth="1"/>
    <col min="80" max="80" width="48.109375" style="83" hidden="1" customWidth="1"/>
    <col min="81" max="81" width="37.33203125" style="83" hidden="1" customWidth="1"/>
    <col min="82" max="82" width="36.33203125" style="83" hidden="1" customWidth="1"/>
    <col min="83" max="83" width="35.6640625" style="83" hidden="1" customWidth="1"/>
    <col min="84" max="84" width="11.109375" style="83" customWidth="1"/>
    <col min="85" max="86" width="11.109375" style="83"/>
  </cols>
  <sheetData>
    <row r="1" spans="1:93" x14ac:dyDescent="0.3">
      <c r="A1" s="83"/>
      <c r="B1" s="83"/>
      <c r="C1" s="83"/>
      <c r="D1" s="83"/>
      <c r="E1" s="83"/>
      <c r="F1" s="83"/>
      <c r="G1" s="83"/>
      <c r="H1" s="83"/>
      <c r="I1" s="83"/>
      <c r="J1" s="83"/>
      <c r="K1" s="83"/>
      <c r="L1" s="83"/>
      <c r="M1" s="83"/>
      <c r="N1" s="83"/>
      <c r="O1" s="83"/>
      <c r="P1" s="83"/>
      <c r="Q1" s="83"/>
      <c r="R1" s="83"/>
      <c r="S1" s="83"/>
      <c r="T1" s="83"/>
      <c r="U1" s="105"/>
      <c r="V1" s="105"/>
      <c r="W1" s="83"/>
      <c r="CI1" s="83"/>
      <c r="CJ1" s="83"/>
      <c r="CK1" s="83"/>
      <c r="CL1" s="83"/>
      <c r="CM1" s="83"/>
      <c r="CN1" s="83"/>
      <c r="CO1" s="83"/>
    </row>
    <row r="2" spans="1:93" ht="15.6" customHeight="1" x14ac:dyDescent="0.3">
      <c r="A2" s="83"/>
      <c r="B2" s="101"/>
      <c r="C2" s="102"/>
      <c r="D2" s="102"/>
      <c r="E2" s="102"/>
      <c r="F2" s="102"/>
      <c r="G2" s="102"/>
      <c r="H2" s="102"/>
      <c r="I2" s="102"/>
      <c r="J2" s="102"/>
      <c r="K2" s="102"/>
      <c r="L2" s="102"/>
      <c r="M2" s="102"/>
      <c r="N2" s="102"/>
      <c r="O2" s="102"/>
      <c r="P2" s="102"/>
      <c r="Q2" s="102"/>
      <c r="R2" s="102"/>
      <c r="S2" s="102"/>
      <c r="T2" s="103"/>
      <c r="U2" s="104"/>
      <c r="V2" s="105"/>
      <c r="W2" s="231" t="s">
        <v>229</v>
      </c>
      <c r="X2" s="232" t="s">
        <v>241</v>
      </c>
      <c r="Y2" s="231" t="s">
        <v>242</v>
      </c>
      <c r="Z2" s="231" t="s">
        <v>261</v>
      </c>
      <c r="AA2" s="231" t="s">
        <v>243</v>
      </c>
      <c r="AB2" s="231" t="s">
        <v>244</v>
      </c>
      <c r="AC2" s="231" t="s">
        <v>245</v>
      </c>
      <c r="AD2" s="231" t="s">
        <v>246</v>
      </c>
      <c r="AE2" s="231" t="s">
        <v>247</v>
      </c>
      <c r="AF2" s="231" t="s">
        <v>248</v>
      </c>
      <c r="AG2" s="231" t="s">
        <v>249</v>
      </c>
      <c r="AH2" s="231" t="s">
        <v>250</v>
      </c>
      <c r="AI2" s="231" t="s">
        <v>251</v>
      </c>
      <c r="AJ2" s="231" t="s">
        <v>252</v>
      </c>
      <c r="AK2" s="231" t="s">
        <v>253</v>
      </c>
      <c r="AL2" s="231" t="s">
        <v>254</v>
      </c>
      <c r="AM2" s="231" t="s">
        <v>255</v>
      </c>
      <c r="AN2" s="231" t="s">
        <v>256</v>
      </c>
      <c r="AO2" s="231" t="s">
        <v>257</v>
      </c>
      <c r="AP2" s="231" t="s">
        <v>148</v>
      </c>
      <c r="AQ2" s="231" t="s">
        <v>259</v>
      </c>
      <c r="AR2" s="231" t="s">
        <v>260</v>
      </c>
      <c r="AS2" s="231" t="s">
        <v>210</v>
      </c>
      <c r="AT2" s="231" t="s">
        <v>536</v>
      </c>
      <c r="AV2" s="237" t="s">
        <v>538</v>
      </c>
      <c r="AW2" s="238" t="s">
        <v>539</v>
      </c>
      <c r="AX2" s="239" t="s">
        <v>540</v>
      </c>
      <c r="AY2" s="239" t="s">
        <v>541</v>
      </c>
      <c r="AZ2" s="239" t="s">
        <v>542</v>
      </c>
      <c r="BA2" s="239" t="s">
        <v>543</v>
      </c>
      <c r="BB2" s="239" t="s">
        <v>544</v>
      </c>
      <c r="BC2" s="239" t="s">
        <v>545</v>
      </c>
      <c r="BD2" s="239" t="s">
        <v>546</v>
      </c>
      <c r="BE2" s="239" t="s">
        <v>547</v>
      </c>
      <c r="BF2" s="239" t="s">
        <v>548</v>
      </c>
      <c r="BG2" s="239" t="s">
        <v>549</v>
      </c>
      <c r="BH2" s="239" t="s">
        <v>550</v>
      </c>
      <c r="BI2" s="239" t="s">
        <v>551</v>
      </c>
      <c r="BJ2" s="239" t="s">
        <v>552</v>
      </c>
      <c r="BK2" s="239" t="s">
        <v>553</v>
      </c>
      <c r="BL2" s="239" t="s">
        <v>554</v>
      </c>
      <c r="BM2" s="239" t="s">
        <v>555</v>
      </c>
      <c r="BN2" s="239" t="s">
        <v>556</v>
      </c>
      <c r="BO2" s="239" t="s">
        <v>557</v>
      </c>
      <c r="BP2" s="239" t="s">
        <v>558</v>
      </c>
      <c r="BQ2" s="239" t="s">
        <v>559</v>
      </c>
      <c r="BR2" s="239" t="s">
        <v>560</v>
      </c>
      <c r="BT2" s="330" t="s">
        <v>613</v>
      </c>
      <c r="BU2" s="330" t="s">
        <v>614</v>
      </c>
      <c r="BV2" s="330" t="s">
        <v>624</v>
      </c>
      <c r="BW2" s="330" t="s">
        <v>615</v>
      </c>
      <c r="BX2" s="330" t="s">
        <v>616</v>
      </c>
      <c r="BY2" s="330" t="s">
        <v>617</v>
      </c>
      <c r="BZ2" s="330" t="s">
        <v>618</v>
      </c>
      <c r="CA2" s="330" t="s">
        <v>619</v>
      </c>
      <c r="CB2" s="330" t="s">
        <v>620</v>
      </c>
      <c r="CC2" s="330" t="s">
        <v>621</v>
      </c>
      <c r="CD2" s="330" t="s">
        <v>622</v>
      </c>
      <c r="CE2" s="330" t="s">
        <v>623</v>
      </c>
      <c r="CI2" s="83"/>
      <c r="CJ2" s="83"/>
      <c r="CK2" s="83"/>
      <c r="CL2" s="83"/>
      <c r="CM2" s="83"/>
      <c r="CN2" s="83"/>
      <c r="CO2" s="83"/>
    </row>
    <row r="3" spans="1:93" ht="18" x14ac:dyDescent="0.3">
      <c r="A3" s="83"/>
      <c r="B3" s="104"/>
      <c r="C3" s="879" t="s">
        <v>270</v>
      </c>
      <c r="D3" s="880"/>
      <c r="E3" s="880"/>
      <c r="F3" s="880"/>
      <c r="G3" s="880"/>
      <c r="H3" s="1004" t="s">
        <v>229</v>
      </c>
      <c r="I3" s="1004"/>
      <c r="J3" s="105"/>
      <c r="K3" s="879" t="s">
        <v>268</v>
      </c>
      <c r="L3" s="880"/>
      <c r="M3" s="880"/>
      <c r="N3" s="880"/>
      <c r="O3" s="880"/>
      <c r="P3" s="880"/>
      <c r="Q3" s="880"/>
      <c r="R3" s="880"/>
      <c r="S3" s="881"/>
      <c r="T3" s="106"/>
      <c r="U3" s="104"/>
      <c r="V3" s="105"/>
      <c r="W3" t="s">
        <v>241</v>
      </c>
      <c r="X3" s="1" t="str">
        <f>+'Equipment Data'!B4</f>
        <v>Kneader</v>
      </c>
      <c r="Y3" s="1" t="str">
        <f>+'Equipment Data'!B11</f>
        <v>Auto Batch Seperator</v>
      </c>
      <c r="Z3" s="1" t="str">
        <f>+'Equipment Data'!B19</f>
        <v>Centrifugal</v>
      </c>
      <c r="AA3" s="1" t="str">
        <f>+'Equipment Data'!B27</f>
        <v>Apron</v>
      </c>
      <c r="AB3" s="1" t="str">
        <f>+'Equipment Data'!B35</f>
        <v>Batch</v>
      </c>
      <c r="AC3" s="83" t="str">
        <f>'Equipment Data'!B40</f>
        <v>Explosion Proof</v>
      </c>
      <c r="AD3" s="83" t="str">
        <f>+'Equipment Data'!B52</f>
        <v>Drum</v>
      </c>
      <c r="AE3" s="83" t="str">
        <f>+'Equipment Data'!B59</f>
        <v>Baghouse</v>
      </c>
      <c r="AF3" s="83" t="str">
        <f>+'Equipment Data'!B70</f>
        <v>Centrifugal Radial Fan</v>
      </c>
      <c r="AG3" s="83" t="str">
        <f>+'Equipment Data'!B78</f>
        <v>Bent</v>
      </c>
      <c r="AH3" s="83" t="str">
        <f>+'Equipment Data'!B92</f>
        <v>Reformer Furnace</v>
      </c>
      <c r="AI3" s="83" t="str">
        <f>+'Equipment Data'!B111</f>
        <v>Forced Circulation</v>
      </c>
      <c r="AJ3" s="83" t="str">
        <f>+'Equipment Data'!B120</f>
        <v>Double Pipe</v>
      </c>
      <c r="AK3" s="1" t="str">
        <f>+'Equipment Data'!B172</f>
        <v>Impeller</v>
      </c>
      <c r="AL3" s="1" t="str">
        <f>+'Equipment Data'!B179</f>
        <v>Centrifugal pump</v>
      </c>
      <c r="AM3" s="83" t="str">
        <f>+'Equipment Data'!B186</f>
        <v>Autoclave</v>
      </c>
      <c r="AN3" s="83" t="str">
        <f>+'Equipment Data'!B196</f>
        <v>DSM</v>
      </c>
      <c r="AO3" s="83" t="str">
        <f>+'Equipment Data'!B204</f>
        <v>Fixed Roof</v>
      </c>
      <c r="AP3" s="83" t="str">
        <f>'Equipment Data'!B210</f>
        <v>Axial</v>
      </c>
      <c r="AQ3" s="83" t="str">
        <f>+'Equipment Data'!B216</f>
        <v>Jacketed Vessel</v>
      </c>
      <c r="AR3" s="83" t="str">
        <f>+'Equipment Data'!B243</f>
        <v>Horizontal</v>
      </c>
      <c r="AS3" s="83" t="str">
        <f>+'Equipment Data'!B257</f>
        <v>Sieve</v>
      </c>
      <c r="AT3" s="83" t="s">
        <v>674</v>
      </c>
      <c r="AV3" s="83" t="s">
        <v>570</v>
      </c>
      <c r="AW3" s="83" t="s">
        <v>570</v>
      </c>
      <c r="AX3" s="1" t="s">
        <v>85</v>
      </c>
      <c r="AY3" s="1" t="s">
        <v>570</v>
      </c>
      <c r="AZ3" s="1" t="s">
        <v>570</v>
      </c>
      <c r="BA3" s="1" t="s">
        <v>570</v>
      </c>
      <c r="BB3" s="1" t="s">
        <v>570</v>
      </c>
      <c r="BC3" s="1" t="s">
        <v>570</v>
      </c>
      <c r="BD3" s="83" t="s">
        <v>85</v>
      </c>
      <c r="BE3" s="83" t="str">
        <f>+BC3</f>
        <v>N/A</v>
      </c>
      <c r="BF3" s="83" t="s">
        <v>85</v>
      </c>
      <c r="BG3" s="83" t="s">
        <v>85</v>
      </c>
      <c r="BH3" s="83" t="s">
        <v>531</v>
      </c>
      <c r="BI3" s="83" t="str">
        <f>+BE3</f>
        <v>N/A</v>
      </c>
      <c r="BJ3" s="83" t="s">
        <v>565</v>
      </c>
      <c r="BK3" s="83" t="s">
        <v>570</v>
      </c>
      <c r="BL3" s="83" t="str">
        <f>+BI3</f>
        <v>N/A</v>
      </c>
      <c r="BM3" s="83" t="s">
        <v>570</v>
      </c>
      <c r="BN3" s="83" t="s">
        <v>565</v>
      </c>
      <c r="BO3" s="235" t="s">
        <v>85</v>
      </c>
      <c r="BP3" s="83" t="s">
        <v>85</v>
      </c>
      <c r="BQ3" s="83" t="s">
        <v>85</v>
      </c>
      <c r="BR3" s="83" t="s">
        <v>226</v>
      </c>
      <c r="BT3" s="83" t="s">
        <v>531</v>
      </c>
      <c r="BU3" s="83" t="s">
        <v>531</v>
      </c>
      <c r="BV3" s="83" t="s">
        <v>531</v>
      </c>
      <c r="BW3" s="83" t="s">
        <v>531</v>
      </c>
      <c r="BX3" s="83" t="s">
        <v>531</v>
      </c>
      <c r="BY3" s="83" t="s">
        <v>531</v>
      </c>
      <c r="BZ3" s="83" t="s">
        <v>531</v>
      </c>
      <c r="CA3" s="83" t="s">
        <v>531</v>
      </c>
      <c r="CB3" s="83" t="s">
        <v>85</v>
      </c>
      <c r="CC3" s="83" t="s">
        <v>85</v>
      </c>
      <c r="CD3" s="83" t="s">
        <v>85</v>
      </c>
      <c r="CE3" s="83" t="s">
        <v>85</v>
      </c>
      <c r="CI3" s="83"/>
      <c r="CJ3" s="83"/>
      <c r="CK3" s="83"/>
      <c r="CL3" s="83"/>
      <c r="CM3" s="83"/>
      <c r="CN3" s="83"/>
      <c r="CO3" s="83"/>
    </row>
    <row r="4" spans="1:93" ht="15.6" customHeight="1" x14ac:dyDescent="0.3">
      <c r="A4" s="83"/>
      <c r="B4" s="104"/>
      <c r="C4" s="105"/>
      <c r="D4" s="105"/>
      <c r="E4" s="105"/>
      <c r="F4" s="105"/>
      <c r="G4" s="105"/>
      <c r="H4" s="105"/>
      <c r="I4" s="105"/>
      <c r="J4" s="105"/>
      <c r="K4" s="1021"/>
      <c r="L4" s="1021"/>
      <c r="M4" s="1021"/>
      <c r="N4" s="1021"/>
      <c r="O4" s="1021"/>
      <c r="P4" s="1021"/>
      <c r="Q4" s="1021"/>
      <c r="R4" s="1021"/>
      <c r="S4" s="1021"/>
      <c r="T4" s="106"/>
      <c r="U4" s="104"/>
      <c r="V4" s="105"/>
      <c r="W4" s="83" t="s">
        <v>242</v>
      </c>
      <c r="X4" s="1" t="str">
        <f>+'Equipment Data'!B5</f>
        <v>Ribbon</v>
      </c>
      <c r="Y4" s="1" t="str">
        <f>+'Equipment Data'!B12</f>
        <v>Centrifugal Seperator</v>
      </c>
      <c r="Z4" s="1" t="str">
        <f>+'Equipment Data'!B20</f>
        <v>Axial</v>
      </c>
      <c r="AA4" s="1" t="str">
        <f>+'Equipment Data'!B28</f>
        <v>Belt</v>
      </c>
      <c r="AB4" s="1"/>
      <c r="AC4" s="83" t="str">
        <f>+'Equipment Data'!B41</f>
        <v>Totally Enclosed</v>
      </c>
      <c r="AD4" s="83" t="str">
        <f>+'Equipment Data'!B53</f>
        <v>Rotary, Gas Fired</v>
      </c>
      <c r="AE4" s="83" t="s">
        <v>521</v>
      </c>
      <c r="AF4" s="83" t="str">
        <f>+'Equipment Data'!B71</f>
        <v>Centrifugal Backward curved fan</v>
      </c>
      <c r="AG4" s="83" t="str">
        <f>+'Equipment Data'!B79</f>
        <v>Cartridge</v>
      </c>
      <c r="AH4" s="83" t="str">
        <f>+'Equipment Data'!B93</f>
        <v>Pyrolysis Furnace</v>
      </c>
      <c r="AI4" s="83" t="str">
        <f>+'Equipment Data'!B112</f>
        <v>Falling Film</v>
      </c>
      <c r="AJ4" s="83" t="str">
        <f>+'Equipment Data'!B123</f>
        <v>Multiple Pipe</v>
      </c>
      <c r="AK4" s="1" t="str">
        <f>+'Equipment Data'!B173</f>
        <v>Propeller</v>
      </c>
      <c r="AL4" s="1" t="str">
        <f>+'Equipment Data'!B180</f>
        <v>Positive Displacement</v>
      </c>
      <c r="AM4" s="83" t="str">
        <f>+'Equipment Data'!B187</f>
        <v>Fermenter</v>
      </c>
      <c r="AN4" s="83" t="str">
        <f>+'Equipment Data'!B197</f>
        <v>Rotary</v>
      </c>
      <c r="AO4" s="83" t="str">
        <f>+'Equipment Data'!B205</f>
        <v>Floating Roof</v>
      </c>
      <c r="AP4" s="83" t="str">
        <f>'Equipment Data'!B211</f>
        <v>Radial</v>
      </c>
      <c r="AQ4" s="83" t="str">
        <f>+'Equipment Data'!B217</f>
        <v>Internal Coil</v>
      </c>
      <c r="AR4" s="83" t="str">
        <f>+'Equipment Data'!B244</f>
        <v>Vertical</v>
      </c>
      <c r="AS4" s="83" t="str">
        <f>+'Equipment Data'!B258</f>
        <v>Valve</v>
      </c>
      <c r="AX4" s="83" t="s">
        <v>87</v>
      </c>
      <c r="AY4" s="1"/>
      <c r="AZ4" s="1"/>
      <c r="BA4" s="1"/>
      <c r="BD4" s="83" t="s">
        <v>529</v>
      </c>
      <c r="BF4" s="83" t="s">
        <v>86</v>
      </c>
      <c r="BG4" s="83" t="s">
        <v>192</v>
      </c>
      <c r="BH4" s="83" t="s">
        <v>563</v>
      </c>
      <c r="BJ4" s="83" t="s">
        <v>85</v>
      </c>
      <c r="BN4" s="83" t="s">
        <v>85</v>
      </c>
      <c r="BO4" s="235" t="s">
        <v>132</v>
      </c>
      <c r="BP4" s="83" t="s">
        <v>188</v>
      </c>
      <c r="BQ4" s="83" t="s">
        <v>87</v>
      </c>
      <c r="BR4" s="83" t="s">
        <v>227</v>
      </c>
      <c r="BT4" s="83" t="s">
        <v>563</v>
      </c>
      <c r="BU4" s="83" t="s">
        <v>563</v>
      </c>
      <c r="BV4" s="83" t="s">
        <v>563</v>
      </c>
      <c r="BW4" s="83" t="s">
        <v>563</v>
      </c>
      <c r="BX4" s="83" t="s">
        <v>563</v>
      </c>
      <c r="BY4" s="83" t="s">
        <v>563</v>
      </c>
      <c r="BZ4" s="83" t="s">
        <v>563</v>
      </c>
      <c r="CA4" s="83" t="s">
        <v>563</v>
      </c>
      <c r="CB4" s="83" t="s">
        <v>132</v>
      </c>
      <c r="CC4" s="83" t="s">
        <v>132</v>
      </c>
      <c r="CD4" s="83" t="s">
        <v>132</v>
      </c>
      <c r="CE4" s="83" t="s">
        <v>142</v>
      </c>
      <c r="CI4" s="83"/>
      <c r="CJ4" s="83"/>
      <c r="CK4" s="83"/>
      <c r="CL4" s="83"/>
      <c r="CM4" s="83"/>
      <c r="CN4" s="83"/>
      <c r="CO4" s="83"/>
    </row>
    <row r="5" spans="1:93" ht="18" x14ac:dyDescent="0.35">
      <c r="A5" s="83"/>
      <c r="B5" s="104"/>
      <c r="C5" s="105"/>
      <c r="D5" s="1022" t="s">
        <v>706</v>
      </c>
      <c r="E5" s="1023"/>
      <c r="F5" s="105"/>
      <c r="G5" s="105"/>
      <c r="H5" s="1022" t="s">
        <v>267</v>
      </c>
      <c r="I5" s="1023"/>
      <c r="J5" s="105"/>
      <c r="K5" s="1024" t="s">
        <v>721</v>
      </c>
      <c r="L5" s="1025"/>
      <c r="M5" s="1025"/>
      <c r="N5" s="1025"/>
      <c r="O5" s="1025"/>
      <c r="P5" s="1025"/>
      <c r="Q5" s="1025"/>
      <c r="R5" s="1025"/>
      <c r="S5" s="1026"/>
      <c r="T5" s="106"/>
      <c r="U5" s="104"/>
      <c r="V5" s="105"/>
      <c r="W5" s="83" t="s">
        <v>261</v>
      </c>
      <c r="X5" s="1" t="str">
        <f>+'Equipment Data'!B6</f>
        <v>Rotary</v>
      </c>
      <c r="Y5" s="1" t="str">
        <f>+'Equipment Data'!B13</f>
        <v>Oscillating Screen</v>
      </c>
      <c r="Z5" s="1" t="str">
        <f>+'Equipment Data'!B21</f>
        <v>Rotary</v>
      </c>
      <c r="AA5" s="1" t="str">
        <f>+'Equipment Data'!B29</f>
        <v>Pneumatic</v>
      </c>
      <c r="AB5" s="1"/>
      <c r="AC5" s="83" t="str">
        <f>+'Equipment Data'!B42</f>
        <v>Open/Drip Proof</v>
      </c>
      <c r="AD5" s="83" t="str">
        <f>+'Equipment Data'!B54</f>
        <v>Tray</v>
      </c>
      <c r="AE5" s="83" t="str">
        <f>+'Equipment Data'!B64</f>
        <v>Electrostatic Precipitator</v>
      </c>
      <c r="AF5" s="83" t="str">
        <f>+'Equipment Data'!B72</f>
        <v>Axial Tube Fan</v>
      </c>
      <c r="AG5" s="83" t="str">
        <f>+'Equipment Data'!B80</f>
        <v>Disc and Drum</v>
      </c>
      <c r="AH5" s="83" t="str">
        <f>+'Equipment Data'!B97</f>
        <v>Process Heater</v>
      </c>
      <c r="AI5" s="83" t="str">
        <f>+'Equipment Data'!B113</f>
        <v>Agitated (Scraped Wall)</v>
      </c>
      <c r="AJ5" s="83" t="str">
        <f>+'Equipment Data'!B126</f>
        <v>Fixed tube, sheet, or U tube</v>
      </c>
      <c r="AK5" s="1" t="str">
        <f>+'Equipment Data'!B174</f>
        <v>Turbine</v>
      </c>
      <c r="AL5" s="1" t="str">
        <f>+'Equipment Data'!B181</f>
        <v>Reciprocating pump</v>
      </c>
      <c r="AM5" s="83" t="str">
        <f>+'Equipment Data'!B188</f>
        <v>Inoculum Tank</v>
      </c>
      <c r="AN5" s="83" t="str">
        <f>+'Equipment Data'!B198</f>
        <v>Stationary</v>
      </c>
      <c r="AQ5" s="83" t="str">
        <f>+'Equipment Data'!B218</f>
        <v>Jacketed Vessel w/ Coil</v>
      </c>
      <c r="AS5" s="83" t="str">
        <f>+'Equipment Data'!B259</f>
        <v>Demister</v>
      </c>
      <c r="AX5" s="83" t="s">
        <v>133</v>
      </c>
      <c r="AY5" s="1"/>
      <c r="AZ5" s="1"/>
      <c r="BA5" s="1"/>
      <c r="BD5" s="83" t="s">
        <v>87</v>
      </c>
      <c r="BF5" s="83" t="s">
        <v>87</v>
      </c>
      <c r="BG5" s="83" t="s">
        <v>87</v>
      </c>
      <c r="BH5" s="83" t="s">
        <v>533</v>
      </c>
      <c r="BJ5" s="83" t="s">
        <v>132</v>
      </c>
      <c r="BN5" s="83" t="s">
        <v>132</v>
      </c>
      <c r="BO5" s="235" t="s">
        <v>186</v>
      </c>
      <c r="BP5" s="83" t="s">
        <v>87</v>
      </c>
      <c r="BQ5" s="83" t="s">
        <v>568</v>
      </c>
      <c r="BR5" s="83" t="s">
        <v>228</v>
      </c>
      <c r="BT5" s="83" t="s">
        <v>533</v>
      </c>
      <c r="BU5" s="83" t="s">
        <v>533</v>
      </c>
      <c r="BV5" s="83" t="s">
        <v>533</v>
      </c>
      <c r="BW5" s="83" t="s">
        <v>533</v>
      </c>
      <c r="BX5" s="83" t="s">
        <v>533</v>
      </c>
      <c r="BY5" s="83" t="s">
        <v>533</v>
      </c>
      <c r="BZ5" s="83" t="s">
        <v>533</v>
      </c>
      <c r="CA5" s="83" t="s">
        <v>533</v>
      </c>
      <c r="CB5" s="83" t="s">
        <v>87</v>
      </c>
      <c r="CC5" s="83" t="s">
        <v>87</v>
      </c>
      <c r="CD5" s="83" t="s">
        <v>87</v>
      </c>
      <c r="CE5" s="83" t="s">
        <v>87</v>
      </c>
      <c r="CI5" s="83"/>
      <c r="CJ5" s="83"/>
      <c r="CK5" s="83"/>
      <c r="CL5" s="83"/>
      <c r="CM5" s="83"/>
      <c r="CN5" s="83"/>
      <c r="CO5" s="83"/>
    </row>
    <row r="6" spans="1:93" ht="15.6" x14ac:dyDescent="0.3">
      <c r="A6" s="83"/>
      <c r="B6" s="104"/>
      <c r="C6" s="904" t="s">
        <v>496</v>
      </c>
      <c r="D6" s="661" t="s">
        <v>720</v>
      </c>
      <c r="E6" s="672" t="s">
        <v>705</v>
      </c>
      <c r="F6" s="105"/>
      <c r="G6" s="105"/>
      <c r="H6" s="85"/>
      <c r="I6" s="114" t="s">
        <v>262</v>
      </c>
      <c r="J6" s="105"/>
      <c r="K6" s="1027"/>
      <c r="L6" s="1028"/>
      <c r="M6" s="1028"/>
      <c r="N6" s="1028"/>
      <c r="O6" s="1028"/>
      <c r="P6" s="1028"/>
      <c r="Q6" s="1028"/>
      <c r="R6" s="1028"/>
      <c r="S6" s="1029"/>
      <c r="T6" s="106"/>
      <c r="U6" s="104"/>
      <c r="V6" s="105"/>
      <c r="W6" s="83" t="s">
        <v>243</v>
      </c>
      <c r="X6" s="1"/>
      <c r="Y6" s="1" t="str">
        <f>+'Equipment Data'!B14</f>
        <v>Solid Bowl w/o Motor</v>
      </c>
      <c r="Z6" s="1" t="str">
        <f>+'Equipment Data'!B22</f>
        <v>Reciprocating</v>
      </c>
      <c r="AA6" s="1" t="str">
        <f>+'Equipment Data'!B30</f>
        <v>Screw</v>
      </c>
      <c r="AB6" s="1"/>
      <c r="AC6" s="83" t="str">
        <f>+'Equipment Data'!B45</f>
        <v>Gas Turbine</v>
      </c>
      <c r="AE6" s="83" t="str">
        <f>+'Equipment Data'!B65</f>
        <v>Venturi</v>
      </c>
      <c r="AF6" s="83" t="str">
        <f>+'Equipment Data'!B73</f>
        <v>Axial Vane Fan</v>
      </c>
      <c r="AG6" s="83" t="str">
        <f>+'Equipment Data'!B81</f>
        <v>Gravity</v>
      </c>
      <c r="AH6" s="83" t="str">
        <f>+'Equipment Data'!B102</f>
        <v>Hot Water</v>
      </c>
      <c r="AI6" s="83" t="str">
        <f>+'Equipment Data'!B114</f>
        <v>Short Tube</v>
      </c>
      <c r="AJ6" s="83" t="str">
        <f>+'Equipment Data'!B128</f>
        <v>Floating Head</v>
      </c>
      <c r="AK6" s="1"/>
      <c r="AL6" s="1"/>
      <c r="AM6" s="83" t="str">
        <f>+'Equipment Data'!B189</f>
        <v>Jacketed Agitated</v>
      </c>
      <c r="AN6" s="83" t="str">
        <f>+'Equipment Data'!B199</f>
        <v>Vibrating</v>
      </c>
      <c r="AY6" s="1"/>
      <c r="AZ6" s="1"/>
      <c r="BA6" s="1"/>
      <c r="BD6" s="83" t="s">
        <v>133</v>
      </c>
      <c r="BG6" s="83" t="s">
        <v>189</v>
      </c>
      <c r="BH6" s="83" t="s">
        <v>475</v>
      </c>
      <c r="BJ6" s="83" t="s">
        <v>87</v>
      </c>
      <c r="BN6" s="83" t="s">
        <v>87</v>
      </c>
      <c r="BO6" s="235" t="s">
        <v>187</v>
      </c>
      <c r="BP6" s="83" t="s">
        <v>566</v>
      </c>
      <c r="BQ6" s="83" t="s">
        <v>569</v>
      </c>
      <c r="BT6" s="83" t="s">
        <v>561</v>
      </c>
      <c r="BU6" s="83" t="s">
        <v>561</v>
      </c>
      <c r="BV6" s="83" t="s">
        <v>561</v>
      </c>
      <c r="BW6" s="83" t="s">
        <v>561</v>
      </c>
      <c r="BX6" s="83" t="s">
        <v>561</v>
      </c>
      <c r="BY6" s="83" t="s">
        <v>561</v>
      </c>
      <c r="BZ6" s="83" t="s">
        <v>561</v>
      </c>
      <c r="CA6" s="83" t="s">
        <v>561</v>
      </c>
      <c r="CB6" s="83" t="s">
        <v>133</v>
      </c>
      <c r="CC6" s="83" t="s">
        <v>133</v>
      </c>
      <c r="CD6" s="83" t="s">
        <v>133</v>
      </c>
      <c r="CI6" s="83"/>
      <c r="CJ6" s="83"/>
      <c r="CK6" s="83"/>
      <c r="CL6" s="83"/>
      <c r="CM6" s="83"/>
      <c r="CN6" s="83"/>
      <c r="CO6" s="83"/>
    </row>
    <row r="7" spans="1:93" ht="15.6" x14ac:dyDescent="0.3">
      <c r="A7" s="83"/>
      <c r="B7" s="104"/>
      <c r="C7" s="905"/>
      <c r="D7" s="91"/>
      <c r="E7" s="669"/>
      <c r="F7" s="105"/>
      <c r="G7" s="105"/>
      <c r="H7" s="96"/>
      <c r="I7" s="114" t="s">
        <v>263</v>
      </c>
      <c r="J7" s="105"/>
      <c r="K7" s="1027"/>
      <c r="L7" s="1028"/>
      <c r="M7" s="1028"/>
      <c r="N7" s="1028"/>
      <c r="O7" s="1028"/>
      <c r="P7" s="1028"/>
      <c r="Q7" s="1028"/>
      <c r="R7" s="1028"/>
      <c r="S7" s="1029"/>
      <c r="T7" s="106"/>
      <c r="U7" s="104"/>
      <c r="V7" s="105"/>
      <c r="W7" s="83" t="s">
        <v>244</v>
      </c>
      <c r="X7" s="1"/>
      <c r="Y7" s="1"/>
      <c r="Z7" s="1"/>
      <c r="AA7" s="1"/>
      <c r="AB7" s="1"/>
      <c r="AC7" s="83" t="str">
        <f>+'Equipment Data'!B46</f>
        <v>Steam Turbine</v>
      </c>
      <c r="AG7" s="83" t="str">
        <f>+'Equipment Data'!B82</f>
        <v>Leaf</v>
      </c>
      <c r="AH7" s="83" t="str">
        <f>+'Equipment Data'!B103</f>
        <v>Molten Salt, Mineral Oil,</v>
      </c>
      <c r="AI7" s="83" t="str">
        <f>+'Equipment Data'!B115</f>
        <v>Long Tube</v>
      </c>
      <c r="AJ7" s="83" t="str">
        <f>+'Equipment Data'!B130</f>
        <v>Bayonet</v>
      </c>
      <c r="AK7" s="1"/>
      <c r="AL7" s="1"/>
      <c r="AM7" s="83" t="str">
        <f>+'Equipment Data'!B190</f>
        <v>Jacketed Non-Agitated</v>
      </c>
      <c r="AY7" s="1"/>
      <c r="AZ7" s="1"/>
      <c r="BA7" s="1"/>
      <c r="BG7" s="83" t="s">
        <v>134</v>
      </c>
      <c r="BH7" s="83" t="s">
        <v>561</v>
      </c>
      <c r="BJ7" s="83" t="s">
        <v>133</v>
      </c>
      <c r="BN7" s="83" t="s">
        <v>133</v>
      </c>
      <c r="BO7" s="235" t="s">
        <v>87</v>
      </c>
      <c r="BP7" s="83" t="s">
        <v>133</v>
      </c>
      <c r="BT7" s="83" t="s">
        <v>486</v>
      </c>
      <c r="BU7" s="83" t="s">
        <v>486</v>
      </c>
      <c r="BV7" s="83" t="s">
        <v>486</v>
      </c>
      <c r="BW7" s="83" t="s">
        <v>486</v>
      </c>
      <c r="BX7" s="83" t="s">
        <v>486</v>
      </c>
      <c r="BY7" s="83" t="s">
        <v>486</v>
      </c>
      <c r="BZ7" s="83" t="s">
        <v>486</v>
      </c>
      <c r="CA7" s="83" t="s">
        <v>486</v>
      </c>
      <c r="CB7" s="83" t="s">
        <v>134</v>
      </c>
      <c r="CC7" s="83" t="s">
        <v>134</v>
      </c>
      <c r="CD7" s="83" t="s">
        <v>134</v>
      </c>
      <c r="CI7" s="83"/>
      <c r="CJ7" s="83"/>
      <c r="CK7" s="83"/>
      <c r="CL7" s="83"/>
      <c r="CM7" s="83"/>
      <c r="CN7" s="83"/>
      <c r="CO7" s="83"/>
    </row>
    <row r="8" spans="1:93" ht="15.6" x14ac:dyDescent="0.3">
      <c r="A8" s="83"/>
      <c r="B8" s="104"/>
      <c r="C8" s="885"/>
      <c r="D8" s="668"/>
      <c r="E8" s="669"/>
      <c r="F8" s="105"/>
      <c r="G8" s="105"/>
      <c r="H8" s="95"/>
      <c r="I8" s="115" t="s">
        <v>264</v>
      </c>
      <c r="J8" s="105"/>
      <c r="K8" s="1027"/>
      <c r="L8" s="1028"/>
      <c r="M8" s="1028"/>
      <c r="N8" s="1028"/>
      <c r="O8" s="1028"/>
      <c r="P8" s="1028"/>
      <c r="Q8" s="1028"/>
      <c r="R8" s="1028"/>
      <c r="S8" s="1029"/>
      <c r="T8" s="106"/>
      <c r="U8" s="104"/>
      <c r="V8" s="105"/>
      <c r="W8" s="83" t="s">
        <v>519</v>
      </c>
      <c r="X8" s="1"/>
      <c r="Y8" s="1"/>
      <c r="Z8" s="1"/>
      <c r="AA8" s="1"/>
      <c r="AB8" s="1"/>
      <c r="AC8" s="83" t="str">
        <f>+'Equipment Data'!B47</f>
        <v>Internal Combustion</v>
      </c>
      <c r="AG8" s="83" t="str">
        <f>+'Equipment Data'!B83</f>
        <v>Pan</v>
      </c>
      <c r="AH8" s="83" t="str">
        <f>+'Equipment Data'!B104</f>
        <v>Diphenyl Based Oils</v>
      </c>
      <c r="AJ8" s="83" t="str">
        <f>+'Equipment Data'!B132</f>
        <v>Kettle Reboiler</v>
      </c>
      <c r="AK8" s="1"/>
      <c r="AL8" s="1"/>
      <c r="AM8" s="83" t="str">
        <f>+'Equipment Data'!B191</f>
        <v>Mixer/Settler</v>
      </c>
      <c r="AY8" s="1"/>
      <c r="AZ8" s="1"/>
      <c r="BA8" s="1"/>
      <c r="BH8" s="83" t="s">
        <v>486</v>
      </c>
      <c r="BJ8" s="83" t="s">
        <v>134</v>
      </c>
      <c r="BN8" s="83" t="s">
        <v>134</v>
      </c>
      <c r="BO8" s="235" t="s">
        <v>188</v>
      </c>
      <c r="BP8" s="83" t="s">
        <v>191</v>
      </c>
      <c r="BT8" s="83" t="s">
        <v>562</v>
      </c>
      <c r="BU8" s="83" t="s">
        <v>562</v>
      </c>
      <c r="BV8" s="83" t="s">
        <v>562</v>
      </c>
      <c r="BW8" s="83" t="s">
        <v>562</v>
      </c>
      <c r="BX8" s="83" t="s">
        <v>562</v>
      </c>
      <c r="BY8" s="83" t="s">
        <v>562</v>
      </c>
      <c r="BZ8" s="83" t="s">
        <v>562</v>
      </c>
      <c r="CA8" s="83" t="s">
        <v>562</v>
      </c>
      <c r="CH8" s="1009" t="s">
        <v>673</v>
      </c>
      <c r="CI8" s="1010"/>
      <c r="CJ8" s="1010"/>
      <c r="CK8" s="1010"/>
      <c r="CL8" s="1010"/>
      <c r="CM8" s="1011"/>
      <c r="CN8" s="83"/>
      <c r="CO8" s="83"/>
    </row>
    <row r="9" spans="1:93" ht="15.6" x14ac:dyDescent="0.3">
      <c r="A9" s="83"/>
      <c r="B9" s="104"/>
      <c r="C9" s="886"/>
      <c r="D9" s="670"/>
      <c r="E9" s="671"/>
      <c r="F9" s="105"/>
      <c r="G9" s="105"/>
      <c r="H9" s="110"/>
      <c r="I9" s="111" t="s">
        <v>268</v>
      </c>
      <c r="J9" s="105"/>
      <c r="K9" s="1030"/>
      <c r="L9" s="1031"/>
      <c r="M9" s="1031"/>
      <c r="N9" s="1031"/>
      <c r="O9" s="1031"/>
      <c r="P9" s="1031"/>
      <c r="Q9" s="1031"/>
      <c r="R9" s="1031"/>
      <c r="S9" s="1032"/>
      <c r="T9" s="106"/>
      <c r="U9" s="104"/>
      <c r="V9" s="105"/>
      <c r="W9" s="83" t="s">
        <v>246</v>
      </c>
      <c r="X9" s="1"/>
      <c r="Y9" s="1"/>
      <c r="Z9" s="1"/>
      <c r="AA9" s="1"/>
      <c r="AB9" s="1"/>
      <c r="AG9" s="83" t="str">
        <f>+'Equipment Data'!B84</f>
        <v>Plate and Frame</v>
      </c>
      <c r="AH9" s="83" t="str">
        <f>+'Equipment Data'!B105</f>
        <v>Packaged Steam Boilers</v>
      </c>
      <c r="AJ9" s="83" t="str">
        <f>+'Equipment Data'!B134</f>
        <v>Scraped Wall</v>
      </c>
      <c r="AK9" s="1"/>
      <c r="AL9" s="1"/>
      <c r="AP9" s="83" t="str">
        <f>+""</f>
        <v/>
      </c>
      <c r="AW9"/>
      <c r="AY9" s="1"/>
      <c r="AZ9" s="1"/>
      <c r="BA9" s="1"/>
      <c r="BH9" s="83" t="s">
        <v>562</v>
      </c>
      <c r="BO9" s="235" t="s">
        <v>189</v>
      </c>
      <c r="BP9" s="83" t="s">
        <v>567</v>
      </c>
      <c r="BT9" s="83" t="s">
        <v>564</v>
      </c>
      <c r="BU9" s="83" t="s">
        <v>564</v>
      </c>
      <c r="BV9" s="83" t="s">
        <v>564</v>
      </c>
      <c r="BW9" s="83" t="s">
        <v>564</v>
      </c>
      <c r="BX9" s="83" t="s">
        <v>564</v>
      </c>
      <c r="BY9" s="83" t="s">
        <v>564</v>
      </c>
      <c r="BZ9" s="83" t="s">
        <v>564</v>
      </c>
      <c r="CA9" s="83" t="s">
        <v>564</v>
      </c>
      <c r="CH9" s="1012"/>
      <c r="CI9" s="1013"/>
      <c r="CJ9" s="1013"/>
      <c r="CK9" s="1013"/>
      <c r="CL9" s="1013"/>
      <c r="CM9" s="1014"/>
      <c r="CN9" s="83"/>
      <c r="CO9" s="83"/>
    </row>
    <row r="10" spans="1:93" x14ac:dyDescent="0.3">
      <c r="A10" s="83"/>
      <c r="B10" s="104"/>
      <c r="C10" s="105"/>
      <c r="D10" s="105"/>
      <c r="E10" s="105"/>
      <c r="F10" s="105"/>
      <c r="G10" s="105"/>
      <c r="H10" s="105"/>
      <c r="I10" s="105"/>
      <c r="J10" s="105"/>
      <c r="K10" s="105"/>
      <c r="L10" s="105"/>
      <c r="M10" s="105"/>
      <c r="N10" s="105"/>
      <c r="O10" s="105"/>
      <c r="P10" s="105"/>
      <c r="Q10" s="105"/>
      <c r="R10" s="105"/>
      <c r="S10" s="105"/>
      <c r="T10" s="106"/>
      <c r="U10" s="104"/>
      <c r="V10" s="105"/>
      <c r="W10" s="83" t="s">
        <v>247</v>
      </c>
      <c r="X10" s="1"/>
      <c r="Y10" s="1"/>
      <c r="Z10" s="1"/>
      <c r="AA10" s="1"/>
      <c r="AB10" s="1"/>
      <c r="AG10" s="83" t="str">
        <f>+'Equipment Data'!B85</f>
        <v>Table</v>
      </c>
      <c r="AJ10" s="83" t="str">
        <f>+'Equipment Data'!B137</f>
        <v>Teflon Tube</v>
      </c>
      <c r="AK10" s="1"/>
      <c r="AL10" s="1"/>
      <c r="AW10" s="1"/>
      <c r="BH10" s="83" t="s">
        <v>564</v>
      </c>
      <c r="BO10" s="235" t="s">
        <v>190</v>
      </c>
      <c r="BT10" s="83" t="s">
        <v>532</v>
      </c>
      <c r="BU10" s="83" t="s">
        <v>532</v>
      </c>
      <c r="BV10" s="83" t="s">
        <v>532</v>
      </c>
      <c r="BW10" s="83" t="s">
        <v>532</v>
      </c>
      <c r="BX10" s="83" t="s">
        <v>532</v>
      </c>
      <c r="BY10" s="83" t="s">
        <v>532</v>
      </c>
      <c r="BZ10" s="83" t="s">
        <v>532</v>
      </c>
      <c r="CA10" s="83" t="s">
        <v>532</v>
      </c>
      <c r="CI10" s="83"/>
      <c r="CJ10" s="83"/>
      <c r="CK10" s="83"/>
      <c r="CL10" s="83"/>
      <c r="CM10" s="83"/>
      <c r="CN10" s="83"/>
      <c r="CO10" s="83"/>
    </row>
    <row r="11" spans="1:93" ht="18" x14ac:dyDescent="0.3">
      <c r="A11" s="83"/>
      <c r="B11" s="104"/>
      <c r="C11" s="105"/>
      <c r="D11" s="879" t="s">
        <v>511</v>
      </c>
      <c r="E11" s="880"/>
      <c r="F11" s="880"/>
      <c r="G11" s="880"/>
      <c r="H11" s="880"/>
      <c r="I11" s="880"/>
      <c r="J11" s="880"/>
      <c r="K11" s="880"/>
      <c r="L11" s="881"/>
      <c r="M11" s="879" t="s">
        <v>512</v>
      </c>
      <c r="N11" s="880"/>
      <c r="O11" s="880"/>
      <c r="P11" s="880"/>
      <c r="Q11" s="881"/>
      <c r="R11" s="105"/>
      <c r="S11" s="105"/>
      <c r="T11" s="106"/>
      <c r="U11" s="104"/>
      <c r="V11" s="105"/>
      <c r="W11" s="83" t="s">
        <v>248</v>
      </c>
      <c r="X11" s="1"/>
      <c r="Y11" s="1"/>
      <c r="Z11" s="1"/>
      <c r="AA11" s="1"/>
      <c r="AB11" s="1"/>
      <c r="AG11" s="83" t="str">
        <f>+'Equipment Data'!B86</f>
        <v>Tube</v>
      </c>
      <c r="AJ11" s="83" t="str">
        <f>+'Equipment Data'!B138</f>
        <v>Air Cooler</v>
      </c>
      <c r="AK11" s="1"/>
      <c r="AL11" s="1"/>
      <c r="AW11" s="1"/>
      <c r="BH11" s="83" t="s">
        <v>532</v>
      </c>
      <c r="BO11" s="235" t="s">
        <v>134</v>
      </c>
      <c r="BT11" s="83" t="s">
        <v>475</v>
      </c>
      <c r="BU11" s="83" t="s">
        <v>475</v>
      </c>
      <c r="BV11" s="83" t="s">
        <v>475</v>
      </c>
      <c r="BW11" s="83" t="s">
        <v>475</v>
      </c>
      <c r="BX11" s="83" t="s">
        <v>475</v>
      </c>
      <c r="BY11" s="83" t="s">
        <v>475</v>
      </c>
      <c r="BZ11" s="83" t="s">
        <v>475</v>
      </c>
      <c r="CA11" s="83" t="s">
        <v>475</v>
      </c>
      <c r="CI11" s="83"/>
      <c r="CJ11" s="83"/>
      <c r="CK11" s="83"/>
      <c r="CL11" s="83"/>
      <c r="CM11" s="83"/>
      <c r="CN11" s="83"/>
      <c r="CO11" s="83"/>
    </row>
    <row r="12" spans="1:93" ht="18" x14ac:dyDescent="0.3">
      <c r="A12" s="83"/>
      <c r="B12" s="104"/>
      <c r="C12" s="88" t="s">
        <v>239</v>
      </c>
      <c r="D12" s="299" t="s">
        <v>229</v>
      </c>
      <c r="E12" s="299" t="s">
        <v>348</v>
      </c>
      <c r="F12" s="263" t="s">
        <v>234</v>
      </c>
      <c r="G12" s="263" t="s">
        <v>476</v>
      </c>
      <c r="H12" s="265" t="s">
        <v>235</v>
      </c>
      <c r="I12" s="299" t="s">
        <v>236</v>
      </c>
      <c r="J12" s="264" t="s">
        <v>341</v>
      </c>
      <c r="K12" s="263" t="s">
        <v>340</v>
      </c>
      <c r="L12" s="263" t="s">
        <v>535</v>
      </c>
      <c r="M12" s="265" t="s">
        <v>230</v>
      </c>
      <c r="N12" s="265" t="s">
        <v>231</v>
      </c>
      <c r="O12" s="265" t="s">
        <v>534</v>
      </c>
      <c r="P12" s="265" t="s">
        <v>225</v>
      </c>
      <c r="Q12" s="264" t="s">
        <v>233</v>
      </c>
      <c r="R12" s="90" t="s">
        <v>266</v>
      </c>
      <c r="S12" s="90" t="s">
        <v>237</v>
      </c>
      <c r="T12" s="106"/>
      <c r="U12" s="104"/>
      <c r="V12" s="105"/>
      <c r="W12" s="83" t="s">
        <v>249</v>
      </c>
      <c r="X12" s="1"/>
      <c r="Y12" s="1"/>
      <c r="Z12" s="1"/>
      <c r="AA12" s="1"/>
      <c r="AB12" s="1"/>
      <c r="AJ12" s="83" t="s">
        <v>137</v>
      </c>
      <c r="AK12" s="1"/>
      <c r="AL12" s="1"/>
      <c r="AW12" s="1"/>
      <c r="BH12" s="83" t="s">
        <v>85</v>
      </c>
      <c r="BO12" s="235" t="s">
        <v>191</v>
      </c>
      <c r="CI12" s="83"/>
      <c r="CJ12" s="83"/>
      <c r="CK12" s="83"/>
      <c r="CL12" s="83"/>
      <c r="CM12" s="83"/>
      <c r="CN12" s="83"/>
      <c r="CO12" s="83"/>
    </row>
    <row r="13" spans="1:93" x14ac:dyDescent="0.3">
      <c r="A13" s="83"/>
      <c r="B13" s="104"/>
      <c r="C13" s="300"/>
      <c r="D13" s="268" t="s">
        <v>513</v>
      </c>
      <c r="E13" s="268" t="s">
        <v>7</v>
      </c>
      <c r="F13" s="293">
        <v>1</v>
      </c>
      <c r="G13" s="293" t="s">
        <v>354</v>
      </c>
      <c r="H13" s="293" t="s">
        <v>472</v>
      </c>
      <c r="I13" s="293" t="s">
        <v>354</v>
      </c>
      <c r="J13" s="293" t="str">
        <f>+IF(F13&gt;'Equipment Data'!$G$4,"yes","No")</f>
        <v>No</v>
      </c>
      <c r="K13" s="293">
        <v>0.67</v>
      </c>
      <c r="L13" s="293" t="s">
        <v>354</v>
      </c>
      <c r="M13" s="170">
        <f>+IF(AND(D13="Blender",E13="Kneader"),IF(F13&lt;'Equipment Data'!$G$4,10^('Equipment Data'!$C$4+'Equipment Data'!$D$4*LOG10(F13)+'Equipment Data'!$E$4*LOG10(F13)*LOG10(F13)),10^('Equipment Data'!$C$4+'Equipment Data'!$D$4*LOG10('Equipment Data'!$G$4)+'Equipment Data'!$E$4*LOG10('Equipment Data'!$G$4)*LOG10('Equipment Data'!$G$4))*(F13/'Equipment Data'!$G$4)^K13),"N/A")</f>
        <v>103299.92352432315</v>
      </c>
      <c r="N13" s="293" t="s">
        <v>354</v>
      </c>
      <c r="O13" s="293" t="s">
        <v>354</v>
      </c>
      <c r="P13" s="166">
        <f>+'Equipment Data'!$H$4</f>
        <v>1.1200000000000001</v>
      </c>
      <c r="Q13" s="167">
        <f>+M13*P13</f>
        <v>115695.91434724194</v>
      </c>
      <c r="R13" s="304"/>
      <c r="S13" s="305"/>
      <c r="T13" s="106"/>
      <c r="U13" s="104"/>
      <c r="V13" s="105"/>
      <c r="W13" s="83" t="s">
        <v>250</v>
      </c>
      <c r="X13" s="1"/>
      <c r="Y13" s="1"/>
      <c r="Z13" s="1"/>
      <c r="AA13" s="1"/>
      <c r="AB13" s="1"/>
      <c r="AJ13" s="83" t="str">
        <f>+'Equipment Data'!B141</f>
        <v>Spiral Plate</v>
      </c>
      <c r="AK13" s="1"/>
      <c r="AL13" s="1"/>
      <c r="AW13" s="1"/>
      <c r="BH13" s="83" t="s">
        <v>132</v>
      </c>
      <c r="BO13" s="105"/>
      <c r="CI13" s="83"/>
      <c r="CJ13" s="83"/>
      <c r="CK13" s="83"/>
      <c r="CL13" s="83"/>
      <c r="CM13" s="83"/>
      <c r="CN13" s="83"/>
      <c r="CO13" s="83"/>
    </row>
    <row r="14" spans="1:93" x14ac:dyDescent="0.3">
      <c r="A14" s="83"/>
      <c r="B14" s="104"/>
      <c r="C14" s="301"/>
      <c r="D14" s="268" t="s">
        <v>513</v>
      </c>
      <c r="E14" s="268" t="s">
        <v>8</v>
      </c>
      <c r="F14" s="293">
        <v>1</v>
      </c>
      <c r="G14" s="293" t="s">
        <v>354</v>
      </c>
      <c r="H14" s="293" t="s">
        <v>472</v>
      </c>
      <c r="I14" s="293" t="s">
        <v>354</v>
      </c>
      <c r="J14" s="293" t="str">
        <f>+IF(F14&gt;'Equipment Data'!$G$5,"yes","No")</f>
        <v>No</v>
      </c>
      <c r="K14" s="293">
        <v>0.67</v>
      </c>
      <c r="L14" s="293" t="s">
        <v>354</v>
      </c>
      <c r="M14" s="170">
        <f>+IF(AND(D14="Blender",E14="Ribbon"),IF(F14&lt;'Equipment Data'!$G$5,10^('Equipment Data'!$C$5+'Equipment Data'!$D$5*LOG10(F14)+'Equipment Data'!$E$5*LOG10(F14)*LOG10(F14)),10^('Equipment Data'!$C$5+'Equipment Data'!$D$5*LOG10('Equipment Data'!$G$5)+'Equipment Data'!$E$5*LOG10('Equipment Data'!$G$5)*LOG10('Equipment Data'!$G$5))*(F14/'Equipment Data'!$G$5)^K14),"N/A")</f>
        <v>13696.197186808045</v>
      </c>
      <c r="N14" s="293" t="s">
        <v>354</v>
      </c>
      <c r="O14" s="293" t="s">
        <v>354</v>
      </c>
      <c r="P14" s="166">
        <f>+'Equipment Data'!$H$5</f>
        <v>1.1200000000000001</v>
      </c>
      <c r="Q14" s="167">
        <f t="shared" ref="Q14:Q34" si="0">+M14*P14</f>
        <v>15339.740849225012</v>
      </c>
      <c r="R14" s="306"/>
      <c r="S14" s="307"/>
      <c r="T14" s="106"/>
      <c r="U14" s="104"/>
      <c r="V14" s="105"/>
      <c r="W14" s="83" t="s">
        <v>251</v>
      </c>
      <c r="X14" s="1"/>
      <c r="Y14" s="1"/>
      <c r="Z14" s="1"/>
      <c r="AA14" s="1"/>
      <c r="AB14" s="1"/>
      <c r="AJ14" s="83" t="str">
        <f>+'Equipment Data'!B142</f>
        <v>Flat Plate</v>
      </c>
      <c r="AK14" s="1"/>
      <c r="AL14" s="1"/>
      <c r="AW14" s="1"/>
      <c r="BH14" s="83" t="s">
        <v>87</v>
      </c>
      <c r="CI14" s="83"/>
      <c r="CJ14" s="83"/>
      <c r="CK14" s="83"/>
      <c r="CL14" s="83"/>
      <c r="CM14" s="83"/>
      <c r="CN14" s="83"/>
      <c r="CO14" s="83"/>
    </row>
    <row r="15" spans="1:93" x14ac:dyDescent="0.3">
      <c r="A15" s="83"/>
      <c r="B15" s="104"/>
      <c r="C15" s="302"/>
      <c r="D15" s="268" t="s">
        <v>513</v>
      </c>
      <c r="E15" s="268" t="s">
        <v>514</v>
      </c>
      <c r="F15" s="293">
        <v>1</v>
      </c>
      <c r="G15" s="293" t="s">
        <v>354</v>
      </c>
      <c r="H15" s="293" t="s">
        <v>472</v>
      </c>
      <c r="I15" s="293" t="s">
        <v>354</v>
      </c>
      <c r="J15" s="293" t="str">
        <f>+IF(F15&gt;'Equipment Data'!$G$6,"yes","No")</f>
        <v>No</v>
      </c>
      <c r="K15" s="293">
        <v>0.67</v>
      </c>
      <c r="L15" s="293" t="s">
        <v>354</v>
      </c>
      <c r="M15" s="170">
        <f>+IF(AND(D15="Blender",E15="Rotatory"), IF(F15&lt;'Equipment Data'!$G$6,10^('Equipment Data'!$C$6+'Equipment Data'!$D$6*LOG10(F15)+'Equipment Data'!$E$6*LOG10(F15)*LOG10(F15)),10^('Equipment Data'!$C$6+'Equipment Data'!$D$6*LOG10('Equipment Data'!$G$6)+'Equipment Data'!$E$6*LOG10('Equipment Data'!$G$6)*LOG10('Equipment Data'!$G$6))*(F15/'Equipment Data'!$G$6)^K15),"N/A")</f>
        <v>13696.197186808045</v>
      </c>
      <c r="N15" s="293" t="s">
        <v>354</v>
      </c>
      <c r="O15" s="165" t="s">
        <v>354</v>
      </c>
      <c r="P15" s="166">
        <f>+'Equipment Data'!$H$6</f>
        <v>1.1200000000000001</v>
      </c>
      <c r="Q15" s="167">
        <f t="shared" si="0"/>
        <v>15339.740849225012</v>
      </c>
      <c r="R15" s="308"/>
      <c r="S15" s="309"/>
      <c r="T15" s="106"/>
      <c r="U15" s="104"/>
      <c r="V15" s="105"/>
      <c r="W15" s="83" t="s">
        <v>252</v>
      </c>
      <c r="X15" s="1"/>
      <c r="Y15" s="1"/>
      <c r="Z15" s="1"/>
      <c r="AA15" s="1"/>
      <c r="AB15" s="1"/>
      <c r="AW15" s="1"/>
      <c r="BH15" s="83" t="s">
        <v>133</v>
      </c>
      <c r="CI15" s="83"/>
      <c r="CJ15" s="83"/>
      <c r="CK15" s="83"/>
      <c r="CL15" s="83"/>
      <c r="CM15" s="83"/>
      <c r="CN15" s="83"/>
      <c r="CO15" s="83"/>
    </row>
    <row r="16" spans="1:93" x14ac:dyDescent="0.3">
      <c r="A16" s="83"/>
      <c r="B16" s="104"/>
      <c r="C16" s="218"/>
      <c r="D16" s="268" t="s">
        <v>515</v>
      </c>
      <c r="E16" s="268" t="s">
        <v>516</v>
      </c>
      <c r="F16" s="293">
        <v>1</v>
      </c>
      <c r="G16" s="293" t="s">
        <v>354</v>
      </c>
      <c r="H16" s="293" t="s">
        <v>353</v>
      </c>
      <c r="I16" s="293" t="s">
        <v>354</v>
      </c>
      <c r="J16" s="293" t="str">
        <f>+IF(F16&gt;'Equipment Data'!$G$11,"yes","No")</f>
        <v>No</v>
      </c>
      <c r="K16" s="293">
        <v>0.67</v>
      </c>
      <c r="L16" s="293" t="s">
        <v>354</v>
      </c>
      <c r="M16" s="170">
        <f>+IF(AND(D16="Centrifuge",E16="Auto Batch Separator"),IF(F16&lt;'Equipment Data'!$G$11,10^('Equipment Data'!$C$11+'Equipment Data'!$D$11*LOG10(F16)+'Equipment Data'!$E$11*LOG10(F16)*LOG10(F16)),10^('Equipment Data'!$C$11+'Equipment Data'!$D$11*LOG10('Equipment Data'!$G$11)+'Equipment Data'!$E$11*LOG10('Equipment Data'!$G$11)*LOG10('Equipment Data'!$G$11))*(F16/'Equipment Data'!$G$11)^K16),"N/A")</f>
        <v>58627.314335344963</v>
      </c>
      <c r="N16" s="293" t="s">
        <v>354</v>
      </c>
      <c r="O16" s="296" t="s">
        <v>354</v>
      </c>
      <c r="P16" s="166">
        <f>+'Equipment Data'!$H$11</f>
        <v>1.57</v>
      </c>
      <c r="Q16" s="167">
        <f t="shared" si="0"/>
        <v>92044.883506491591</v>
      </c>
      <c r="R16" s="297"/>
      <c r="S16" s="223"/>
      <c r="T16" s="106"/>
      <c r="U16" s="104"/>
      <c r="V16" s="105"/>
      <c r="W16" s="83" t="s">
        <v>253</v>
      </c>
      <c r="X16" s="83"/>
      <c r="AW16" s="1"/>
      <c r="BH16" s="83" t="s">
        <v>134</v>
      </c>
      <c r="CI16" s="83"/>
      <c r="CJ16" s="83"/>
      <c r="CK16" s="83"/>
      <c r="CL16" s="83"/>
      <c r="CM16" s="83"/>
      <c r="CN16" s="83"/>
      <c r="CO16" s="83"/>
    </row>
    <row r="17" spans="1:93" x14ac:dyDescent="0.3">
      <c r="A17" s="83"/>
      <c r="B17" s="104"/>
      <c r="C17" s="216"/>
      <c r="D17" s="268" t="s">
        <v>515</v>
      </c>
      <c r="E17" s="268" t="s">
        <v>517</v>
      </c>
      <c r="F17" s="293">
        <v>1</v>
      </c>
      <c r="G17" s="293" t="s">
        <v>354</v>
      </c>
      <c r="H17" s="293" t="s">
        <v>353</v>
      </c>
      <c r="I17" s="293" t="s">
        <v>354</v>
      </c>
      <c r="J17" s="293" t="str">
        <f>+IF(F17&gt;'Equipment Data'!$G$12,"yes","No")</f>
        <v>No</v>
      </c>
      <c r="K17" s="293">
        <v>0.67</v>
      </c>
      <c r="L17" s="293" t="s">
        <v>354</v>
      </c>
      <c r="M17" s="170">
        <f>+IF(AND(D17="Centrifuge",E17="Centrifugal Separator"),IF(F17&lt;'Equipment Data'!$G$12,10^('Equipment Data'!$C$12+'Equipment Data'!$D$12*LOG10(F17)+'Equipment Data'!$E$12*LOG10(F17)*LOG10(F17)),10^('Equipment Data'!$C$12+'Equipment Data'!$D$12*LOG10('Equipment Data'!$G$12)+'Equipment Data'!$E$12*LOG10('Equipment Data'!$G$12)*LOG10('Equipment Data'!$G$12))*(F17/'Equipment Data'!$G$12)^K17),"N/A")</f>
        <v>22972.06307158358</v>
      </c>
      <c r="N17" s="293" t="s">
        <v>354</v>
      </c>
      <c r="O17" s="296" t="s">
        <v>354</v>
      </c>
      <c r="P17" s="166">
        <f>+'Equipment Data'!$H$12</f>
        <v>1.57</v>
      </c>
      <c r="Q17" s="167">
        <f t="shared" si="0"/>
        <v>36066.139022386218</v>
      </c>
      <c r="R17" s="294"/>
      <c r="S17" s="217"/>
      <c r="T17" s="106"/>
      <c r="U17" s="104"/>
      <c r="V17" s="105"/>
      <c r="W17" s="83" t="s">
        <v>269</v>
      </c>
      <c r="X17" s="83"/>
      <c r="AW17" s="1"/>
      <c r="BH17" s="83" t="s">
        <v>142</v>
      </c>
      <c r="CI17" s="83"/>
      <c r="CJ17" s="83"/>
      <c r="CK17" s="83"/>
      <c r="CL17" s="83"/>
      <c r="CM17" s="83"/>
      <c r="CN17" s="83"/>
      <c r="CO17" s="83"/>
    </row>
    <row r="18" spans="1:93" x14ac:dyDescent="0.3">
      <c r="A18" s="83"/>
      <c r="B18" s="104"/>
      <c r="C18" s="216"/>
      <c r="D18" s="268" t="s">
        <v>515</v>
      </c>
      <c r="E18" s="268" t="s">
        <v>15</v>
      </c>
      <c r="F18" s="293">
        <v>1</v>
      </c>
      <c r="G18" s="293" t="s">
        <v>354</v>
      </c>
      <c r="H18" s="293" t="s">
        <v>353</v>
      </c>
      <c r="I18" s="293" t="s">
        <v>354</v>
      </c>
      <c r="J18" s="293" t="str">
        <f>+IF(F18&gt;'Equipment Data'!$G$13,"yes","No")</f>
        <v>No</v>
      </c>
      <c r="K18" s="293">
        <v>0.67</v>
      </c>
      <c r="L18" s="293" t="s">
        <v>354</v>
      </c>
      <c r="M18" s="170">
        <f>+IF(AND(D18="Centrifuge",E18="Oscillating Screen"),IF(F18&lt;'Equipment Data'!$G$13,10^('Equipment Data'!$C$13+'Equipment Data'!$D$13*LOG10(F18)+'Equipment Data'!$E$13*LOG10(F18)*LOG10(F18)),10^('Equipment Data'!$C$13+'Equipment Data'!$D$13*LOG10('Equipment Data'!$G$13)+'Equipment Data'!$E$13*LOG10('Equipment Data'!$G$13)*LOG10('Equipment Data'!$G$13))*(F18/'Equipment Data'!$G$13)^K18),"N/A")</f>
        <v>72443.596007499116</v>
      </c>
      <c r="N18" s="293" t="s">
        <v>354</v>
      </c>
      <c r="O18" s="165" t="s">
        <v>354</v>
      </c>
      <c r="P18" s="166">
        <f>+'Equipment Data'!$H$13</f>
        <v>1.57</v>
      </c>
      <c r="Q18" s="167">
        <f t="shared" si="0"/>
        <v>113736.44573177362</v>
      </c>
      <c r="R18" s="294"/>
      <c r="S18" s="217"/>
      <c r="T18" s="106"/>
      <c r="U18" s="104"/>
      <c r="V18" s="105"/>
      <c r="W18" s="83" t="s">
        <v>255</v>
      </c>
      <c r="X18" s="83"/>
      <c r="AW18" s="1"/>
      <c r="CI18" s="83"/>
      <c r="CJ18" s="83"/>
      <c r="CK18" s="83"/>
      <c r="CL18" s="83"/>
      <c r="CM18" s="83"/>
      <c r="CN18" s="83"/>
      <c r="CO18" s="83"/>
    </row>
    <row r="19" spans="1:93" x14ac:dyDescent="0.3">
      <c r="A19" s="83"/>
      <c r="B19" s="104"/>
      <c r="C19" s="216"/>
      <c r="D19" s="268" t="s">
        <v>515</v>
      </c>
      <c r="E19" s="268" t="s">
        <v>16</v>
      </c>
      <c r="F19" s="293">
        <v>1</v>
      </c>
      <c r="G19" s="293" t="s">
        <v>354</v>
      </c>
      <c r="H19" s="293" t="s">
        <v>353</v>
      </c>
      <c r="I19" s="293" t="s">
        <v>354</v>
      </c>
      <c r="J19" s="293" t="str">
        <f>+IF(F19&gt;'Equipment Data'!$G$14,"yes","No")</f>
        <v>No</v>
      </c>
      <c r="K19" s="293">
        <v>0.67</v>
      </c>
      <c r="L19" s="293" t="s">
        <v>354</v>
      </c>
      <c r="M19" s="170">
        <f>+IF(AND(D19="Centrifuge",E19="Solid Bowl w/o Motor"),IF(F19&lt;'Equipment Data'!$G$14,10^('Equipment Data'!$C$14+'Equipment Data'!$D$14*LOG10(F19)+'Equipment Data'!$E$14*LOG10(F19)*LOG10(F19)),10^('Equipment Data'!$C$14+'Equipment Data'!$D$14*LOG10('Equipment Data'!$G$14)+'Equipment Data'!$E$14*LOG10('Equipment Data'!$G$14)*LOG10('Equipment Data'!$G$14))*(F19/'Equipment Data'!$G$14)^K19),"N/A")</f>
        <v>93260.985417429896</v>
      </c>
      <c r="N19" s="293" t="s">
        <v>354</v>
      </c>
      <c r="O19" s="165" t="s">
        <v>354</v>
      </c>
      <c r="P19" s="166">
        <f>+'Equipment Data'!$H$14</f>
        <v>1.27</v>
      </c>
      <c r="Q19" s="167">
        <f t="shared" si="0"/>
        <v>118441.45148013598</v>
      </c>
      <c r="R19" s="295"/>
      <c r="S19" s="225"/>
      <c r="T19" s="106"/>
      <c r="U19" s="104"/>
      <c r="V19" s="105"/>
      <c r="W19" s="83" t="s">
        <v>256</v>
      </c>
      <c r="X19" s="83"/>
      <c r="AW19" s="1"/>
      <c r="CI19" s="83"/>
      <c r="CJ19" s="83"/>
      <c r="CK19" s="83"/>
      <c r="CL19" s="83"/>
      <c r="CM19" s="83"/>
      <c r="CN19" s="83"/>
      <c r="CO19" s="83"/>
    </row>
    <row r="20" spans="1:93" x14ac:dyDescent="0.3">
      <c r="A20" s="83"/>
      <c r="B20" s="104"/>
      <c r="C20" s="300"/>
      <c r="D20" s="268" t="s">
        <v>261</v>
      </c>
      <c r="E20" s="268" t="s">
        <v>23</v>
      </c>
      <c r="F20" s="293">
        <v>1</v>
      </c>
      <c r="G20" s="293" t="s">
        <v>354</v>
      </c>
      <c r="H20" s="293" t="s">
        <v>474</v>
      </c>
      <c r="I20" s="293" t="s">
        <v>85</v>
      </c>
      <c r="J20" s="293" t="str">
        <f>+IF(F20&gt;'Equipment Data'!$J$19,"yes","No")</f>
        <v>No</v>
      </c>
      <c r="K20" s="293">
        <v>0.67</v>
      </c>
      <c r="L20" s="293" t="s">
        <v>354</v>
      </c>
      <c r="M20" s="170">
        <f>+IF(AND(D20="Compressor",E20="Centrifugal"),IF(F20&lt;'Equipment Data'!$J$19,10^('Equipment Data'!$C$19+'Equipment Data'!$D$19*LOG10(F20)+'Equipment Data'!$E$19*LOG10(F20)*LOG10(F20)),10^('Equipment Data'!$C$19+'Equipment Data'!$D$19*LOG10('Equipment Data'!$J$19)+'Equipment Data'!$E$19*LOG10('Equipment Data'!$J$19)*LOG10('Equipment Data'!$J$19))*(F20/'Equipment Data'!$J$19)^K20),"N/A")</f>
        <v>194.58080689095721</v>
      </c>
      <c r="N20" s="293" t="s">
        <v>354</v>
      </c>
      <c r="O20" s="296" t="s">
        <v>354</v>
      </c>
      <c r="P20" s="166">
        <f>+IF(I20="CS",'Equipment Data'!$F$19,IF(I20="SS",'Equipment Data'!$G$19,IF(I20="Ni",'Equipment Data'!$H$19,"N/A")))</f>
        <v>2.74</v>
      </c>
      <c r="Q20" s="167">
        <f t="shared" si="0"/>
        <v>533.15141088122277</v>
      </c>
      <c r="R20" s="304"/>
      <c r="S20" s="310"/>
      <c r="T20" s="106"/>
      <c r="U20" s="104"/>
      <c r="V20" s="105"/>
      <c r="W20" s="83" t="s">
        <v>257</v>
      </c>
      <c r="X20" s="83"/>
      <c r="AW20" s="1"/>
      <c r="CI20" s="83"/>
      <c r="CJ20" s="83"/>
      <c r="CK20" s="83"/>
      <c r="CL20" s="83"/>
      <c r="CM20" s="83"/>
      <c r="CN20" s="83"/>
      <c r="CO20" s="83"/>
    </row>
    <row r="21" spans="1:93" x14ac:dyDescent="0.3">
      <c r="A21" s="83"/>
      <c r="B21" s="104"/>
      <c r="C21" s="301"/>
      <c r="D21" s="233" t="s">
        <v>261</v>
      </c>
      <c r="E21" s="268" t="s">
        <v>24</v>
      </c>
      <c r="F21" s="293">
        <v>1</v>
      </c>
      <c r="G21" s="293" t="s">
        <v>354</v>
      </c>
      <c r="H21" s="293" t="s">
        <v>474</v>
      </c>
      <c r="I21" s="293" t="s">
        <v>85</v>
      </c>
      <c r="J21" s="293" t="str">
        <f>+IF(F21&gt;'Equipment Data'!$J$20,"yes","No")</f>
        <v>No</v>
      </c>
      <c r="K21" s="293">
        <v>0.67</v>
      </c>
      <c r="L21" s="293" t="s">
        <v>354</v>
      </c>
      <c r="M21" s="170">
        <f>+IF(AND(D21="Compressor",E21="Axial"),IF(F21&lt;'Equipment Data'!$J$20,10^('Equipment Data'!$C$20+'Equipment Data'!$D$20*LOG10(F21)+'Equipment Data'!$E$20*LOG10(F21)*LOG10(F21)),10^('Equipment Data'!$C$20+'Equipment Data'!$D$20*LOG10('Equipment Data'!$J$20)+'Equipment Data'!$E$20*LOG10('Equipment Data'!$J$20)*LOG10('Equipment Data'!$J$20))*(F21/'Equipment Data'!$J$20)^K21),"N/A")</f>
        <v>194.58080689095721</v>
      </c>
      <c r="N21" s="293" t="s">
        <v>354</v>
      </c>
      <c r="O21" s="293" t="s">
        <v>354</v>
      </c>
      <c r="P21" s="166">
        <f>+IF(I21="CS",'Equipment Data'!$F$20,IF(I21="SS",'Equipment Data'!$G$20,IF(I21="Ni",'Equipment Data'!$H$20,"N/A")))</f>
        <v>3.83</v>
      </c>
      <c r="Q21" s="167">
        <f t="shared" si="0"/>
        <v>745.24449039236606</v>
      </c>
      <c r="R21" s="306"/>
      <c r="S21" s="311"/>
      <c r="T21" s="106"/>
      <c r="U21" s="105"/>
      <c r="V21" s="105"/>
      <c r="W21" s="83" t="s">
        <v>148</v>
      </c>
      <c r="X21" s="83"/>
      <c r="AW21" s="1"/>
      <c r="CI21" s="83"/>
      <c r="CJ21" s="83"/>
      <c r="CK21" s="83"/>
      <c r="CL21" s="83"/>
      <c r="CM21" s="83"/>
      <c r="CN21" s="83"/>
      <c r="CO21" s="83"/>
    </row>
    <row r="22" spans="1:93" x14ac:dyDescent="0.3">
      <c r="A22" s="83"/>
      <c r="B22" s="104"/>
      <c r="C22" s="301"/>
      <c r="D22" s="268" t="s">
        <v>261</v>
      </c>
      <c r="E22" s="268" t="s">
        <v>514</v>
      </c>
      <c r="F22" s="293">
        <v>1</v>
      </c>
      <c r="G22" s="293" t="s">
        <v>354</v>
      </c>
      <c r="H22" s="293" t="s">
        <v>474</v>
      </c>
      <c r="I22" s="293" t="s">
        <v>85</v>
      </c>
      <c r="J22" s="293" t="str">
        <f>+IF(F22&gt;'Equipment Data'!$J$21,"yes","No")</f>
        <v>No</v>
      </c>
      <c r="K22" s="293">
        <v>0.67</v>
      </c>
      <c r="L22" s="293" t="s">
        <v>354</v>
      </c>
      <c r="M22" s="170">
        <f>+IF(AND(D22="Compressor",E22="Rotatory"),IF(F22&lt;'Equipment Data'!$J$21,10^('Equipment Data'!$C$21+'Equipment Data'!$D$21*LOG10(F22)+'Equipment Data'!$E$21*LOG10(F22)*LOG10(F22)),10^('Equipment Data'!$C$21+'Equipment Data'!$D$21*LOG10('Equipment Data'!$J$21)+'Equipment Data'!$E$21*LOG10('Equipment Data'!$J$21)*LOG10('Equipment Data'!$J$21))*(F22/'Equipment Data'!$J$21)^K22),"N/A")</f>
        <v>108517.55496327807</v>
      </c>
      <c r="N22" s="293" t="s">
        <v>354</v>
      </c>
      <c r="O22" s="293" t="s">
        <v>354</v>
      </c>
      <c r="P22" s="166">
        <f>+IF(I22="CS",'Equipment Data'!$F$21,IF(I22="SS",'Equipment Data'!$G$21,IF(I22="Ni",'Equipment Data'!$H$21,"N/A")))</f>
        <v>2.41</v>
      </c>
      <c r="Q22" s="167">
        <f t="shared" si="0"/>
        <v>261527.30746150017</v>
      </c>
      <c r="R22" s="306"/>
      <c r="S22" s="311"/>
      <c r="T22" s="106"/>
      <c r="U22" s="105"/>
      <c r="V22" s="105"/>
      <c r="W22" s="83" t="s">
        <v>259</v>
      </c>
      <c r="X22" s="83"/>
      <c r="AW22" s="1"/>
      <c r="CI22" s="83"/>
      <c r="CJ22" s="83"/>
      <c r="CK22" s="83"/>
      <c r="CL22" s="83"/>
      <c r="CM22" s="83"/>
      <c r="CN22" s="83"/>
      <c r="CO22" s="83"/>
    </row>
    <row r="23" spans="1:93" x14ac:dyDescent="0.3">
      <c r="A23" s="83"/>
      <c r="B23" s="104"/>
      <c r="C23" s="301"/>
      <c r="D23" s="268" t="s">
        <v>261</v>
      </c>
      <c r="E23" s="268" t="s">
        <v>25</v>
      </c>
      <c r="F23" s="293">
        <v>1</v>
      </c>
      <c r="G23" s="293" t="s">
        <v>354</v>
      </c>
      <c r="H23" s="293" t="s">
        <v>474</v>
      </c>
      <c r="I23" s="293" t="s">
        <v>85</v>
      </c>
      <c r="J23" s="293" t="str">
        <f>+IF(F23&gt;'Equipment Data'!$J$22,"yes","No")</f>
        <v>No</v>
      </c>
      <c r="K23" s="293">
        <v>0.67</v>
      </c>
      <c r="L23" s="293" t="s">
        <v>354</v>
      </c>
      <c r="M23" s="170">
        <f>+IF(AND(D23="Compressor",E23="Reciprocating"),IF(F23&lt;'Equipment Data'!$J$22,10^('Equipment Data'!$C$22+'Equipment Data'!$D$22*LOG10(F23)+'Equipment Data'!$E$22*LOG10(F23)*LOG10(F23)),10^('Equipment Data'!$C$22+'Equipment Data'!$D$22*LOG10('Equipment Data'!$J$22)+'Equipment Data'!$E$22*LOG10('Equipment Data'!$J$22)*LOG10('Equipment Data'!$J$22))*(F23/'Equipment Data'!$J$22)^K23),"N/A")</f>
        <v>194.58080689095721</v>
      </c>
      <c r="N23" s="293" t="s">
        <v>354</v>
      </c>
      <c r="O23" s="293" t="s">
        <v>354</v>
      </c>
      <c r="P23" s="166">
        <f>+IF(I23="CS",'Equipment Data'!$F$22,IF(I23="SS",'Equipment Data'!$G$22,IF(I23="Ni",'Equipment Data'!$H$22,"N/A")))</f>
        <v>3.37</v>
      </c>
      <c r="Q23" s="167">
        <f t="shared" si="0"/>
        <v>655.7373192225258</v>
      </c>
      <c r="R23" s="306"/>
      <c r="S23" s="311"/>
      <c r="T23" s="106"/>
      <c r="U23" s="105"/>
      <c r="V23" s="105"/>
      <c r="W23" s="83" t="s">
        <v>260</v>
      </c>
      <c r="X23" s="83"/>
      <c r="AW23" s="1"/>
      <c r="CI23" s="83"/>
      <c r="CJ23" s="83"/>
      <c r="CK23" s="83"/>
      <c r="CL23" s="83"/>
      <c r="CM23" s="83"/>
      <c r="CN23" s="83"/>
      <c r="CO23" s="83"/>
    </row>
    <row r="24" spans="1:93" x14ac:dyDescent="0.3">
      <c r="A24" s="83"/>
      <c r="B24" s="104"/>
      <c r="C24" s="218"/>
      <c r="D24" s="268" t="s">
        <v>243</v>
      </c>
      <c r="E24" s="268" t="s">
        <v>29</v>
      </c>
      <c r="F24" s="293">
        <v>1</v>
      </c>
      <c r="G24" s="293" t="s">
        <v>354</v>
      </c>
      <c r="H24" s="293" t="s">
        <v>352</v>
      </c>
      <c r="I24" s="293" t="s">
        <v>354</v>
      </c>
      <c r="J24" s="293" t="str">
        <f>+IF(F24&gt;'Equipment Data'!$G$27,"yes","No")</f>
        <v>No</v>
      </c>
      <c r="K24" s="293">
        <v>0.67</v>
      </c>
      <c r="L24" s="293" t="s">
        <v>354</v>
      </c>
      <c r="M24" s="170">
        <f>+IF(AND(D24="Conveyor",E24="Apron"),IF(F24&lt;'Equipment Data'!$G$27,10^('Equipment Data'!$C$27+'Equipment Data'!$D$27*LOG10(F24)+'Equipment Data'!$E$27*LOG10(F24)*LOG10(F24)),10^('Equipment Data'!$C$27+'Equipment Data'!$D$27*LOG10('Equipment Data'!$G$27)+'Equipment Data'!$E$27*LOG10('Equipment Data'!$G$27)*LOG10('Equipment Data'!$G$27))*(F24/'Equipment Data'!$G$27)),"N/A")</f>
        <v>8423.643914384018</v>
      </c>
      <c r="N24" s="293" t="s">
        <v>354</v>
      </c>
      <c r="O24" s="293" t="s">
        <v>354</v>
      </c>
      <c r="P24" s="166">
        <f>+'Equipment Data'!$H$27</f>
        <v>2</v>
      </c>
      <c r="Q24" s="167">
        <f t="shared" si="0"/>
        <v>16847.287828768036</v>
      </c>
      <c r="R24" s="297"/>
      <c r="S24" s="201"/>
      <c r="T24" s="106"/>
      <c r="U24" s="105"/>
      <c r="V24" s="105"/>
      <c r="W24" s="83" t="s">
        <v>210</v>
      </c>
      <c r="X24" s="83"/>
      <c r="AT24" s="105"/>
      <c r="AW24" s="1"/>
      <c r="CI24" s="83"/>
      <c r="CJ24" s="83"/>
      <c r="CK24" s="83"/>
      <c r="CL24" s="83"/>
      <c r="CM24" s="83"/>
      <c r="CN24" s="83"/>
      <c r="CO24" s="83"/>
    </row>
    <row r="25" spans="1:93" x14ac:dyDescent="0.3">
      <c r="A25" s="83"/>
      <c r="B25" s="104"/>
      <c r="C25" s="216"/>
      <c r="D25" s="268" t="s">
        <v>243</v>
      </c>
      <c r="E25" s="268" t="s">
        <v>30</v>
      </c>
      <c r="F25" s="293">
        <v>1</v>
      </c>
      <c r="G25" s="293" t="s">
        <v>354</v>
      </c>
      <c r="H25" s="293" t="s">
        <v>352</v>
      </c>
      <c r="I25" s="293" t="s">
        <v>354</v>
      </c>
      <c r="J25" s="293" t="str">
        <f>+IF(F25&gt;'Equipment Data'!$G$28,"yes","No")</f>
        <v>No</v>
      </c>
      <c r="K25" s="293">
        <v>0.67</v>
      </c>
      <c r="L25" s="293" t="s">
        <v>354</v>
      </c>
      <c r="M25" s="170">
        <f>+IF(AND(D25="Conveyor",E25="Belt"),IF(F25&lt;'Equipment Data'!$G$28,10^('Equipment Data'!$C$28+'Equipment Data'!$D$28*LOG10(F25)+'Equipment Data'!$E$28*LOG10(F25)*LOG10(F25)),10^('Equipment Data'!$C$28+'Equipment Data'!$D$28*LOG10('Equipment Data'!$G$28)+'Equipment Data'!$E$28*LOG10('Equipment Data'!$G$28)*LOG10('Equipment Data'!$G$28))*(F25/'Equipment Data'!$G$28)),"N/A")</f>
        <v>11579.771775189412</v>
      </c>
      <c r="N25" s="293" t="s">
        <v>354</v>
      </c>
      <c r="O25" s="293" t="s">
        <v>354</v>
      </c>
      <c r="P25" s="166">
        <f>+'Equipment Data'!$H$28</f>
        <v>1.25</v>
      </c>
      <c r="Q25" s="167">
        <f t="shared" si="0"/>
        <v>14474.714718986765</v>
      </c>
      <c r="R25" s="294"/>
      <c r="S25" s="168"/>
      <c r="T25" s="106"/>
      <c r="U25" s="105"/>
      <c r="V25" s="105"/>
      <c r="W25" s="83" t="s">
        <v>536</v>
      </c>
      <c r="X25" s="83"/>
      <c r="AT25" s="105"/>
      <c r="CI25" s="83"/>
      <c r="CJ25" s="83"/>
      <c r="CK25" s="83"/>
      <c r="CL25" s="83"/>
      <c r="CM25" s="83"/>
      <c r="CN25" s="83"/>
      <c r="CO25" s="83"/>
    </row>
    <row r="26" spans="1:93" x14ac:dyDescent="0.3">
      <c r="A26" s="83"/>
      <c r="B26" s="104"/>
      <c r="C26" s="216"/>
      <c r="D26" s="268" t="s">
        <v>243</v>
      </c>
      <c r="E26" s="268" t="s">
        <v>31</v>
      </c>
      <c r="F26" s="293">
        <v>1</v>
      </c>
      <c r="G26" s="293" t="s">
        <v>354</v>
      </c>
      <c r="H26" s="293" t="s">
        <v>352</v>
      </c>
      <c r="I26" s="293" t="s">
        <v>354</v>
      </c>
      <c r="J26" s="293" t="str">
        <f>+IF(F26&gt;'Equipment Data'!$G$29,"yes","No")</f>
        <v>No</v>
      </c>
      <c r="K26" s="293">
        <v>0.67</v>
      </c>
      <c r="L26" s="293" t="s">
        <v>354</v>
      </c>
      <c r="M26" s="170">
        <f>+IF(AND(D26="Conveyor",E26="Pneumatic"),IF(F26&lt;'Equipment Data'!$G$29,10^('Equipment Data'!$C$29+'Equipment Data'!$D$29*LOG10(F26)+'Equipment Data'!$E$29*LOG10(F26)*LOG10(F26)),10^('Equipment Data'!$C$29+'Equipment Data'!$D$29*LOG10('Equipment Data'!$G$29)+'Equipment Data'!$E$29*LOG10('Equipment Data'!$G$29)*LOG10('Equipment Data'!$G$29))*(F26/'Equipment Data'!$G$29)),"N/A")</f>
        <v>45877.527054713617</v>
      </c>
      <c r="N26" s="293" t="s">
        <v>354</v>
      </c>
      <c r="O26" s="293" t="s">
        <v>354</v>
      </c>
      <c r="P26" s="166">
        <f>+'Equipment Data'!$H$29</f>
        <v>1.25</v>
      </c>
      <c r="Q26" s="167">
        <f t="shared" si="0"/>
        <v>57346.908818392025</v>
      </c>
      <c r="R26" s="294"/>
      <c r="S26" s="168"/>
      <c r="T26" s="106"/>
      <c r="U26" s="105"/>
      <c r="V26" s="105"/>
      <c r="W26" s="105"/>
      <c r="X26" s="105"/>
      <c r="Y26" s="105"/>
      <c r="Z26" s="105"/>
      <c r="AA26" s="105"/>
      <c r="AB26" s="105"/>
      <c r="AC26" s="105"/>
      <c r="AD26" s="105"/>
      <c r="AE26" s="105"/>
      <c r="AF26" s="105"/>
      <c r="AG26" s="105"/>
      <c r="AH26" s="105"/>
      <c r="AI26" s="105"/>
      <c r="AJ26" s="105"/>
      <c r="AK26" s="105"/>
      <c r="AL26" s="105"/>
      <c r="AM26" s="105"/>
      <c r="AN26" s="105"/>
      <c r="AO26" s="105"/>
      <c r="AP26" s="105"/>
      <c r="AQ26" s="105"/>
      <c r="AR26" s="105"/>
      <c r="AS26" s="105"/>
      <c r="AT26" s="105"/>
      <c r="AU26" s="105"/>
      <c r="AV26" s="105"/>
      <c r="AW26" s="105"/>
      <c r="AX26" s="105"/>
      <c r="AY26" s="105"/>
      <c r="AZ26" s="105"/>
      <c r="BA26" s="105"/>
      <c r="BB26" s="105"/>
      <c r="BC26" s="105"/>
      <c r="BD26" s="105"/>
      <c r="BE26" s="105"/>
      <c r="BF26" s="105"/>
      <c r="BG26" s="105"/>
      <c r="BH26" s="105"/>
      <c r="BI26" s="105"/>
      <c r="BJ26" s="105"/>
      <c r="BK26" s="105"/>
      <c r="BL26" s="105"/>
      <c r="BM26" s="105"/>
      <c r="BN26" s="105"/>
      <c r="BO26" s="105"/>
      <c r="BP26" s="105"/>
      <c r="BQ26" s="105"/>
      <c r="BR26" s="105"/>
      <c r="BS26" s="105"/>
      <c r="BT26" s="105"/>
      <c r="BU26" s="105"/>
      <c r="BV26" s="105"/>
      <c r="BW26" s="105"/>
      <c r="BX26" s="105"/>
      <c r="BY26" s="105"/>
      <c r="BZ26" s="105"/>
      <c r="CA26" s="105"/>
      <c r="CB26" s="105"/>
      <c r="CC26" s="105"/>
      <c r="CD26" s="105"/>
      <c r="CE26" s="105"/>
      <c r="CF26" s="105"/>
      <c r="CG26" s="105"/>
      <c r="CH26" s="105"/>
      <c r="CI26" s="105"/>
      <c r="CJ26" s="83"/>
      <c r="CK26" s="83"/>
      <c r="CL26" s="83"/>
      <c r="CM26" s="83"/>
      <c r="CN26" s="83"/>
      <c r="CO26" s="83"/>
    </row>
    <row r="27" spans="1:93" x14ac:dyDescent="0.3">
      <c r="A27" s="83"/>
      <c r="B27" s="104"/>
      <c r="C27" s="224"/>
      <c r="D27" s="268" t="s">
        <v>243</v>
      </c>
      <c r="E27" s="268" t="s">
        <v>32</v>
      </c>
      <c r="F27" s="293">
        <v>1</v>
      </c>
      <c r="G27" s="293" t="s">
        <v>354</v>
      </c>
      <c r="H27" s="293" t="s">
        <v>352</v>
      </c>
      <c r="I27" s="293" t="s">
        <v>354</v>
      </c>
      <c r="J27" s="293" t="str">
        <f>+IF(F27&gt;'Equipment Data'!$G$30,"yes","No")</f>
        <v>No</v>
      </c>
      <c r="K27" s="293">
        <v>0.67</v>
      </c>
      <c r="L27" s="293" t="s">
        <v>354</v>
      </c>
      <c r="M27" s="170">
        <f>+IF(AND(D27="Conveyor",E27="Screw"),IF(F27&lt;'Equipment Data'!$G$30,10^('Equipment Data'!$C$30+'Equipment Data'!$D$30*LOG10(F27)+'Equipment Data'!$E$30*LOG10(F27)*LOG10(F27)),10^('Equipment Data'!$C$30+'Equipment Data'!$D$30*LOG10('Equipment Data'!$G$30)+'Equipment Data'!$E$30*LOG10('Equipment Data'!$G$30)*LOG10('Equipment Data'!$G$30))*(F27/'Equipment Data'!$G$30)),"N/A")</f>
        <v>4038.3132134885159</v>
      </c>
      <c r="N27" s="293" t="s">
        <v>354</v>
      </c>
      <c r="O27" s="293" t="s">
        <v>354</v>
      </c>
      <c r="P27" s="166">
        <f>+'Equipment Data'!$H$30</f>
        <v>1.1000000000000001</v>
      </c>
      <c r="Q27" s="167">
        <f t="shared" si="0"/>
        <v>4442.1445348373682</v>
      </c>
      <c r="R27" s="295"/>
      <c r="S27" s="202"/>
      <c r="T27" s="106"/>
      <c r="U27" s="105"/>
      <c r="V27" s="105"/>
      <c r="W27" s="105"/>
      <c r="X27" s="105"/>
      <c r="Y27" s="105"/>
      <c r="Z27" s="105"/>
      <c r="AA27" s="105"/>
      <c r="AB27" s="105"/>
      <c r="AC27" s="105"/>
      <c r="AD27" s="105"/>
      <c r="AE27" s="105"/>
      <c r="AF27" s="105"/>
      <c r="AG27" s="105"/>
      <c r="AH27" s="105"/>
      <c r="AI27" s="105"/>
      <c r="AJ27" s="105"/>
      <c r="AK27" s="105"/>
      <c r="AL27" s="105"/>
      <c r="AM27" s="105"/>
      <c r="AN27" s="105"/>
      <c r="AO27" s="105"/>
      <c r="AP27" s="105"/>
      <c r="AQ27" s="105"/>
      <c r="AR27" s="105"/>
      <c r="AS27" s="105"/>
      <c r="AT27" s="105"/>
      <c r="AU27" s="105"/>
      <c r="AV27" s="105"/>
      <c r="AW27" s="105"/>
      <c r="AX27" s="105"/>
      <c r="AY27" s="105"/>
      <c r="AZ27" s="105"/>
      <c r="BA27" s="105"/>
      <c r="BB27" s="105"/>
      <c r="BC27" s="105"/>
      <c r="BD27" s="105"/>
      <c r="BE27" s="105"/>
      <c r="BF27" s="105"/>
      <c r="BG27" s="105"/>
      <c r="BH27" s="105"/>
      <c r="BI27" s="105"/>
      <c r="BJ27" s="105"/>
      <c r="BK27" s="105"/>
      <c r="BL27" s="105"/>
      <c r="BM27" s="105"/>
      <c r="BN27" s="105"/>
      <c r="BO27" s="105"/>
      <c r="BP27" s="105"/>
      <c r="BQ27" s="105"/>
      <c r="BR27" s="105"/>
      <c r="BS27" s="105"/>
      <c r="BT27" s="105"/>
      <c r="BU27" s="105"/>
      <c r="BV27" s="105"/>
      <c r="BW27" s="105"/>
      <c r="BX27" s="105"/>
      <c r="BY27" s="105"/>
      <c r="BZ27" s="105"/>
      <c r="CA27" s="105"/>
      <c r="CB27" s="105"/>
      <c r="CC27" s="105"/>
      <c r="CD27" s="105"/>
      <c r="CE27" s="105"/>
      <c r="CF27" s="105"/>
      <c r="CG27" s="105"/>
      <c r="CH27" s="105"/>
      <c r="CI27" s="105"/>
      <c r="CJ27" s="83"/>
      <c r="CK27" s="83"/>
      <c r="CL27" s="83"/>
      <c r="CM27" s="83"/>
      <c r="CN27" s="83"/>
      <c r="CO27" s="83"/>
    </row>
    <row r="28" spans="1:93" x14ac:dyDescent="0.3">
      <c r="A28" s="83"/>
      <c r="B28" s="104"/>
      <c r="C28" s="303"/>
      <c r="D28" s="268" t="s">
        <v>518</v>
      </c>
      <c r="E28" s="268" t="s">
        <v>34</v>
      </c>
      <c r="F28" s="293">
        <v>1</v>
      </c>
      <c r="G28" s="293" t="s">
        <v>354</v>
      </c>
      <c r="H28" s="293" t="s">
        <v>472</v>
      </c>
      <c r="I28" s="293" t="s">
        <v>354</v>
      </c>
      <c r="J28" s="293" t="str">
        <f>+IF(F28&gt;'Equipment Data'!$G$35,"yes","No")</f>
        <v>No</v>
      </c>
      <c r="K28" s="293">
        <v>0.67</v>
      </c>
      <c r="L28" s="293" t="s">
        <v>354</v>
      </c>
      <c r="M28" s="170">
        <f>+IF(AND(D28="Crystallizer",E28="Batch"),IF(F28&lt;'Equipment Data'!$G$35,10^('Equipment Data'!$C$35+'Equipment Data'!$D$35*LOG10(F28)+'Equipment Data'!$E$35*LOG10(F28)*LOG10(F28)),10^('Equipment Data'!$C$35+'Equipment Data'!$D$35*LOG10('Equipment Data'!$G$35)+'Equipment Data'!$E$35*LOG10('Equipment Data'!$G$35)*LOG10('Equipment Data'!$G$35))*(F28/'Equipment Data'!$G$35)^0.67),"N/A")</f>
        <v>32337.020353739092</v>
      </c>
      <c r="N28" s="293" t="s">
        <v>354</v>
      </c>
      <c r="O28" s="293" t="s">
        <v>354</v>
      </c>
      <c r="P28" s="166">
        <f>+'Equipment Data'!$H$35</f>
        <v>1.6</v>
      </c>
      <c r="Q28" s="167">
        <f t="shared" si="0"/>
        <v>51739.232565982551</v>
      </c>
      <c r="R28" s="312"/>
      <c r="S28" s="313"/>
      <c r="T28" s="106"/>
      <c r="U28" s="105"/>
      <c r="V28" s="105"/>
      <c r="W28" s="105"/>
      <c r="X28" s="105"/>
      <c r="Y28" s="105"/>
      <c r="Z28" s="105"/>
      <c r="AA28" s="105"/>
      <c r="AB28" s="105"/>
      <c r="AC28" s="105"/>
      <c r="AD28" s="105"/>
      <c r="AE28" s="105"/>
      <c r="AF28" s="105"/>
      <c r="AG28" s="105"/>
      <c r="AH28" s="105"/>
      <c r="AI28" s="105"/>
      <c r="AJ28" s="105"/>
      <c r="AK28" s="105"/>
      <c r="AL28" s="105"/>
      <c r="AM28" s="105"/>
      <c r="AN28" s="105"/>
      <c r="AO28" s="105"/>
      <c r="AP28" s="105"/>
      <c r="AQ28" s="105"/>
      <c r="AR28" s="105"/>
      <c r="AS28" s="105"/>
      <c r="AT28" s="105"/>
      <c r="AU28" s="105"/>
      <c r="AV28" s="105"/>
      <c r="AW28" s="105"/>
      <c r="AX28" s="105"/>
      <c r="AY28" s="105"/>
      <c r="AZ28" s="105"/>
      <c r="BA28" s="105"/>
      <c r="BB28" s="105"/>
      <c r="BC28" s="105"/>
      <c r="BD28" s="105"/>
      <c r="BE28" s="105"/>
      <c r="BF28" s="105"/>
      <c r="BG28" s="105"/>
      <c r="BH28" s="105"/>
      <c r="BI28" s="105"/>
      <c r="BJ28" s="105"/>
      <c r="BK28" s="105"/>
      <c r="BL28" s="105"/>
      <c r="BM28" s="105"/>
      <c r="BN28" s="105"/>
      <c r="BO28" s="105"/>
      <c r="BP28" s="105"/>
      <c r="BQ28" s="105"/>
      <c r="BR28" s="105"/>
      <c r="BS28" s="105"/>
      <c r="BT28" s="105"/>
      <c r="BU28" s="105"/>
      <c r="BV28" s="105"/>
      <c r="BW28" s="105"/>
      <c r="BX28" s="105"/>
      <c r="BY28" s="105"/>
      <c r="BZ28" s="105"/>
      <c r="CA28" s="105"/>
      <c r="CB28" s="105"/>
      <c r="CC28" s="105"/>
      <c r="CD28" s="105"/>
      <c r="CE28" s="105"/>
      <c r="CF28" s="105"/>
      <c r="CG28" s="105"/>
      <c r="CH28" s="105"/>
      <c r="CI28" s="105"/>
      <c r="CJ28" s="83"/>
      <c r="CK28" s="83"/>
      <c r="CL28" s="83"/>
      <c r="CM28" s="83"/>
      <c r="CN28" s="83"/>
      <c r="CO28" s="83"/>
    </row>
    <row r="29" spans="1:93" x14ac:dyDescent="0.3">
      <c r="A29" s="83"/>
      <c r="B29" s="104"/>
      <c r="C29" s="218"/>
      <c r="D29" s="268" t="s">
        <v>519</v>
      </c>
      <c r="E29" s="268" t="s">
        <v>36</v>
      </c>
      <c r="F29" s="293">
        <v>1</v>
      </c>
      <c r="G29" s="293" t="s">
        <v>354</v>
      </c>
      <c r="H29" s="293" t="s">
        <v>474</v>
      </c>
      <c r="I29" s="293" t="s">
        <v>354</v>
      </c>
      <c r="J29" s="293" t="str">
        <f>+IF(F29&gt;'Equipment Data'!$H$40,"yes","No")</f>
        <v>No</v>
      </c>
      <c r="K29" s="293">
        <v>0.67</v>
      </c>
      <c r="L29" s="293" t="s">
        <v>354</v>
      </c>
      <c r="M29" s="170">
        <f>+IF(AND(D29="Drive",E29="Explosion Proof"),IF(F29&lt;'Equipment Data'!$H$40,10^('Equipment Data'!$C$40+'Equipment Data'!$D$40*LOG10(F29)+'Equipment Data'!$E$40*LOG10(F29)*LOG10(F29)),10^('Equipment Data'!$C$40+LOG10('Equipment Data'!$H$40)*'Equipment Data'!$D$40+'Equipment Data'!$E$40*LOG10('Equipment Data'!$H$40)*LOG10('Equipment Data'!$H$40))*(F29/'Equipment Data'!$H$40)^K29),"N/A")</f>
        <v>288.66890179482755</v>
      </c>
      <c r="N29" s="293" t="s">
        <v>354</v>
      </c>
      <c r="O29" s="293" t="s">
        <v>354</v>
      </c>
      <c r="P29" s="166">
        <f>+'Equipment Data'!$F$40</f>
        <v>1.5</v>
      </c>
      <c r="Q29" s="167">
        <f t="shared" si="0"/>
        <v>433.00335269224132</v>
      </c>
      <c r="R29" s="297"/>
      <c r="S29" s="201"/>
      <c r="T29" s="106"/>
      <c r="U29" s="105"/>
      <c r="V29" s="105"/>
      <c r="W29" s="105"/>
      <c r="X29" s="105"/>
      <c r="Y29" s="105"/>
      <c r="Z29" s="105"/>
      <c r="AA29" s="105"/>
      <c r="AB29" s="105"/>
      <c r="AC29" s="105"/>
      <c r="AD29" s="105"/>
      <c r="AE29" s="105"/>
      <c r="AF29" s="105"/>
      <c r="AG29" s="105"/>
      <c r="AH29" s="105"/>
      <c r="AI29" s="105"/>
      <c r="AJ29" s="105"/>
      <c r="AK29" s="105"/>
      <c r="AL29" s="105"/>
      <c r="AM29" s="105"/>
      <c r="AN29" s="105"/>
      <c r="AO29" s="105"/>
      <c r="AP29" s="105"/>
      <c r="AQ29" s="105"/>
      <c r="AR29" s="105"/>
      <c r="AS29" s="105"/>
      <c r="AT29" s="105"/>
      <c r="AU29" s="105"/>
      <c r="AV29" s="105"/>
      <c r="AW29" s="105"/>
      <c r="AX29" s="105"/>
      <c r="AY29" s="105"/>
      <c r="AZ29" s="105"/>
      <c r="BA29" s="105"/>
      <c r="BB29" s="105"/>
      <c r="BC29" s="105"/>
      <c r="BD29" s="105"/>
      <c r="BE29" s="105"/>
      <c r="BF29" s="105"/>
      <c r="BG29" s="105"/>
      <c r="BH29" s="105"/>
      <c r="BI29" s="105"/>
      <c r="BJ29" s="105"/>
      <c r="BK29" s="105"/>
      <c r="BL29" s="105"/>
      <c r="BM29" s="105"/>
      <c r="BN29" s="105"/>
      <c r="BO29" s="105"/>
      <c r="BP29" s="105"/>
      <c r="BQ29" s="105"/>
      <c r="BR29" s="105"/>
      <c r="BS29" s="105"/>
      <c r="BT29" s="105"/>
      <c r="BU29" s="105"/>
      <c r="BV29" s="105"/>
      <c r="BW29" s="105"/>
      <c r="BX29" s="105"/>
      <c r="BY29" s="105"/>
      <c r="BZ29" s="105"/>
      <c r="CA29" s="105"/>
      <c r="CB29" s="105"/>
      <c r="CC29" s="105"/>
      <c r="CD29" s="105"/>
      <c r="CE29" s="105"/>
      <c r="CF29" s="105"/>
      <c r="CG29" s="105"/>
      <c r="CH29" s="105"/>
      <c r="CI29" s="105"/>
      <c r="CJ29" s="83"/>
      <c r="CK29" s="83"/>
      <c r="CL29" s="83"/>
      <c r="CM29" s="83"/>
      <c r="CN29" s="83"/>
      <c r="CO29" s="83"/>
    </row>
    <row r="30" spans="1:93" x14ac:dyDescent="0.3">
      <c r="A30" s="83"/>
      <c r="B30" s="104"/>
      <c r="C30" s="216"/>
      <c r="D30" s="268" t="s">
        <v>519</v>
      </c>
      <c r="E30" s="268" t="s">
        <v>37</v>
      </c>
      <c r="F30" s="293">
        <v>1</v>
      </c>
      <c r="G30" s="293" t="s">
        <v>354</v>
      </c>
      <c r="H30" s="293" t="s">
        <v>474</v>
      </c>
      <c r="I30" s="293" t="s">
        <v>354</v>
      </c>
      <c r="J30" s="293" t="str">
        <f>+IF(F30&gt;'Equipment Data'!$H$41,"yes","No")</f>
        <v>No</v>
      </c>
      <c r="K30" s="293">
        <v>0.67</v>
      </c>
      <c r="L30" s="293" t="s">
        <v>354</v>
      </c>
      <c r="M30" s="170">
        <f>+IF(AND(D30="Drive",E30="Totally Enclosed"),IF(F30&lt;'Equipment Data'!$H$41,10^('Equipment Data'!$C$41+'Equipment Data'!$D$41*LOG10(F30)+'Equipment Data'!$E$41*LOG10(F30)*LOG10(F30)),10^('Equipment Data'!$C$41+LOG10('Equipment Data'!$H$41)*'Equipment Data'!$D$41+'Equipment Data'!$E$41*LOG10('Equipment Data'!$H$41)*LOG10('Equipment Data'!$H$41))*(F30/'Equipment Data'!$H$41)^K30),"N/A")</f>
        <v>90.364947372230205</v>
      </c>
      <c r="N30" s="293" t="s">
        <v>354</v>
      </c>
      <c r="O30" s="293" t="s">
        <v>354</v>
      </c>
      <c r="P30" s="166">
        <f>+'Equipment Data'!$F$41</f>
        <v>1.5</v>
      </c>
      <c r="Q30" s="167">
        <f t="shared" si="0"/>
        <v>135.54742105834532</v>
      </c>
      <c r="R30" s="294"/>
      <c r="S30" s="168"/>
      <c r="T30" s="106"/>
      <c r="U30" s="105"/>
      <c r="V30" s="105"/>
      <c r="W30" s="105"/>
      <c r="X30" s="105"/>
      <c r="Y30" s="105"/>
      <c r="Z30" s="105"/>
      <c r="AA30" s="105"/>
      <c r="AB30" s="105"/>
      <c r="AC30" s="105"/>
      <c r="AD30" s="105"/>
      <c r="AE30" s="105"/>
      <c r="AF30" s="105"/>
      <c r="AG30" s="105"/>
      <c r="AH30" s="105"/>
      <c r="AI30" s="105"/>
      <c r="AJ30" s="105"/>
      <c r="AK30" s="105"/>
      <c r="AL30" s="105"/>
      <c r="AM30" s="105"/>
      <c r="AN30" s="105"/>
      <c r="AO30" s="105"/>
      <c r="AP30" s="105"/>
      <c r="AQ30" s="105"/>
      <c r="AR30" s="105"/>
      <c r="AS30" s="105"/>
      <c r="AT30" s="105"/>
      <c r="AU30" s="105"/>
      <c r="AV30" s="105"/>
      <c r="AW30" s="105"/>
      <c r="AX30" s="105"/>
      <c r="AY30" s="105"/>
      <c r="AZ30" s="105"/>
      <c r="BA30" s="105"/>
      <c r="BB30" s="105"/>
      <c r="BC30" s="105"/>
      <c r="BD30" s="105"/>
      <c r="BE30" s="105"/>
      <c r="BF30" s="105"/>
      <c r="BG30" s="105"/>
      <c r="BH30" s="105"/>
      <c r="BI30" s="105"/>
      <c r="BJ30" s="105"/>
      <c r="BK30" s="105"/>
      <c r="BL30" s="105"/>
      <c r="BM30" s="105"/>
      <c r="BN30" s="105"/>
      <c r="BO30" s="105"/>
      <c r="BP30" s="105"/>
      <c r="BQ30" s="105"/>
      <c r="BR30" s="105"/>
      <c r="BS30" s="105"/>
      <c r="BT30" s="105"/>
      <c r="BU30" s="105"/>
      <c r="BV30" s="105"/>
      <c r="BW30" s="105"/>
      <c r="BX30" s="105"/>
      <c r="BY30" s="105"/>
      <c r="BZ30" s="105"/>
      <c r="CA30" s="105"/>
      <c r="CB30" s="105"/>
      <c r="CC30" s="105"/>
      <c r="CD30" s="105"/>
      <c r="CE30" s="105"/>
      <c r="CF30" s="105"/>
      <c r="CG30" s="105"/>
      <c r="CH30" s="105"/>
      <c r="CI30" s="105"/>
      <c r="CJ30" s="83"/>
      <c r="CK30" s="83"/>
      <c r="CL30" s="83"/>
      <c r="CM30" s="83"/>
      <c r="CN30" s="83"/>
      <c r="CO30" s="83"/>
    </row>
    <row r="31" spans="1:93" x14ac:dyDescent="0.3">
      <c r="A31" s="83"/>
      <c r="B31" s="104"/>
      <c r="C31" s="216"/>
      <c r="D31" s="268" t="s">
        <v>519</v>
      </c>
      <c r="E31" s="268" t="s">
        <v>38</v>
      </c>
      <c r="F31" s="293">
        <v>1</v>
      </c>
      <c r="G31" s="293" t="s">
        <v>354</v>
      </c>
      <c r="H31" s="293" t="s">
        <v>474</v>
      </c>
      <c r="I31" s="293" t="s">
        <v>354</v>
      </c>
      <c r="J31" s="293" t="str">
        <f>+IF(F31&gt;'Equipment Data'!$H$42,"yes","No")</f>
        <v>No</v>
      </c>
      <c r="K31" s="293">
        <v>0.67</v>
      </c>
      <c r="L31" s="293" t="s">
        <v>354</v>
      </c>
      <c r="M31" s="170">
        <f>+IF(AND(D31="Drive",E31="Open/Drip Proof"),IF(F31&lt;'Equipment Data'!$H$42,10^('Equipment Data'!$C$42+'Equipment Data'!$D$42*LOG10(F31)+'Equipment Data'!$E$42*LOG10(F31)*LOG10(F31)),10^('Equipment Data'!$C$42+LOG10('Equipment Data'!$H$42)*'Equipment Data'!$D$42+'Equipment Data'!$E$42*LOG10('Equipment Data'!$H$42)*LOG10('Equipment Data'!$H$42))*(F31/'Equipment Data'!$H$42)^K31),"N/A")</f>
        <v>892.89419606498325</v>
      </c>
      <c r="N31" s="293" t="s">
        <v>354</v>
      </c>
      <c r="O31" s="293" t="s">
        <v>354</v>
      </c>
      <c r="P31" s="166">
        <f>+'Equipment Data'!$F$42</f>
        <v>1.5</v>
      </c>
      <c r="Q31" s="167">
        <f t="shared" si="0"/>
        <v>1339.3412940974749</v>
      </c>
      <c r="R31" s="294"/>
      <c r="S31" s="168"/>
      <c r="T31" s="106"/>
      <c r="U31" s="105"/>
      <c r="V31" s="105"/>
      <c r="W31" s="105"/>
      <c r="X31" s="105"/>
      <c r="Y31" s="105"/>
      <c r="Z31" s="105"/>
      <c r="AA31" s="105"/>
      <c r="AB31" s="105"/>
      <c r="AC31" s="105"/>
      <c r="AD31" s="105"/>
      <c r="AE31" s="105"/>
      <c r="AF31" s="105"/>
      <c r="AG31" s="105"/>
      <c r="AH31" s="105"/>
      <c r="AI31" s="105"/>
      <c r="AJ31" s="105"/>
      <c r="AK31" s="105"/>
      <c r="AL31" s="105"/>
      <c r="AM31" s="105"/>
      <c r="AN31" s="105"/>
      <c r="AO31" s="105"/>
      <c r="AP31" s="105"/>
      <c r="AQ31" s="105"/>
      <c r="AR31" s="105"/>
      <c r="AS31" s="105"/>
      <c r="AT31" s="105"/>
      <c r="AU31" s="105"/>
      <c r="AV31" s="105"/>
      <c r="AW31" s="105"/>
      <c r="AX31" s="105"/>
      <c r="AY31" s="105"/>
      <c r="AZ31" s="105"/>
      <c r="BA31" s="105"/>
      <c r="BB31" s="105"/>
      <c r="BC31" s="105"/>
      <c r="BD31" s="105"/>
      <c r="BE31" s="105"/>
      <c r="BF31" s="105"/>
      <c r="BG31" s="105"/>
      <c r="BH31" s="105"/>
      <c r="BI31" s="105"/>
      <c r="BJ31" s="105"/>
      <c r="BK31" s="105"/>
      <c r="BL31" s="105"/>
      <c r="BM31" s="105"/>
      <c r="BN31" s="105"/>
      <c r="BO31" s="105"/>
      <c r="BP31" s="105"/>
      <c r="BQ31" s="105"/>
      <c r="BR31" s="105"/>
      <c r="BS31" s="105"/>
      <c r="BT31" s="105"/>
      <c r="BU31" s="105"/>
      <c r="BV31" s="105"/>
      <c r="BW31" s="105"/>
      <c r="BX31" s="105"/>
      <c r="BY31" s="105"/>
      <c r="BZ31" s="105"/>
      <c r="CA31" s="105"/>
      <c r="CB31" s="105"/>
      <c r="CC31" s="105"/>
      <c r="CD31" s="105"/>
      <c r="CE31" s="105"/>
      <c r="CF31" s="105"/>
      <c r="CG31" s="105"/>
      <c r="CH31" s="105"/>
      <c r="CI31" s="105"/>
      <c r="CJ31" s="83"/>
      <c r="CK31" s="83"/>
      <c r="CL31" s="83"/>
      <c r="CM31" s="83"/>
      <c r="CN31" s="83"/>
      <c r="CO31" s="83"/>
    </row>
    <row r="32" spans="1:93" x14ac:dyDescent="0.3">
      <c r="A32" s="83"/>
      <c r="B32" s="104"/>
      <c r="C32" s="216"/>
      <c r="D32" s="268" t="s">
        <v>519</v>
      </c>
      <c r="E32" s="268" t="s">
        <v>40</v>
      </c>
      <c r="F32" s="293">
        <v>1</v>
      </c>
      <c r="G32" s="293" t="s">
        <v>354</v>
      </c>
      <c r="H32" s="293" t="s">
        <v>474</v>
      </c>
      <c r="I32" s="293" t="s">
        <v>354</v>
      </c>
      <c r="J32" s="293" t="str">
        <f>+IF(F32&gt;'Equipment Data'!$H$43,"yes","No")</f>
        <v>yes</v>
      </c>
      <c r="K32" s="293">
        <v>0.67</v>
      </c>
      <c r="L32" s="293" t="s">
        <v>354</v>
      </c>
      <c r="M32" s="170">
        <f>+IF(AND(D32="Drive",E32="Gas Turbine"),IF(F32&lt;'Equipment Data'!$H$45,10^('Equipment Data'!$C$45+'Equipment Data'!$D$45*LOG10(F32)+'Equipment Data'!$E$45*LOG10(F32)*LOG10(F32)),10^('Equipment Data'!$C$45+LOG10('Equipment Data'!$H$45)*'Equipment Data'!$D$45+'Equipment Data'!$E$45*LOG10('Equipment Data'!$H$45)*LOG10('Equipment Data'!$H$45))*(F32/'Equipment Data'!$H$45)^K32),"N/A")</f>
        <v>1.6974617624087116E-22</v>
      </c>
      <c r="N32" s="293" t="s">
        <v>354</v>
      </c>
      <c r="O32" s="293" t="s">
        <v>354</v>
      </c>
      <c r="P32" s="166">
        <f>+'Equipment Data'!$F$45</f>
        <v>3.5</v>
      </c>
      <c r="Q32" s="167">
        <f t="shared" si="0"/>
        <v>5.9411161684304908E-22</v>
      </c>
      <c r="R32" s="294"/>
      <c r="S32" s="168"/>
      <c r="T32" s="106"/>
      <c r="U32" s="105"/>
      <c r="V32" s="105"/>
      <c r="W32" s="105"/>
      <c r="X32" s="105"/>
      <c r="Y32" s="105"/>
      <c r="Z32" s="105"/>
      <c r="AA32" s="105"/>
      <c r="AB32" s="105"/>
      <c r="AC32" s="105"/>
      <c r="AD32" s="105"/>
      <c r="AE32" s="105"/>
      <c r="AF32" s="105"/>
      <c r="AG32" s="105"/>
      <c r="AH32" s="105"/>
      <c r="AI32" s="105"/>
      <c r="AJ32" s="105"/>
      <c r="AK32" s="105"/>
      <c r="AL32" s="105"/>
      <c r="AM32" s="105"/>
      <c r="AN32" s="105"/>
      <c r="AO32" s="105"/>
      <c r="AP32" s="105"/>
      <c r="AQ32" s="105"/>
      <c r="AR32" s="105"/>
      <c r="AS32" s="105"/>
      <c r="AT32" s="105"/>
      <c r="AU32" s="105"/>
      <c r="AV32" s="105"/>
      <c r="AW32" s="105"/>
      <c r="AX32" s="105"/>
      <c r="AY32" s="105"/>
      <c r="AZ32" s="105"/>
      <c r="BA32" s="105"/>
      <c r="BB32" s="105"/>
      <c r="BC32" s="105"/>
      <c r="BD32" s="105"/>
      <c r="BE32" s="105"/>
      <c r="BF32" s="105"/>
      <c r="BG32" s="105"/>
      <c r="BH32" s="105"/>
      <c r="BI32" s="105"/>
      <c r="BJ32" s="105"/>
      <c r="BK32" s="105"/>
      <c r="BL32" s="105"/>
      <c r="BM32" s="105"/>
      <c r="BN32" s="105"/>
      <c r="BO32" s="105"/>
      <c r="BP32" s="105"/>
      <c r="BQ32" s="105"/>
      <c r="BR32" s="105"/>
      <c r="BS32" s="105"/>
      <c r="BT32" s="105"/>
      <c r="BU32" s="105"/>
      <c r="BV32" s="105"/>
      <c r="BW32" s="105"/>
      <c r="BX32" s="105"/>
      <c r="BY32" s="105"/>
      <c r="BZ32" s="105"/>
      <c r="CA32" s="105"/>
      <c r="CB32" s="105"/>
      <c r="CC32" s="105"/>
      <c r="CD32" s="105"/>
      <c r="CE32" s="105"/>
      <c r="CF32" s="105"/>
      <c r="CG32" s="105"/>
      <c r="CH32" s="105"/>
      <c r="CI32" s="105"/>
      <c r="CJ32" s="83"/>
      <c r="CK32" s="83"/>
      <c r="CL32" s="83"/>
      <c r="CM32" s="83"/>
      <c r="CN32" s="83"/>
      <c r="CO32" s="83"/>
    </row>
    <row r="33" spans="1:93" x14ac:dyDescent="0.3">
      <c r="A33" s="83"/>
      <c r="B33" s="104"/>
      <c r="C33" s="216"/>
      <c r="D33" s="268" t="s">
        <v>519</v>
      </c>
      <c r="E33" s="268" t="s">
        <v>41</v>
      </c>
      <c r="F33" s="293">
        <v>1</v>
      </c>
      <c r="G33" s="293" t="s">
        <v>354</v>
      </c>
      <c r="H33" s="293" t="s">
        <v>474</v>
      </c>
      <c r="I33" s="293" t="s">
        <v>354</v>
      </c>
      <c r="J33" s="293" t="str">
        <f>+IF(F33&gt;'Equipment Data'!$H$44,"yes","No")</f>
        <v>No</v>
      </c>
      <c r="K33" s="293">
        <v>0.67</v>
      </c>
      <c r="L33" s="293" t="s">
        <v>354</v>
      </c>
      <c r="M33" s="170">
        <f>+IF(AND(D33="Drive",E33="Steam Turbine"),IF(F33&lt;'Equipment Data'!$H$46,10^('Equipment Data'!$C$46+'Equipment Data'!$D$46*LOG10(F33)+'Equipment Data'!$E$46*LOG10(F33)*LOG10(F33)),10^('Equipment Data'!$C$46+LOG10('Equipment Data'!$H$46)*'Equipment Data'!$D$46+'Equipment Data'!$E$46*LOG10('Equipment Data'!$H$46)*LOG10('Equipment Data'!$H$46))*(F33/'Equipment Data'!$H$46)^K33),"N/A")</f>
        <v>422.5713024244244</v>
      </c>
      <c r="N33" s="293" t="s">
        <v>354</v>
      </c>
      <c r="O33" s="293" t="s">
        <v>354</v>
      </c>
      <c r="P33" s="166">
        <f>+'Equipment Data'!$F$46</f>
        <v>3.5</v>
      </c>
      <c r="Q33" s="167">
        <f t="shared" si="0"/>
        <v>1478.9995584854855</v>
      </c>
      <c r="R33" s="294"/>
      <c r="S33" s="168"/>
      <c r="T33" s="106"/>
      <c r="U33" s="105"/>
      <c r="V33" s="105"/>
      <c r="W33" s="105"/>
      <c r="X33" s="105"/>
      <c r="Y33" s="105"/>
      <c r="Z33" s="105"/>
      <c r="AA33" s="105"/>
      <c r="AB33" s="105"/>
      <c r="AC33" s="105"/>
      <c r="AD33" s="105"/>
      <c r="AE33" s="105"/>
      <c r="AF33" s="105"/>
      <c r="AG33" s="105"/>
      <c r="AH33" s="105"/>
      <c r="AI33" s="105"/>
      <c r="AJ33" s="105"/>
      <c r="AK33" s="105"/>
      <c r="AL33" s="105"/>
      <c r="AM33" s="105"/>
      <c r="AN33" s="105"/>
      <c r="AO33" s="105"/>
      <c r="AP33" s="105"/>
      <c r="AQ33" s="105"/>
      <c r="AR33" s="105"/>
      <c r="AS33" s="105"/>
      <c r="AT33" s="105"/>
      <c r="AU33" s="105"/>
      <c r="AV33" s="105"/>
      <c r="AW33" s="105"/>
      <c r="AX33" s="105"/>
      <c r="AY33" s="105"/>
      <c r="AZ33" s="105"/>
      <c r="BA33" s="105"/>
      <c r="BB33" s="105"/>
      <c r="BC33" s="105"/>
      <c r="BD33" s="105"/>
      <c r="BE33" s="105"/>
      <c r="BF33" s="105"/>
      <c r="BG33" s="105"/>
      <c r="BH33" s="105"/>
      <c r="BI33" s="105"/>
      <c r="BJ33" s="105"/>
      <c r="BK33" s="105"/>
      <c r="BL33" s="105"/>
      <c r="BM33" s="105"/>
      <c r="BN33" s="105"/>
      <c r="BO33" s="105"/>
      <c r="BP33" s="105"/>
      <c r="BQ33" s="105"/>
      <c r="BR33" s="105"/>
      <c r="BS33" s="105"/>
      <c r="BT33" s="105"/>
      <c r="BU33" s="105"/>
      <c r="BV33" s="105"/>
      <c r="BW33" s="105"/>
      <c r="BX33" s="105"/>
      <c r="BY33" s="105"/>
      <c r="BZ33" s="105"/>
      <c r="CA33" s="105"/>
      <c r="CB33" s="105"/>
      <c r="CC33" s="105"/>
      <c r="CD33" s="105"/>
      <c r="CE33" s="105"/>
      <c r="CF33" s="105"/>
      <c r="CG33" s="105"/>
      <c r="CH33" s="105"/>
      <c r="CI33" s="105"/>
      <c r="CJ33" s="83"/>
      <c r="CK33" s="83"/>
      <c r="CL33" s="83"/>
      <c r="CM33" s="83"/>
      <c r="CN33" s="83"/>
      <c r="CO33" s="83"/>
    </row>
    <row r="34" spans="1:93" x14ac:dyDescent="0.3">
      <c r="A34" s="83"/>
      <c r="B34" s="104"/>
      <c r="C34" s="224"/>
      <c r="D34" s="268" t="s">
        <v>519</v>
      </c>
      <c r="E34" s="268" t="s">
        <v>42</v>
      </c>
      <c r="F34" s="293">
        <v>1</v>
      </c>
      <c r="G34" s="293" t="s">
        <v>354</v>
      </c>
      <c r="H34" s="293" t="s">
        <v>474</v>
      </c>
      <c r="I34" s="293" t="s">
        <v>354</v>
      </c>
      <c r="J34" s="293" t="str">
        <f>+IF(F34&gt;'Equipment Data'!$H$45,"yes","No")</f>
        <v>No</v>
      </c>
      <c r="K34" s="293">
        <v>0.67</v>
      </c>
      <c r="L34" s="293" t="s">
        <v>354</v>
      </c>
      <c r="M34" s="170">
        <f>+IF(AND(D34="Drive",E34="Internal Combustion"),IF(F34&lt;'Equipment Data'!$H$47,10^('Equipment Data'!$C$47+'Equipment Data'!$D$47*LOG10(F34)+'Equipment Data'!$E$47*LOG10(F34)*LOG10(F34)),10^('Equipment Data'!$C$47+LOG10('Equipment Data'!$H$47)*'Equipment Data'!$D$47+'Equipment Data'!$E$47*LOG10('Equipment Data'!$H$47)*LOG10('Equipment Data'!$H$47))*(F34/'Equipment Data'!$H$47)^K34),"N/A")</f>
        <v>580.09617252270448</v>
      </c>
      <c r="N34" s="293" t="s">
        <v>354</v>
      </c>
      <c r="O34" s="293" t="s">
        <v>354</v>
      </c>
      <c r="P34" s="166">
        <f>+'Equipment Data'!$F$47</f>
        <v>2</v>
      </c>
      <c r="Q34" s="167">
        <f t="shared" si="0"/>
        <v>1160.192345045409</v>
      </c>
      <c r="R34" s="295"/>
      <c r="S34" s="202"/>
      <c r="T34" s="106"/>
      <c r="U34" s="105"/>
      <c r="V34" s="105"/>
      <c r="W34" s="105"/>
      <c r="X34" s="105"/>
      <c r="Y34" s="105"/>
      <c r="Z34" s="105"/>
      <c r="AA34" s="105"/>
      <c r="AB34" s="105"/>
      <c r="AC34" s="105"/>
      <c r="AD34" s="105"/>
      <c r="AE34" s="105"/>
      <c r="AF34" s="105"/>
      <c r="AG34" s="105"/>
      <c r="AH34" s="105"/>
      <c r="AI34" s="105"/>
      <c r="AJ34" s="105"/>
      <c r="AK34" s="105"/>
      <c r="AL34" s="105"/>
      <c r="AM34" s="105"/>
      <c r="AN34" s="105"/>
      <c r="AO34" s="105"/>
      <c r="AP34" s="105"/>
      <c r="AQ34" s="105"/>
      <c r="AR34" s="105"/>
      <c r="AS34" s="105"/>
      <c r="AT34" s="105"/>
      <c r="AU34" s="105"/>
      <c r="AV34" s="105"/>
      <c r="AW34" s="105"/>
      <c r="AX34" s="105"/>
      <c r="AY34" s="105"/>
      <c r="AZ34" s="105"/>
      <c r="BA34" s="105"/>
      <c r="BB34" s="105"/>
      <c r="BC34" s="105"/>
      <c r="BD34" s="105"/>
      <c r="BE34" s="105"/>
      <c r="BF34" s="105"/>
      <c r="BG34" s="105"/>
      <c r="BH34" s="105"/>
      <c r="BI34" s="105"/>
      <c r="BJ34" s="105"/>
      <c r="BK34" s="105"/>
      <c r="BL34" s="105"/>
      <c r="BM34" s="105"/>
      <c r="BN34" s="105"/>
      <c r="BO34" s="105"/>
      <c r="BP34" s="105"/>
      <c r="BQ34" s="105"/>
      <c r="BR34" s="105"/>
      <c r="BS34" s="105"/>
      <c r="BT34" s="105"/>
      <c r="BU34" s="105"/>
      <c r="BV34" s="105"/>
      <c r="BW34" s="105"/>
      <c r="BX34" s="105"/>
      <c r="BY34" s="105"/>
      <c r="BZ34" s="105"/>
      <c r="CA34" s="105"/>
      <c r="CB34" s="105"/>
      <c r="CC34" s="105"/>
      <c r="CD34" s="105"/>
      <c r="CE34" s="105"/>
      <c r="CF34" s="105"/>
      <c r="CG34" s="105"/>
      <c r="CH34" s="105"/>
      <c r="CI34" s="105"/>
      <c r="CJ34" s="83"/>
      <c r="CK34" s="83"/>
      <c r="CL34" s="83"/>
      <c r="CM34" s="83"/>
      <c r="CN34" s="83"/>
      <c r="CO34" s="83"/>
    </row>
    <row r="35" spans="1:93" x14ac:dyDescent="0.3">
      <c r="A35" s="83"/>
      <c r="B35" s="104"/>
      <c r="C35" s="300"/>
      <c r="D35" s="268" t="s">
        <v>246</v>
      </c>
      <c r="E35" s="268" t="s">
        <v>44</v>
      </c>
      <c r="F35" s="293">
        <v>1</v>
      </c>
      <c r="G35" s="293" t="s">
        <v>354</v>
      </c>
      <c r="H35" s="293" t="s">
        <v>352</v>
      </c>
      <c r="I35" s="293" t="s">
        <v>354</v>
      </c>
      <c r="J35" s="293" t="str">
        <f>+IF(F35&gt;'Equipment Data'!$G$2,"yes","No")</f>
        <v>yes</v>
      </c>
      <c r="K35" s="293">
        <v>0.67</v>
      </c>
      <c r="L35" s="293" t="s">
        <v>354</v>
      </c>
      <c r="M35" s="170">
        <f>+IF(AND(D35="Dryer",E35="Drum"),IF(F35&lt;'Equipment Data'!$G$52,10^('Equipment Data'!$C$52+'Equipment Data'!$D$52*LOG10(F35)+'Equipment Data'!$E$52*LOG10(F35)*LOG10(F35)),10^('Equipment Data'!$C$52+'Equipment Data'!$D$52*LOG10('Equipment Data'!$G$52)+'Equipment Data'!$E$52*LOG10('Equipment Data'!$G$52)*LOG10('Equipment Data'!$G$52))*(F35/'Equipment Data'!$G$52)^K35),"N/A")</f>
        <v>35253.318119588643</v>
      </c>
      <c r="N35" s="293" t="s">
        <v>354</v>
      </c>
      <c r="O35" s="293" t="s">
        <v>354</v>
      </c>
      <c r="P35" s="166">
        <f>+'Equipment Data'!$H$52</f>
        <v>1.6</v>
      </c>
      <c r="Q35" s="167">
        <f>+M35*P35</f>
        <v>56405.30899134183</v>
      </c>
      <c r="R35" s="304"/>
      <c r="S35" s="310"/>
      <c r="T35" s="106"/>
      <c r="U35" s="105"/>
      <c r="V35" s="105"/>
      <c r="W35" s="105"/>
      <c r="X35" s="105"/>
      <c r="Y35" s="105"/>
      <c r="Z35" s="105"/>
      <c r="AA35" s="105"/>
      <c r="AB35" s="105"/>
      <c r="AC35" s="105"/>
      <c r="AD35" s="105"/>
      <c r="AE35" s="105"/>
      <c r="AF35" s="105"/>
      <c r="AG35" s="105"/>
      <c r="AH35" s="105"/>
      <c r="AI35" s="105"/>
      <c r="AJ35" s="105"/>
      <c r="AK35" s="105"/>
      <c r="AL35" s="105"/>
      <c r="AM35" s="105"/>
      <c r="AN35" s="105"/>
      <c r="AO35" s="105"/>
      <c r="AP35" s="105"/>
      <c r="AQ35" s="105"/>
      <c r="AR35" s="105"/>
      <c r="AS35" s="105"/>
      <c r="AT35" s="105"/>
      <c r="AU35" s="105"/>
      <c r="AV35" s="105"/>
      <c r="AW35" s="105"/>
      <c r="AX35" s="105"/>
      <c r="AY35" s="105"/>
      <c r="AZ35" s="105"/>
      <c r="BA35" s="105"/>
      <c r="BB35" s="105"/>
      <c r="BC35" s="105"/>
      <c r="BD35" s="105"/>
      <c r="BE35" s="105"/>
      <c r="BF35" s="105"/>
      <c r="BG35" s="105"/>
      <c r="BH35" s="105"/>
      <c r="BI35" s="105"/>
      <c r="BJ35" s="105"/>
      <c r="BK35" s="105"/>
      <c r="BL35" s="105"/>
      <c r="BM35" s="105"/>
      <c r="BN35" s="105"/>
      <c r="BO35" s="105"/>
      <c r="BP35" s="105"/>
      <c r="BQ35" s="105"/>
      <c r="BR35" s="105"/>
      <c r="BS35" s="105"/>
      <c r="BT35" s="105"/>
      <c r="BU35" s="105"/>
      <c r="BV35" s="105"/>
      <c r="BW35" s="105"/>
      <c r="BX35" s="105"/>
      <c r="BY35" s="105"/>
      <c r="BZ35" s="105"/>
      <c r="CA35" s="105"/>
      <c r="CB35" s="105"/>
      <c r="CC35" s="105"/>
      <c r="CD35" s="105"/>
      <c r="CE35" s="105"/>
      <c r="CF35" s="105"/>
      <c r="CG35" s="105"/>
      <c r="CH35" s="105"/>
      <c r="CI35" s="105"/>
      <c r="CJ35" s="83"/>
      <c r="CK35" s="83"/>
      <c r="CL35" s="83"/>
      <c r="CM35" s="83"/>
      <c r="CN35" s="83"/>
      <c r="CO35" s="83"/>
    </row>
    <row r="36" spans="1:93" x14ac:dyDescent="0.3">
      <c r="A36" s="83"/>
      <c r="B36" s="104"/>
      <c r="C36" s="301"/>
      <c r="D36" s="268" t="s">
        <v>246</v>
      </c>
      <c r="E36" s="268" t="s">
        <v>520</v>
      </c>
      <c r="F36" s="293">
        <v>1</v>
      </c>
      <c r="G36" s="293" t="s">
        <v>354</v>
      </c>
      <c r="H36" s="293" t="s">
        <v>352</v>
      </c>
      <c r="I36" s="293" t="s">
        <v>354</v>
      </c>
      <c r="J36" s="293" t="str">
        <f>+IF(F36&gt;'Equipment Data'!$G$3,"yes","No")</f>
        <v>No</v>
      </c>
      <c r="K36" s="293">
        <v>0.67</v>
      </c>
      <c r="L36" s="293" t="s">
        <v>354</v>
      </c>
      <c r="M36" s="170">
        <f>+IF(AND(D36="Dryer",E36="Rotatory, Gas Fired"),IF(F36&lt;'Equipment Data'!$G$53,10^('Equipment Data'!$C$53+'Equipment Data'!$D$53*LOG10(F36)+'Equipment Data'!$E$53*LOG10(F36)*LOG10(F36)),10^('Equipment Data'!$C$53+'Equipment Data'!$D$53*LOG10('Equipment Data'!$G$53)+'Equipment Data'!$E$53*LOG10('Equipment Data'!$G$53)*LOG10('Equipment Data'!$G$53))*(F36/'Equipment Data'!$G$53)^K36),"N/A")</f>
        <v>3668.5969444134244</v>
      </c>
      <c r="N36" s="293" t="s">
        <v>354</v>
      </c>
      <c r="O36" s="293" t="s">
        <v>354</v>
      </c>
      <c r="P36" s="166">
        <f>+'Equipment Data'!$H$53</f>
        <v>1.25</v>
      </c>
      <c r="Q36" s="167">
        <f t="shared" ref="Q36:Q37" si="1">+M36*P36</f>
        <v>4585.7461805167804</v>
      </c>
      <c r="R36" s="306"/>
      <c r="S36" s="311"/>
      <c r="T36" s="106"/>
      <c r="U36" s="105"/>
      <c r="V36" s="105"/>
      <c r="W36" s="105"/>
      <c r="X36" s="105"/>
      <c r="Y36" s="105"/>
      <c r="Z36" s="105"/>
      <c r="AA36" s="105"/>
      <c r="AB36" s="105"/>
      <c r="AC36" s="105"/>
      <c r="AD36" s="105"/>
      <c r="AE36" s="105"/>
      <c r="AF36" s="105"/>
      <c r="AG36" s="105"/>
      <c r="AH36" s="105"/>
      <c r="AI36" s="105"/>
      <c r="AJ36" s="105"/>
      <c r="AK36" s="105"/>
      <c r="AL36" s="105"/>
      <c r="AM36" s="105"/>
      <c r="AN36" s="105"/>
      <c r="AO36" s="105"/>
      <c r="AP36" s="105"/>
      <c r="AQ36" s="105"/>
      <c r="AR36" s="105"/>
      <c r="AS36" s="105"/>
      <c r="AT36" s="105"/>
      <c r="AU36" s="105"/>
      <c r="AV36" s="105"/>
      <c r="AW36" s="105"/>
      <c r="AX36" s="105"/>
      <c r="AY36" s="105"/>
      <c r="AZ36" s="105"/>
      <c r="BA36" s="105"/>
      <c r="BB36" s="105"/>
      <c r="BC36" s="105"/>
      <c r="BD36" s="105"/>
      <c r="BE36" s="105"/>
      <c r="BF36" s="105"/>
      <c r="BG36" s="105"/>
      <c r="BH36" s="105"/>
      <c r="BI36" s="105"/>
      <c r="BJ36" s="105"/>
      <c r="BK36" s="105"/>
      <c r="BL36" s="105"/>
      <c r="BM36" s="105"/>
      <c r="BN36" s="105"/>
      <c r="BO36" s="105"/>
      <c r="BP36" s="105"/>
      <c r="BQ36" s="105"/>
      <c r="BR36" s="105"/>
      <c r="BS36" s="105"/>
      <c r="BT36" s="105"/>
      <c r="BU36" s="105"/>
      <c r="BV36" s="105"/>
      <c r="BW36" s="105"/>
      <c r="BX36" s="105"/>
      <c r="BY36" s="105"/>
      <c r="BZ36" s="105"/>
      <c r="CA36" s="105"/>
      <c r="CB36" s="105"/>
      <c r="CC36" s="105"/>
      <c r="CD36" s="105"/>
      <c r="CE36" s="105"/>
      <c r="CF36" s="105"/>
      <c r="CG36" s="105"/>
      <c r="CH36" s="105"/>
      <c r="CI36" s="105"/>
      <c r="CJ36" s="83"/>
      <c r="CK36" s="83"/>
      <c r="CL36" s="83"/>
      <c r="CM36" s="83"/>
      <c r="CN36" s="83"/>
      <c r="CO36" s="83"/>
    </row>
    <row r="37" spans="1:93" x14ac:dyDescent="0.3">
      <c r="A37" s="83"/>
      <c r="B37" s="104"/>
      <c r="C37" s="301"/>
      <c r="D37" s="268" t="s">
        <v>246</v>
      </c>
      <c r="E37" s="268" t="s">
        <v>46</v>
      </c>
      <c r="F37" s="293">
        <v>1</v>
      </c>
      <c r="G37" s="293" t="s">
        <v>354</v>
      </c>
      <c r="H37" s="293" t="s">
        <v>352</v>
      </c>
      <c r="I37" s="293" t="s">
        <v>354</v>
      </c>
      <c r="J37" s="293" t="str">
        <f>+IF(F37&gt;'Equipment Data'!$G$4,"yes","No")</f>
        <v>No</v>
      </c>
      <c r="K37" s="293">
        <v>0.67</v>
      </c>
      <c r="L37" s="293" t="s">
        <v>354</v>
      </c>
      <c r="M37" s="170">
        <f>+IF(AND(D37="Dryer",E37="Tray"),IF(F37&lt;'Equipment Data'!$G$54,10^('Equipment Data'!$C$54+'Equipment Data'!$D$54*LOG10(F37)+'Equipment Data'!$E$54*LOG10(F37)*LOG10(F37)),10^('Equipment Data'!$C$54+'Equipment Data'!$D$54*LOG10('Equipment Data'!$G$54)+'Equipment Data'!$E$54*LOG10('Equipment Data'!$G$54)*LOG10('Equipment Data'!$G$54))*(F37/'Equipment Data'!$G$54)^K37),"N/A")</f>
        <v>4955.6428556229748</v>
      </c>
      <c r="N37" s="293" t="s">
        <v>354</v>
      </c>
      <c r="O37" s="293" t="s">
        <v>354</v>
      </c>
      <c r="P37" s="166">
        <f>+'Equipment Data'!$H$54</f>
        <v>1.25</v>
      </c>
      <c r="Q37" s="167">
        <f t="shared" si="1"/>
        <v>6194.5535695287181</v>
      </c>
      <c r="R37" s="306"/>
      <c r="S37" s="311"/>
      <c r="T37" s="106"/>
      <c r="U37" s="105"/>
      <c r="V37" s="105"/>
      <c r="W37" s="105"/>
      <c r="X37" s="105"/>
      <c r="Y37" s="105"/>
      <c r="Z37" s="105"/>
      <c r="AA37" s="105"/>
      <c r="AB37" s="105"/>
      <c r="AC37" s="105"/>
      <c r="AD37" s="105"/>
      <c r="AE37" s="105"/>
      <c r="AF37" s="105"/>
      <c r="AG37" s="105"/>
      <c r="AH37" s="105"/>
      <c r="AI37" s="105"/>
      <c r="AJ37" s="105"/>
      <c r="AK37" s="105"/>
      <c r="AL37" s="105"/>
      <c r="AM37" s="105"/>
      <c r="AN37" s="105"/>
      <c r="AO37" s="105"/>
      <c r="AP37" s="105"/>
      <c r="AQ37" s="105"/>
      <c r="AR37" s="105"/>
      <c r="AS37" s="105"/>
      <c r="AT37" s="105"/>
      <c r="AU37" s="105"/>
      <c r="AV37" s="105"/>
      <c r="AW37" s="105"/>
      <c r="AX37" s="105"/>
      <c r="AY37" s="105"/>
      <c r="AZ37" s="105"/>
      <c r="BA37" s="105"/>
      <c r="BB37" s="105"/>
      <c r="BC37" s="105"/>
      <c r="BD37" s="105"/>
      <c r="BE37" s="105"/>
      <c r="BF37" s="105"/>
      <c r="BG37" s="105"/>
      <c r="BH37" s="105"/>
      <c r="BI37" s="105"/>
      <c r="BJ37" s="105"/>
      <c r="BK37" s="105"/>
      <c r="BL37" s="105"/>
      <c r="BM37" s="105"/>
      <c r="BN37" s="105"/>
      <c r="BO37" s="105"/>
      <c r="BP37" s="105"/>
      <c r="BQ37" s="105"/>
      <c r="BR37" s="105"/>
      <c r="BS37" s="105"/>
      <c r="BT37" s="105"/>
      <c r="BU37" s="105"/>
      <c r="BV37" s="105"/>
      <c r="BW37" s="105"/>
      <c r="BX37" s="105"/>
      <c r="BY37" s="105"/>
      <c r="BZ37" s="105"/>
      <c r="CA37" s="105"/>
      <c r="CB37" s="105"/>
      <c r="CC37" s="105"/>
      <c r="CD37" s="105"/>
      <c r="CE37" s="105"/>
      <c r="CF37" s="105"/>
      <c r="CG37" s="105"/>
      <c r="CH37" s="105"/>
      <c r="CI37" s="105"/>
      <c r="CJ37" s="83"/>
      <c r="CK37" s="83"/>
      <c r="CL37" s="83"/>
      <c r="CM37" s="83"/>
      <c r="CN37" s="83"/>
      <c r="CO37" s="83"/>
    </row>
    <row r="38" spans="1:93" x14ac:dyDescent="0.3">
      <c r="A38" s="83"/>
      <c r="B38" s="104"/>
      <c r="C38" s="218"/>
      <c r="D38" s="268" t="s">
        <v>522</v>
      </c>
      <c r="E38" s="268" t="s">
        <v>50</v>
      </c>
      <c r="F38" s="293">
        <v>1</v>
      </c>
      <c r="G38" s="293" t="s">
        <v>354</v>
      </c>
      <c r="H38" s="293" t="s">
        <v>351</v>
      </c>
      <c r="I38" s="293" t="s">
        <v>354</v>
      </c>
      <c r="J38" s="293" t="str">
        <f>+IF(F38&gt;'Equipment Data'!$G$59,"yes","No")</f>
        <v>No</v>
      </c>
      <c r="K38" s="293">
        <v>0.67</v>
      </c>
      <c r="L38" s="293" t="s">
        <v>354</v>
      </c>
      <c r="M38" s="170">
        <f>+IF(AND(D38="Dust Collectors",E38="Baghouse"),IF(F38&lt;'Equipment Data'!$G$59,10^('Equipment Data'!$C$59+'Equipment Data'!$D$59*LOG10(F38)+'Equipment Data'!$E$59*LOG10(F38)*LOG10(F38)),10^('Equipment Data'!$C$59+'Equipment Data'!$D$59*LOG10('Equipment Data'!$G$59)+'Equipment Data'!$E$59*LOG10('Equipment Data'!$G$59)*LOG10('Equipment Data'!$G$59))*(F38/'Equipment Data'!$G$59)^K38),"N/A")</f>
        <v>31673.787594444784</v>
      </c>
      <c r="N38" s="293" t="s">
        <v>354</v>
      </c>
      <c r="O38" s="293" t="s">
        <v>354</v>
      </c>
      <c r="P38" s="166">
        <f>+'Equipment Data'!$H$59</f>
        <v>2.86</v>
      </c>
      <c r="Q38" s="167">
        <f>+P38*M38</f>
        <v>90587.032520112072</v>
      </c>
      <c r="R38" s="164"/>
      <c r="S38" s="201"/>
      <c r="T38" s="106"/>
      <c r="U38" s="105"/>
      <c r="V38" s="105"/>
      <c r="W38" s="105"/>
      <c r="X38" s="105"/>
      <c r="Y38" s="105"/>
      <c r="Z38" s="105"/>
      <c r="AA38" s="105"/>
      <c r="AB38" s="105"/>
      <c r="AC38" s="105"/>
      <c r="AD38" s="105"/>
      <c r="AE38" s="105"/>
      <c r="AF38" s="105"/>
      <c r="AG38" s="105"/>
      <c r="AH38" s="105"/>
      <c r="AI38" s="105"/>
      <c r="AJ38" s="105"/>
      <c r="AK38" s="105"/>
      <c r="AL38" s="105"/>
      <c r="AM38" s="105"/>
      <c r="AN38" s="105"/>
      <c r="AO38" s="105"/>
      <c r="AP38" s="105"/>
      <c r="AQ38" s="105"/>
      <c r="AR38" s="105"/>
      <c r="AS38" s="105"/>
      <c r="AT38" s="105"/>
      <c r="AU38" s="105"/>
      <c r="AV38" s="105"/>
      <c r="AW38" s="105"/>
      <c r="AX38" s="105"/>
      <c r="AY38" s="105"/>
      <c r="AZ38" s="105"/>
      <c r="BA38" s="105"/>
      <c r="BB38" s="105"/>
      <c r="BC38" s="105"/>
      <c r="BD38" s="105"/>
      <c r="BE38" s="105"/>
      <c r="BF38" s="105"/>
      <c r="BG38" s="105"/>
      <c r="BH38" s="105"/>
      <c r="BI38" s="105"/>
      <c r="BJ38" s="105"/>
      <c r="BK38" s="105"/>
      <c r="BL38" s="105"/>
      <c r="BM38" s="105"/>
      <c r="BN38" s="105"/>
      <c r="BO38" s="105"/>
      <c r="BP38" s="105"/>
      <c r="BQ38" s="105"/>
      <c r="BR38" s="105"/>
      <c r="BS38" s="105"/>
      <c r="BT38" s="105"/>
      <c r="BU38" s="105"/>
      <c r="BV38" s="105"/>
      <c r="BW38" s="105"/>
      <c r="BX38" s="105"/>
      <c r="BY38" s="105"/>
      <c r="BZ38" s="105"/>
      <c r="CA38" s="105"/>
      <c r="CB38" s="105"/>
      <c r="CC38" s="105"/>
      <c r="CD38" s="105"/>
      <c r="CE38" s="105"/>
      <c r="CF38" s="105"/>
      <c r="CG38" s="105"/>
      <c r="CH38" s="105"/>
      <c r="CI38" s="105"/>
      <c r="CJ38" s="83"/>
      <c r="CK38" s="83"/>
      <c r="CL38" s="83"/>
      <c r="CM38" s="83"/>
      <c r="CN38" s="83"/>
      <c r="CO38" s="83"/>
    </row>
    <row r="39" spans="1:93" x14ac:dyDescent="0.3">
      <c r="A39" s="83"/>
      <c r="B39" s="104"/>
      <c r="C39" s="216"/>
      <c r="D39" s="268" t="s">
        <v>522</v>
      </c>
      <c r="E39" s="268" t="s">
        <v>521</v>
      </c>
      <c r="F39" s="293">
        <v>1</v>
      </c>
      <c r="G39" s="660" t="s">
        <v>354</v>
      </c>
      <c r="H39" s="293" t="s">
        <v>351</v>
      </c>
      <c r="I39" s="660" t="s">
        <v>354</v>
      </c>
      <c r="J39" s="293" t="str">
        <f>+IF(F39&gt;'Equipment Data'!$G$60,"yes","No")</f>
        <v>No</v>
      </c>
      <c r="K39" s="293">
        <v>0.67</v>
      </c>
      <c r="L39" s="293" t="s">
        <v>354</v>
      </c>
      <c r="M39" s="170">
        <f>+IF(AND(D39="Dust Collectors",E39="Cyclone Scrubber"),IF(F39&lt;'Equipment Data'!$G$60,10^('Equipment Data'!$C$60+'Equipment Data'!$D$60*LOG10(F39)+'Equipment Data'!$E$60*LOG10(F39)*LOG10(F39)),10^('Equipment Data'!$C$60+'Equipment Data'!$D$60*LOG10('Equipment Data'!$G$60)+'Equipment Data'!$E$60*LOG10('Equipment Data'!$G$60)*LOG10('Equipment Data'!$G$60))*(F39/'Equipment Data'!$G$60)^K39),"N/A")</f>
        <v>4263.8311690007922</v>
      </c>
      <c r="N39" s="293" t="s">
        <v>354</v>
      </c>
      <c r="O39" s="293" t="s">
        <v>354</v>
      </c>
      <c r="P39" s="166">
        <f>+'Equipment Data'!$H$60</f>
        <v>2.86</v>
      </c>
      <c r="Q39" s="167">
        <f t="shared" ref="Q39:Q41" si="2">+P39*M39</f>
        <v>12194.557143342265</v>
      </c>
      <c r="R39" s="98"/>
      <c r="S39" s="168"/>
      <c r="T39" s="106"/>
      <c r="U39" s="105"/>
      <c r="V39" s="105"/>
      <c r="W39" s="105"/>
      <c r="X39" s="105"/>
      <c r="Y39" s="105"/>
      <c r="Z39" s="105"/>
      <c r="AA39" s="105"/>
      <c r="AB39" s="105"/>
      <c r="AC39" s="105"/>
      <c r="AD39" s="105"/>
      <c r="AE39" s="105"/>
      <c r="AF39" s="105"/>
      <c r="AG39" s="105"/>
      <c r="AH39" s="105"/>
      <c r="AI39" s="105"/>
      <c r="AJ39" s="105"/>
      <c r="AK39" s="105"/>
      <c r="AL39" s="105"/>
      <c r="AM39" s="105"/>
      <c r="AN39" s="105"/>
      <c r="AO39" s="105"/>
      <c r="AP39" s="105"/>
      <c r="AQ39" s="105"/>
      <c r="AR39" s="105"/>
      <c r="AS39" s="105"/>
      <c r="AT39" s="105"/>
      <c r="AU39" s="105"/>
      <c r="AV39" s="105"/>
      <c r="AW39" s="105"/>
      <c r="AX39" s="105"/>
      <c r="AY39" s="105"/>
      <c r="AZ39" s="105"/>
      <c r="BA39" s="105"/>
      <c r="BB39" s="105"/>
      <c r="BC39" s="105"/>
      <c r="BD39" s="105"/>
      <c r="BE39" s="105"/>
      <c r="BF39" s="105"/>
      <c r="BG39" s="105"/>
      <c r="BH39" s="105"/>
      <c r="BI39" s="105"/>
      <c r="BJ39" s="105"/>
      <c r="BK39" s="105"/>
      <c r="BL39" s="105"/>
      <c r="BM39" s="105"/>
      <c r="BN39" s="105"/>
      <c r="BO39" s="105"/>
      <c r="BP39" s="105"/>
      <c r="BQ39" s="105"/>
      <c r="BR39" s="105"/>
      <c r="BS39" s="105"/>
      <c r="BT39" s="105"/>
      <c r="BU39" s="105"/>
      <c r="BV39" s="105"/>
      <c r="BW39" s="105"/>
      <c r="BX39" s="105"/>
      <c r="BY39" s="105"/>
      <c r="BZ39" s="105"/>
      <c r="CA39" s="105"/>
      <c r="CB39" s="105"/>
      <c r="CC39" s="105"/>
      <c r="CD39" s="105"/>
      <c r="CE39" s="105"/>
      <c r="CF39" s="105"/>
      <c r="CG39" s="105"/>
      <c r="CH39" s="105"/>
      <c r="CI39" s="105"/>
      <c r="CJ39" s="83"/>
      <c r="CK39" s="83"/>
      <c r="CL39" s="83"/>
      <c r="CM39" s="83"/>
      <c r="CN39" s="83"/>
      <c r="CO39" s="83"/>
    </row>
    <row r="40" spans="1:93" x14ac:dyDescent="0.3">
      <c r="A40" s="83"/>
      <c r="B40" s="104"/>
      <c r="C40" s="216"/>
      <c r="D40" s="268" t="s">
        <v>522</v>
      </c>
      <c r="E40" s="233" t="s">
        <v>55</v>
      </c>
      <c r="F40" s="293">
        <v>1</v>
      </c>
      <c r="G40" s="293" t="s">
        <v>354</v>
      </c>
      <c r="H40" s="293" t="s">
        <v>351</v>
      </c>
      <c r="I40" s="293" t="s">
        <v>354</v>
      </c>
      <c r="J40" s="293" t="str">
        <f>+IF(F40&gt;'Equipment Data'!$G$64,"yes","No")</f>
        <v>No</v>
      </c>
      <c r="K40" s="293">
        <v>0.67</v>
      </c>
      <c r="L40" s="293" t="s">
        <v>354</v>
      </c>
      <c r="M40" s="170">
        <f>+IF(AND(D40="Dust Collectors",E40="Electrostatic Precipitator"),IF(F40&lt;'Equipment Data'!$G$64,10^('Equipment Data'!$C$64+'Equipment Data'!$D$64*LOG10(F40)+'Equipment Data'!$E$64*LOG10(F40)*LOG10(F40)),10^('Equipment Data'!$C$64+'Equipment Data'!$D$64*LOG10('Equipment Data'!$G$64)+'Equipment Data'!$E$64*LOG10('Equipment Data'!$G$64)*LOG10('Equipment Data'!$G$64))*(F40/'Equipment Data'!$G$64)^K40),"N/A")</f>
        <v>4263.8311690007922</v>
      </c>
      <c r="N40" s="293" t="s">
        <v>354</v>
      </c>
      <c r="O40" s="293" t="s">
        <v>354</v>
      </c>
      <c r="P40" s="166">
        <f>+'Equipment Data'!$H$64</f>
        <v>2.86</v>
      </c>
      <c r="Q40" s="167">
        <f t="shared" si="2"/>
        <v>12194.557143342265</v>
      </c>
      <c r="R40" s="98"/>
      <c r="S40" s="168"/>
      <c r="T40" s="106"/>
      <c r="U40" s="105"/>
      <c r="V40" s="105"/>
      <c r="W40" s="105"/>
      <c r="X40" s="105"/>
      <c r="Y40" s="105"/>
      <c r="Z40" s="105"/>
      <c r="AA40" s="105"/>
      <c r="AB40" s="105"/>
      <c r="AC40" s="105"/>
      <c r="AD40" s="105"/>
      <c r="AE40" s="105"/>
      <c r="AF40" s="105"/>
      <c r="AG40" s="105"/>
      <c r="AH40" s="105"/>
      <c r="AI40" s="105"/>
      <c r="AJ40" s="105"/>
      <c r="AK40" s="105"/>
      <c r="AL40" s="105"/>
      <c r="AM40" s="105"/>
      <c r="AN40" s="105"/>
      <c r="AO40" s="105"/>
      <c r="AP40" s="105"/>
      <c r="AQ40" s="105"/>
      <c r="AR40" s="105"/>
      <c r="AS40" s="105"/>
      <c r="AT40" s="105"/>
      <c r="AU40" s="105"/>
      <c r="AV40" s="105"/>
      <c r="AW40" s="105"/>
      <c r="AX40" s="105"/>
      <c r="AY40" s="105"/>
      <c r="AZ40" s="105"/>
      <c r="BA40" s="105"/>
      <c r="BB40" s="105"/>
      <c r="BC40" s="105"/>
      <c r="BD40" s="105"/>
      <c r="BE40" s="105"/>
      <c r="BF40" s="105"/>
      <c r="BG40" s="105"/>
      <c r="BH40" s="105"/>
      <c r="BI40" s="105"/>
      <c r="BJ40" s="105"/>
      <c r="BK40" s="105"/>
      <c r="BL40" s="105"/>
      <c r="BM40" s="105"/>
      <c r="BN40" s="105"/>
      <c r="BO40" s="105"/>
      <c r="BP40" s="105"/>
      <c r="BQ40" s="105"/>
      <c r="BR40" s="105"/>
      <c r="BS40" s="105"/>
      <c r="BT40" s="105"/>
      <c r="BU40" s="105"/>
      <c r="BV40" s="105"/>
      <c r="BW40" s="105"/>
      <c r="BX40" s="105"/>
      <c r="BY40" s="105"/>
      <c r="BZ40" s="105"/>
      <c r="CA40" s="105"/>
      <c r="CB40" s="105"/>
      <c r="CC40" s="105"/>
      <c r="CD40" s="105"/>
      <c r="CE40" s="105"/>
      <c r="CF40" s="105"/>
      <c r="CG40" s="105"/>
      <c r="CH40" s="105"/>
      <c r="CI40" s="105"/>
      <c r="CJ40" s="83"/>
      <c r="CK40" s="83"/>
      <c r="CL40" s="83"/>
      <c r="CM40" s="83"/>
      <c r="CN40" s="83"/>
      <c r="CO40" s="83"/>
    </row>
    <row r="41" spans="1:93" x14ac:dyDescent="0.3">
      <c r="A41" s="83"/>
      <c r="B41" s="104"/>
      <c r="C41" s="224"/>
      <c r="D41" s="268" t="s">
        <v>522</v>
      </c>
      <c r="E41" s="233" t="s">
        <v>56</v>
      </c>
      <c r="F41" s="293">
        <v>1</v>
      </c>
      <c r="G41" s="293" t="s">
        <v>354</v>
      </c>
      <c r="H41" s="293" t="s">
        <v>351</v>
      </c>
      <c r="I41" s="293" t="s">
        <v>354</v>
      </c>
      <c r="J41" s="293" t="str">
        <f>+IF(F41&gt;'Equipment Data'!$G$65,"yes","No")</f>
        <v>No</v>
      </c>
      <c r="K41" s="293">
        <v>0.67</v>
      </c>
      <c r="L41" s="293" t="s">
        <v>354</v>
      </c>
      <c r="M41" s="170">
        <f>+IF(AND(D41="Dust Collectors",E41="Venturi"),IF(F41&lt;'Equipment Data'!$G$65,10^('Equipment Data'!$C$65+'Equipment Data'!$D$65*LOG10(F41)+'Equipment Data'!$E$65*LOG10(F41)*LOG10(F41)),10^('Equipment Data'!$C$65+'Equipment Data'!$D$65*LOG10('Equipment Data'!$G$65)+'Equipment Data'!$E$65*LOG10('Equipment Data'!$G$65)*LOG10('Equipment Data'!$G$65))*(F41/'Equipment Data'!$G$65)^K41),"N/A")</f>
        <v>4263.8311690007922</v>
      </c>
      <c r="N41" s="293" t="s">
        <v>354</v>
      </c>
      <c r="O41" s="293" t="s">
        <v>354</v>
      </c>
      <c r="P41" s="166">
        <f>+'Equipment Data'!$H$65</f>
        <v>2.86</v>
      </c>
      <c r="Q41" s="167">
        <f t="shared" si="2"/>
        <v>12194.557143342265</v>
      </c>
      <c r="R41" s="99"/>
      <c r="S41" s="202"/>
      <c r="T41" s="106"/>
      <c r="U41" s="105"/>
      <c r="V41" s="105"/>
      <c r="W41" s="105"/>
      <c r="X41" s="105"/>
      <c r="Y41" s="105"/>
      <c r="Z41" s="105"/>
      <c r="AA41" s="105"/>
      <c r="AB41" s="105"/>
      <c r="AC41" s="105"/>
      <c r="AD41" s="105"/>
      <c r="AE41" s="105"/>
      <c r="AF41" s="105"/>
      <c r="AG41" s="105"/>
      <c r="AH41" s="105"/>
      <c r="AI41" s="105"/>
      <c r="AJ41" s="105"/>
      <c r="AK41" s="105"/>
      <c r="AL41" s="105"/>
      <c r="AM41" s="105"/>
      <c r="AN41" s="105"/>
      <c r="AO41" s="105"/>
      <c r="AP41" s="105"/>
      <c r="AQ41" s="105"/>
      <c r="AR41" s="105"/>
      <c r="AS41" s="105"/>
      <c r="AT41" s="105"/>
      <c r="AU41" s="105"/>
      <c r="AV41" s="105"/>
      <c r="AW41" s="105"/>
      <c r="AX41" s="105"/>
      <c r="AY41" s="105"/>
      <c r="AZ41" s="105"/>
      <c r="BA41" s="105"/>
      <c r="BB41" s="105"/>
      <c r="BC41" s="105"/>
      <c r="BD41" s="105"/>
      <c r="BE41" s="105"/>
      <c r="BF41" s="105"/>
      <c r="BG41" s="105"/>
      <c r="BH41" s="105"/>
      <c r="BI41" s="105"/>
      <c r="BJ41" s="105"/>
      <c r="BK41" s="105"/>
      <c r="BL41" s="105"/>
      <c r="BM41" s="105"/>
      <c r="BN41" s="105"/>
      <c r="BO41" s="105"/>
      <c r="BP41" s="105"/>
      <c r="BQ41" s="105"/>
      <c r="BR41" s="105"/>
      <c r="BS41" s="105"/>
      <c r="BT41" s="105"/>
      <c r="BU41" s="105"/>
      <c r="BV41" s="105"/>
      <c r="BW41" s="105"/>
      <c r="BX41" s="105"/>
      <c r="BY41" s="105"/>
      <c r="BZ41" s="105"/>
      <c r="CA41" s="105"/>
      <c r="CB41" s="105"/>
      <c r="CC41" s="105"/>
      <c r="CD41" s="105"/>
      <c r="CE41" s="105"/>
      <c r="CF41" s="105"/>
      <c r="CG41" s="105"/>
      <c r="CH41" s="105"/>
      <c r="CI41" s="105"/>
      <c r="CJ41" s="83"/>
      <c r="CK41" s="83"/>
      <c r="CL41" s="83"/>
      <c r="CM41" s="83"/>
      <c r="CN41" s="83"/>
      <c r="CO41" s="83"/>
    </row>
    <row r="42" spans="1:93" x14ac:dyDescent="0.3">
      <c r="A42" s="83"/>
      <c r="B42" s="104"/>
      <c r="C42" s="300"/>
      <c r="D42" s="268" t="s">
        <v>248</v>
      </c>
      <c r="E42" s="268" t="s">
        <v>66</v>
      </c>
      <c r="F42" s="293">
        <v>1</v>
      </c>
      <c r="G42" s="293">
        <v>1</v>
      </c>
      <c r="H42" s="293" t="s">
        <v>474</v>
      </c>
      <c r="I42" s="293" t="s">
        <v>85</v>
      </c>
      <c r="J42" s="293" t="str">
        <f>+IF(F42&gt;'Equipment Data'!$O$70,"yes","No")</f>
        <v>No</v>
      </c>
      <c r="K42" s="293">
        <v>0.67</v>
      </c>
      <c r="L42" s="293" t="s">
        <v>354</v>
      </c>
      <c r="M42" s="170">
        <f>+IF(AND(D42="Fan",E42="Centrifugal Radial Fan"),IF(F42&lt;'Equipment Data'!$O$70,10^('Equipment Data'!$C$70+'Equipment Data'!$D$70*LOG10(F42)+'Equipment Data'!$E$70*LOG10(F42)*LOG10(F42)),10^('Equipment Data'!$C$70+'Equipment Data'!$D$70*LOG10('Equipment Data'!$O$70)+'Equipment Data'!$E$70*LOG10('Equipment Data'!$O$70)*LOG10('Equipment Data'!$O$70))*(F42/'Equipment Data'!$O$70)^K42),"N/A")</f>
        <v>3460.1904248294909</v>
      </c>
      <c r="N42" s="166">
        <f>+IF((G42/100)&gt;'Equipment Data'!$J$70,10^('Equipment Data'!$K$70+'Equipment Data'!$L$70*LOG10(G42)+'Equipment Data'!$M$70*LOG10(G42)*LOG10(G42)),1)</f>
        <v>1</v>
      </c>
      <c r="O42" s="293" t="s">
        <v>354</v>
      </c>
      <c r="P42" s="166">
        <f>+IF(I42="CS",'Equipment Data'!$F$70,IF(I42="SS",'Equipment Data'!$H$70,IF(I42="Ni",'Equipment Data'!$I$70,IF(I42="fiberglass",'Equipment Data'!$G$70,"N/A"))))</f>
        <v>2.74</v>
      </c>
      <c r="Q42" s="167">
        <f>+M42*N42*P42</f>
        <v>9480.9217640328061</v>
      </c>
      <c r="R42" s="304"/>
      <c r="S42" s="310"/>
      <c r="T42" s="106"/>
      <c r="U42" s="105"/>
      <c r="V42" s="105"/>
      <c r="W42" s="105"/>
      <c r="X42" s="105"/>
      <c r="Y42" s="105"/>
      <c r="Z42" s="105"/>
      <c r="AA42" s="105"/>
      <c r="AB42" s="105"/>
      <c r="AC42" s="105"/>
      <c r="AD42" s="105"/>
      <c r="AE42" s="105"/>
      <c r="AF42" s="105"/>
      <c r="AG42" s="105"/>
      <c r="AH42" s="105"/>
      <c r="AI42" s="105"/>
      <c r="AJ42" s="105"/>
      <c r="AK42" s="105"/>
      <c r="AL42" s="105"/>
      <c r="AM42" s="105"/>
      <c r="AN42" s="105"/>
      <c r="AO42" s="105"/>
      <c r="AP42" s="105"/>
      <c r="AQ42" s="105"/>
      <c r="AR42" s="105"/>
      <c r="AS42" s="105"/>
      <c r="AT42" s="105"/>
      <c r="AU42" s="105"/>
      <c r="AV42" s="105"/>
      <c r="AW42" s="105"/>
      <c r="AX42" s="105"/>
      <c r="AY42" s="105"/>
      <c r="AZ42" s="105"/>
      <c r="BA42" s="105"/>
      <c r="BB42" s="105"/>
      <c r="BC42" s="105"/>
      <c r="BD42" s="105"/>
      <c r="BE42" s="105"/>
      <c r="BF42" s="105"/>
      <c r="BG42" s="105"/>
      <c r="BH42" s="105"/>
      <c r="BI42" s="105"/>
      <c r="BJ42" s="105"/>
      <c r="BK42" s="105"/>
      <c r="BL42" s="105"/>
      <c r="BM42" s="105"/>
      <c r="BN42" s="105"/>
      <c r="BO42" s="105"/>
      <c r="BP42" s="105"/>
      <c r="BQ42" s="105"/>
      <c r="BR42" s="105"/>
      <c r="BS42" s="105"/>
      <c r="BT42" s="105"/>
      <c r="BU42" s="105"/>
      <c r="BV42" s="105"/>
      <c r="BW42" s="105"/>
      <c r="BX42" s="105"/>
      <c r="BY42" s="105"/>
      <c r="BZ42" s="105"/>
      <c r="CA42" s="105"/>
      <c r="CB42" s="105"/>
      <c r="CC42" s="105"/>
      <c r="CD42" s="105"/>
      <c r="CE42" s="105"/>
      <c r="CF42" s="105"/>
      <c r="CG42" s="105"/>
      <c r="CH42" s="105"/>
      <c r="CI42" s="105"/>
      <c r="CJ42" s="83"/>
      <c r="CK42" s="83"/>
      <c r="CL42" s="83"/>
      <c r="CM42" s="83"/>
      <c r="CN42" s="83"/>
      <c r="CO42" s="83"/>
    </row>
    <row r="43" spans="1:93" x14ac:dyDescent="0.3">
      <c r="A43" s="83"/>
      <c r="B43" s="104"/>
      <c r="C43" s="301"/>
      <c r="D43" s="268" t="s">
        <v>248</v>
      </c>
      <c r="E43" s="268" t="s">
        <v>67</v>
      </c>
      <c r="F43" s="293">
        <v>1</v>
      </c>
      <c r="G43" s="293">
        <v>1</v>
      </c>
      <c r="H43" s="293" t="s">
        <v>474</v>
      </c>
      <c r="I43" s="293" t="s">
        <v>85</v>
      </c>
      <c r="J43" s="293" t="str">
        <f>+IF(F43&gt;'Equipment Data'!$O$71,"yes","No")</f>
        <v>No</v>
      </c>
      <c r="K43" s="293">
        <v>0.67</v>
      </c>
      <c r="L43" s="293" t="s">
        <v>354</v>
      </c>
      <c r="M43" s="170">
        <f>+IF(AND(D43="Fan",E43="Centrifugal Backward curved fan"),IF(F43&lt;'Equipment Data'!$O$71,10^('Equipment Data'!$C$71+'Equipment Data'!$D$71*LOG10(F43)+'Equipment Data'!$E$71*LOG10(F43)*LOG10(F43)),10^('Equipment Data'!$C$71+'Equipment Data'!$D$71*LOG10('Equipment Data'!$O$71)+'Equipment Data'!$E$71*LOG10('Equipment Data'!$O$71)*LOG10('Equipment Data'!$O$71))*(F43/'Equipment Data'!$O$71)^K43),"N/A")</f>
        <v>2223.8218856158751</v>
      </c>
      <c r="N43" s="166">
        <f>+IF((G43/100)&gt;'Equipment Data'!$J$71,10^('Equipment Data'!$K$71+'Equipment Data'!$L$71*LOG10(G43)+'Equipment Data'!$M$71*LOG10(G43)*LOG10(G43)),1)</f>
        <v>1</v>
      </c>
      <c r="O43" s="293" t="s">
        <v>354</v>
      </c>
      <c r="P43" s="166">
        <f>+IF(I43="CS",'Equipment Data'!$F$71,IF(I43="SS",'Equipment Data'!$H$71,IF(I43="Ni",'Equipment Data'!$I$71,IF(I43="fiberglass",'Equipment Data'!$G$71,"N/A"))))</f>
        <v>2.74</v>
      </c>
      <c r="Q43" s="167">
        <f t="shared" ref="Q43:Q45" si="3">+M43*N43*P43</f>
        <v>6093.2719665874984</v>
      </c>
      <c r="R43" s="306"/>
      <c r="S43" s="311"/>
      <c r="T43" s="106"/>
      <c r="U43" s="105"/>
      <c r="V43" s="105"/>
      <c r="W43" s="105"/>
      <c r="X43" s="105"/>
      <c r="Y43" s="105"/>
      <c r="Z43" s="105"/>
      <c r="AA43" s="105"/>
      <c r="AB43" s="105"/>
      <c r="AC43" s="105"/>
      <c r="AD43" s="105"/>
      <c r="AE43" s="105"/>
      <c r="AF43" s="105"/>
      <c r="AG43" s="105"/>
      <c r="AH43" s="105"/>
      <c r="AI43" s="105"/>
      <c r="AJ43" s="105"/>
      <c r="AK43" s="105"/>
      <c r="AL43" s="105"/>
      <c r="AM43" s="105"/>
      <c r="AN43" s="105"/>
      <c r="AO43" s="105"/>
      <c r="AP43" s="105"/>
      <c r="AQ43" s="105"/>
      <c r="AR43" s="105"/>
      <c r="AS43" s="105"/>
      <c r="AT43" s="105"/>
      <c r="AU43" s="105"/>
      <c r="AV43" s="105"/>
      <c r="AW43" s="105"/>
      <c r="AX43" s="105"/>
      <c r="AY43" s="105"/>
      <c r="AZ43" s="105"/>
      <c r="BA43" s="105"/>
      <c r="BB43" s="105"/>
      <c r="BC43" s="105"/>
      <c r="BD43" s="105"/>
      <c r="BE43" s="105"/>
      <c r="BF43" s="105"/>
      <c r="BG43" s="105"/>
      <c r="BH43" s="105"/>
      <c r="BI43" s="105"/>
      <c r="BJ43" s="105"/>
      <c r="BK43" s="105"/>
      <c r="BL43" s="105"/>
      <c r="BM43" s="105"/>
      <c r="BN43" s="105"/>
      <c r="BO43" s="105"/>
      <c r="BP43" s="105"/>
      <c r="BQ43" s="105"/>
      <c r="BR43" s="105"/>
      <c r="BS43" s="105"/>
      <c r="BT43" s="105"/>
      <c r="BU43" s="105"/>
      <c r="BV43" s="105"/>
      <c r="BW43" s="105"/>
      <c r="BX43" s="105"/>
      <c r="BY43" s="105"/>
      <c r="BZ43" s="105"/>
      <c r="CA43" s="105"/>
      <c r="CB43" s="105"/>
      <c r="CC43" s="105"/>
      <c r="CD43" s="105"/>
      <c r="CE43" s="105"/>
      <c r="CF43" s="105"/>
      <c r="CG43" s="105"/>
      <c r="CH43" s="105"/>
      <c r="CI43" s="105"/>
      <c r="CJ43" s="83"/>
      <c r="CK43" s="83"/>
      <c r="CL43" s="83"/>
      <c r="CM43" s="83"/>
      <c r="CN43" s="83"/>
      <c r="CO43" s="83"/>
    </row>
    <row r="44" spans="1:93" x14ac:dyDescent="0.3">
      <c r="A44" s="83"/>
      <c r="B44" s="104"/>
      <c r="C44" s="301"/>
      <c r="D44" s="268" t="s">
        <v>248</v>
      </c>
      <c r="E44" s="268" t="s">
        <v>68</v>
      </c>
      <c r="F44" s="293">
        <v>1</v>
      </c>
      <c r="G44" s="293">
        <v>1</v>
      </c>
      <c r="H44" s="293" t="s">
        <v>474</v>
      </c>
      <c r="I44" s="293" t="s">
        <v>85</v>
      </c>
      <c r="J44" s="293" t="str">
        <f>+IF(F44&gt;'Equipment Data'!$O$72,"yes","No")</f>
        <v>No</v>
      </c>
      <c r="K44" s="293">
        <v>0.67</v>
      </c>
      <c r="L44" s="293" t="s">
        <v>354</v>
      </c>
      <c r="M44" s="170">
        <f>+IF(AND(D44="Fan",E44="Axial Tube Fan"),IF(F44&lt;'Equipment Data'!$O$72,10^('Equipment Data'!$C$72+'Equipment Data'!$D$72*LOG10(F44)+'Equipment Data'!$E$72*LOG10(F44)*LOG10(F44)),10^('Equipment Data'!$C$72+'Equipment Data'!$D$72*LOG10('Equipment Data'!$O$72)+'Equipment Data'!$E$72*LOG10('Equipment Data'!$O$72)*LOG10('Equipment Data'!$O$72))*(F44/'Equipment Data'!$O$72)^K44),"N/A")</f>
        <v>1100.0185275062213</v>
      </c>
      <c r="N44" s="166">
        <f>+IF((G44/100)&gt;'Equipment Data'!$J$72,10^('Equipment Data'!$K$72+'Equipment Data'!$L$72*LOG10(G44)+'Equipment Data'!$M$72*LOG10(G44)*LOG10(G44)),1)</f>
        <v>1</v>
      </c>
      <c r="O44" s="293" t="s">
        <v>354</v>
      </c>
      <c r="P44" s="166">
        <f>+IF(I44="CS",'Equipment Data'!$F$72,IF(I44="SS",'Equipment Data'!$H$72,IF(I44="Ni",'Equipment Data'!$I$72,IF(I44="fiberglass",'Equipment Data'!$G$72,"N/A"))))</f>
        <v>2.74</v>
      </c>
      <c r="Q44" s="167">
        <f t="shared" si="3"/>
        <v>3014.0507653670466</v>
      </c>
      <c r="R44" s="306"/>
      <c r="S44" s="311"/>
      <c r="T44" s="106"/>
      <c r="U44" s="105"/>
      <c r="V44" s="105"/>
      <c r="W44" s="105"/>
      <c r="X44" s="105"/>
      <c r="Y44" s="105"/>
      <c r="Z44" s="105"/>
      <c r="AA44" s="105"/>
      <c r="AB44" s="105"/>
      <c r="AC44" s="105"/>
      <c r="AD44" s="105"/>
      <c r="AE44" s="105"/>
      <c r="AF44" s="105"/>
      <c r="AG44" s="105"/>
      <c r="AH44" s="105"/>
      <c r="AI44" s="105"/>
      <c r="AJ44" s="105"/>
      <c r="AK44" s="105"/>
      <c r="AL44" s="105"/>
      <c r="AM44" s="105"/>
      <c r="AN44" s="105"/>
      <c r="AO44" s="105"/>
      <c r="AP44" s="105"/>
      <c r="AQ44" s="105"/>
      <c r="AR44" s="105"/>
      <c r="AS44" s="105"/>
      <c r="AT44" s="105"/>
      <c r="AU44" s="105"/>
      <c r="AV44" s="105"/>
      <c r="AW44" s="105"/>
      <c r="AX44" s="105"/>
      <c r="AY44" s="105"/>
      <c r="AZ44" s="105"/>
      <c r="BA44" s="105"/>
      <c r="BB44" s="105"/>
      <c r="BC44" s="105"/>
      <c r="BD44" s="105"/>
      <c r="BE44" s="105"/>
      <c r="BF44" s="105"/>
      <c r="BG44" s="105"/>
      <c r="BH44" s="105"/>
      <c r="BI44" s="105"/>
      <c r="BJ44" s="105"/>
      <c r="BK44" s="105"/>
      <c r="BL44" s="105"/>
      <c r="BM44" s="105"/>
      <c r="BN44" s="105"/>
      <c r="BO44" s="105"/>
      <c r="BP44" s="105"/>
      <c r="BQ44" s="105"/>
      <c r="BR44" s="105"/>
      <c r="BS44" s="105"/>
      <c r="BT44" s="105"/>
      <c r="BU44" s="105"/>
      <c r="BV44" s="105"/>
      <c r="BW44" s="105"/>
      <c r="BX44" s="105"/>
      <c r="BY44" s="105"/>
      <c r="BZ44" s="105"/>
      <c r="CA44" s="105"/>
      <c r="CB44" s="105"/>
      <c r="CC44" s="105"/>
      <c r="CD44" s="105"/>
      <c r="CE44" s="105"/>
      <c r="CF44" s="105"/>
      <c r="CG44" s="105"/>
      <c r="CH44" s="105"/>
      <c r="CI44" s="105"/>
      <c r="CJ44" s="83"/>
      <c r="CK44" s="83"/>
      <c r="CL44" s="83"/>
      <c r="CM44" s="83"/>
      <c r="CN44" s="83"/>
      <c r="CO44" s="83"/>
    </row>
    <row r="45" spans="1:93" x14ac:dyDescent="0.3">
      <c r="A45" s="83"/>
      <c r="B45" s="104"/>
      <c r="C45" s="302"/>
      <c r="D45" s="268" t="s">
        <v>248</v>
      </c>
      <c r="E45" s="268" t="s">
        <v>69</v>
      </c>
      <c r="F45" s="293">
        <v>1</v>
      </c>
      <c r="G45" s="293">
        <v>1</v>
      </c>
      <c r="H45" s="293" t="s">
        <v>474</v>
      </c>
      <c r="I45" s="293" t="s">
        <v>85</v>
      </c>
      <c r="J45" s="293" t="str">
        <f>+IF(F45&gt;'Equipment Data'!$O$73,"yes","No")</f>
        <v>No</v>
      </c>
      <c r="K45" s="293">
        <v>0.67</v>
      </c>
      <c r="L45" s="293" t="s">
        <v>354</v>
      </c>
      <c r="M45" s="170">
        <f>+IF(AND(D45="Fan",E45="Axial Vane Fan"),IF(F45&lt;'Equipment Data'!$O$73,10^('Equipment Data'!$C$73+'Equipment Data'!$D$73*LOG10(F45)+'Equipment Data'!$E$73*LOG10(F45)*LOG10(F45)),10^('Equipment Data'!$C$73+'Equipment Data'!$D$73*LOG10('Equipment Data'!O73)+'Equipment Data'!$E$73*LOG10('Equipment Data'!$O$73)*LOG10('Equipment Data'!$O$73))*(F45/'Equipment Data'!$O$73)^K45),"N/A")</f>
        <v>1500.0301904559487</v>
      </c>
      <c r="N45" s="166">
        <f>+IF((G45/100)&gt;'Equipment Data'!$J$73,10^('Equipment Data'!$K$73+'Equipment Data'!$L$73*LOG10(G45)+'Equipment Data'!$M$73*LOG10(G45)*LOG10(G45)),1)</f>
        <v>1</v>
      </c>
      <c r="O45" s="293" t="s">
        <v>354</v>
      </c>
      <c r="P45" s="166">
        <f>+IF(I45="CS",'Equipment Data'!$F$73,IF(I45="SS",'Equipment Data'!$H$73,IF(I45="Ni",'Equipment Data'!$I$73,IF(I45="fiberglass",'Equipment Data'!$G$73,"N/A"))))</f>
        <v>2.74</v>
      </c>
      <c r="Q45" s="167">
        <f t="shared" si="3"/>
        <v>4110.0827218492996</v>
      </c>
      <c r="R45" s="306"/>
      <c r="S45" s="311"/>
      <c r="T45" s="106"/>
      <c r="U45" s="105"/>
      <c r="V45" s="105"/>
      <c r="W45" s="105"/>
      <c r="X45" s="105"/>
      <c r="Y45" s="105"/>
      <c r="Z45" s="105"/>
      <c r="AA45" s="105"/>
      <c r="AB45" s="105"/>
      <c r="AC45" s="105"/>
      <c r="AD45" s="105"/>
      <c r="AE45" s="105"/>
      <c r="AF45" s="105"/>
      <c r="AG45" s="105"/>
      <c r="AH45" s="105"/>
      <c r="AI45" s="105"/>
      <c r="AJ45" s="105"/>
      <c r="AK45" s="105"/>
      <c r="AL45" s="105"/>
      <c r="AM45" s="105"/>
      <c r="AN45" s="105"/>
      <c r="AO45" s="105"/>
      <c r="AP45" s="105"/>
      <c r="AQ45" s="105"/>
      <c r="AR45" s="105"/>
      <c r="AS45" s="105"/>
      <c r="AT45" s="105"/>
      <c r="AU45" s="105"/>
      <c r="AV45" s="105"/>
      <c r="AW45" s="105"/>
      <c r="AX45" s="105"/>
      <c r="AY45" s="105"/>
      <c r="AZ45" s="105"/>
      <c r="BA45" s="105"/>
      <c r="BB45" s="105"/>
      <c r="BC45" s="105"/>
      <c r="BD45" s="105"/>
      <c r="BE45" s="105"/>
      <c r="BF45" s="105"/>
      <c r="BG45" s="105"/>
      <c r="BH45" s="105"/>
      <c r="BI45" s="105"/>
      <c r="BJ45" s="105"/>
      <c r="BK45" s="105"/>
      <c r="BL45" s="105"/>
      <c r="BM45" s="105"/>
      <c r="BN45" s="105"/>
      <c r="BO45" s="105"/>
      <c r="BP45" s="105"/>
      <c r="BQ45" s="105"/>
      <c r="BR45" s="105"/>
      <c r="BS45" s="105"/>
      <c r="BT45" s="105"/>
      <c r="BU45" s="105"/>
      <c r="BV45" s="105"/>
      <c r="BW45" s="105"/>
      <c r="BX45" s="105"/>
      <c r="BY45" s="105"/>
      <c r="BZ45" s="105"/>
      <c r="CA45" s="105"/>
      <c r="CB45" s="105"/>
      <c r="CC45" s="105"/>
      <c r="CD45" s="105"/>
      <c r="CE45" s="105"/>
      <c r="CF45" s="105"/>
      <c r="CG45" s="105"/>
      <c r="CH45" s="105"/>
      <c r="CI45" s="105"/>
      <c r="CJ45" s="83"/>
      <c r="CK45" s="83"/>
      <c r="CL45" s="83"/>
      <c r="CM45" s="83"/>
      <c r="CN45" s="83"/>
      <c r="CO45" s="83"/>
    </row>
    <row r="46" spans="1:93" x14ac:dyDescent="0.3">
      <c r="A46" s="83"/>
      <c r="B46" s="104"/>
      <c r="C46" s="218"/>
      <c r="D46" s="268" t="s">
        <v>523</v>
      </c>
      <c r="E46" s="268" t="s">
        <v>71</v>
      </c>
      <c r="F46" s="293">
        <v>1</v>
      </c>
      <c r="G46" s="293" t="s">
        <v>354</v>
      </c>
      <c r="H46" s="293" t="s">
        <v>352</v>
      </c>
      <c r="I46" s="293" t="s">
        <v>354</v>
      </c>
      <c r="J46" s="293" t="str">
        <f>+IF(F46&gt;'Equipment Data'!$G$78,"yes","No")</f>
        <v>No</v>
      </c>
      <c r="K46" s="293">
        <v>0.67</v>
      </c>
      <c r="L46" s="293" t="s">
        <v>354</v>
      </c>
      <c r="M46" s="170">
        <f>+IF(AND(D46="Filter",E46="Bent"),IF(F46&lt;'Equipment Data'!$G$78,10^('Equipment Data'!$C$78+'Equipment Data'!$D$78*LOG10(F46)+'Equipment Data'!$E$78*LOG10(F46)*LOG10(F46)),10^('Equipment Data'!$C$78+'Equipment Data'!$D$78*LOG10('Equipment Data'!$G$78)+'Equipment Data'!$E$78*LOG10('Equipment Data'!$G$78)*LOG10('Equipment Data'!$G$78))*(F46/'Equipment Data'!$G$78)^K46),"N/A")</f>
        <v>127497.00999437156</v>
      </c>
      <c r="N46" s="293" t="s">
        <v>354</v>
      </c>
      <c r="O46" s="293" t="s">
        <v>354</v>
      </c>
      <c r="P46" s="166">
        <f>+'Equipment Data'!$H$78</f>
        <v>1.65</v>
      </c>
      <c r="Q46" s="167">
        <f>+M46*P46</f>
        <v>210370.06649071307</v>
      </c>
      <c r="R46" s="297"/>
      <c r="S46" s="201"/>
      <c r="T46" s="106"/>
      <c r="U46" s="105"/>
      <c r="V46" s="105"/>
      <c r="W46" s="105"/>
      <c r="X46" s="105"/>
      <c r="Y46" s="105"/>
      <c r="Z46" s="105"/>
      <c r="AA46" s="105"/>
      <c r="AB46" s="105"/>
      <c r="AC46" s="105"/>
      <c r="AD46" s="105"/>
      <c r="AE46" s="105"/>
      <c r="AF46" s="105"/>
      <c r="AG46" s="105"/>
      <c r="AH46" s="105"/>
      <c r="AI46" s="105"/>
      <c r="AJ46" s="105"/>
      <c r="AK46" s="105"/>
      <c r="AL46" s="105"/>
      <c r="AM46" s="105"/>
      <c r="AN46" s="105"/>
      <c r="AO46" s="105"/>
      <c r="AP46" s="105"/>
      <c r="AQ46" s="105"/>
      <c r="AR46" s="105"/>
      <c r="AS46" s="105"/>
      <c r="AT46" s="105"/>
      <c r="AU46" s="105"/>
      <c r="AV46" s="105"/>
      <c r="AW46" s="105"/>
      <c r="AX46" s="105"/>
      <c r="AY46" s="105"/>
      <c r="AZ46" s="105"/>
      <c r="BA46" s="105"/>
      <c r="BB46" s="105"/>
      <c r="BC46" s="105"/>
      <c r="BD46" s="105"/>
      <c r="BE46" s="105"/>
      <c r="BF46" s="105"/>
      <c r="BG46" s="105"/>
      <c r="BH46" s="105"/>
      <c r="BI46" s="105"/>
      <c r="BJ46" s="105"/>
      <c r="BK46" s="105"/>
      <c r="BL46" s="105"/>
      <c r="BM46" s="105"/>
      <c r="BN46" s="105"/>
      <c r="BO46" s="105"/>
      <c r="BP46" s="105"/>
      <c r="BQ46" s="105"/>
      <c r="BR46" s="105"/>
      <c r="BS46" s="105"/>
      <c r="BT46" s="105"/>
      <c r="BU46" s="105"/>
      <c r="BV46" s="105"/>
      <c r="BW46" s="105"/>
      <c r="BX46" s="105"/>
      <c r="BY46" s="105"/>
      <c r="BZ46" s="105"/>
      <c r="CA46" s="105"/>
      <c r="CB46" s="105"/>
      <c r="CC46" s="105"/>
      <c r="CD46" s="105"/>
      <c r="CE46" s="105"/>
      <c r="CF46" s="105"/>
      <c r="CG46" s="105"/>
      <c r="CH46" s="105"/>
      <c r="CI46" s="105"/>
      <c r="CJ46" s="83"/>
      <c r="CK46" s="83"/>
      <c r="CL46" s="83"/>
      <c r="CM46" s="83"/>
      <c r="CN46" s="83"/>
      <c r="CO46" s="83"/>
    </row>
    <row r="47" spans="1:93" ht="13.2" customHeight="1" x14ac:dyDescent="0.3">
      <c r="A47" s="83"/>
      <c r="B47" s="104"/>
      <c r="C47" s="216"/>
      <c r="D47" s="268" t="s">
        <v>523</v>
      </c>
      <c r="E47" s="268" t="s">
        <v>72</v>
      </c>
      <c r="F47" s="293">
        <v>1</v>
      </c>
      <c r="G47" s="293" t="s">
        <v>354</v>
      </c>
      <c r="H47" s="293" t="s">
        <v>352</v>
      </c>
      <c r="I47" s="293" t="s">
        <v>354</v>
      </c>
      <c r="J47" s="293" t="str">
        <f>+IF(F47&gt;'Equipment Data'!$G$79,"yes","No")</f>
        <v>No</v>
      </c>
      <c r="K47" s="293">
        <v>0.67</v>
      </c>
      <c r="L47" s="293" t="s">
        <v>354</v>
      </c>
      <c r="M47" s="170">
        <f>+IF(AND(D47="Filter",E47="Cartridge"),IF(F47&lt;'Equipment Data'!$G$79,10^('Equipment Data'!$C$79+'Equipment Data'!$D$79*LOG10(F47)+'Equipment Data'!$E$79*LOG10(F47)*LOG10(F47)),10^('Equipment Data'!$C$79+'Equipment Data'!$D$79*LOG10('Equipment Data'!$G$79)+'Equipment Data'!$E$79*LOG10('Equipment Data'!$G$79)*LOG10('Equipment Data'!$G$79))*(F47/'Equipment Data'!$G$79)^K47),"N/A")</f>
        <v>1624.4262541935459</v>
      </c>
      <c r="N47" s="293" t="s">
        <v>354</v>
      </c>
      <c r="O47" s="293" t="s">
        <v>354</v>
      </c>
      <c r="P47" s="166">
        <f>+'Equipment Data'!$H$79</f>
        <v>1.65</v>
      </c>
      <c r="Q47" s="167">
        <f t="shared" ref="Q47:Q54" si="4">+M47*P47</f>
        <v>2680.3033194193504</v>
      </c>
      <c r="R47" s="294"/>
      <c r="S47" s="168"/>
      <c r="T47" s="106"/>
      <c r="U47" s="105"/>
      <c r="V47" s="105"/>
      <c r="W47" s="105"/>
      <c r="X47" s="105"/>
      <c r="Y47" s="105"/>
      <c r="Z47" s="105"/>
      <c r="AA47" s="105"/>
      <c r="AB47" s="105"/>
      <c r="AC47" s="105"/>
      <c r="AD47" s="105"/>
      <c r="AE47" s="105"/>
      <c r="AF47" s="105"/>
      <c r="AG47" s="105"/>
      <c r="AH47" s="105"/>
      <c r="AI47" s="105"/>
      <c r="AJ47" s="105"/>
      <c r="AK47" s="105"/>
      <c r="AL47" s="105"/>
      <c r="AM47" s="105"/>
      <c r="AN47" s="105"/>
      <c r="AO47" s="105"/>
      <c r="AP47" s="105"/>
      <c r="AQ47" s="105"/>
      <c r="AR47" s="105"/>
      <c r="AS47" s="105"/>
      <c r="AT47" s="105"/>
      <c r="AU47" s="105"/>
      <c r="AV47" s="105"/>
      <c r="AW47" s="105"/>
      <c r="AX47" s="105"/>
      <c r="AY47" s="105"/>
      <c r="AZ47" s="105"/>
      <c r="BA47" s="105"/>
      <c r="BB47" s="105"/>
      <c r="BC47" s="105"/>
      <c r="BD47" s="105"/>
      <c r="BE47" s="105"/>
      <c r="BF47" s="105"/>
      <c r="BG47" s="105"/>
      <c r="BH47" s="105"/>
      <c r="BI47" s="105"/>
      <c r="BJ47" s="105"/>
      <c r="BK47" s="105"/>
      <c r="BL47" s="105"/>
      <c r="BM47" s="105"/>
      <c r="BN47" s="105"/>
      <c r="BO47" s="105"/>
      <c r="BP47" s="105"/>
      <c r="BQ47" s="105"/>
      <c r="BR47" s="105"/>
      <c r="BS47" s="105"/>
      <c r="BT47" s="105"/>
      <c r="BU47" s="105"/>
      <c r="BV47" s="105"/>
      <c r="BW47" s="105"/>
      <c r="BX47" s="105"/>
      <c r="BY47" s="105"/>
      <c r="BZ47" s="105"/>
      <c r="CA47" s="105"/>
      <c r="CB47" s="105"/>
      <c r="CC47" s="105"/>
      <c r="CD47" s="105"/>
      <c r="CE47" s="105"/>
      <c r="CF47" s="105"/>
      <c r="CG47" s="105"/>
      <c r="CH47" s="105"/>
      <c r="CI47" s="105"/>
      <c r="CJ47" s="83"/>
      <c r="CK47" s="83"/>
      <c r="CL47" s="83"/>
      <c r="CM47" s="83"/>
      <c r="CN47" s="83"/>
      <c r="CO47" s="83"/>
    </row>
    <row r="48" spans="1:93" ht="13.2" customHeight="1" x14ac:dyDescent="0.3">
      <c r="A48" s="83"/>
      <c r="B48" s="104"/>
      <c r="C48" s="216"/>
      <c r="D48" s="268" t="s">
        <v>523</v>
      </c>
      <c r="E48" s="268" t="s">
        <v>73</v>
      </c>
      <c r="F48" s="293">
        <v>1</v>
      </c>
      <c r="G48" s="293" t="s">
        <v>354</v>
      </c>
      <c r="H48" s="293" t="s">
        <v>352</v>
      </c>
      <c r="I48" s="293" t="s">
        <v>354</v>
      </c>
      <c r="J48" s="293" t="str">
        <f>+IF(F48&gt;'Equipment Data'!$G$80,"yes","No")</f>
        <v>No</v>
      </c>
      <c r="K48" s="293">
        <v>0.67</v>
      </c>
      <c r="L48" s="293" t="s">
        <v>354</v>
      </c>
      <c r="M48" s="170">
        <f>+IF(AND(D48="Filter",E48="Disc and Drum"),IF(F48&lt;'Equipment Data'!$G$80,10^('Equipment Data'!$C$80+'Equipment Data'!$D$80*LOG10(F48)+'Equipment Data'!$E$80*LOG10(F48)*LOG10(F48)),10^('Equipment Data'!$C$80+'Equipment Data'!$D$80*LOG10('Equipment Data'!$G$80)+'Equipment Data'!$E$80*LOG10('Equipment Data'!$G$80)*LOG10('Equipment Data'!$G$80))*(F48/'Equipment Data'!$G$80)^K48),"N/A")</f>
        <v>64908.264913184088</v>
      </c>
      <c r="N48" s="293" t="s">
        <v>354</v>
      </c>
      <c r="O48" s="293" t="s">
        <v>354</v>
      </c>
      <c r="P48" s="166">
        <f>+'Equipment Data'!$H$80</f>
        <v>1.65</v>
      </c>
      <c r="Q48" s="167">
        <f t="shared" si="4"/>
        <v>107098.63710675374</v>
      </c>
      <c r="R48" s="294"/>
      <c r="S48" s="168"/>
      <c r="T48" s="106"/>
      <c r="U48" s="105"/>
      <c r="V48" s="105"/>
      <c r="W48" s="105"/>
      <c r="X48" s="105"/>
      <c r="Y48" s="105"/>
      <c r="Z48" s="105"/>
      <c r="AA48" s="105"/>
      <c r="AB48" s="105"/>
      <c r="AC48" s="105"/>
      <c r="AD48" s="105"/>
      <c r="AE48" s="105"/>
      <c r="AF48" s="105"/>
      <c r="AG48" s="105"/>
      <c r="AH48" s="105"/>
      <c r="AI48" s="105"/>
      <c r="AJ48" s="105"/>
      <c r="AK48" s="105"/>
      <c r="AL48" s="105"/>
      <c r="AM48" s="105"/>
      <c r="AN48" s="105"/>
      <c r="AO48" s="105"/>
      <c r="AP48" s="105"/>
      <c r="AQ48" s="105"/>
      <c r="AR48" s="105"/>
      <c r="AS48" s="105"/>
      <c r="AT48" s="105"/>
      <c r="AU48" s="105"/>
      <c r="AV48" s="105"/>
      <c r="AW48" s="105"/>
      <c r="AX48" s="105"/>
      <c r="AY48" s="105"/>
      <c r="AZ48" s="105"/>
      <c r="BA48" s="105"/>
      <c r="BB48" s="105"/>
      <c r="BC48" s="105"/>
      <c r="BD48" s="105"/>
      <c r="BE48" s="105"/>
      <c r="BF48" s="105"/>
      <c r="BG48" s="105"/>
      <c r="BH48" s="105"/>
      <c r="BI48" s="105"/>
      <c r="BJ48" s="105"/>
      <c r="BK48" s="105"/>
      <c r="BL48" s="105"/>
      <c r="BM48" s="105"/>
      <c r="BN48" s="105"/>
      <c r="BO48" s="105"/>
      <c r="BP48" s="105"/>
      <c r="BQ48" s="105"/>
      <c r="BR48" s="105"/>
      <c r="BS48" s="105"/>
      <c r="BT48" s="105"/>
      <c r="BU48" s="105"/>
      <c r="BV48" s="105"/>
      <c r="BW48" s="105"/>
      <c r="BX48" s="105"/>
      <c r="BY48" s="105"/>
      <c r="BZ48" s="105"/>
      <c r="CA48" s="105"/>
      <c r="CB48" s="105"/>
      <c r="CC48" s="105"/>
      <c r="CD48" s="105"/>
      <c r="CE48" s="105"/>
      <c r="CF48" s="105"/>
      <c r="CG48" s="105"/>
      <c r="CH48" s="105"/>
      <c r="CI48" s="105"/>
      <c r="CJ48" s="83"/>
      <c r="CK48" s="83"/>
      <c r="CL48" s="83"/>
      <c r="CM48" s="83"/>
      <c r="CN48" s="83"/>
      <c r="CO48" s="83"/>
    </row>
    <row r="49" spans="1:93" ht="13.2" customHeight="1" x14ac:dyDescent="0.3">
      <c r="A49" s="83"/>
      <c r="B49" s="104"/>
      <c r="C49" s="216"/>
      <c r="D49" s="268" t="s">
        <v>523</v>
      </c>
      <c r="E49" s="268" t="s">
        <v>74</v>
      </c>
      <c r="F49" s="293">
        <v>1</v>
      </c>
      <c r="G49" s="293" t="s">
        <v>354</v>
      </c>
      <c r="H49" s="293" t="s">
        <v>352</v>
      </c>
      <c r="I49" s="293" t="s">
        <v>354</v>
      </c>
      <c r="J49" s="293" t="str">
        <f>+IF(F49&gt;'Equipment Data'!$G$81,"yes","No")</f>
        <v>No</v>
      </c>
      <c r="K49" s="293">
        <v>0.67</v>
      </c>
      <c r="L49" s="293" t="s">
        <v>354</v>
      </c>
      <c r="M49" s="170">
        <f>+IF(AND(D49="Filter",E49="Gravity"),IF(F49&lt;'Equipment Data'!$G$81,10^('Equipment Data'!$C$81+'Equipment Data'!$D$81*LOG10(F49)+'Equipment Data'!$E$81*LOG10(F49)*LOG10(F49)),10^('Equipment Data'!$C$81+'Equipment Data'!$D$81*LOG10('Equipment Data'!$G$81)+'Equipment Data'!$E$81*LOG10('Equipment Data'!$G$81)*LOG10('Equipment Data'!$G$81))*(F49/'Equipment Data'!$G$81)^K49),"N/A")</f>
        <v>18862.532453510667</v>
      </c>
      <c r="N49" s="293" t="s">
        <v>354</v>
      </c>
      <c r="O49" s="293" t="s">
        <v>354</v>
      </c>
      <c r="P49" s="166">
        <f>+'Equipment Data'!$H$81</f>
        <v>1.65</v>
      </c>
      <c r="Q49" s="167">
        <f t="shared" si="4"/>
        <v>31123.178548292599</v>
      </c>
      <c r="R49" s="294"/>
      <c r="S49" s="168"/>
      <c r="T49" s="106"/>
      <c r="U49" s="105"/>
      <c r="V49" s="105"/>
      <c r="W49" s="105"/>
      <c r="X49" s="105"/>
      <c r="Y49" s="105"/>
      <c r="Z49" s="105"/>
      <c r="AA49" s="105"/>
      <c r="AB49" s="105"/>
      <c r="AC49" s="105"/>
      <c r="AD49" s="105"/>
      <c r="AE49" s="105"/>
      <c r="AF49" s="105"/>
      <c r="AG49" s="105"/>
      <c r="AH49" s="105"/>
      <c r="AI49" s="105"/>
      <c r="AJ49" s="105"/>
      <c r="AK49" s="105"/>
      <c r="AL49" s="105"/>
      <c r="AM49" s="105"/>
      <c r="AN49" s="105"/>
      <c r="AO49" s="105"/>
      <c r="AP49" s="105"/>
      <c r="AQ49" s="105"/>
      <c r="AR49" s="105"/>
      <c r="AS49" s="105"/>
      <c r="AT49" s="105"/>
      <c r="AU49" s="105"/>
      <c r="AV49" s="105"/>
      <c r="AW49" s="105"/>
      <c r="AX49" s="105"/>
      <c r="AY49" s="105"/>
      <c r="AZ49" s="105"/>
      <c r="BA49" s="105"/>
      <c r="BB49" s="105"/>
      <c r="BC49" s="105"/>
      <c r="BD49" s="105"/>
      <c r="BE49" s="105"/>
      <c r="BF49" s="105"/>
      <c r="BG49" s="105"/>
      <c r="BH49" s="105"/>
      <c r="BI49" s="105"/>
      <c r="BJ49" s="105"/>
      <c r="BK49" s="105"/>
      <c r="BL49" s="105"/>
      <c r="BM49" s="105"/>
      <c r="BN49" s="105"/>
      <c r="BO49" s="105"/>
      <c r="BP49" s="105"/>
      <c r="BQ49" s="105"/>
      <c r="BR49" s="105"/>
      <c r="BS49" s="105"/>
      <c r="BT49" s="105"/>
      <c r="BU49" s="105"/>
      <c r="BV49" s="105"/>
      <c r="BW49" s="105"/>
      <c r="BX49" s="105"/>
      <c r="BY49" s="105"/>
      <c r="BZ49" s="105"/>
      <c r="CA49" s="105"/>
      <c r="CB49" s="105"/>
      <c r="CC49" s="105"/>
      <c r="CD49" s="105"/>
      <c r="CE49" s="105"/>
      <c r="CF49" s="105"/>
      <c r="CG49" s="105"/>
      <c r="CH49" s="105"/>
      <c r="CI49" s="105"/>
      <c r="CJ49" s="83"/>
      <c r="CK49" s="83"/>
      <c r="CL49" s="83"/>
      <c r="CM49" s="83"/>
      <c r="CN49" s="83"/>
      <c r="CO49" s="83"/>
    </row>
    <row r="50" spans="1:93" ht="13.2" customHeight="1" x14ac:dyDescent="0.3">
      <c r="A50" s="83"/>
      <c r="B50" s="104"/>
      <c r="C50" s="216"/>
      <c r="D50" s="268" t="s">
        <v>523</v>
      </c>
      <c r="E50" s="268" t="s">
        <v>75</v>
      </c>
      <c r="F50" s="293">
        <v>1</v>
      </c>
      <c r="G50" s="293" t="s">
        <v>354</v>
      </c>
      <c r="H50" s="293" t="s">
        <v>352</v>
      </c>
      <c r="I50" s="293" t="s">
        <v>354</v>
      </c>
      <c r="J50" s="293" t="str">
        <f>+IF(F50&gt;'Equipment Data'!$G$82,"yes","No")</f>
        <v>No</v>
      </c>
      <c r="K50" s="293">
        <v>0.67</v>
      </c>
      <c r="L50" s="293" t="s">
        <v>354</v>
      </c>
      <c r="M50" s="170">
        <f>+IF(AND(D50="Filter",E50="Leaf"),IF(F50&lt;'Equipment Data'!$G$82,10^('Equipment Data'!$C$82+'Equipment Data'!$D$82*LOG10(F50)+'Equipment Data'!$E$82*LOG10(F50)*LOG10(F50)),10^('Equipment Data'!$C$82+'Equipment Data'!$D$82*LOG10('Equipment Data'!$G$82)+'Equipment Data'!$E$82*LOG10('Equipment Data'!$G$82)*LOG10('Equipment Data'!$G$82))*(F50/'Equipment Data'!$G$82)^K50),"N/A")</f>
        <v>6587.1871128192934</v>
      </c>
      <c r="N50" s="293" t="s">
        <v>354</v>
      </c>
      <c r="O50" s="293" t="s">
        <v>354</v>
      </c>
      <c r="P50" s="166">
        <f>+'Equipment Data'!$H$82</f>
        <v>1.65</v>
      </c>
      <c r="Q50" s="167">
        <f t="shared" si="4"/>
        <v>10868.858736151833</v>
      </c>
      <c r="R50" s="294"/>
      <c r="S50" s="168"/>
      <c r="T50" s="106"/>
      <c r="U50" s="105"/>
      <c r="V50" s="105"/>
      <c r="W50" s="105"/>
      <c r="X50" s="105"/>
      <c r="Y50" s="105"/>
      <c r="Z50" s="105"/>
      <c r="AA50" s="105"/>
      <c r="AB50" s="105"/>
      <c r="AC50" s="105"/>
      <c r="AD50" s="105"/>
      <c r="AE50" s="105"/>
      <c r="AF50" s="105"/>
      <c r="AG50" s="105"/>
      <c r="AH50" s="105"/>
      <c r="AI50" s="105"/>
      <c r="AJ50" s="105"/>
      <c r="AK50" s="105"/>
      <c r="AL50" s="105"/>
      <c r="AM50" s="105"/>
      <c r="AN50" s="105"/>
      <c r="AO50" s="105"/>
      <c r="AP50" s="105"/>
      <c r="AQ50" s="105"/>
      <c r="AR50" s="105"/>
      <c r="AS50" s="105"/>
      <c r="AT50" s="105"/>
      <c r="AU50" s="105"/>
      <c r="AV50" s="105"/>
      <c r="AW50" s="105"/>
      <c r="AX50" s="105"/>
      <c r="AY50" s="105"/>
      <c r="AZ50" s="105"/>
      <c r="BA50" s="105"/>
      <c r="BB50" s="105"/>
      <c r="BC50" s="105"/>
      <c r="BD50" s="105"/>
      <c r="BE50" s="105"/>
      <c r="BF50" s="105"/>
      <c r="BG50" s="105"/>
      <c r="BH50" s="105"/>
      <c r="BI50" s="105"/>
      <c r="BJ50" s="105"/>
      <c r="BK50" s="105"/>
      <c r="BL50" s="105"/>
      <c r="BM50" s="105"/>
      <c r="BN50" s="105"/>
      <c r="BO50" s="105"/>
      <c r="BP50" s="105"/>
      <c r="BQ50" s="105"/>
      <c r="BR50" s="105"/>
      <c r="BS50" s="105"/>
      <c r="BT50" s="105"/>
      <c r="BU50" s="105"/>
      <c r="BV50" s="105"/>
      <c r="BW50" s="105"/>
      <c r="BX50" s="105"/>
      <c r="BY50" s="105"/>
      <c r="BZ50" s="105"/>
      <c r="CA50" s="105"/>
      <c r="CB50" s="105"/>
      <c r="CC50" s="105"/>
      <c r="CD50" s="105"/>
      <c r="CE50" s="105"/>
      <c r="CF50" s="105"/>
      <c r="CG50" s="105"/>
      <c r="CH50" s="105"/>
      <c r="CI50" s="105"/>
      <c r="CJ50" s="83"/>
      <c r="CK50" s="83"/>
      <c r="CL50" s="83"/>
      <c r="CM50" s="83"/>
      <c r="CN50" s="83"/>
      <c r="CO50" s="83"/>
    </row>
    <row r="51" spans="1:93" ht="13.2" customHeight="1" x14ac:dyDescent="0.3">
      <c r="A51" s="83"/>
      <c r="B51" s="104"/>
      <c r="C51" s="216"/>
      <c r="D51" s="268" t="s">
        <v>523</v>
      </c>
      <c r="E51" s="268" t="s">
        <v>76</v>
      </c>
      <c r="F51" s="293">
        <v>1</v>
      </c>
      <c r="G51" s="293" t="s">
        <v>354</v>
      </c>
      <c r="H51" s="293" t="s">
        <v>352</v>
      </c>
      <c r="I51" s="293" t="s">
        <v>354</v>
      </c>
      <c r="J51" s="293" t="str">
        <f>+IF(F51&gt;'Equipment Data'!$G$83,"yes","No")</f>
        <v>No</v>
      </c>
      <c r="K51" s="293">
        <v>0.67</v>
      </c>
      <c r="L51" s="293" t="s">
        <v>354</v>
      </c>
      <c r="M51" s="170">
        <f>+IF(AND(D51="Filter",E51="Pan"),IF(F51&lt;'Equipment Data'!$G$83,10^('Equipment Data'!$C$83+'Equipment Data'!$D$83*LOG10(F51)+'Equipment Data'!$E$83*LOG10(F51)*LOG10(F51)),10^('Equipment Data'!$C$83+'Equipment Data'!$D$83*LOG10('Equipment Data'!$G$83)+'Equipment Data'!$E$83*LOG10('Equipment Data'!$G$83)*LOG10('Equipment Data'!$G$83))*(F51/'Equipment Data'!$G$83)^K51),"N/A")</f>
        <v>64908.264913184088</v>
      </c>
      <c r="N51" s="293" t="s">
        <v>354</v>
      </c>
      <c r="O51" s="293" t="s">
        <v>354</v>
      </c>
      <c r="P51" s="166">
        <f>+'Equipment Data'!$H$83</f>
        <v>1.65</v>
      </c>
      <c r="Q51" s="167">
        <f t="shared" si="4"/>
        <v>107098.63710675374</v>
      </c>
      <c r="R51" s="294"/>
      <c r="S51" s="168"/>
      <c r="T51" s="106"/>
      <c r="U51" s="105"/>
      <c r="V51" s="105"/>
      <c r="W51" s="105"/>
      <c r="X51" s="254"/>
      <c r="Y51" s="105"/>
      <c r="Z51" s="105"/>
      <c r="AA51" s="105"/>
      <c r="AB51" s="105"/>
      <c r="AC51" s="105"/>
      <c r="AD51" s="105"/>
      <c r="AE51" s="105"/>
      <c r="AF51" s="105"/>
      <c r="AG51" s="105"/>
      <c r="AH51" s="105"/>
      <c r="AI51" s="105"/>
      <c r="AJ51" s="105"/>
      <c r="AK51" s="105"/>
      <c r="AL51" s="105"/>
      <c r="AM51" s="105"/>
      <c r="AN51" s="105"/>
      <c r="AO51" s="105"/>
      <c r="AP51" s="105"/>
      <c r="AQ51" s="105"/>
      <c r="AR51" s="105"/>
      <c r="AS51" s="105"/>
      <c r="AT51" s="105"/>
      <c r="AU51" s="105"/>
      <c r="AV51" s="105"/>
      <c r="AW51" s="105"/>
      <c r="AX51" s="105"/>
      <c r="AY51" s="105"/>
      <c r="AZ51" s="105"/>
      <c r="BA51" s="105"/>
      <c r="BB51" s="105"/>
      <c r="BC51" s="105"/>
      <c r="BD51" s="105"/>
      <c r="BE51" s="105"/>
      <c r="BF51" s="105"/>
      <c r="BG51" s="105"/>
      <c r="BH51" s="105"/>
      <c r="BI51" s="105"/>
      <c r="BJ51" s="105"/>
      <c r="BK51" s="105"/>
      <c r="BL51" s="105"/>
      <c r="BM51" s="105"/>
      <c r="BN51" s="105"/>
      <c r="BO51" s="105"/>
      <c r="BP51" s="105"/>
      <c r="BQ51" s="105"/>
      <c r="BR51" s="105"/>
      <c r="BS51" s="105"/>
      <c r="BT51" s="105"/>
      <c r="BU51" s="105"/>
      <c r="BV51" s="105"/>
      <c r="BW51" s="105"/>
      <c r="BX51" s="105"/>
      <c r="BY51" s="105"/>
      <c r="BZ51" s="105"/>
      <c r="CA51" s="105"/>
      <c r="CB51" s="105"/>
      <c r="CC51" s="105"/>
      <c r="CD51" s="105"/>
      <c r="CE51" s="105"/>
      <c r="CF51" s="105"/>
      <c r="CG51" s="105"/>
      <c r="CH51" s="105"/>
      <c r="CI51" s="105"/>
      <c r="CJ51" s="83"/>
      <c r="CK51" s="83"/>
      <c r="CL51" s="83"/>
      <c r="CM51" s="83"/>
      <c r="CN51" s="83"/>
      <c r="CO51" s="83"/>
    </row>
    <row r="52" spans="1:93" ht="13.2" customHeight="1" x14ac:dyDescent="0.3">
      <c r="A52" s="83"/>
      <c r="B52" s="104"/>
      <c r="C52" s="216"/>
      <c r="D52" s="268" t="s">
        <v>523</v>
      </c>
      <c r="E52" s="268" t="s">
        <v>77</v>
      </c>
      <c r="F52" s="293">
        <v>1</v>
      </c>
      <c r="G52" s="293" t="s">
        <v>354</v>
      </c>
      <c r="H52" s="293" t="s">
        <v>352</v>
      </c>
      <c r="I52" s="293" t="s">
        <v>354</v>
      </c>
      <c r="J52" s="293" t="str">
        <f>+IF(F52&gt;'Equipment Data'!$G$84,"yes","No")</f>
        <v>No</v>
      </c>
      <c r="K52" s="293">
        <v>0.67</v>
      </c>
      <c r="L52" s="293" t="s">
        <v>354</v>
      </c>
      <c r="M52" s="170">
        <f>+IF(AND(D52="Filter",E52="Plate and Frame"),IF(F52&lt;'Equipment Data'!$G$84,10^('Equipment Data'!$C$84+'Equipment Data'!$D$84*LOG10(F52)+'Equipment Data'!$E$84*LOG10(F52)*LOG10(F52)),10^('Equipment Data'!$C$84+'Equipment Data'!$D$84*LOG10('Equipment Data'!$G$84)+'Equipment Data'!$E$84*LOG10('Equipment Data'!$G$84)*LOG10('Equipment Data'!$G$84))*(F52/'Equipment Data'!$G$84)^K52),"N/A")</f>
        <v>18862.532453510667</v>
      </c>
      <c r="N52" s="293" t="s">
        <v>354</v>
      </c>
      <c r="O52" s="293" t="s">
        <v>354</v>
      </c>
      <c r="P52" s="166">
        <f>+'Equipment Data'!$H$84</f>
        <v>1.8</v>
      </c>
      <c r="Q52" s="167">
        <f t="shared" si="4"/>
        <v>33952.558416319203</v>
      </c>
      <c r="R52" s="294"/>
      <c r="S52" s="168"/>
      <c r="T52" s="106"/>
      <c r="U52" s="105"/>
      <c r="V52" s="105"/>
      <c r="W52" s="105"/>
      <c r="X52" s="254"/>
      <c r="Y52" s="105"/>
      <c r="Z52" s="105"/>
      <c r="AA52" s="105"/>
      <c r="AB52" s="105"/>
      <c r="AC52" s="105"/>
      <c r="AD52" s="105"/>
      <c r="AE52" s="105"/>
      <c r="AF52" s="105"/>
      <c r="AG52" s="105"/>
      <c r="AH52" s="105"/>
      <c r="AI52" s="105"/>
      <c r="AJ52" s="105"/>
      <c r="AK52" s="105"/>
      <c r="AL52" s="105"/>
      <c r="AM52" s="105"/>
      <c r="AN52" s="105"/>
      <c r="AO52" s="105"/>
      <c r="AP52" s="105"/>
      <c r="AQ52" s="105"/>
      <c r="AR52" s="105"/>
      <c r="AS52" s="105"/>
      <c r="AT52" s="105"/>
      <c r="AU52" s="105"/>
      <c r="AV52" s="105"/>
      <c r="AW52" s="105"/>
      <c r="AX52" s="105"/>
      <c r="AY52" s="105"/>
      <c r="AZ52" s="105"/>
      <c r="BA52" s="105"/>
      <c r="BB52" s="105"/>
      <c r="BC52" s="105"/>
      <c r="BD52" s="105"/>
      <c r="BE52" s="105"/>
      <c r="BF52" s="105"/>
      <c r="BG52" s="105"/>
      <c r="BH52" s="105"/>
      <c r="BI52" s="105"/>
      <c r="BJ52" s="105"/>
      <c r="BK52" s="105"/>
      <c r="BL52" s="105"/>
      <c r="BM52" s="105"/>
      <c r="BN52" s="105"/>
      <c r="BO52" s="105"/>
      <c r="BP52" s="105"/>
      <c r="BQ52" s="105"/>
      <c r="BR52" s="105"/>
      <c r="BS52" s="105"/>
      <c r="BT52" s="105"/>
      <c r="BU52" s="105"/>
      <c r="BV52" s="105"/>
      <c r="BW52" s="105"/>
      <c r="BX52" s="105"/>
      <c r="BY52" s="105"/>
      <c r="BZ52" s="105"/>
      <c r="CA52" s="105"/>
      <c r="CB52" s="105"/>
      <c r="CC52" s="105"/>
      <c r="CD52" s="105"/>
      <c r="CE52" s="105"/>
      <c r="CF52" s="105"/>
      <c r="CG52" s="105"/>
      <c r="CH52" s="105"/>
      <c r="CI52" s="105"/>
      <c r="CJ52" s="83"/>
      <c r="CK52" s="83"/>
      <c r="CL52" s="83"/>
      <c r="CM52" s="83"/>
      <c r="CN52" s="83"/>
      <c r="CO52" s="83"/>
    </row>
    <row r="53" spans="1:93" ht="13.2" customHeight="1" x14ac:dyDescent="0.3">
      <c r="A53" s="83"/>
      <c r="B53" s="104"/>
      <c r="C53" s="216"/>
      <c r="D53" s="268" t="s">
        <v>523</v>
      </c>
      <c r="E53" s="268" t="s">
        <v>78</v>
      </c>
      <c r="F53" s="293">
        <v>1</v>
      </c>
      <c r="G53" s="293" t="s">
        <v>354</v>
      </c>
      <c r="H53" s="293" t="s">
        <v>352</v>
      </c>
      <c r="I53" s="293" t="s">
        <v>354</v>
      </c>
      <c r="J53" s="293" t="str">
        <f>+IF(F53&gt;'Equipment Data'!$G$85,"yes","No")</f>
        <v>No</v>
      </c>
      <c r="K53" s="293">
        <v>0.67</v>
      </c>
      <c r="L53" s="293" t="s">
        <v>354</v>
      </c>
      <c r="M53" s="170">
        <f>+IF(AND(D53="Filter",E53="Table"),IF(F53&lt;'Equipment Data'!$G$85,10^('Equipment Data'!$C$85+'Equipment Data'!$D$85*LOG10(F53)+'Equipment Data'!$E$85*LOG10(F53)*LOG10(F53)),10^('Equipment Data'!$C$85+'Equipment Data'!$D$85*LOG10('Equipment Data'!$G$85)+'Equipment Data'!$E$85*LOG10('Equipment Data'!$G$85)*LOG10('Equipment Data'!$G$85))*(F53/'Equipment Data'!$G$85)^K53),"N/A")</f>
        <v>127497.00999437156</v>
      </c>
      <c r="N53" s="293" t="s">
        <v>354</v>
      </c>
      <c r="O53" s="293" t="s">
        <v>354</v>
      </c>
      <c r="P53" s="166">
        <f>+'Equipment Data'!$H$85</f>
        <v>1.65</v>
      </c>
      <c r="Q53" s="167">
        <f t="shared" si="4"/>
        <v>210370.06649071307</v>
      </c>
      <c r="R53" s="294"/>
      <c r="S53" s="168"/>
      <c r="T53" s="106"/>
      <c r="U53" s="105"/>
      <c r="V53" s="105"/>
      <c r="W53" s="105"/>
      <c r="X53" s="254"/>
      <c r="Y53" s="105"/>
      <c r="Z53" s="105"/>
      <c r="AA53" s="105"/>
      <c r="AB53" s="105"/>
      <c r="AC53" s="105"/>
      <c r="AD53" s="105"/>
      <c r="AE53" s="105"/>
      <c r="AF53" s="105"/>
      <c r="AG53" s="105"/>
      <c r="AH53" s="105"/>
      <c r="AI53" s="105"/>
      <c r="AJ53" s="105"/>
      <c r="AK53" s="105"/>
      <c r="AL53" s="105"/>
      <c r="AM53" s="105"/>
      <c r="AN53" s="105"/>
      <c r="AO53" s="105"/>
      <c r="AP53" s="105"/>
      <c r="AQ53" s="105"/>
      <c r="AR53" s="105"/>
      <c r="AS53" s="105"/>
      <c r="AT53" s="105"/>
      <c r="AU53" s="105"/>
      <c r="AV53" s="105"/>
      <c r="AW53" s="105"/>
      <c r="AX53" s="105"/>
      <c r="AY53" s="105"/>
      <c r="AZ53" s="105"/>
      <c r="BA53" s="105"/>
      <c r="BB53" s="105"/>
      <c r="BC53" s="105"/>
      <c r="BD53" s="105"/>
      <c r="BE53" s="105"/>
      <c r="BF53" s="105"/>
      <c r="BG53" s="105"/>
      <c r="BH53" s="105"/>
      <c r="BI53" s="105"/>
      <c r="BJ53" s="105"/>
      <c r="BK53" s="105"/>
      <c r="BL53" s="105"/>
      <c r="BM53" s="105"/>
      <c r="BN53" s="105"/>
      <c r="BO53" s="105"/>
      <c r="BP53" s="105"/>
      <c r="BQ53" s="105"/>
      <c r="BR53" s="105"/>
      <c r="BS53" s="105"/>
      <c r="BT53" s="105"/>
      <c r="BU53" s="105"/>
      <c r="BV53" s="105"/>
      <c r="BW53" s="105"/>
      <c r="BX53" s="105"/>
      <c r="BY53" s="105"/>
      <c r="BZ53" s="105"/>
      <c r="CA53" s="105"/>
      <c r="CB53" s="105"/>
      <c r="CC53" s="105"/>
      <c r="CD53" s="105"/>
      <c r="CE53" s="105"/>
      <c r="CF53" s="105"/>
      <c r="CG53" s="105"/>
      <c r="CH53" s="105"/>
      <c r="CI53" s="105"/>
      <c r="CJ53" s="83"/>
      <c r="CK53" s="83"/>
      <c r="CL53" s="83"/>
      <c r="CM53" s="83"/>
      <c r="CN53" s="83"/>
      <c r="CO53" s="83"/>
    </row>
    <row r="54" spans="1:93" ht="13.2" customHeight="1" x14ac:dyDescent="0.3">
      <c r="A54" s="83"/>
      <c r="B54" s="104"/>
      <c r="C54" s="224"/>
      <c r="D54" s="268" t="s">
        <v>523</v>
      </c>
      <c r="E54" s="268" t="s">
        <v>79</v>
      </c>
      <c r="F54" s="293">
        <v>1</v>
      </c>
      <c r="G54" s="293" t="s">
        <v>354</v>
      </c>
      <c r="H54" s="293" t="s">
        <v>352</v>
      </c>
      <c r="I54" s="293" t="s">
        <v>354</v>
      </c>
      <c r="J54" s="293" t="str">
        <f>+IF(F54&gt;'Equipment Data'!$G$86,"yes","No")</f>
        <v>No</v>
      </c>
      <c r="K54" s="293">
        <v>0.67</v>
      </c>
      <c r="L54" s="293" t="s">
        <v>354</v>
      </c>
      <c r="M54" s="170">
        <f>+IF(AND(D54="Filter",E54="Tube"),IF(F54&lt;'Equipment Data'!$G$86,10^('Equipment Data'!$C$86+'Equipment Data'!$D$86*LOG10(F54)+'Equipment Data'!$E$86*LOG10(F54)*LOG10(F54)),10^('Equipment Data'!$C$86+'Equipment Data'!$D$86*LOG10('Equipment Data'!$G$86)+'Equipment Data'!$E$86*LOG10('Equipment Data'!$G$86)*LOG10('Equipment Data'!$G$86))*(F54/'Equipment Data'!$G$86)^K54),"N/A")</f>
        <v>127497.00999437156</v>
      </c>
      <c r="N54" s="293" t="s">
        <v>354</v>
      </c>
      <c r="O54" s="293" t="s">
        <v>354</v>
      </c>
      <c r="P54" s="166">
        <f>+'Equipment Data'!$H$86</f>
        <v>1.54</v>
      </c>
      <c r="Q54" s="167">
        <f t="shared" si="4"/>
        <v>196345.39539133222</v>
      </c>
      <c r="R54" s="295"/>
      <c r="S54" s="202"/>
      <c r="T54" s="106"/>
      <c r="U54" s="105"/>
      <c r="V54" s="105"/>
      <c r="W54" s="105"/>
      <c r="X54" s="254"/>
      <c r="Y54" s="105"/>
      <c r="Z54" s="105"/>
      <c r="AA54" s="105"/>
      <c r="AB54" s="105"/>
      <c r="AC54" s="105"/>
      <c r="AD54" s="105"/>
      <c r="AE54" s="105"/>
      <c r="AF54" s="105"/>
      <c r="AG54" s="105"/>
      <c r="AH54" s="105"/>
      <c r="AI54" s="105"/>
      <c r="AJ54" s="105"/>
      <c r="AK54" s="105"/>
      <c r="AL54" s="105"/>
      <c r="AM54" s="105"/>
      <c r="AN54" s="105"/>
      <c r="AO54" s="105"/>
      <c r="AP54" s="105"/>
      <c r="AQ54" s="105"/>
      <c r="AR54" s="105"/>
      <c r="AS54" s="105"/>
      <c r="AT54" s="105"/>
      <c r="AU54" s="105"/>
      <c r="AV54" s="105"/>
      <c r="AW54" s="105"/>
      <c r="AX54" s="105"/>
      <c r="AY54" s="105"/>
      <c r="AZ54" s="105"/>
      <c r="BA54" s="105"/>
      <c r="BB54" s="105"/>
      <c r="BC54" s="105"/>
      <c r="BD54" s="105"/>
      <c r="BE54" s="105"/>
      <c r="BF54" s="105"/>
      <c r="BG54" s="105"/>
      <c r="BH54" s="105"/>
      <c r="BI54" s="105"/>
      <c r="BJ54" s="105"/>
      <c r="BK54" s="105"/>
      <c r="BL54" s="105"/>
      <c r="BM54" s="105"/>
      <c r="BN54" s="105"/>
      <c r="BO54" s="105"/>
      <c r="BP54" s="105"/>
      <c r="BQ54" s="105"/>
      <c r="BR54" s="105"/>
      <c r="BS54" s="105"/>
      <c r="BT54" s="105"/>
      <c r="BU54" s="105"/>
      <c r="BV54" s="105"/>
      <c r="BW54" s="105"/>
      <c r="BX54" s="105"/>
      <c r="BY54" s="105"/>
      <c r="BZ54" s="105"/>
      <c r="CA54" s="105"/>
      <c r="CB54" s="105"/>
      <c r="CC54" s="105"/>
      <c r="CD54" s="105"/>
      <c r="CE54" s="105"/>
      <c r="CF54" s="105"/>
      <c r="CG54" s="105"/>
      <c r="CH54" s="105"/>
      <c r="CI54" s="105"/>
      <c r="CJ54" s="83"/>
      <c r="CK54" s="83"/>
      <c r="CL54" s="83"/>
      <c r="CM54" s="83"/>
      <c r="CN54" s="83"/>
      <c r="CO54" s="83"/>
    </row>
    <row r="55" spans="1:93" ht="13.2" customHeight="1" x14ac:dyDescent="0.3">
      <c r="A55" s="83"/>
      <c r="B55" s="104"/>
      <c r="C55" s="300"/>
      <c r="D55" s="268" t="s">
        <v>524</v>
      </c>
      <c r="E55" s="268" t="s">
        <v>88</v>
      </c>
      <c r="F55" s="293">
        <v>1</v>
      </c>
      <c r="G55" s="293">
        <v>1</v>
      </c>
      <c r="H55" s="293" t="s">
        <v>474</v>
      </c>
      <c r="I55" s="293" t="s">
        <v>85</v>
      </c>
      <c r="J55" s="293" t="str">
        <f>+IF(F55&gt;'Equipment Data'!$G$92,"yes","No")</f>
        <v>No</v>
      </c>
      <c r="K55" s="293">
        <v>0.67</v>
      </c>
      <c r="L55" s="293" t="s">
        <v>354</v>
      </c>
      <c r="M55" s="170">
        <f>+IF(AND(D55="Fired Heater",E55="Reformer Furnace"),IF(F55&lt;'Equipment Data'!$G$92,10^('Equipment Data'!$C$92+'Equipment Data'!$D$92*LOG10(F55)+'Equipment Data'!$E$92*LOG10(F55)*LOG10(F55)),10^('Equipment Data'!$C$92+'Equipment Data'!$D$92*LOG10('Equipment Data'!$G$92)+'Equipment Data'!$E$92*LOG10('Equipment Data'!$G$92)*LOG10('Equipment Data'!$G$92))*(F55/'Equipment Data'!$G$92)^K55),"N/A")</f>
        <v>1169.4993910198725</v>
      </c>
      <c r="N55" s="166">
        <f>+IF(G55-1.01325&gt;10,10^('Equipment Data'!$I$92+LOG10(G55-1.01325)*'Equipment Data'!$J$92+'Equipment Data'!$K$92*LOG10(G55-1.01325)*LOG10(G55-1.01325)),1)</f>
        <v>1</v>
      </c>
      <c r="O55" s="298"/>
      <c r="P55" s="166">
        <f>+IF(I55="CS",'Equipment Data'!$L$92,IF(I55="Alloy Steel",'Equipment Data'!$M$92,IF(I55="SS",'Equipment Data'!$N$92,"N/A")))</f>
        <v>2.13</v>
      </c>
      <c r="Q55" s="167">
        <f>+M55*N55*P55</f>
        <v>2491.0337028723284</v>
      </c>
      <c r="R55" s="304"/>
      <c r="S55" s="310"/>
      <c r="T55" s="106"/>
      <c r="U55" s="105"/>
      <c r="V55" s="105"/>
      <c r="W55" s="105"/>
      <c r="X55" s="254"/>
      <c r="Y55" s="105"/>
      <c r="Z55" s="105"/>
      <c r="AA55" s="105"/>
      <c r="AB55" s="105"/>
      <c r="AC55" s="105"/>
      <c r="AD55" s="105"/>
      <c r="AE55" s="105"/>
      <c r="AF55" s="105"/>
      <c r="AG55" s="105"/>
      <c r="AH55" s="105"/>
      <c r="AI55" s="105"/>
      <c r="AJ55" s="105"/>
      <c r="AK55" s="105"/>
      <c r="AL55" s="105"/>
      <c r="AM55" s="105"/>
      <c r="AN55" s="105"/>
      <c r="AO55" s="105"/>
      <c r="AP55" s="105"/>
      <c r="AQ55" s="105"/>
      <c r="AR55" s="105"/>
      <c r="AS55" s="105"/>
      <c r="AT55" s="105"/>
      <c r="AU55" s="105"/>
      <c r="AV55" s="105"/>
      <c r="AW55" s="105"/>
      <c r="AX55" s="105"/>
      <c r="AY55" s="105"/>
      <c r="AZ55" s="105"/>
      <c r="BA55" s="105"/>
      <c r="BB55" s="105"/>
      <c r="BC55" s="105"/>
      <c r="BD55" s="105"/>
      <c r="BE55" s="105"/>
      <c r="BF55" s="105"/>
      <c r="BG55" s="105"/>
      <c r="BH55" s="105"/>
      <c r="BI55" s="105"/>
      <c r="BJ55" s="105"/>
      <c r="BK55" s="105"/>
      <c r="BL55" s="105"/>
      <c r="BM55" s="105"/>
      <c r="BN55" s="105"/>
      <c r="BO55" s="105"/>
      <c r="BP55" s="105"/>
      <c r="BQ55" s="105"/>
      <c r="BR55" s="105"/>
      <c r="BS55" s="105"/>
      <c r="BT55" s="105"/>
      <c r="BU55" s="105"/>
      <c r="BV55" s="105"/>
      <c r="BW55" s="105"/>
      <c r="BX55" s="105"/>
      <c r="BY55" s="105"/>
      <c r="BZ55" s="105"/>
      <c r="CA55" s="105"/>
      <c r="CB55" s="105"/>
      <c r="CC55" s="105"/>
      <c r="CD55" s="105"/>
      <c r="CE55" s="105"/>
      <c r="CF55" s="105"/>
      <c r="CG55" s="105"/>
      <c r="CH55" s="105"/>
      <c r="CI55" s="105"/>
      <c r="CJ55" s="83"/>
      <c r="CK55" s="83"/>
      <c r="CL55" s="83"/>
      <c r="CM55" s="83"/>
      <c r="CN55" s="83"/>
      <c r="CO55" s="83"/>
    </row>
    <row r="56" spans="1:93" ht="13.2" customHeight="1" x14ac:dyDescent="0.3">
      <c r="A56" s="83"/>
      <c r="B56" s="104"/>
      <c r="C56" s="301"/>
      <c r="D56" s="268" t="s">
        <v>524</v>
      </c>
      <c r="E56" s="268" t="s">
        <v>525</v>
      </c>
      <c r="F56" s="293">
        <v>1</v>
      </c>
      <c r="G56" s="293">
        <v>1</v>
      </c>
      <c r="H56" s="293" t="s">
        <v>474</v>
      </c>
      <c r="I56" s="293" t="s">
        <v>85</v>
      </c>
      <c r="J56" s="293" t="str">
        <f>+IF(F56&gt;'Equipment Data'!$G$93,"yes","No")</f>
        <v>No</v>
      </c>
      <c r="K56" s="293">
        <v>0.67</v>
      </c>
      <c r="L56" s="293" t="s">
        <v>354</v>
      </c>
      <c r="M56" s="170">
        <f>+IF(AND(D56="Fired Heater",E56="Pyrolisis Furnace"),IF(F56&lt;'Equipment Data'!$G$93,10^('Equipment Data'!$C$93+'Equipment Data'!$D$93*LOG10(F56)+'Equipment Data'!$E$93*LOG10(F56)*LOG10(F56)),10^('Equipment Data'!$C$93+'Equipment Data'!$D$93*LOG10('Equipment Data'!$G$93)+'Equipment Data'!$E$93*LOG10('Equipment Data'!$G$93)*LOG10('Equipment Data'!$G$93))*(F56/'Equipment Data'!$G$93)^K56),"N/A")</f>
        <v>243.16440378759148</v>
      </c>
      <c r="N56" s="166">
        <f>+IF(G56-1.01325&gt;10,10^('Equipment Data'!$I$93+LOG10(G56-1.01325)*'Equipment Data'!$J$93+'Equipment Data'!$K$93*LOG10(G56-1.01325)*LOG10(G56-1.01325)),1)</f>
        <v>1</v>
      </c>
      <c r="O56" s="167" t="s">
        <v>354</v>
      </c>
      <c r="P56" s="166">
        <f>+IF(I56="CS",'Equipment Data'!$L$93,IF(I56="Alloy Steel",'Equipment Data'!$M$93,IF(I56="SS",'Equipment Data'!$N$93,"N/A")))</f>
        <v>2.13</v>
      </c>
      <c r="Q56" s="167">
        <f t="shared" ref="Q56:Q60" si="5">+M56*N56*P56</f>
        <v>517.94018006756983</v>
      </c>
      <c r="R56" s="306"/>
      <c r="S56" s="311"/>
      <c r="T56" s="106"/>
      <c r="U56" s="105"/>
      <c r="V56" s="105"/>
      <c r="W56" s="105"/>
      <c r="X56" s="254"/>
      <c r="Y56" s="105"/>
      <c r="Z56" s="105"/>
      <c r="AA56" s="105"/>
      <c r="AB56" s="105"/>
      <c r="AC56" s="105"/>
      <c r="AD56" s="105"/>
      <c r="AE56" s="105"/>
      <c r="AF56" s="105"/>
      <c r="AG56" s="105"/>
      <c r="AH56" s="105"/>
      <c r="AI56" s="105"/>
      <c r="AJ56" s="105"/>
      <c r="AK56" s="105"/>
      <c r="AL56" s="105"/>
      <c r="AM56" s="105"/>
      <c r="AN56" s="105"/>
      <c r="AO56" s="105"/>
      <c r="AP56" s="105"/>
      <c r="AQ56" s="105"/>
      <c r="AR56" s="105"/>
      <c r="AS56" s="105"/>
      <c r="AT56" s="105"/>
      <c r="AU56" s="105"/>
      <c r="AV56" s="105"/>
      <c r="AW56" s="105"/>
      <c r="AX56" s="105"/>
      <c r="AY56" s="105"/>
      <c r="AZ56" s="105"/>
      <c r="BA56" s="105"/>
      <c r="BB56" s="105"/>
      <c r="BC56" s="105"/>
      <c r="BD56" s="105"/>
      <c r="BE56" s="105"/>
      <c r="BF56" s="105"/>
      <c r="BG56" s="105"/>
      <c r="BH56" s="105"/>
      <c r="BI56" s="105"/>
      <c r="BJ56" s="105"/>
      <c r="BK56" s="105"/>
      <c r="BL56" s="105"/>
      <c r="BM56" s="105"/>
      <c r="BN56" s="105"/>
      <c r="BO56" s="105"/>
      <c r="BP56" s="105"/>
      <c r="BQ56" s="105"/>
      <c r="BR56" s="105"/>
      <c r="BS56" s="105"/>
      <c r="BT56" s="105"/>
      <c r="BU56" s="105"/>
      <c r="BV56" s="105"/>
      <c r="BW56" s="105"/>
      <c r="BX56" s="105"/>
      <c r="BY56" s="105"/>
      <c r="BZ56" s="105"/>
      <c r="CA56" s="105"/>
      <c r="CB56" s="105"/>
      <c r="CC56" s="105"/>
      <c r="CD56" s="105"/>
      <c r="CE56" s="105"/>
      <c r="CF56" s="105"/>
      <c r="CG56" s="105"/>
      <c r="CH56" s="105"/>
      <c r="CI56" s="105"/>
      <c r="CJ56" s="83"/>
      <c r="CK56" s="83"/>
      <c r="CL56" s="83"/>
      <c r="CM56" s="83"/>
      <c r="CN56" s="83"/>
      <c r="CO56" s="83"/>
    </row>
    <row r="57" spans="1:93" ht="13.2" customHeight="1" x14ac:dyDescent="0.3">
      <c r="A57" s="83"/>
      <c r="B57" s="104"/>
      <c r="C57" s="301"/>
      <c r="D57" s="268" t="s">
        <v>524</v>
      </c>
      <c r="E57" s="268" t="s">
        <v>91</v>
      </c>
      <c r="F57" s="293">
        <v>1</v>
      </c>
      <c r="G57" s="293">
        <v>1</v>
      </c>
      <c r="H57" s="293" t="s">
        <v>474</v>
      </c>
      <c r="I57" s="293" t="s">
        <v>85</v>
      </c>
      <c r="J57" s="293" t="str">
        <f>+IF(F57&gt;'Equipment Data'!$G$94,"yes","No")</f>
        <v>yes</v>
      </c>
      <c r="K57" s="293">
        <v>0.67</v>
      </c>
      <c r="L57" s="293" t="s">
        <v>354</v>
      </c>
      <c r="M57" s="170">
        <f>+IF(AND(D57="Fired Heater",E57="Process Heater"),IF(F57&lt;'Equipment Data'!$G$97,10^('Equipment Data'!$C$97+'Equipment Data'!$D$97*LOG10(F57)+'Equipment Data'!$E$97*LOG10(F57)*LOG10(F57)),10^('Equipment Data'!$C$97+'Equipment Data'!$D$97*LOG10('Equipment Data'!$G$97)+'Equipment Data'!$E$97*LOG10('Equipment Data'!$G$97)*LOG10('Equipment Data'!$G$97))*(F57/'Equipment Data'!$G$97)^K57),"N/A")</f>
        <v>22325438.61616743</v>
      </c>
      <c r="N57" s="166">
        <f>+IF(G57-1.01325&gt;10,10^('Equipment Data'!$I$97+LOG10(G57-1.01325)*'Equipment Data'!$J$97+'Equipment Data'!$K$97*LOG10(G57-1.01325)*LOG10(G57-1.01325)),1)</f>
        <v>1</v>
      </c>
      <c r="O57" s="167" t="s">
        <v>354</v>
      </c>
      <c r="P57" s="166">
        <f>+IF(I57="CS",'Equipment Data'!$L$97,IF(I57="Alloy Steel",'Equipment Data'!$M$97,IF(I57="SS",'Equipment Data'!$N$97,"N/A")))</f>
        <v>2.13</v>
      </c>
      <c r="Q57" s="167">
        <f t="shared" si="5"/>
        <v>47553184.252436623</v>
      </c>
      <c r="R57" s="306"/>
      <c r="S57" s="311"/>
      <c r="T57" s="106"/>
      <c r="U57" s="105"/>
      <c r="V57" s="105"/>
      <c r="W57" s="105"/>
      <c r="X57" s="254"/>
      <c r="Y57" s="105"/>
      <c r="Z57" s="105"/>
      <c r="AA57" s="105"/>
      <c r="AB57" s="105"/>
      <c r="AC57" s="105"/>
      <c r="AD57" s="105"/>
      <c r="AE57" s="105"/>
      <c r="AF57" s="105"/>
      <c r="AG57" s="105"/>
      <c r="AH57" s="105"/>
      <c r="AI57" s="105"/>
      <c r="AJ57" s="105"/>
      <c r="AK57" s="105"/>
      <c r="AL57" s="105"/>
      <c r="AM57" s="105"/>
      <c r="AN57" s="105"/>
      <c r="AO57" s="105"/>
      <c r="AP57" s="105"/>
      <c r="AQ57" s="105"/>
      <c r="AR57" s="105"/>
      <c r="AS57" s="105"/>
      <c r="AT57" s="105"/>
      <c r="AU57" s="105"/>
      <c r="AV57" s="105"/>
      <c r="AW57" s="105"/>
      <c r="AX57" s="105"/>
      <c r="AY57" s="105"/>
      <c r="AZ57" s="105"/>
      <c r="BA57" s="105"/>
      <c r="BB57" s="105"/>
      <c r="BC57" s="105"/>
      <c r="BD57" s="105"/>
      <c r="BE57" s="105"/>
      <c r="BF57" s="105"/>
      <c r="BG57" s="105"/>
      <c r="BH57" s="105"/>
      <c r="BI57" s="105"/>
      <c r="BJ57" s="105"/>
      <c r="BK57" s="105"/>
      <c r="BL57" s="105"/>
      <c r="BM57" s="105"/>
      <c r="BN57" s="105"/>
      <c r="BO57" s="105"/>
      <c r="BP57" s="105"/>
      <c r="BQ57" s="105"/>
      <c r="BR57" s="105"/>
      <c r="BS57" s="105"/>
      <c r="BT57" s="105"/>
      <c r="BU57" s="105"/>
      <c r="BV57" s="105"/>
      <c r="BW57" s="105"/>
      <c r="BX57" s="105"/>
      <c r="BY57" s="105"/>
      <c r="BZ57" s="105"/>
      <c r="CA57" s="105"/>
      <c r="CB57" s="105"/>
      <c r="CC57" s="105"/>
      <c r="CD57" s="105"/>
      <c r="CE57" s="105"/>
      <c r="CF57" s="105"/>
      <c r="CG57" s="105"/>
      <c r="CH57" s="105"/>
      <c r="CI57" s="105"/>
      <c r="CJ57" s="83"/>
      <c r="CK57" s="83"/>
      <c r="CL57" s="83"/>
      <c r="CM57" s="83"/>
      <c r="CN57" s="83"/>
      <c r="CO57" s="83"/>
    </row>
    <row r="58" spans="1:93" ht="13.2" customHeight="1" x14ac:dyDescent="0.3">
      <c r="A58" s="83"/>
      <c r="B58" s="104"/>
      <c r="C58" s="301"/>
      <c r="D58" s="268" t="s">
        <v>524</v>
      </c>
      <c r="E58" s="268" t="s">
        <v>98</v>
      </c>
      <c r="F58" s="293">
        <v>1</v>
      </c>
      <c r="G58" s="293">
        <v>1</v>
      </c>
      <c r="H58" s="293" t="s">
        <v>474</v>
      </c>
      <c r="I58" s="293" t="s">
        <v>354</v>
      </c>
      <c r="J58" s="293" t="str">
        <f>+IF(F58&gt;'Equipment Data'!$G$95,"yes","No")</f>
        <v>yes</v>
      </c>
      <c r="K58" s="293">
        <v>0.67</v>
      </c>
      <c r="L58" s="293" t="s">
        <v>354</v>
      </c>
      <c r="M58" s="170">
        <f>+IF(AND(D58="Fired Heater",E58="Hot Water"),IF(F58&lt;'Equipment Data'!$G$102,10^('Equipment Data'!$C$102+'Equipment Data'!$D$102*LOG10(F58)+'Equipment Data'!$E$102*LOG10(F58)*LOG10(F58)),10^('Equipment Data'!$C$102+'Equipment Data'!$D$102*LOG10('Equipment Data'!$G$102)+'Equipment Data'!$E$102*LOG10('Equipment Data'!$G$102)*LOG10('Equipment Data'!$G$102))*(F58/'Equipment Data'!$G$102)^K58),"N/A")</f>
        <v>121.03194151187681</v>
      </c>
      <c r="N58" s="166">
        <f>+IF(G58-1.01325&gt;10,10^('Equipment Data'!$I$102+LOG10(G58-1.01325)*'Equipment Data'!$J$102+'Equipment Data'!$K$102*LOG10(G58-1.01325)*LOG10(G58-1.01325)),1)</f>
        <v>1</v>
      </c>
      <c r="O58" s="167" t="s">
        <v>354</v>
      </c>
      <c r="P58" s="166">
        <f>+'Equipment Data'!$L$102</f>
        <v>2.17</v>
      </c>
      <c r="Q58" s="167">
        <f t="shared" si="5"/>
        <v>262.63931308077269</v>
      </c>
      <c r="R58" s="306"/>
      <c r="S58" s="311"/>
      <c r="T58" s="106"/>
      <c r="U58" s="105"/>
      <c r="V58" s="105"/>
      <c r="W58" s="105"/>
      <c r="X58" s="254"/>
      <c r="Y58" s="105"/>
      <c r="Z58" s="105"/>
      <c r="AA58" s="105"/>
      <c r="AB58" s="105"/>
      <c r="AC58" s="105"/>
      <c r="AD58" s="105"/>
      <c r="AE58" s="105"/>
      <c r="AF58" s="105"/>
      <c r="AG58" s="105"/>
      <c r="AH58" s="105"/>
      <c r="AI58" s="105"/>
      <c r="AJ58" s="105"/>
      <c r="AK58" s="105"/>
      <c r="AL58" s="105"/>
      <c r="AM58" s="105"/>
      <c r="AN58" s="105"/>
      <c r="AO58" s="105"/>
      <c r="AP58" s="105"/>
      <c r="AQ58" s="105"/>
      <c r="AR58" s="105"/>
      <c r="AS58" s="105"/>
      <c r="AT58" s="105"/>
      <c r="AU58" s="105"/>
      <c r="AV58" s="105"/>
      <c r="AW58" s="105"/>
      <c r="AX58" s="105"/>
      <c r="AY58" s="105"/>
      <c r="AZ58" s="105"/>
      <c r="BA58" s="105"/>
      <c r="BB58" s="105"/>
      <c r="BC58" s="105"/>
      <c r="BD58" s="105"/>
      <c r="BE58" s="105"/>
      <c r="BF58" s="105"/>
      <c r="BG58" s="105"/>
      <c r="BH58" s="105"/>
      <c r="BI58" s="105"/>
      <c r="BJ58" s="105"/>
      <c r="BK58" s="105"/>
      <c r="BL58" s="105"/>
      <c r="BM58" s="105"/>
      <c r="BN58" s="105"/>
      <c r="BO58" s="105"/>
      <c r="BP58" s="105"/>
      <c r="BQ58" s="105"/>
      <c r="BR58" s="105"/>
      <c r="BS58" s="105"/>
      <c r="BT58" s="105"/>
      <c r="BU58" s="105"/>
      <c r="BV58" s="105"/>
      <c r="BW58" s="105"/>
      <c r="BX58" s="105"/>
      <c r="BY58" s="105"/>
      <c r="BZ58" s="105"/>
      <c r="CA58" s="105"/>
      <c r="CB58" s="105"/>
      <c r="CC58" s="105"/>
      <c r="CD58" s="105"/>
      <c r="CE58" s="105"/>
      <c r="CF58" s="105"/>
      <c r="CG58" s="105"/>
      <c r="CH58" s="105"/>
      <c r="CI58" s="105"/>
      <c r="CJ58" s="83"/>
      <c r="CK58" s="83"/>
      <c r="CL58" s="83"/>
      <c r="CM58" s="83"/>
      <c r="CN58" s="83"/>
      <c r="CO58" s="83"/>
    </row>
    <row r="59" spans="1:93" ht="13.2" customHeight="1" x14ac:dyDescent="0.3">
      <c r="A59" s="83"/>
      <c r="B59" s="104"/>
      <c r="C59" s="301"/>
      <c r="D59" s="268" t="s">
        <v>524</v>
      </c>
      <c r="E59" s="268" t="s">
        <v>99</v>
      </c>
      <c r="F59" s="293">
        <v>1</v>
      </c>
      <c r="G59" s="293">
        <v>1</v>
      </c>
      <c r="H59" s="293" t="s">
        <v>474</v>
      </c>
      <c r="I59" s="293" t="s">
        <v>354</v>
      </c>
      <c r="J59" s="293" t="str">
        <f>+IF(F59&gt;'Equipment Data'!$G$96,"yes","No")</f>
        <v>No</v>
      </c>
      <c r="K59" s="293">
        <v>0.67</v>
      </c>
      <c r="L59" s="293" t="s">
        <v>354</v>
      </c>
      <c r="M59" s="170">
        <f>+IF(AND(D59="Fired Heater",E59="Molten Salt, Mineral Oil,"),IF(F59&lt;'Equipment Data'!$G$103,10^('Equipment Data'!$C$103+'Equipment Data'!$D$103*LOG10(F59)+'Equipment Data'!$E$103*LOG10(F59)*LOG10(F59)),10^('Equipment Data'!$C$103+'Equipment Data'!$D$103*LOG10('Equipment Data'!$G$103)+'Equipment Data'!$E$103*LOG10('Equipment Data'!$G$103)*LOG10('Equipment Data'!$G$103))*(F59/'Equipment Data'!$G$103)^K59),"N/A")</f>
        <v>15.772480530985955</v>
      </c>
      <c r="N59" s="166">
        <f>+IF(G59-1.01325&gt;10,10^('Equipment Data'!$I$103+LOG10(G59-1.01325)*'Equipment Data'!$J$103+'Equipment Data'!$K$103*LOG10(G59-1.01325)*LOG10(G59-1.01325)),1)</f>
        <v>1</v>
      </c>
      <c r="O59" s="167" t="s">
        <v>354</v>
      </c>
      <c r="P59" s="166">
        <f>+'Equipment Data'!$L$103</f>
        <v>2.17</v>
      </c>
      <c r="Q59" s="167">
        <f t="shared" si="5"/>
        <v>34.22628275223952</v>
      </c>
      <c r="R59" s="306"/>
      <c r="S59" s="311"/>
      <c r="T59" s="106"/>
      <c r="U59" s="105"/>
      <c r="V59" s="105"/>
      <c r="W59" s="105"/>
      <c r="X59" s="254"/>
      <c r="Y59" s="105"/>
      <c r="Z59" s="105"/>
      <c r="AA59" s="105"/>
      <c r="AB59" s="105"/>
      <c r="AC59" s="105"/>
      <c r="AD59" s="105"/>
      <c r="AE59" s="105"/>
      <c r="AF59" s="105"/>
      <c r="AG59" s="105"/>
      <c r="AH59" s="105"/>
      <c r="AI59" s="105"/>
      <c r="AJ59" s="105"/>
      <c r="AK59" s="105"/>
      <c r="AL59" s="105"/>
      <c r="AM59" s="105"/>
      <c r="AN59" s="105"/>
      <c r="AO59" s="105"/>
      <c r="AP59" s="105"/>
      <c r="AQ59" s="105"/>
      <c r="AR59" s="105"/>
      <c r="AS59" s="105"/>
      <c r="AT59" s="105"/>
      <c r="AU59" s="105"/>
      <c r="AV59" s="105"/>
      <c r="AW59" s="105"/>
      <c r="AX59" s="105"/>
      <c r="AY59" s="105"/>
      <c r="AZ59" s="105"/>
      <c r="BA59" s="105"/>
      <c r="BB59" s="105"/>
      <c r="BC59" s="105"/>
      <c r="BD59" s="105"/>
      <c r="BE59" s="105"/>
      <c r="BF59" s="105"/>
      <c r="BG59" s="105"/>
      <c r="BH59" s="105"/>
      <c r="BI59" s="105"/>
      <c r="BJ59" s="105"/>
      <c r="BK59" s="105"/>
      <c r="BL59" s="105"/>
      <c r="BM59" s="105"/>
      <c r="BN59" s="105"/>
      <c r="BO59" s="105"/>
      <c r="BP59" s="105"/>
      <c r="BQ59" s="105"/>
      <c r="BR59" s="105"/>
      <c r="BS59" s="105"/>
      <c r="BT59" s="105"/>
      <c r="BU59" s="105"/>
      <c r="BV59" s="105"/>
      <c r="BW59" s="105"/>
      <c r="BX59" s="105"/>
      <c r="BY59" s="105"/>
      <c r="BZ59" s="105"/>
      <c r="CA59" s="105"/>
      <c r="CB59" s="105"/>
      <c r="CC59" s="105"/>
      <c r="CD59" s="105"/>
      <c r="CE59" s="105"/>
      <c r="CF59" s="105"/>
      <c r="CG59" s="105"/>
      <c r="CH59" s="105"/>
      <c r="CI59" s="105"/>
      <c r="CJ59" s="83"/>
      <c r="CK59" s="83"/>
      <c r="CL59" s="83"/>
      <c r="CM59" s="83"/>
      <c r="CN59" s="83"/>
      <c r="CO59" s="83"/>
    </row>
    <row r="60" spans="1:93" x14ac:dyDescent="0.3">
      <c r="A60" s="83"/>
      <c r="B60" s="104"/>
      <c r="C60" s="301"/>
      <c r="D60" s="268" t="s">
        <v>524</v>
      </c>
      <c r="E60" s="268" t="s">
        <v>100</v>
      </c>
      <c r="F60" s="293">
        <v>1</v>
      </c>
      <c r="G60" s="293">
        <v>1</v>
      </c>
      <c r="H60" s="293" t="s">
        <v>474</v>
      </c>
      <c r="I60" s="293" t="s">
        <v>354</v>
      </c>
      <c r="J60" s="293" t="str">
        <f>+IF(F60&gt;'Equipment Data'!$G$97,"yes","No")</f>
        <v>No</v>
      </c>
      <c r="K60" s="293">
        <v>0.67</v>
      </c>
      <c r="L60" s="293" t="s">
        <v>354</v>
      </c>
      <c r="M60" s="170">
        <f>+IF(AND(D60="Fired Heater",E60="Diphenyl Based Oils"),IF(F60&lt;'Equipment Data'!$G$104,10^('Equipment Data'!$C$104+'Equipment Data'!$D$104*LOG10(F60)+'Equipment Data'!$E$104*LOG10(F60)*LOG10(F60)),10^('Equipment Data'!$C$104+'Equipment Data'!$D$104*LOG10('Equipment Data'!$G$104)+'Equipment Data'!E104*LOG10('Equipment Data'!$G$104)*LOG10('Equipment Data'!$G$104))*(F60/'Equipment Data'!$G$104)^K60),"N/A")</f>
        <v>183.14708046613509</v>
      </c>
      <c r="N60" s="166">
        <f>+IF(G60-1.01325&gt;10,10^('Equipment Data'!$I$104+LOG10(G60-1.01325)*'Equipment Data'!$J$104+'Equipment Data'!$K$104*LOG10(G60-1.01325)*LOG10(G60-1.01325)),1)</f>
        <v>1</v>
      </c>
      <c r="O60" s="167" t="s">
        <v>354</v>
      </c>
      <c r="P60" s="166">
        <f>+'Equipment Data'!$L$104</f>
        <v>2.17</v>
      </c>
      <c r="Q60" s="167">
        <f t="shared" si="5"/>
        <v>397.42916461151316</v>
      </c>
      <c r="R60" s="306"/>
      <c r="S60" s="311"/>
      <c r="T60" s="106"/>
      <c r="U60" s="105"/>
      <c r="V60" s="105"/>
      <c r="W60" s="105"/>
      <c r="X60" s="254"/>
      <c r="Y60" s="105"/>
      <c r="Z60" s="105"/>
      <c r="AA60" s="105"/>
      <c r="AB60" s="105"/>
      <c r="AC60" s="105"/>
      <c r="AD60" s="105"/>
      <c r="AE60" s="105"/>
      <c r="AF60" s="105"/>
      <c r="AG60" s="105"/>
      <c r="AH60" s="105"/>
      <c r="AI60" s="105"/>
      <c r="AJ60" s="105"/>
      <c r="AK60" s="105"/>
      <c r="AL60" s="105"/>
      <c r="AM60" s="105"/>
      <c r="AN60" s="105"/>
      <c r="AO60" s="105"/>
      <c r="AP60" s="105"/>
      <c r="AQ60" s="105"/>
      <c r="AR60" s="105"/>
      <c r="AS60" s="105"/>
      <c r="AT60" s="105"/>
      <c r="AU60" s="105"/>
      <c r="AV60" s="105"/>
      <c r="AW60" s="105"/>
      <c r="AX60" s="105"/>
      <c r="AY60" s="105"/>
      <c r="AZ60" s="105"/>
      <c r="BA60" s="105"/>
      <c r="BB60" s="105"/>
      <c r="BC60" s="105"/>
      <c r="BD60" s="105"/>
      <c r="BE60" s="105"/>
      <c r="BF60" s="105"/>
      <c r="BG60" s="105"/>
      <c r="BH60" s="105"/>
      <c r="BI60" s="105"/>
      <c r="BJ60" s="105"/>
      <c r="BK60" s="105"/>
      <c r="BL60" s="105"/>
      <c r="BM60" s="105"/>
      <c r="BN60" s="105"/>
      <c r="BO60" s="105"/>
      <c r="BP60" s="105"/>
      <c r="BQ60" s="105"/>
      <c r="BR60" s="105"/>
      <c r="BS60" s="105"/>
      <c r="BT60" s="105"/>
      <c r="BU60" s="105"/>
      <c r="BV60" s="105"/>
      <c r="BW60" s="105"/>
      <c r="BX60" s="105"/>
      <c r="BY60" s="105"/>
      <c r="BZ60" s="105"/>
      <c r="CA60" s="105"/>
      <c r="CB60" s="105"/>
      <c r="CC60" s="105"/>
      <c r="CD60" s="105"/>
      <c r="CE60" s="105"/>
      <c r="CF60" s="105"/>
      <c r="CG60" s="105"/>
      <c r="CH60" s="105"/>
      <c r="CI60" s="105"/>
      <c r="CJ60" s="83"/>
      <c r="CK60" s="83"/>
      <c r="CL60" s="83"/>
      <c r="CM60" s="83"/>
      <c r="CN60" s="83"/>
      <c r="CO60" s="83"/>
    </row>
    <row r="61" spans="1:93" x14ac:dyDescent="0.3">
      <c r="A61" s="83"/>
      <c r="B61" s="104"/>
      <c r="C61" s="301"/>
      <c r="D61" s="268" t="s">
        <v>524</v>
      </c>
      <c r="E61" s="268" t="s">
        <v>101</v>
      </c>
      <c r="F61" s="293">
        <v>1</v>
      </c>
      <c r="G61" s="293">
        <v>1</v>
      </c>
      <c r="H61" s="293" t="s">
        <v>474</v>
      </c>
      <c r="I61" s="293" t="s">
        <v>354</v>
      </c>
      <c r="J61" s="293" t="str">
        <f>+IF(F61&gt;'Equipment Data'!$G$98,"yes","No")</f>
        <v>yes</v>
      </c>
      <c r="K61" s="293">
        <v>0.67</v>
      </c>
      <c r="L61" s="293">
        <v>1</v>
      </c>
      <c r="M61" s="170">
        <f>+IF(AND(D61="Fired Heater",E61="Packaged Steam Boilers"),IF(F61&lt;'Equipment Data'!$G$105,10^('Equipment Data'!$C$105+'Equipment Data'!$D$105*LOG10(F61)+'Equipment Data'!$E$105*LOG10(F61)*LOG10(F61)),10^('Equipment Data'!$C$105+'Equipment Data'!$D$105*LOG10('Equipment Data'!$G$105)+'Equipment Data'!$E$105*LOG10('Equipment Data'!$G$105)*LOG10('Equipment Data'!$G$105))*(F61/'Equipment Data'!$G$105)^K61),"N/A")</f>
        <v>9155878.0597578902</v>
      </c>
      <c r="N61" s="166">
        <f>+IF(G61-1.01325&gt;10,10^('Equipment Data'!$I$105+LOG10(G61-1.01325)*'Equipment Data'!$J$105+'Equipment Data'!$K$105*LOG10(G61-1.01325)*LOG10(G61-1.01325)),1)</f>
        <v>1</v>
      </c>
      <c r="O61" s="166">
        <f>IF(L61="","Input Steam Superheat in ºC",1+0.00184*L61-0.00000335*L61*L61)</f>
        <v>1.00183665</v>
      </c>
      <c r="P61" s="166">
        <f>+'Equipment Data'!$L$105</f>
        <v>2.17</v>
      </c>
      <c r="Q61" s="167">
        <f>+M61*N61*P61*O61</f>
        <v>19904746.420936067</v>
      </c>
      <c r="R61" s="306"/>
      <c r="S61" s="311"/>
      <c r="T61" s="106"/>
      <c r="U61" s="105"/>
      <c r="V61" s="105"/>
      <c r="W61" s="105"/>
      <c r="X61" s="254"/>
      <c r="Y61" s="105"/>
      <c r="Z61" s="105"/>
      <c r="AA61" s="105"/>
      <c r="AB61" s="105"/>
      <c r="AC61" s="105"/>
      <c r="AD61" s="105"/>
      <c r="AE61" s="105"/>
      <c r="AF61" s="105"/>
      <c r="AG61" s="105"/>
      <c r="AH61" s="105"/>
      <c r="AI61" s="105"/>
      <c r="AJ61" s="105"/>
      <c r="AK61" s="105"/>
      <c r="AL61" s="105"/>
      <c r="AM61" s="105"/>
      <c r="AN61" s="105"/>
      <c r="AO61" s="105"/>
      <c r="AP61" s="105"/>
      <c r="AQ61" s="105"/>
      <c r="AR61" s="105"/>
      <c r="AS61" s="105"/>
      <c r="AT61" s="105"/>
      <c r="AU61" s="105"/>
      <c r="AV61" s="105"/>
      <c r="AW61" s="105"/>
      <c r="AX61" s="105"/>
      <c r="AY61" s="105"/>
      <c r="AZ61" s="105"/>
      <c r="BA61" s="105"/>
      <c r="BB61" s="105"/>
      <c r="BC61" s="105"/>
      <c r="BD61" s="105"/>
      <c r="BE61" s="105"/>
      <c r="BF61" s="105"/>
      <c r="BG61" s="105"/>
      <c r="BH61" s="105"/>
      <c r="BI61" s="105"/>
      <c r="BJ61" s="105"/>
      <c r="BK61" s="105"/>
      <c r="BL61" s="105"/>
      <c r="BM61" s="105"/>
      <c r="BN61" s="105"/>
      <c r="BO61" s="105"/>
      <c r="BP61" s="105"/>
      <c r="BQ61" s="105"/>
      <c r="BR61" s="105"/>
      <c r="BS61" s="105"/>
      <c r="BT61" s="105"/>
      <c r="BU61" s="105"/>
      <c r="BV61" s="105"/>
      <c r="BW61" s="105"/>
      <c r="BX61" s="105"/>
      <c r="BY61" s="105"/>
      <c r="BZ61" s="105"/>
      <c r="CA61" s="105"/>
      <c r="CB61" s="105"/>
      <c r="CC61" s="105"/>
      <c r="CD61" s="105"/>
      <c r="CE61" s="105"/>
      <c r="CF61" s="105"/>
      <c r="CG61" s="105"/>
      <c r="CH61" s="105"/>
      <c r="CI61" s="105"/>
      <c r="CJ61" s="83"/>
      <c r="CK61" s="83"/>
      <c r="CL61" s="83"/>
      <c r="CM61" s="83"/>
      <c r="CN61" s="83"/>
      <c r="CO61" s="83"/>
    </row>
    <row r="62" spans="1:93" x14ac:dyDescent="0.3">
      <c r="A62" s="83"/>
      <c r="B62" s="104"/>
      <c r="C62" s="218"/>
      <c r="D62" s="268" t="s">
        <v>473</v>
      </c>
      <c r="E62" s="268" t="s">
        <v>105</v>
      </c>
      <c r="F62" s="293">
        <v>1</v>
      </c>
      <c r="G62" s="293">
        <v>1</v>
      </c>
      <c r="H62" s="293" t="s">
        <v>352</v>
      </c>
      <c r="I62" s="293" t="s">
        <v>85</v>
      </c>
      <c r="J62" s="293" t="str">
        <f>+IF(F62&gt;'Equipment Data'!$G$111,"yes","No")</f>
        <v>No</v>
      </c>
      <c r="K62" s="293">
        <v>0.67</v>
      </c>
      <c r="L62" s="293" t="s">
        <v>354</v>
      </c>
      <c r="M62" s="170">
        <f>+IF(AND(D62="Evaporator",E62="Forced Circulation"),IF(F62&lt;'Equipment Data'!$G$111,10^('Equipment Data'!$C$111+'Equipment Data'!$D$111*LOG10(F62)+'Equipment Data'!$E$111*LOG10(F62)*LOG10(F62)),10^('Equipment Data'!$C$111+'Equipment Data'!$D$111*LOG10('Equipment Data'!$G$111)+'Equipment Data'!$E$111*LOG10('Equipment Data'!$G$111)*LOG10('Equipment Data'!$G$111))*(F62/'Equipment Data'!$G$111)^K62),"N/A")</f>
        <v>105633.09388106881</v>
      </c>
      <c r="N62" s="166">
        <f>+IF(G62-1.01325&gt;10,10^('Equipment Data'!$I$111+LOG10(G62-1.01325)*'Equipment Data'!$J$111+'Equipment Data'!$K$111*LOG10(G62-1.01325)*LOG10(G62-1.01325)),1)</f>
        <v>1</v>
      </c>
      <c r="O62" s="240" t="s">
        <v>354</v>
      </c>
      <c r="P62" s="166">
        <f>+IF(I62="CS",'Equipment Data'!$C$229,IF(I62="Cu Alloy",'Equipment Data'!$D$229,IF(I62="SS",'Equipment Data'!$E$229,IF(I62="Ni Alloy",'Equipment Data'!$F$229,IF(I62="Ti",'Equipment Data'!$G$229,"N/A")))))</f>
        <v>2.9</v>
      </c>
      <c r="Q62" s="167">
        <f>+M62*N62*P62</f>
        <v>306335.97225509956</v>
      </c>
      <c r="R62" s="297"/>
      <c r="S62" s="223"/>
      <c r="T62" s="106"/>
      <c r="U62" s="105"/>
      <c r="V62" s="105"/>
      <c r="W62" s="105"/>
      <c r="X62" s="254"/>
      <c r="Y62" s="105"/>
      <c r="Z62" s="105"/>
      <c r="AA62" s="105"/>
      <c r="AB62" s="105"/>
      <c r="AC62" s="105"/>
      <c r="AD62" s="105"/>
      <c r="AE62" s="105"/>
      <c r="AF62" s="105"/>
      <c r="AG62" s="105"/>
      <c r="AH62" s="105"/>
      <c r="AI62" s="105"/>
      <c r="AJ62" s="105"/>
      <c r="AK62" s="105"/>
      <c r="AL62" s="105"/>
      <c r="AM62" s="105"/>
      <c r="AN62" s="105"/>
      <c r="AO62" s="105"/>
      <c r="AP62" s="105"/>
      <c r="AQ62" s="105"/>
      <c r="AR62" s="105"/>
      <c r="AS62" s="105"/>
      <c r="AT62" s="105"/>
      <c r="AU62" s="105"/>
      <c r="AV62" s="105"/>
      <c r="AW62" s="105"/>
      <c r="AX62" s="105"/>
      <c r="AY62" s="105"/>
      <c r="AZ62" s="105"/>
      <c r="BA62" s="105"/>
      <c r="BB62" s="105"/>
      <c r="BC62" s="105"/>
      <c r="BD62" s="105"/>
      <c r="BE62" s="105"/>
      <c r="BF62" s="105"/>
      <c r="BG62" s="105"/>
      <c r="BH62" s="105"/>
      <c r="BI62" s="105"/>
      <c r="BJ62" s="105"/>
      <c r="BK62" s="105"/>
      <c r="BL62" s="105"/>
      <c r="BM62" s="105"/>
      <c r="BN62" s="105"/>
      <c r="BO62" s="105"/>
      <c r="BP62" s="105"/>
      <c r="BQ62" s="105"/>
      <c r="BR62" s="105"/>
      <c r="BS62" s="105"/>
      <c r="BT62" s="105"/>
      <c r="BU62" s="105"/>
      <c r="BV62" s="105"/>
      <c r="BW62" s="105"/>
      <c r="BX62" s="105"/>
      <c r="BY62" s="105"/>
      <c r="BZ62" s="105"/>
      <c r="CA62" s="105"/>
      <c r="CB62" s="105"/>
      <c r="CC62" s="105"/>
      <c r="CD62" s="105"/>
      <c r="CE62" s="105"/>
      <c r="CF62" s="105"/>
      <c r="CG62" s="105"/>
      <c r="CH62" s="105"/>
      <c r="CI62" s="105"/>
      <c r="CJ62" s="83"/>
      <c r="CK62" s="83"/>
      <c r="CL62" s="83"/>
      <c r="CM62" s="83"/>
      <c r="CN62" s="83"/>
      <c r="CO62" s="83"/>
    </row>
    <row r="63" spans="1:93" x14ac:dyDescent="0.3">
      <c r="A63" s="83"/>
      <c r="B63" s="104"/>
      <c r="C63" s="216"/>
      <c r="D63" s="268" t="s">
        <v>473</v>
      </c>
      <c r="E63" s="268" t="s">
        <v>106</v>
      </c>
      <c r="F63" s="293">
        <v>1</v>
      </c>
      <c r="G63" s="293">
        <v>1</v>
      </c>
      <c r="H63" s="293" t="s">
        <v>352</v>
      </c>
      <c r="I63" s="293" t="s">
        <v>85</v>
      </c>
      <c r="J63" s="293" t="str">
        <f>+IF(F63&gt;'Equipment Data'!$G$112,"yes","No")</f>
        <v>No</v>
      </c>
      <c r="K63" s="293">
        <v>0.67</v>
      </c>
      <c r="L63" s="293" t="s">
        <v>354</v>
      </c>
      <c r="M63" s="170">
        <f>+IF(AND(D63="Evaporator",E63="Falling Film"),IF(F63&lt;'Equipment Data'!$G$112,10^('Equipment Data'!$C$112+'Equipment Data'!$D$112*LOG10(F63)+'Equipment Data'!$E$112*LOG10(F63)*LOG10(F63)),10^('Equipment Data'!$C$112+'Equipment Data'!$D$112*LOG10('Equipment Data'!$G$112)+'Equipment Data'!$E$112*LOG10('Equipment Data'!$G$112)*LOG10('Equipment Data'!$G$112))*(F63/'Equipment Data'!$G$112)^K63),"N/A")</f>
        <v>8163.9436796456548</v>
      </c>
      <c r="N63" s="166">
        <f>+IF(G63-1.01325&gt;10,10^('Equipment Data'!$I$112+LOG10(G63-1.01325)*'Equipment Data'!$J$112+'Equipment Data'!$K$112*LOG10(G63-1.01325)*LOG10(G63-1.01325)),1)</f>
        <v>1</v>
      </c>
      <c r="O63" s="240" t="s">
        <v>354</v>
      </c>
      <c r="P63" s="166">
        <f>+IF(I63="CS",'Equipment Data'!$C$230,IF(I63="Cu Alloy",'Equipment Data'!$D$230,IF(I63="SS",'Equipment Data'!$E$230,IF(I63="Ni Alloy",'Equipment Data'!$F$230,IF(I63="Ti",'Equipment Data'!$G$230,"N/A")))))</f>
        <v>2.25</v>
      </c>
      <c r="Q63" s="167">
        <f t="shared" ref="Q63:Q65" si="6">+M63*N63*P63</f>
        <v>18368.873279202722</v>
      </c>
      <c r="R63" s="294"/>
      <c r="S63" s="217"/>
      <c r="T63" s="106"/>
      <c r="U63" s="105"/>
      <c r="V63" s="105"/>
      <c r="W63" s="105"/>
      <c r="X63" s="254"/>
      <c r="Y63" s="105"/>
      <c r="Z63" s="105"/>
      <c r="AA63" s="105"/>
      <c r="AB63" s="105"/>
      <c r="AC63" s="105"/>
      <c r="AD63" s="105"/>
      <c r="AE63" s="105"/>
      <c r="AF63" s="105"/>
      <c r="AG63" s="105"/>
      <c r="AH63" s="105"/>
      <c r="AI63" s="105"/>
      <c r="AJ63" s="105"/>
      <c r="AK63" s="105"/>
      <c r="AL63" s="105"/>
      <c r="AM63" s="105"/>
      <c r="AN63" s="105"/>
      <c r="AO63" s="105"/>
      <c r="AP63" s="105"/>
      <c r="AQ63" s="105"/>
      <c r="AR63" s="105"/>
      <c r="AS63" s="105"/>
      <c r="AT63" s="105"/>
      <c r="AU63" s="105"/>
      <c r="AV63" s="105"/>
      <c r="AW63" s="105"/>
      <c r="AX63" s="105"/>
      <c r="AY63" s="105"/>
      <c r="AZ63" s="105"/>
      <c r="BA63" s="105"/>
      <c r="BB63" s="105"/>
      <c r="BC63" s="105"/>
      <c r="BD63" s="105"/>
      <c r="BE63" s="105"/>
      <c r="BF63" s="105"/>
      <c r="BG63" s="105"/>
      <c r="BH63" s="105"/>
      <c r="BI63" s="105"/>
      <c r="BJ63" s="105"/>
      <c r="BK63" s="105"/>
      <c r="BL63" s="105"/>
      <c r="BM63" s="105"/>
      <c r="BN63" s="105"/>
      <c r="BO63" s="105"/>
      <c r="BP63" s="105"/>
      <c r="BQ63" s="105"/>
      <c r="BR63" s="105"/>
      <c r="BS63" s="105"/>
      <c r="BT63" s="105"/>
      <c r="BU63" s="105"/>
      <c r="BV63" s="105"/>
      <c r="BW63" s="105"/>
      <c r="BX63" s="105"/>
      <c r="BY63" s="105"/>
      <c r="BZ63" s="105"/>
      <c r="CA63" s="105"/>
      <c r="CB63" s="105"/>
      <c r="CC63" s="105"/>
      <c r="CD63" s="105"/>
      <c r="CE63" s="105"/>
      <c r="CF63" s="105"/>
      <c r="CG63" s="105"/>
      <c r="CH63" s="105"/>
      <c r="CI63" s="105"/>
      <c r="CJ63" s="83"/>
      <c r="CK63" s="83"/>
      <c r="CL63" s="83"/>
      <c r="CM63" s="83"/>
      <c r="CN63" s="83"/>
      <c r="CO63" s="83"/>
    </row>
    <row r="64" spans="1:93" x14ac:dyDescent="0.3">
      <c r="A64" s="83"/>
      <c r="B64" s="104"/>
      <c r="C64" s="216"/>
      <c r="D64" s="268" t="s">
        <v>473</v>
      </c>
      <c r="E64" s="268" t="s">
        <v>107</v>
      </c>
      <c r="F64" s="293">
        <v>1</v>
      </c>
      <c r="G64" s="293">
        <v>1</v>
      </c>
      <c r="H64" s="293" t="s">
        <v>352</v>
      </c>
      <c r="I64" s="293" t="s">
        <v>85</v>
      </c>
      <c r="J64" s="293" t="str">
        <f>+IF(F64&gt;'Equipment Data'!$G$113,"yes","No")</f>
        <v>No</v>
      </c>
      <c r="K64" s="293">
        <v>0.67</v>
      </c>
      <c r="L64" s="293" t="s">
        <v>354</v>
      </c>
      <c r="M64" s="170">
        <f>+IF(AND(D64="Evaporator",E64="Agitated (Scraped Wall)"),IF(F64&lt;'Equipment Data'!$G$113,10^('Equipment Data'!$C$113+'Equipment Data'!$D$113*LOG10(F64)+'Equipment Data'!$E$113*LOG10(F64)*LOG10(F64)),10^('Equipment Data'!$C$113+'Equipment Data'!$D$113*LOG10('Equipment Data'!$G$113)+'Equipment Data'!$E$113*LOG10('Equipment Data'!$G$113)*LOG10('Equipment Data'!$G$113))*(F64/'Equipment Data'!$G$113)^K64),"N/A")</f>
        <v>100000</v>
      </c>
      <c r="N64" s="166">
        <f>+IF(G64-1.01325&gt;10,10^('Equipment Data'!$I$113+LOG10(G64-1.01325)*'Equipment Data'!$J$113+'Equipment Data'!$K$113*LOG10(G64-1.01325)*LOG10(G64-1.01325)),1)</f>
        <v>1</v>
      </c>
      <c r="O64" s="240" t="s">
        <v>354</v>
      </c>
      <c r="P64" s="166">
        <f>+IF(I64="CS",'Equipment Data'!$C$231,IF(I64="Cu Alloy",'Equipment Data'!$D$231,IF(I64="SS",'Equipment Data'!$E$231,IF(I64="Ni Alloy",'Equipment Data'!$F$231,IF(I64="Ti",'Equipment Data'!$G$231,"N/A")))))</f>
        <v>2.25</v>
      </c>
      <c r="Q64" s="167">
        <f t="shared" si="6"/>
        <v>225000</v>
      </c>
      <c r="R64" s="294"/>
      <c r="S64" s="217"/>
      <c r="T64" s="106"/>
      <c r="U64" s="105"/>
      <c r="V64" s="105"/>
      <c r="W64" s="105"/>
      <c r="X64" s="254"/>
      <c r="Y64" s="105"/>
      <c r="Z64" s="105"/>
      <c r="AA64" s="105"/>
      <c r="AB64" s="105"/>
      <c r="AC64" s="105"/>
      <c r="AD64" s="105"/>
      <c r="AE64" s="105"/>
      <c r="AF64" s="105"/>
      <c r="AG64" s="105"/>
      <c r="AH64" s="105"/>
      <c r="AI64" s="105"/>
      <c r="AJ64" s="105"/>
      <c r="AK64" s="105"/>
      <c r="AL64" s="105"/>
      <c r="AM64" s="105"/>
      <c r="AN64" s="105"/>
      <c r="AO64" s="105"/>
      <c r="AP64" s="105"/>
      <c r="AQ64" s="105"/>
      <c r="AR64" s="105"/>
      <c r="AS64" s="105"/>
      <c r="AT64" s="105"/>
      <c r="AU64" s="105"/>
      <c r="AV64" s="105"/>
      <c r="AW64" s="105"/>
      <c r="AX64" s="105"/>
      <c r="AY64" s="105"/>
      <c r="AZ64" s="105"/>
      <c r="BA64" s="105"/>
      <c r="BB64" s="105"/>
      <c r="BC64" s="105"/>
      <c r="BD64" s="105"/>
      <c r="BE64" s="105"/>
      <c r="BF64" s="105"/>
      <c r="BG64" s="105"/>
      <c r="BH64" s="105"/>
      <c r="BI64" s="105"/>
      <c r="BJ64" s="105"/>
      <c r="BK64" s="105"/>
      <c r="BL64" s="105"/>
      <c r="BM64" s="105"/>
      <c r="BN64" s="105"/>
      <c r="BO64" s="105"/>
      <c r="BP64" s="105"/>
      <c r="BQ64" s="105"/>
      <c r="BR64" s="105"/>
      <c r="BS64" s="105"/>
      <c r="BT64" s="105"/>
      <c r="BU64" s="105"/>
      <c r="BV64" s="105"/>
      <c r="BW64" s="105"/>
      <c r="BX64" s="105"/>
      <c r="BY64" s="105"/>
      <c r="BZ64" s="105"/>
      <c r="CA64" s="105"/>
      <c r="CB64" s="105"/>
      <c r="CC64" s="105"/>
      <c r="CD64" s="105"/>
      <c r="CE64" s="105"/>
      <c r="CF64" s="105"/>
      <c r="CG64" s="105"/>
      <c r="CH64" s="105"/>
      <c r="CI64" s="105"/>
      <c r="CJ64" s="83"/>
      <c r="CK64" s="83"/>
      <c r="CL64" s="83"/>
      <c r="CM64" s="83"/>
      <c r="CN64" s="83"/>
      <c r="CO64" s="83"/>
    </row>
    <row r="65" spans="1:93" x14ac:dyDescent="0.3">
      <c r="A65" s="83"/>
      <c r="B65" s="104"/>
      <c r="C65" s="216"/>
      <c r="D65" s="268" t="s">
        <v>473</v>
      </c>
      <c r="E65" s="268" t="s">
        <v>108</v>
      </c>
      <c r="F65" s="293">
        <v>1</v>
      </c>
      <c r="G65" s="293">
        <v>1</v>
      </c>
      <c r="H65" s="293" t="s">
        <v>352</v>
      </c>
      <c r="I65" s="293" t="s">
        <v>85</v>
      </c>
      <c r="J65" s="293" t="str">
        <f>+IF(F65&gt;'Equipment Data'!$G$114,"yes","No")</f>
        <v>No</v>
      </c>
      <c r="K65" s="293">
        <v>0.67</v>
      </c>
      <c r="L65" s="293" t="s">
        <v>354</v>
      </c>
      <c r="M65" s="170">
        <f>+IF(AND(D65="Evaporator",E65="Short Tube"),IF(F65&lt;'Equipment Data'!$G$114,10^('Equipment Data'!$C$114+'Equipment Data'!$D$114*LOG10(F65)+'Equipment Data'!$E$114*LOG10(F65)*LOG10(F65)),10^('Equipment Data'!$C$114+'Equipment Data'!$D$114*LOG10('Equipment Data'!$G$114)+'Equipment Data'!$E$114*LOG10('Equipment Data'!$G$114)*LOG10('Equipment Data'!$G$114))*(F65/'Equipment Data'!$G$114)^K65),"N/A")</f>
        <v>172424.90683416434</v>
      </c>
      <c r="N65" s="166">
        <f>+IF(G65-1.01325&gt;10,10^('Equipment Data'!$I$114+LOG10(G65-1.01325)*'Equipment Data'!$J$114+'Equipment Data'!$K$114*LOG10(G65-1.01325)*LOG10(G65-1.01325)),1)</f>
        <v>1</v>
      </c>
      <c r="O65" s="240" t="s">
        <v>354</v>
      </c>
      <c r="P65" s="166">
        <f>+IF(I65="CS",'Equipment Data'!$C$232,IF(I65="Cu Alloy",'Equipment Data'!$D$232,IF(I65="SS",'Equipment Data'!$E$232,IF(I65="Ni Alloy",'Equipment Data'!$F$232,IF(I65="Ti",'Equipment Data'!$G$232,"N/A")))))</f>
        <v>2.9</v>
      </c>
      <c r="Q65" s="167">
        <f t="shared" si="6"/>
        <v>500032.2298190766</v>
      </c>
      <c r="R65" s="294"/>
      <c r="S65" s="217"/>
      <c r="T65" s="106"/>
      <c r="U65" s="105"/>
      <c r="V65" s="105"/>
      <c r="W65" s="105"/>
      <c r="X65" s="254"/>
      <c r="Y65" s="105"/>
      <c r="Z65" s="105"/>
      <c r="AA65" s="105"/>
      <c r="AB65" s="105"/>
      <c r="AC65" s="105"/>
      <c r="AD65" s="105"/>
      <c r="AE65" s="105"/>
      <c r="AF65" s="105"/>
      <c r="AG65" s="105"/>
      <c r="AH65" s="105"/>
      <c r="AI65" s="105"/>
      <c r="AJ65" s="105"/>
      <c r="AK65" s="105"/>
      <c r="AL65" s="105"/>
      <c r="AM65" s="105"/>
      <c r="AN65" s="105"/>
      <c r="AO65" s="105"/>
      <c r="AP65" s="105"/>
      <c r="AQ65" s="105"/>
      <c r="AR65" s="105"/>
      <c r="AS65" s="105"/>
      <c r="AT65" s="105"/>
      <c r="AU65" s="105"/>
      <c r="AV65" s="105"/>
      <c r="AW65" s="105"/>
      <c r="AX65" s="105"/>
      <c r="AY65" s="105"/>
      <c r="AZ65" s="105"/>
      <c r="BA65" s="105"/>
      <c r="BB65" s="105"/>
      <c r="BC65" s="105"/>
      <c r="BD65" s="105"/>
      <c r="BE65" s="105"/>
      <c r="BF65" s="105"/>
      <c r="BG65" s="105"/>
      <c r="BH65" s="105"/>
      <c r="BI65" s="105"/>
      <c r="BJ65" s="105"/>
      <c r="BK65" s="105"/>
      <c r="BL65" s="105"/>
      <c r="BM65" s="105"/>
      <c r="BN65" s="105"/>
      <c r="BO65" s="105"/>
      <c r="BP65" s="105"/>
      <c r="BQ65" s="105"/>
      <c r="BR65" s="105"/>
      <c r="BS65" s="105"/>
      <c r="BT65" s="105"/>
      <c r="BU65" s="105"/>
      <c r="BV65" s="105"/>
      <c r="BW65" s="105"/>
      <c r="BX65" s="105"/>
      <c r="BY65" s="105"/>
      <c r="BZ65" s="105"/>
      <c r="CA65" s="105"/>
      <c r="CB65" s="105"/>
      <c r="CC65" s="105"/>
      <c r="CD65" s="105"/>
      <c r="CE65" s="105"/>
      <c r="CF65" s="105"/>
      <c r="CG65" s="105"/>
      <c r="CH65" s="105"/>
      <c r="CI65" s="105"/>
      <c r="CJ65" s="83"/>
      <c r="CK65" s="83"/>
      <c r="CL65" s="83"/>
      <c r="CM65" s="83"/>
      <c r="CN65" s="83"/>
      <c r="CO65" s="83"/>
    </row>
    <row r="66" spans="1:93" x14ac:dyDescent="0.3">
      <c r="A66" s="83"/>
      <c r="B66" s="104"/>
      <c r="C66" s="216"/>
      <c r="D66" s="268" t="s">
        <v>473</v>
      </c>
      <c r="E66" s="268" t="s">
        <v>109</v>
      </c>
      <c r="F66" s="293">
        <v>1</v>
      </c>
      <c r="G66" s="293">
        <v>1</v>
      </c>
      <c r="H66" s="293" t="s">
        <v>352</v>
      </c>
      <c r="I66" s="293" t="s">
        <v>85</v>
      </c>
      <c r="J66" s="293" t="str">
        <f>+IF(F66&gt;'Equipment Data'!$G$115,"yes","No")</f>
        <v>No</v>
      </c>
      <c r="K66" s="293">
        <v>0.67</v>
      </c>
      <c r="L66" s="293" t="s">
        <v>354</v>
      </c>
      <c r="M66" s="170">
        <f>+IF(AND(D66="Evaporator",E66="Long Tube"),IF(F66&lt;'Equipment Data'!$G$115,10^('Equipment Data'!$C$115+'Equipment Data'!$D$115*LOG10(F66)+'Equipment Data'!$E$115*LOG10(F66)*LOG10(F66)),10^('Equipment Data'!$C$115+'Equipment Data'!$D$115*LOG10('Equipment Data'!$G$115)+'Equipment Data'!$E$115*LOG10('Equipment Data'!$G$115)*LOG10('Equipment Data'!$G$115))*(F66/'Equipment Data'!$G$115)^K66),"N/A")</f>
        <v>43853.069777498633</v>
      </c>
      <c r="N66" s="166">
        <f>+IF(G66-1.01325&gt;10,10^('Equipment Data'!$I$115+LOG10(G66-1.01325)*'Equipment Data'!$J$115+'Equipment Data'!$K$115*LOG10(G66-1.01325)*LOG10(G66-1.01325)),1)</f>
        <v>1</v>
      </c>
      <c r="O66" s="240" t="s">
        <v>354</v>
      </c>
      <c r="P66" s="166">
        <f>+IF(I66="CS",'Equipment Data'!$C$233,IF(I66="Cu Alloy",'Equipment Data'!$D$233,IF(I66="SS",'Equipment Data'!$E$233,IF(I66="Ni Alloy",'Equipment Data'!$F$233,IF(I66="Ti",'Equipment Data'!$G$233,"N/A")))))</f>
        <v>2.9</v>
      </c>
      <c r="Q66" s="167">
        <f>+M66*N66*P66</f>
        <v>127173.90235474604</v>
      </c>
      <c r="R66" s="295"/>
      <c r="S66" s="225"/>
      <c r="T66" s="106"/>
      <c r="U66" s="105"/>
      <c r="V66" s="105"/>
      <c r="W66" s="105"/>
      <c r="X66" s="254"/>
      <c r="Y66" s="105"/>
      <c r="Z66" s="105"/>
      <c r="AA66" s="105"/>
      <c r="AB66" s="105"/>
      <c r="AC66" s="105"/>
      <c r="AD66" s="105"/>
      <c r="AE66" s="105"/>
      <c r="AF66" s="105"/>
      <c r="AG66" s="105"/>
      <c r="AH66" s="105"/>
      <c r="AI66" s="105"/>
      <c r="AJ66" s="105"/>
      <c r="AK66" s="105"/>
      <c r="AL66" s="105"/>
      <c r="AM66" s="105"/>
      <c r="AN66" s="105"/>
      <c r="AO66" s="105"/>
      <c r="AP66" s="105"/>
      <c r="AQ66" s="105"/>
      <c r="AR66" s="105"/>
      <c r="AS66" s="105"/>
      <c r="AT66" s="105"/>
      <c r="AU66" s="105"/>
      <c r="AV66" s="105"/>
      <c r="AW66" s="105"/>
      <c r="AX66" s="105"/>
      <c r="AY66" s="105"/>
      <c r="AZ66" s="105"/>
      <c r="BA66" s="105"/>
      <c r="BB66" s="105"/>
      <c r="BC66" s="105"/>
      <c r="BD66" s="105"/>
      <c r="BE66" s="105"/>
      <c r="BF66" s="105"/>
      <c r="BG66" s="105"/>
      <c r="BH66" s="105"/>
      <c r="BI66" s="105"/>
      <c r="BJ66" s="105"/>
      <c r="BK66" s="105"/>
      <c r="BL66" s="105"/>
      <c r="BM66" s="105"/>
      <c r="BN66" s="105"/>
      <c r="BO66" s="105"/>
      <c r="BP66" s="105"/>
      <c r="BQ66" s="105"/>
      <c r="BR66" s="105"/>
      <c r="BS66" s="105"/>
      <c r="BT66" s="105"/>
      <c r="BU66" s="105"/>
      <c r="BV66" s="105"/>
      <c r="BW66" s="105"/>
      <c r="BX66" s="105"/>
      <c r="BY66" s="105"/>
      <c r="BZ66" s="105"/>
      <c r="CA66" s="105"/>
      <c r="CB66" s="105"/>
      <c r="CC66" s="105"/>
      <c r="CD66" s="105"/>
      <c r="CE66" s="105"/>
      <c r="CF66" s="105"/>
      <c r="CG66" s="105"/>
      <c r="CH66" s="105"/>
      <c r="CI66" s="105"/>
      <c r="CJ66" s="83"/>
      <c r="CK66" s="83"/>
      <c r="CL66" s="83"/>
      <c r="CM66" s="83"/>
      <c r="CN66" s="83"/>
      <c r="CO66" s="83"/>
    </row>
    <row r="67" spans="1:93" x14ac:dyDescent="0.3">
      <c r="A67" s="83"/>
      <c r="B67" s="104"/>
      <c r="C67" s="300"/>
      <c r="D67" s="268" t="s">
        <v>252</v>
      </c>
      <c r="E67" s="268" t="s">
        <v>113</v>
      </c>
      <c r="F67" s="293">
        <v>1</v>
      </c>
      <c r="G67" s="293">
        <v>1</v>
      </c>
      <c r="H67" s="293" t="s">
        <v>352</v>
      </c>
      <c r="I67" s="293" t="s">
        <v>531</v>
      </c>
      <c r="J67" s="293" t="str">
        <f>+IF(F67&gt;'Equipment Data'!$L$120,"yes","No")</f>
        <v>No</v>
      </c>
      <c r="K67" s="293">
        <v>0.67</v>
      </c>
      <c r="L67" s="293" t="s">
        <v>354</v>
      </c>
      <c r="M67" s="170">
        <f>+IF(AND(D67="Heat Exchanger",E67="Double Pipe"),IF(F67&lt;'Equipment Data'!$L$120,10^('Equipment Data'!$C$120+'Equipment Data'!$D$120*LOG10(F67)+'Equipment Data'!$E$120*LOG10(F67)*LOG10(F67)),10^('Equipment Data'!$C$120+'Equipment Data'!$D$120*LOG10('Equipment Data'!$L$120)+'Equipment Data'!$E$120*LOG10('Equipment Data'!$L$120)*LOG10('Equipment Data'!$L$120))*(F67/'Equipment Data'!$L$120)^K67),"N/A")</f>
        <v>2210.0393173491857</v>
      </c>
      <c r="N67" s="166">
        <f>+IF((G67-1.01325)&gt;40,IF((G67-1.01325)&lt;100,10^('Equipment Data'!$F$121+'Equipment Data'!$G$121*LOG10(G67-1.01325)+'Equipment Data'!$H$121*LOG10(G67-1.01325)*LOG10(G67-1.01325)),IF((G67-1.01325)&gt;100,10^('Equipment Data'!$F$120+'Equipment Data'!$G$120*LOG10(G67-1.01325)+'Equipment Data'!$H$120*LOG10(G67-1.01325)*LOG10(G67-1.01325)))),1)</f>
        <v>1</v>
      </c>
      <c r="O67" s="293">
        <f>+IF(I67="CS/CS",'Equipment Data'!$C$147,IF(I67="CS/Cu",'Equipment Data'!$D$147,IF(I67="Cu/Cu",'Equipment Data'!$E$147,IF(I67="CS/SS",'Equipment Data'!$F$147,IF(I67="SS/SS",'Equipment Data'!$G$147,IF(I67="CS/Ni",'Equipment Data'!$H$147,IF(I67="Ni/Ni",'Equipment Data'!$I$147,IF(I67="CS/Ti",'Equipment Data'!$J$147,IF(I67="Ti/Ti",'Equipment Data'!$K$147,"N/A")))))))))</f>
        <v>1</v>
      </c>
      <c r="P67" s="166">
        <f>+'Equipment Data'!$I$120+'Equipment Data'!$J$120*N67*O67</f>
        <v>3.29</v>
      </c>
      <c r="Q67" s="167">
        <f>+M67*P67</f>
        <v>7271.0293540788207</v>
      </c>
      <c r="R67" s="304"/>
      <c r="S67" s="310"/>
      <c r="T67" s="106"/>
      <c r="U67" s="105"/>
      <c r="V67" s="105"/>
      <c r="W67" s="105"/>
      <c r="X67" s="254"/>
      <c r="Y67" s="105"/>
      <c r="Z67" s="105"/>
      <c r="AA67" s="105"/>
      <c r="AB67" s="105"/>
      <c r="AC67" s="105"/>
      <c r="AD67" s="105"/>
      <c r="AE67" s="105"/>
      <c r="AF67" s="105"/>
      <c r="AG67" s="105"/>
      <c r="AH67" s="105"/>
      <c r="AI67" s="105"/>
      <c r="AJ67" s="105"/>
      <c r="AK67" s="105"/>
      <c r="AL67" s="105"/>
      <c r="AM67" s="105"/>
      <c r="AN67" s="105"/>
      <c r="AO67" s="105"/>
      <c r="AP67" s="105"/>
      <c r="AQ67" s="105"/>
      <c r="AR67" s="105"/>
      <c r="AS67" s="105"/>
      <c r="AU67" s="105"/>
      <c r="AV67" s="105"/>
      <c r="AW67" s="105"/>
      <c r="AX67" s="105"/>
      <c r="AY67" s="105"/>
      <c r="AZ67" s="105"/>
      <c r="BA67" s="105"/>
      <c r="BB67" s="105"/>
      <c r="BC67" s="105"/>
      <c r="BD67" s="105"/>
      <c r="BE67" s="105"/>
      <c r="BF67" s="105"/>
      <c r="BG67" s="105"/>
      <c r="BH67" s="105"/>
      <c r="BI67" s="105"/>
      <c r="BJ67" s="105"/>
      <c r="BK67" s="105"/>
      <c r="BL67" s="105"/>
      <c r="BM67" s="105"/>
      <c r="BN67" s="105"/>
      <c r="BO67" s="105"/>
      <c r="BP67" s="105"/>
      <c r="BQ67" s="105"/>
      <c r="BR67" s="105"/>
      <c r="BS67" s="105"/>
      <c r="BT67" s="105"/>
      <c r="BU67" s="105"/>
      <c r="BV67" s="105"/>
      <c r="BW67" s="105"/>
      <c r="BX67" s="105"/>
      <c r="BY67" s="105"/>
      <c r="BZ67" s="105"/>
      <c r="CA67" s="105"/>
      <c r="CB67" s="105"/>
      <c r="CC67" s="105"/>
      <c r="CD67" s="105"/>
      <c r="CE67" s="105"/>
      <c r="CF67" s="105"/>
      <c r="CG67" s="105"/>
      <c r="CH67" s="105"/>
      <c r="CI67" s="105"/>
      <c r="CJ67" s="83"/>
      <c r="CK67" s="83"/>
      <c r="CL67" s="83"/>
      <c r="CM67" s="83"/>
      <c r="CN67" s="83"/>
      <c r="CO67" s="83"/>
    </row>
    <row r="68" spans="1:93" x14ac:dyDescent="0.3">
      <c r="A68" s="83"/>
      <c r="B68" s="104"/>
      <c r="C68" s="301"/>
      <c r="D68" s="268" t="s">
        <v>252</v>
      </c>
      <c r="E68" s="268" t="s">
        <v>116</v>
      </c>
      <c r="F68" s="293">
        <v>1</v>
      </c>
      <c r="G68" s="293">
        <v>1</v>
      </c>
      <c r="H68" s="293" t="s">
        <v>352</v>
      </c>
      <c r="I68" s="293" t="s">
        <v>531</v>
      </c>
      <c r="J68" s="293" t="str">
        <f>+IF(F68&gt;'Equipment Data'!$L$123,"yes","No")</f>
        <v>No</v>
      </c>
      <c r="K68" s="293">
        <v>0.67</v>
      </c>
      <c r="L68" s="293" t="s">
        <v>354</v>
      </c>
      <c r="M68" s="170">
        <f>+IF(AND(D68="Heat Exchanger",E68="Multiple Pipe"),IF(F68&lt;'Equipment Data'!$L$123,10^('Equipment Data'!$C$123+'Equipment Data'!$D$123*LOG10(F68)+'Equipment Data'!$E$123*LOG10(F68)*LOG10(F68)),10^('Equipment Data'!$C$123+'Equipment Data'!$D$123*LOG10('Equipment Data'!$L$123)+'Equipment Data'!$E$123*LOG10('Equipment Data'!$L$123)*LOG10('Equipment Data'!$L$123))*(F68/'Equipment Data'!$L$123)^K68),"N/A")</f>
        <v>582.37134794375197</v>
      </c>
      <c r="N68" s="166">
        <f>+IF((G68-1.01325)&gt;40,IF((G68-1.01325)&lt;100,10^('Equipment Data'!$F$122+'Equipment Data'!$G$122*LOG10(G68-1.01325)+'Equipment Data'!$H$122*LOG10(G68-1.01325)*LOG10(G68-1.01325)),IF((G68-1.01325)&gt;100,10^('Equipment Data'!$F$121+'Equipment Data'!$G$121*LOG10(G68-1.01325)+'Equipment Data'!$H$121*LOG10(G68-1.01325)*LOG10(G68-1.01325)))),1)</f>
        <v>1</v>
      </c>
      <c r="O68" s="293">
        <f>+IF(I68="CS/CS",'Equipment Data'!$C$148,IF(I68="CS/Cu",'Equipment Data'!$D$148,IF(I68="Cu/Cu",'Equipment Data'!$E$148,IF(I68="CS/SS",'Equipment Data'!$F$148,IF(I68="SS/SS",'Equipment Data'!$G$148,IF(I68="CS/Ni",'Equipment Data'!$H$148,IF(I68="Ni/Ni",'Equipment Data'!$I$148,IF(I68="CS/Ti",'Equipment Data'!$J$148,IF(I68="Ti/Ti",'Equipment Data'!$K$148,"N/A")))))))))</f>
        <v>1</v>
      </c>
      <c r="P68" s="166">
        <f>+'Equipment Data'!$I$123+'Equipment Data'!$J$123*N68*O68</f>
        <v>3.29</v>
      </c>
      <c r="Q68" s="167">
        <f t="shared" ref="Q68:Q78" si="7">+M68*P68</f>
        <v>1916.001734734944</v>
      </c>
      <c r="R68" s="306"/>
      <c r="S68" s="311"/>
      <c r="T68" s="106"/>
      <c r="U68" s="105"/>
      <c r="V68" s="105"/>
      <c r="W68" s="105"/>
      <c r="X68" s="254"/>
      <c r="Y68" s="105"/>
      <c r="Z68" s="105"/>
      <c r="AA68" s="105"/>
      <c r="AB68" s="105"/>
      <c r="AC68" s="105"/>
      <c r="AD68" s="105"/>
      <c r="AE68" s="105"/>
      <c r="AF68" s="105"/>
      <c r="AG68" s="105"/>
      <c r="AH68" s="105"/>
      <c r="AI68" s="105"/>
      <c r="AJ68" s="105"/>
      <c r="AK68" s="105"/>
      <c r="AL68" s="105"/>
      <c r="AM68" s="105"/>
      <c r="AN68" s="105"/>
      <c r="AO68" s="105"/>
      <c r="AP68" s="105"/>
      <c r="AQ68" s="105"/>
      <c r="AR68" s="105"/>
      <c r="AS68" s="105"/>
      <c r="AU68" s="105"/>
      <c r="AV68" s="105"/>
      <c r="AW68" s="105"/>
      <c r="AX68" s="105"/>
      <c r="AY68" s="105"/>
      <c r="AZ68" s="105"/>
      <c r="BA68" s="105"/>
      <c r="BB68" s="105"/>
      <c r="BC68" s="105"/>
      <c r="BD68" s="105"/>
      <c r="BE68" s="105"/>
      <c r="BF68" s="105"/>
      <c r="BG68" s="105"/>
      <c r="BH68" s="105"/>
      <c r="BI68" s="105"/>
      <c r="BJ68" s="105"/>
      <c r="BK68" s="105"/>
      <c r="BL68" s="105"/>
      <c r="BM68" s="105"/>
      <c r="BN68" s="105"/>
      <c r="BO68" s="105"/>
      <c r="BP68" s="105"/>
      <c r="BQ68" s="105"/>
      <c r="BR68" s="105"/>
      <c r="BS68" s="105"/>
      <c r="BT68" s="105"/>
      <c r="BU68" s="105"/>
      <c r="BV68" s="105"/>
      <c r="BW68" s="105"/>
      <c r="BX68" s="105"/>
      <c r="BY68" s="105"/>
      <c r="BZ68" s="105"/>
      <c r="CA68" s="105"/>
      <c r="CB68" s="105"/>
      <c r="CC68" s="105"/>
      <c r="CD68" s="105"/>
      <c r="CE68" s="105"/>
      <c r="CF68" s="105"/>
      <c r="CG68" s="105"/>
      <c r="CH68" s="105"/>
      <c r="CI68" s="105"/>
      <c r="CJ68" s="83"/>
      <c r="CK68" s="83"/>
      <c r="CL68" s="83"/>
      <c r="CM68" s="83"/>
      <c r="CN68" s="83"/>
      <c r="CO68" s="83"/>
    </row>
    <row r="69" spans="1:93" x14ac:dyDescent="0.3">
      <c r="A69" s="83"/>
      <c r="B69" s="104"/>
      <c r="C69" s="301"/>
      <c r="D69" s="268" t="s">
        <v>252</v>
      </c>
      <c r="E69" s="268" t="s">
        <v>117</v>
      </c>
      <c r="F69" s="293">
        <v>1</v>
      </c>
      <c r="G69" s="293">
        <v>1</v>
      </c>
      <c r="H69" s="293" t="s">
        <v>352</v>
      </c>
      <c r="I69" s="293" t="s">
        <v>531</v>
      </c>
      <c r="J69" s="293" t="str">
        <f>+IF(F69&gt;'Equipment Data'!$L$126,"yes","No")</f>
        <v>No</v>
      </c>
      <c r="K69" s="293">
        <v>0.67</v>
      </c>
      <c r="L69" s="293" t="s">
        <v>530</v>
      </c>
      <c r="M69" s="170">
        <f>+IF(AND(D69="Heat Exchanger",E69="Fixed tube, sheet, or U tube"),IF(F69&lt;'Equipment Data'!$L$126,10^('Equipment Data'!$C$126+'Equipment Data'!$D$126*LOG10(F69)+'Equipment Data'!$E$126*LOG10(F69)*LOG10(F69)),10^('Equipment Data'!$C$126+'Equipment Data'!$D$126*LOG10('Equipment Data'!$L$126)+'Equipment Data'!$E$126*LOG10('Equipment Data'!$L$126)*LOG10('Equipment Data'!$L$126))*(F69/'Equipment Data'!$L$126)^K69),"N/A")</f>
        <v>21120.295974610213</v>
      </c>
      <c r="N69" s="166">
        <f>+IF(L69="","Input: shell and tube / tube only",IF(L69="shell and tube",IF(G69-1&gt;5,10^('Equipment Data'!$F$126+'Equipment Data'!$G$126*LOG10(G69-1.01325)+'Equipment Data'!$H$126*LOG10(G69-1.01325)*LOG10(G69-1.01325)),1),IF(G69-1.01325&gt;5,10^('Equipment Data'!$F$127+'Equipment Data'!$G$127*LOG10(G69-1.01325)+'Equipment Data'!$H$127*LOG10(G69-1.01325)*LOG10(G69-1.01325)),1)))</f>
        <v>1</v>
      </c>
      <c r="O69" s="293">
        <f>+IF(I69="CS/CS",'Equipment Data'!$C$149,IF(I69="CS/Cu",'Equipment Data'!$D$149,IF(I69="Cu/Cu",'Equipment Data'!$E$149,IF(I69="CS/SS",'Equipment Data'!$F$149,IF(I69="SS/SS",'Equipment Data'!$G$149,IF(I69="CS/Ni",'Equipment Data'!$H$149,IF(I69="Ni/Ni",'Equipment Data'!$I$149,IF(I69="CS/Ti",'Equipment Data'!$J$149,IF(I69="Ti/Ti",'Equipment Data'!$K$149,"N/A")))))))))</f>
        <v>1</v>
      </c>
      <c r="P69" s="166">
        <f>+'Equipment Data'!$I$126+'Equipment Data'!$J$126*N69*O69</f>
        <v>3.29</v>
      </c>
      <c r="Q69" s="167">
        <f t="shared" si="7"/>
        <v>69485.773756467606</v>
      </c>
      <c r="R69" s="306"/>
      <c r="S69" s="311"/>
      <c r="T69" s="106"/>
      <c r="U69" s="105"/>
      <c r="V69" s="105"/>
      <c r="W69" s="83"/>
      <c r="X69" s="1"/>
      <c r="CI69" s="83"/>
      <c r="CJ69" s="83"/>
      <c r="CK69" s="83"/>
      <c r="CL69" s="83"/>
      <c r="CM69" s="83"/>
      <c r="CN69" s="83"/>
      <c r="CO69" s="83"/>
    </row>
    <row r="70" spans="1:93" x14ac:dyDescent="0.3">
      <c r="A70" s="83"/>
      <c r="B70" s="104"/>
      <c r="C70" s="301"/>
      <c r="D70" s="268" t="s">
        <v>252</v>
      </c>
      <c r="E70" s="268" t="s">
        <v>119</v>
      </c>
      <c r="F70" s="293">
        <v>1</v>
      </c>
      <c r="G70" s="293">
        <v>1</v>
      </c>
      <c r="H70" s="293" t="s">
        <v>352</v>
      </c>
      <c r="I70" s="293" t="s">
        <v>531</v>
      </c>
      <c r="J70" s="293" t="str">
        <f>+IF(F70&gt;'Equipment Data'!$L$128,"yes","No")</f>
        <v>No</v>
      </c>
      <c r="K70" s="293">
        <v>0.67</v>
      </c>
      <c r="L70" s="293" t="s">
        <v>530</v>
      </c>
      <c r="M70" s="170">
        <f>+IF(AND(D70="Heat Exchanger",E70="Floating Head"),IF(F70&lt;'Equipment Data'!$L$128,10^('Equipment Data'!$C$128+'Equipment Data'!$D$128*LOG10(F70)+'Equipment Data'!$E$128*LOG10(F70)*LOG10(F70)),10^('Equipment Data'!$C$128+'Equipment Data'!$D$128*LOG10('Equipment Data'!$L$128)+'Equipment Data'!$E$128*LOG10('Equipment Data'!$L$128)*LOG10('Equipment Data'!$L$128))*(F70/'Equipment Data'!$L$128)^K70),"N/A")</f>
        <v>67701.766405182454</v>
      </c>
      <c r="N70" s="166">
        <f>+IF(L70="","Input: shell and tube / tube only",IF(L70="shell and tube",IF(G70-1&gt;5,10^('Equipment Data'!$F$128+'Equipment Data'!$G$128*LOG10(G70-1.01325)+'Equipment Data'!$H$128*LOG10(G70-1.01325)*LOG10(G70-1.01325)),1),IF(G70-1.01325&gt;5,10^('Equipment Data'!$F$129+'Equipment Data'!$G$129*LOG10(G70-1.01325)+'Equipment Data'!$H$129*LOG10(G70-1.01325)*LOG10(G70-1.01325)),1)))</f>
        <v>1</v>
      </c>
      <c r="O70" s="293">
        <f>+IF(I70="CS/CS",'Equipment Data'!$C$150,IF(I70="CS/Cu",'Equipment Data'!$D$150,IF(I70="Cu/Cu",'Equipment Data'!$E$150,IF(I70="CS/SS",'Equipment Data'!$F$150,IF(I70="SS/SS",'Equipment Data'!$G$150,IF(I70="CS/Ni",'Equipment Data'!$H$150,IF(I70="Ni/Ni",'Equipment Data'!$I$150,IF(I70="CS/Ti",'Equipment Data'!$J$150,IF(I70="Ti/Ti",'Equipment Data'!$K$150,"N/A")))))))))</f>
        <v>1</v>
      </c>
      <c r="P70" s="166">
        <f>+'Equipment Data'!$I$128+'Equipment Data'!$J$128*N70*O70</f>
        <v>3.29</v>
      </c>
      <c r="Q70" s="167">
        <f t="shared" si="7"/>
        <v>222738.81147305027</v>
      </c>
      <c r="R70" s="306"/>
      <c r="S70" s="311"/>
      <c r="T70" s="106"/>
      <c r="U70" s="105"/>
      <c r="V70" s="105"/>
      <c r="W70" s="83"/>
      <c r="X70" s="1"/>
      <c r="CI70" s="83"/>
      <c r="CJ70" s="83"/>
      <c r="CK70" s="83"/>
      <c r="CL70" s="83"/>
      <c r="CM70" s="83"/>
      <c r="CN70" s="83"/>
      <c r="CO70" s="83"/>
    </row>
    <row r="71" spans="1:93" x14ac:dyDescent="0.3">
      <c r="A71" s="83"/>
      <c r="B71" s="104"/>
      <c r="C71" s="301"/>
      <c r="D71" s="268" t="s">
        <v>252</v>
      </c>
      <c r="E71" s="268" t="s">
        <v>121</v>
      </c>
      <c r="F71" s="293">
        <v>1</v>
      </c>
      <c r="G71" s="293">
        <v>1</v>
      </c>
      <c r="H71" s="293" t="s">
        <v>352</v>
      </c>
      <c r="I71" s="293" t="s">
        <v>531</v>
      </c>
      <c r="J71" s="293" t="str">
        <f>+IF(F71&gt;'Equipment Data'!$L$130,"yes","No")</f>
        <v>No</v>
      </c>
      <c r="K71" s="293">
        <v>0.67</v>
      </c>
      <c r="L71" s="293" t="s">
        <v>530</v>
      </c>
      <c r="M71" s="170">
        <f>+IF(AND(D71="Heat Exchanger",E71="Bayonet"),IF(F71&lt;'Equipment Data'!$L$130,10^('Equipment Data'!$C$130+'Equipment Data'!$D$130*LOG10(F71)+'Equipment Data'!$E$130*LOG10(F71)*LOG10(F71)),10^('Equipment Data'!$C$130+'Equipment Data'!$D$130*LOG10('Equipment Data'!$L$130)+'Equipment Data'!$E$130*LOG10('Equipment Data'!$L$130)*LOG10('Equipment Data'!$L$130))*(F71/'Equipment Data'!$L$130)^K71),"N/A")</f>
        <v>18914.723628330139</v>
      </c>
      <c r="N71" s="166">
        <f>+IF(L71="","Input: shell and tube / tube only",IF(L71="shell and tube",IF(G71-1&gt;5,10^('Equipment Data'!$F$130+'Equipment Data'!$G$130*LOG10(G71-1.01325)+'Equipment Data'!$H$130*LOG10(G71-1.01325)*LOG10(G71-1.01325)),1),IF(G71-1.01325&gt;5,10^('Equipment Data'!$F$131+'Equipment Data'!$G$131*LOG10(G71-1.01325)+'Equipment Data'!$H$131*LOG10(G71-1.01325)*LOG10(G71-1.01325)),1)))</f>
        <v>1</v>
      </c>
      <c r="O71" s="293">
        <f>+IF(I71="CS/CS",'Equipment Data'!$C$151,IF(I71="CS/Cu",'Equipment Data'!$D$151,IF(I71="Cu/Cu",'Equipment Data'!$E$151,IF(I71="CS/SS",'Equipment Data'!$F$151,IF(I71="SS/SS",'Equipment Data'!$G$151,IF(I71="CS/Ni",'Equipment Data'!$H$151,IF(I71="Ni/Ni",'Equipment Data'!$I$151,IF(I71="CS/Ti",'Equipment Data'!$J$151,IF(I71="Ti/Ti",'Equipment Data'!$K$151,"N/A")))))))))</f>
        <v>1</v>
      </c>
      <c r="P71" s="166">
        <f>+'Equipment Data'!$I$130+'Equipment Data'!$J$130*N71*O71</f>
        <v>3.29</v>
      </c>
      <c r="Q71" s="167">
        <f t="shared" si="7"/>
        <v>62229.440737206161</v>
      </c>
      <c r="R71" s="306"/>
      <c r="S71" s="311"/>
      <c r="T71" s="106"/>
      <c r="U71" s="105"/>
      <c r="V71" s="105"/>
      <c r="W71" s="83"/>
      <c r="X71" s="1"/>
      <c r="CI71" s="83"/>
      <c r="CJ71" s="83"/>
      <c r="CK71" s="83"/>
      <c r="CL71" s="83"/>
      <c r="CM71" s="83"/>
      <c r="CN71" s="83"/>
      <c r="CO71" s="83"/>
    </row>
    <row r="72" spans="1:93" x14ac:dyDescent="0.3">
      <c r="A72" s="83"/>
      <c r="B72" s="104"/>
      <c r="C72" s="301"/>
      <c r="D72" s="268" t="s">
        <v>252</v>
      </c>
      <c r="E72" s="268" t="s">
        <v>122</v>
      </c>
      <c r="F72" s="293">
        <v>1</v>
      </c>
      <c r="G72" s="293">
        <v>1</v>
      </c>
      <c r="H72" s="293" t="s">
        <v>352</v>
      </c>
      <c r="I72" s="293" t="s">
        <v>531</v>
      </c>
      <c r="J72" s="293" t="str">
        <f>+IF(F72&gt;'Equipment Data'!$L$132,"yes","No")</f>
        <v>No</v>
      </c>
      <c r="K72" s="293">
        <v>0.67</v>
      </c>
      <c r="L72" s="293" t="s">
        <v>530</v>
      </c>
      <c r="M72" s="170">
        <f>+IF(AND(D72="Heat Exchanger",E72="Kettle Reboiler"),IF(F72&lt;'Equipment Data'!$L$132,10^('Equipment Data'!$C$132+'Equipment Data'!$D$132*LOG10(F72)+'Equipment Data'!$E$132*LOG10(F72)*LOG10(F72)),10^('Equipment Data'!$C$132+'Equipment Data'!$D$132*LOG10('Equipment Data'!$L$132)+'Equipment Data'!$E$132*LOG10('Equipment Data'!$L$132)*LOG10('Equipment Data'!$L$132))*(F72/'Equipment Data'!$L$132)^K72),"N/A")</f>
        <v>29147.4120147248</v>
      </c>
      <c r="N72" s="166">
        <f>+IF(L72="","Input: shell and tube / tube only",IF(L72="shell and tube",IF(G72-1&gt;5,10^('Equipment Data'!$F$132+'Equipment Data'!$G$132*LOG10(G72-1.01325)+'Equipment Data'!$H$132*LOG10(G72-1.01325)*LOG10(G72-1.01325)),1),IF(G72-1.01325&gt;5,10^('Equipment Data'!$F$133+'Equipment Data'!$G$133*LOG10(G72-1.01325)+'Equipment Data'!$H$133*LOG10(G72-1.01325)*LOG10(G72-1.01325)),1)))</f>
        <v>1</v>
      </c>
      <c r="O72" s="293">
        <f>+IF(I72="CS/CS",'Equipment Data'!$C$152,IF(I72="CS/Cu",'Equipment Data'!$D$152,IF(I72="Cu/Cu",'Equipment Data'!$E$152,IF(I72="CS/SS",'Equipment Data'!$F$152,IF(I72="SS/SS",'Equipment Data'!$G$152,IF(I72="CS/Ni",'Equipment Data'!$H$152,IF(I72="Ni/Ni",'Equipment Data'!$I$152,IF(I72="CS/Ti",'Equipment Data'!$J$152,IF(I72="Ti/Ti",'Equipment Data'!$K$152,"N/A")))))))))</f>
        <v>1</v>
      </c>
      <c r="P72" s="166">
        <f>+'Equipment Data'!$I$132+'Equipment Data'!$J$132*N72*O72</f>
        <v>3.29</v>
      </c>
      <c r="Q72" s="167">
        <f t="shared" si="7"/>
        <v>95894.985528444595</v>
      </c>
      <c r="R72" s="306"/>
      <c r="S72" s="311"/>
      <c r="T72" s="106"/>
      <c r="U72" s="105"/>
      <c r="V72" s="105"/>
      <c r="W72" s="83"/>
      <c r="X72" s="1"/>
      <c r="CI72" s="83"/>
      <c r="CJ72" s="83"/>
      <c r="CK72" s="83"/>
      <c r="CL72" s="83"/>
      <c r="CM72" s="83"/>
      <c r="CN72" s="83"/>
      <c r="CO72" s="83"/>
    </row>
    <row r="73" spans="1:93" x14ac:dyDescent="0.3">
      <c r="A73" s="83"/>
      <c r="B73" s="104"/>
      <c r="C73" s="301"/>
      <c r="D73" s="268" t="s">
        <v>252</v>
      </c>
      <c r="E73" s="268" t="s">
        <v>123</v>
      </c>
      <c r="F73" s="293">
        <v>1</v>
      </c>
      <c r="G73" s="293">
        <v>1</v>
      </c>
      <c r="H73" s="293" t="s">
        <v>352</v>
      </c>
      <c r="I73" s="293" t="s">
        <v>531</v>
      </c>
      <c r="J73" s="293" t="str">
        <f>+IF(F73&gt;'Equipment Data'!$L$134,"yes","No")</f>
        <v>No</v>
      </c>
      <c r="K73" s="293">
        <v>0.67</v>
      </c>
      <c r="L73" s="293" t="s">
        <v>354</v>
      </c>
      <c r="M73" s="170">
        <f>+IF(AND(D73="Heat Exchanger",E73="Scraped Wall"),IF(F73&lt;'Equipment Data'!$L$134,10^('Equipment Data'!$C$134+'Equipment Data'!$D$134*LOG10(F73)+'Equipment Data'!$E$134*LOG10(F73)*LOG10(F73)),10^('Equipment Data'!$C$134+'Equipment Data'!$D$134*LOG10('Equipment Data'!$L$134)+'Equipment Data'!$E$134*LOG10('Equipment Data'!$L$134)*LOG10('Equipment Data'!$L$134))*(F73/'Equipment Data'!$L$134)^K73),"N/A")</f>
        <v>6029.7596328555628</v>
      </c>
      <c r="N73" s="166">
        <f>+IF((G73-1.01325)&gt;40,IF((G73-1.01325)&lt;100,10^('Equipment Data'!$F$134+'Equipment Data'!$G$134*LOG10(G73-1.01325)+'Equipment Data'!$H$134*LOG10(G73-1.01325)*LOG10(G73-1.01325)),IF((G73-1.01325)&gt;100,10^('Equipment Data'!$F$133+'Equipment Data'!$G$133*LOG10(G73-1.01325)+'Equipment Data'!$H$133*LOG10(G73-1.01325)*LOG10(G73-1.01325)))),1)</f>
        <v>1</v>
      </c>
      <c r="O73" s="293">
        <f>+IF(I73="CS/CS",'Equipment Data'!$C$153,IF(I73="CS/Cu",'Equipment Data'!$D$153,IF(I73="Cu/Cu",'Equipment Data'!$E$153,IF(I73="CS/SS",'Equipment Data'!$F$153,IF(I73="SS/SS",'Equipment Data'!$G$153,IF(I73="CS/Ni",'Equipment Data'!$H$153,IF(I73="Ni/Ni",'Equipment Data'!$I$153,IF(I73="CS/Ti",'Equipment Data'!$J$153,IF(I73="Ti/Ti",'Equipment Data'!$K$153,"N/A")))))))))</f>
        <v>1</v>
      </c>
      <c r="P73" s="166">
        <f>+'Equipment Data'!$I$134+'Equipment Data'!$J$134*N73*O73</f>
        <v>3.29</v>
      </c>
      <c r="Q73" s="167">
        <f t="shared" si="7"/>
        <v>19837.909192094801</v>
      </c>
      <c r="R73" s="306"/>
      <c r="S73" s="311"/>
      <c r="T73" s="106"/>
      <c r="U73" s="105"/>
      <c r="V73" s="105"/>
      <c r="W73" s="83"/>
      <c r="X73" s="1"/>
      <c r="CI73" s="83"/>
      <c r="CJ73" s="83"/>
      <c r="CK73" s="83"/>
      <c r="CL73" s="83"/>
      <c r="CM73" s="83"/>
      <c r="CN73" s="83"/>
      <c r="CO73" s="83"/>
    </row>
    <row r="74" spans="1:93" x14ac:dyDescent="0.3">
      <c r="A74" s="83"/>
      <c r="B74" s="104"/>
      <c r="C74" s="301"/>
      <c r="D74" s="268" t="s">
        <v>252</v>
      </c>
      <c r="E74" s="268" t="s">
        <v>124</v>
      </c>
      <c r="F74" s="293">
        <v>1</v>
      </c>
      <c r="G74" s="293">
        <v>1</v>
      </c>
      <c r="H74" s="293" t="s">
        <v>352</v>
      </c>
      <c r="I74" s="293" t="s">
        <v>85</v>
      </c>
      <c r="J74" s="293" t="str">
        <f>+IF(F74&gt;'Equipment Data'!$L$137,"yes","No")</f>
        <v>No</v>
      </c>
      <c r="K74" s="293">
        <v>0.67</v>
      </c>
      <c r="L74" s="293" t="s">
        <v>354</v>
      </c>
      <c r="M74" s="170">
        <f>+IF(AND(D74="Heat Exchanger",E74="Teflon Tube"),IF(F74&lt;'Equipment Data'!$L$137,10^('Equipment Data'!$C$137+'Equipment Data'!$D$137*LOG10(F74)+'Equipment Data'!$E$137*LOG10(F74)*LOG10(F74)),10^('Equipment Data'!$C$137+'Equipment Data'!$D$137*LOG10('Equipment Data'!$L$137)+'Equipment Data'!$E$137*LOG10('Equipment Data'!$L$137)*LOG10('Equipment Data'!$L$137))*(F74/'Equipment Data'!$L$137)^K74),"N/A")</f>
        <v>6400.2951210837118</v>
      </c>
      <c r="N74" s="166">
        <v>1</v>
      </c>
      <c r="O74" s="293">
        <f>+IF(I74="CS",'Equipment Data'!$C$158,IF(I74="Cu",'Equipment Data'!$D$158,IF(I74="SS",'Equipment Data'!$E$158,IF(I74="Ni",'Equipment Data'!$F$158,IF(I74="Ti",'Equipment Data'!$G$158,"N/A")))))</f>
        <v>1</v>
      </c>
      <c r="P74" s="166">
        <f>+'Equipment Data'!$I$137+'Equipment Data'!$J$137*N74*O74</f>
        <v>3.29</v>
      </c>
      <c r="Q74" s="167">
        <f t="shared" si="7"/>
        <v>21056.970948365411</v>
      </c>
      <c r="R74" s="306"/>
      <c r="S74" s="311"/>
      <c r="T74" s="106"/>
      <c r="U74" s="105"/>
      <c r="V74" s="105"/>
      <c r="W74" s="83"/>
      <c r="X74" s="1"/>
      <c r="CI74" s="83"/>
      <c r="CJ74" s="83"/>
      <c r="CK74" s="83"/>
      <c r="CL74" s="83"/>
      <c r="CM74" s="83"/>
      <c r="CN74" s="83"/>
      <c r="CO74" s="83"/>
    </row>
    <row r="75" spans="1:93" x14ac:dyDescent="0.3">
      <c r="A75" s="83"/>
      <c r="B75" s="104"/>
      <c r="C75" s="301"/>
      <c r="D75" s="268" t="s">
        <v>252</v>
      </c>
      <c r="E75" s="268" t="s">
        <v>125</v>
      </c>
      <c r="F75" s="293">
        <v>1</v>
      </c>
      <c r="G75" s="293">
        <v>1</v>
      </c>
      <c r="H75" s="293" t="s">
        <v>352</v>
      </c>
      <c r="I75" s="293" t="s">
        <v>85</v>
      </c>
      <c r="J75" s="293" t="str">
        <f>+IF(F75&gt;'Equipment Data'!$L$138,"yes","No")</f>
        <v>No</v>
      </c>
      <c r="K75" s="293">
        <v>0.67</v>
      </c>
      <c r="L75" s="293" t="s">
        <v>354</v>
      </c>
      <c r="M75" s="170">
        <f>+IF(AND(D75="Heat Exchanger",E75="Air Cooler"),IF(F75&lt;'Equipment Data'!$L$138,10^('Equipment Data'!$C$138+'Equipment Data'!$D$138*LOG10(F75)+'Equipment Data'!$E$138*LOG10(F75)*LOG10(F75)),10^('Equipment Data'!$C$138+'Equipment Data'!$D$138*LOG10('Equipment Data'!$L$138)+'Equipment Data'!$E$138*LOG10('Equipment Data'!$L$138)*LOG10('Equipment Data'!$L$138))*(F75/'Equipment Data'!$L$138)^K75),"N/A")</f>
        <v>10804.383723712315</v>
      </c>
      <c r="N75" s="166">
        <f>+IF(G75-1.01325&gt;10,10^('Equipment Data'!$F$138+'Equipment Data'!$G$138*LOG10(G75-1.01325)+'Equipment Data'!$H$138*LOG10(G75-1.01325)*LOG10(G75-1.01325)),1)</f>
        <v>1</v>
      </c>
      <c r="O75" s="293">
        <f>+IF(I75="CS",'Equipment Data'!$C$167,IF(I75="Al",'Equipment Data'!$D$167,IF(I75="SS",'Equipment Data'!$E$167,"N/A")))</f>
        <v>1</v>
      </c>
      <c r="P75" s="166">
        <f>+'Equipment Data'!$I$128+'Equipment Data'!$J$128*N75*O75</f>
        <v>3.29</v>
      </c>
      <c r="Q75" s="167">
        <f t="shared" si="7"/>
        <v>35546.422451013517</v>
      </c>
      <c r="R75" s="306"/>
      <c r="S75" s="311"/>
      <c r="T75" s="106"/>
      <c r="U75" s="105"/>
      <c r="V75" s="105"/>
      <c r="W75" s="83"/>
      <c r="X75" s="1"/>
      <c r="CI75" s="83"/>
      <c r="CJ75" s="83"/>
      <c r="CK75" s="83"/>
      <c r="CL75" s="83"/>
      <c r="CM75" s="83"/>
      <c r="CN75" s="83"/>
      <c r="CO75" s="83"/>
    </row>
    <row r="76" spans="1:93" x14ac:dyDescent="0.3">
      <c r="A76" s="83"/>
      <c r="B76" s="104"/>
      <c r="C76" s="301"/>
      <c r="D76" s="268" t="s">
        <v>252</v>
      </c>
      <c r="E76" s="268" t="s">
        <v>137</v>
      </c>
      <c r="F76" s="293">
        <v>1</v>
      </c>
      <c r="G76" s="293">
        <v>1</v>
      </c>
      <c r="H76" s="293" t="s">
        <v>352</v>
      </c>
      <c r="I76" s="293" t="s">
        <v>531</v>
      </c>
      <c r="J76" s="293" t="str">
        <f>+IF(F76&gt;'Equipment Data'!$L$139,"yes","No")</f>
        <v>No</v>
      </c>
      <c r="K76" s="293">
        <v>0.67</v>
      </c>
      <c r="L76" s="293" t="s">
        <v>530</v>
      </c>
      <c r="M76" s="170">
        <f>+IF(AND(D76="Heat Exchanger",E76="Spiral Tube"),IF(F76&lt;'Equipment Data'!$L$139,10^('Equipment Data'!$C$139+'Equipment Data'!$D$139*LOG10(F76)+'Equipment Data'!$E$139*LOG10(F76)*LOG10(F76)),10^('Equipment Data'!$C$139+'Equipment Data'!$D$139*LOG10('Equipment Data'!$L$139)+'Equipment Data'!$E$139*LOG10('Equipment Data'!$L$139)*LOG10('Equipment Data'!$L$139))*(F76/'Equipment Data'!$L$139)^K76),"N/A")</f>
        <v>9799.41161095596</v>
      </c>
      <c r="N76" s="166">
        <f>+IF(L76="","Input: shell and tube / tube only",IF(G76&gt;1,IF(L76="shell and tube",MAX(10^('Equipment Data'!$F$139+'Equipment Data'!$G$139*LOG10(G76-1.01325)+'Equipment Data'!$H$139*LOG10(G76-1.01325)*LOG10(G76-1.01325)),1),MAX(10^('Equipment Data'!$F$140+'Equipment Data'!$G$140*LOG10(G76-1.01325)+'Equipment Data'!$H$140*LOG10(G76-1.01325)*LOG10(G76-1.01325)),0.1)),1))</f>
        <v>1</v>
      </c>
      <c r="O76" s="293">
        <f>+IF(I76="CS/CS",'Equipment Data'!$C$154,IF(I76="CS/Cu",'Equipment Data'!$D$154,IF(I76="Cu/Cu",'Equipment Data'!$E$154,IF(I76="CS/SS",'Equipment Data'!$F$154,IF(I76="SS/SS",'Equipment Data'!$G$154,IF(I76="CS/Ni",'Equipment Data'!$H$154,IF(I76="Ni/Ni",'Equipment Data'!$I$154,IF(I76="CS/Ti",'Equipment Data'!$J$154,IF(I76="Ti/Ti",'Equipment Data'!$K$154,"N/A")))))))))</f>
        <v>1</v>
      </c>
      <c r="P76" s="166">
        <f>+'Equipment Data'!$I$139+'Equipment Data'!$J$139*N76*O76</f>
        <v>3.29</v>
      </c>
      <c r="Q76" s="167">
        <f t="shared" si="7"/>
        <v>32240.064200045108</v>
      </c>
      <c r="R76" s="306"/>
      <c r="S76" s="311"/>
      <c r="T76" s="106"/>
      <c r="U76" s="105"/>
      <c r="V76" s="105"/>
      <c r="W76" s="83"/>
      <c r="X76" s="1"/>
      <c r="CI76" s="83"/>
      <c r="CJ76" s="83"/>
      <c r="CK76" s="83"/>
      <c r="CL76" s="83"/>
      <c r="CM76" s="83"/>
      <c r="CN76" s="83"/>
      <c r="CO76" s="83"/>
    </row>
    <row r="77" spans="1:93" x14ac:dyDescent="0.3">
      <c r="A77" s="83"/>
      <c r="B77" s="104"/>
      <c r="C77" s="301"/>
      <c r="D77" s="268" t="s">
        <v>252</v>
      </c>
      <c r="E77" s="268" t="s">
        <v>128</v>
      </c>
      <c r="F77" s="293">
        <v>1</v>
      </c>
      <c r="G77" s="293">
        <v>1</v>
      </c>
      <c r="H77" s="293" t="s">
        <v>352</v>
      </c>
      <c r="I77" s="293" t="s">
        <v>85</v>
      </c>
      <c r="J77" s="293" t="str">
        <f>+IF(F77&gt;'Equipment Data'!$L$141,"yes","No")</f>
        <v>No</v>
      </c>
      <c r="K77" s="293">
        <v>0.67</v>
      </c>
      <c r="L77" s="293" t="s">
        <v>354</v>
      </c>
      <c r="M77" s="170">
        <f>+IF(AND(D77="Heat Exchanger",E77="Spiral Plate"),IF(F77&lt;'Equipment Data'!$L$141,10^('Equipment Data'!$C$141+'Equipment Data'!$D$141*LOG10(F77)+'Equipment Data'!E141*LOG10(F77)*LOG10(F77)),10^('Equipment Data'!$C$141+'Equipment Data'!$D$141*LOG10('Equipment Data'!$L$141)+'Equipment Data'!$E$141*LOG10('Equipment Data'!$L$141)*LOG10('Equipment Data'!$L$141))*(F77/'Equipment Data'!$L$141)^K77),"N/A")</f>
        <v>45300.187543224143</v>
      </c>
      <c r="N77" s="166">
        <v>1</v>
      </c>
      <c r="O77" s="293">
        <f>+IF(I77="CS",'Equipment Data'!$C$162,IF(I77="Cu",'Equipment Data'!$D$162,IF(I77="SS",'Equipment Data'!$E$162,IF(I77="Ni",'Equipment Data'!$F$162,IF(I77="Ti",'Equipment Data'!$G$162,"N/A")))))</f>
        <v>1</v>
      </c>
      <c r="P77" s="166">
        <f>+'Equipment Data'!$I$141+'Equipment Data'!$J$141*N77*O77</f>
        <v>2.17</v>
      </c>
      <c r="Q77" s="167">
        <f t="shared" si="7"/>
        <v>98301.406968796393</v>
      </c>
      <c r="R77" s="306"/>
      <c r="S77" s="311"/>
      <c r="T77" s="106"/>
      <c r="U77" s="105"/>
      <c r="V77" s="105"/>
      <c r="W77" s="83"/>
      <c r="X77" s="1"/>
      <c r="CI77" s="83"/>
      <c r="CJ77" s="83"/>
      <c r="CK77" s="83"/>
      <c r="CL77" s="83"/>
      <c r="CM77" s="83"/>
      <c r="CN77" s="83"/>
      <c r="CO77" s="83"/>
    </row>
    <row r="78" spans="1:93" x14ac:dyDescent="0.3">
      <c r="A78" s="83"/>
      <c r="B78" s="104"/>
      <c r="C78" s="301"/>
      <c r="D78" s="268" t="s">
        <v>252</v>
      </c>
      <c r="E78" s="268" t="s">
        <v>129</v>
      </c>
      <c r="F78" s="293">
        <v>1</v>
      </c>
      <c r="G78" s="293">
        <v>1</v>
      </c>
      <c r="H78" s="293" t="s">
        <v>352</v>
      </c>
      <c r="I78" s="293" t="s">
        <v>85</v>
      </c>
      <c r="J78" s="293" t="str">
        <f>+IF(F78&gt;'Equipment Data'!$L$142,"yes","No")</f>
        <v>No</v>
      </c>
      <c r="K78" s="293">
        <v>0.67</v>
      </c>
      <c r="L78" s="293" t="s">
        <v>354</v>
      </c>
      <c r="M78" s="170">
        <f>+IF(AND(D78="Heat Exchanger",E78="Flat Plate"),IF(F78&lt;'Equipment Data'!$L$142,10^('Equipment Data'!$C$142+'Equipment Data'!$D$142*LOG10(F78)+'Equipment Data'!$E$142*LOG10(F78)*LOG10(F78)),10^('Equipment Data'!$C$142+'Equipment Data'!$D$142*LOG10('Equipment Data'!$L$142)+'Equipment Data'!$E$142*LOG10('Equipment Data'!$L$142)*LOG10('Equipment Data'!$L$142))*(F78/'Equipment Data'!$L$142)^K78),"N/A")</f>
        <v>46302.026586030937</v>
      </c>
      <c r="N78" s="166">
        <v>1</v>
      </c>
      <c r="O78" s="293">
        <f>+IF(I78="CS",'Equipment Data'!$C$163,IF(I78="Cu",'Equipment Data'!$D$163,IF(I78="SS",'Equipment Data'!$E$163,IF(I78="Ni",'Equipment Data'!$F$163,IF(I78="Ti",'Equipment Data'!$G$163,"N/A")))))</f>
        <v>1</v>
      </c>
      <c r="P78" s="166">
        <f>+'Equipment Data'!$I$142+'Equipment Data'!$J$142*N78*O78</f>
        <v>2.17</v>
      </c>
      <c r="Q78" s="167">
        <f t="shared" si="7"/>
        <v>100475.39769168713</v>
      </c>
      <c r="R78" s="306"/>
      <c r="S78" s="311"/>
      <c r="T78" s="106"/>
      <c r="U78" s="105"/>
      <c r="V78" s="105"/>
      <c r="W78" s="83"/>
      <c r="X78" s="1"/>
      <c r="CI78" s="83"/>
      <c r="CJ78" s="83"/>
      <c r="CK78" s="83"/>
      <c r="CL78" s="83"/>
      <c r="CM78" s="83"/>
      <c r="CN78" s="83"/>
      <c r="CO78" s="83"/>
    </row>
    <row r="79" spans="1:93" x14ac:dyDescent="0.3">
      <c r="A79" s="83"/>
      <c r="B79" s="104"/>
      <c r="C79" s="218"/>
      <c r="D79" s="268" t="s">
        <v>526</v>
      </c>
      <c r="E79" s="268" t="s">
        <v>146</v>
      </c>
      <c r="F79" s="293">
        <v>1</v>
      </c>
      <c r="G79" s="293" t="s">
        <v>354</v>
      </c>
      <c r="H79" s="293" t="s">
        <v>474</v>
      </c>
      <c r="I79" s="293" t="s">
        <v>354</v>
      </c>
      <c r="J79" s="293" t="str">
        <f>+IF(F79&gt;'Equipment Data'!$G$172,"yes","No")</f>
        <v>No</v>
      </c>
      <c r="K79" s="293">
        <v>0.67</v>
      </c>
      <c r="L79" s="293" t="s">
        <v>354</v>
      </c>
      <c r="M79" s="170">
        <f>+IF(AND(D79="Mixer",E79="Impeller"),IF(F79&lt;'Equipment Data'!$G$172,10^('Equipment Data'!$C$172+'Equipment Data'!$D$172*LOG10(F79)+'Equipment Data'!$E$172*LOG10(F79)*LOG10(F79)),10^('Equipment Data'!$C$172+'Equipment Data'!$D$172*LOG10('Equipment Data'!$G$172)+'Equipment Data'!$E$172*LOG10('Equipment Data'!$G$172)*LOG10('Equipment Data'!$G$172))*(F79/'Equipment Data'!$G$172)^K79),"N/A")</f>
        <v>7097.4117309446192</v>
      </c>
      <c r="N79" s="293" t="s">
        <v>354</v>
      </c>
      <c r="O79" s="293" t="s">
        <v>354</v>
      </c>
      <c r="P79" s="293">
        <f>+'Equipment Data'!$H$172</f>
        <v>1.38</v>
      </c>
      <c r="Q79" s="167">
        <f>+M79*P79</f>
        <v>9794.4281887035741</v>
      </c>
      <c r="R79" s="297"/>
      <c r="S79" s="223"/>
      <c r="T79" s="106"/>
      <c r="U79" s="105"/>
      <c r="V79" s="105"/>
      <c r="W79" s="83"/>
      <c r="X79" s="1"/>
      <c r="CI79" s="83"/>
      <c r="CJ79" s="83"/>
      <c r="CK79" s="83"/>
      <c r="CL79" s="83"/>
      <c r="CM79" s="83"/>
      <c r="CN79" s="83"/>
      <c r="CO79" s="83"/>
    </row>
    <row r="80" spans="1:93" x14ac:dyDescent="0.3">
      <c r="A80" s="83"/>
      <c r="B80" s="104"/>
      <c r="C80" s="216"/>
      <c r="D80" s="268" t="s">
        <v>526</v>
      </c>
      <c r="E80" s="268" t="s">
        <v>147</v>
      </c>
      <c r="F80" s="293">
        <v>1</v>
      </c>
      <c r="G80" s="293" t="s">
        <v>354</v>
      </c>
      <c r="H80" s="293" t="s">
        <v>474</v>
      </c>
      <c r="I80" s="293" t="s">
        <v>354</v>
      </c>
      <c r="J80" s="293" t="str">
        <f>+IF(F80&gt;'Equipment Data'!$G$173,"yes","No")</f>
        <v>No</v>
      </c>
      <c r="K80" s="293">
        <v>0.67</v>
      </c>
      <c r="L80" s="293" t="s">
        <v>354</v>
      </c>
      <c r="M80" s="170">
        <f>+IF(AND(D80="Mixer",E80="Propeller"),IF(F80&lt;'Equipment Data'!$G$173,10^('Equipment Data'!$C$173+'Equipment Data'!$D$173*LOG10(F80)+'Equipment Data'!$E$173*LOG10(F80)*LOG10(F80)),10^('Equipment Data'!$C$173+'Equipment Data'!$D$173*LOG10('Equipment Data'!$G$173)+'Equipment Data'!$E$173*LOG10('Equipment Data'!$G$173)*LOG10('Equipment Data'!$G$173))*(F80/'Equipment Data'!$G$173)^K80),"N/A")</f>
        <v>20926.663937233941</v>
      </c>
      <c r="N80" s="293" t="s">
        <v>354</v>
      </c>
      <c r="O80" s="293" t="s">
        <v>354</v>
      </c>
      <c r="P80" s="293">
        <f>+'Equipment Data'!$H$173</f>
        <v>1.38</v>
      </c>
      <c r="Q80" s="167">
        <f>+P80*M80</f>
        <v>28878.796233382836</v>
      </c>
      <c r="R80" s="294"/>
      <c r="S80" s="217"/>
      <c r="T80" s="106"/>
      <c r="U80" s="105"/>
      <c r="V80" s="105"/>
      <c r="W80" s="83"/>
      <c r="X80" s="1"/>
      <c r="CI80" s="83"/>
      <c r="CJ80" s="83"/>
      <c r="CK80" s="83"/>
      <c r="CL80" s="83"/>
      <c r="CM80" s="83"/>
      <c r="CN80" s="83"/>
      <c r="CO80" s="83"/>
    </row>
    <row r="81" spans="1:93" x14ac:dyDescent="0.3">
      <c r="A81" s="83"/>
      <c r="B81" s="104"/>
      <c r="C81" s="216"/>
      <c r="D81" s="268" t="s">
        <v>526</v>
      </c>
      <c r="E81" s="268" t="s">
        <v>148</v>
      </c>
      <c r="F81" s="293">
        <v>1</v>
      </c>
      <c r="G81" s="293" t="s">
        <v>354</v>
      </c>
      <c r="H81" s="293" t="s">
        <v>474</v>
      </c>
      <c r="I81" s="293" t="s">
        <v>354</v>
      </c>
      <c r="J81" s="293" t="str">
        <f>+IF(F81&gt;'Equipment Data'!$G$174,"yes","No")</f>
        <v>No</v>
      </c>
      <c r="K81" s="293">
        <v>0.67</v>
      </c>
      <c r="L81" s="293" t="s">
        <v>354</v>
      </c>
      <c r="M81" s="170">
        <f>+IF(AND(D81="Mixer",E81="Turbine"),IF(F81&lt;'Equipment Data'!$G$174,10^('Equipment Data'!$C$174+'Equipment Data'!$D$174*LOG10(F81)+'Equipment Data'!$E$174*LOG10(F81)*LOG10(F81)),10^('Equipment Data'!$C$174+'Equipment Data'!$D$174*LOG10('Equipment Data'!$G$174)+'Equipment Data'!$E$174*LOG10('Equipment Data'!$G$174)*LOG10('Equipment Data'!$G$174))*(F81/'Equipment Data'!$G$174)^K81),"N/A")</f>
        <v>2565.6652970348696</v>
      </c>
      <c r="N81" s="293" t="s">
        <v>354</v>
      </c>
      <c r="O81" s="293" t="s">
        <v>354</v>
      </c>
      <c r="P81" s="293">
        <f>+'Equipment Data'!$H$174</f>
        <v>1.38</v>
      </c>
      <c r="Q81" s="167">
        <f>+P81*M81</f>
        <v>3540.6181099081195</v>
      </c>
      <c r="R81" s="294"/>
      <c r="S81" s="217"/>
      <c r="T81" s="106"/>
      <c r="U81" s="105"/>
      <c r="V81" s="105"/>
      <c r="W81" s="83"/>
      <c r="X81" s="1"/>
      <c r="CI81" s="83"/>
      <c r="CJ81" s="83"/>
      <c r="CK81" s="83"/>
      <c r="CL81" s="83"/>
      <c r="CM81" s="83"/>
      <c r="CN81" s="83"/>
      <c r="CO81" s="83"/>
    </row>
    <row r="82" spans="1:93" x14ac:dyDescent="0.3">
      <c r="A82" s="83"/>
      <c r="B82" s="104"/>
      <c r="C82" s="300"/>
      <c r="D82" s="268" t="s">
        <v>269</v>
      </c>
      <c r="E82" s="268" t="s">
        <v>156</v>
      </c>
      <c r="F82" s="293">
        <v>1</v>
      </c>
      <c r="G82" s="293">
        <v>1</v>
      </c>
      <c r="H82" s="293" t="s">
        <v>474</v>
      </c>
      <c r="I82" s="293" t="s">
        <v>85</v>
      </c>
      <c r="J82" s="293" t="str">
        <f>+IF(F82&gt;'Equipment Data'!$S$179,"yes","No")</f>
        <v>No</v>
      </c>
      <c r="K82" s="293">
        <v>0.67</v>
      </c>
      <c r="L82" s="293" t="s">
        <v>354</v>
      </c>
      <c r="M82" s="170">
        <f>+IF(AND(D82="Pump",E82="Centrifugal pump"),IF(F82&lt;'Equipment Data'!$S$179,10^('Equipment Data'!$C$179+'Equipment Data'!$D$179*LOG10(F82)+'Equipment Data'!$E$179*LOG10(F82)*LOG10(F82)),10^('Equipment Data'!$C$179+'Equipment Data'!$D$179*LOG10('Equipment Data'!$S$179)+'Equipment Data'!$E$179*LOG10('Equipment Data'!$S$179)*LOG10('Equipment Data'!$S$179))*(F82/'Equipment Data'!$S$179)^K82),"N/A")</f>
        <v>2450.1913368807864</v>
      </c>
      <c r="N82" s="296">
        <f>+IF(G82-1.01325&gt;10,10^('Equipment Data'!$F$179+'Equipment Data'!$G$179*LOG10(G82-1.01325)+'Equipment Data'!$H$179*LOG10(G82-1.01325)*LOG10(G82-1.01325)),1)</f>
        <v>1</v>
      </c>
      <c r="O82" s="293">
        <f>+IF(I82="Cl",'Equipment Data'!$K$179,IF(I82="CS",'Equipment Data'!$L$179,IF(I82="Cu",'Equipment Data'!$M$179,IF(I82="SS",'Equipment Data'!$N$179,IF(I82="Ni",'Equipment Data'!$O$179,IF(I82="Ti",'Equipment Data'!$P$179,"N/A"))))))</f>
        <v>1.55</v>
      </c>
      <c r="P82" s="293">
        <f>+'Equipment Data'!$I$179+'Equipment Data'!$J$179*O82*N82</f>
        <v>3.9824999999999999</v>
      </c>
      <c r="Q82" s="167">
        <f>+P82*M82</f>
        <v>9757.8869991277315</v>
      </c>
      <c r="R82" s="304"/>
      <c r="S82" s="305"/>
      <c r="T82" s="106"/>
      <c r="U82" s="105"/>
      <c r="V82" s="105"/>
      <c r="W82" s="83"/>
      <c r="X82" s="1"/>
      <c r="CI82" s="83"/>
      <c r="CJ82" s="83"/>
      <c r="CK82" s="83"/>
      <c r="CL82" s="83"/>
      <c r="CM82" s="83"/>
      <c r="CN82" s="83"/>
      <c r="CO82" s="83"/>
    </row>
    <row r="83" spans="1:93" x14ac:dyDescent="0.3">
      <c r="A83" s="83"/>
      <c r="B83" s="104"/>
      <c r="C83" s="301"/>
      <c r="D83" s="268" t="s">
        <v>269</v>
      </c>
      <c r="E83" s="268" t="s">
        <v>158</v>
      </c>
      <c r="F83" s="293">
        <v>1</v>
      </c>
      <c r="G83" s="293">
        <v>1</v>
      </c>
      <c r="H83" s="293" t="s">
        <v>474</v>
      </c>
      <c r="I83" s="293" t="s">
        <v>85</v>
      </c>
      <c r="J83" s="293" t="str">
        <f>+IF(F83&gt;'Equipment Data'!$S$180,"yes","No")</f>
        <v>No</v>
      </c>
      <c r="K83" s="293">
        <v>0.67</v>
      </c>
      <c r="L83" s="293" t="s">
        <v>354</v>
      </c>
      <c r="M83" s="170">
        <f>+IF(AND(D83="Pump",E83="Positive Displacement"),IF(F83&lt;'Equipment Data'!$S$180,10^('Equipment Data'!$C$180+'Equipment Data'!$D$180*LOG10(F83)+'Equipment Data'!$E$180*LOG10(F83)*LOG10(F83)),10^('Equipment Data'!$C$180+'Equipment Data'!$D$180*LOG10('Equipment Data'!$S$180)+'Equipment Data'!$E$180*LOG10('Equipment Data'!$S$180)*LOG10('Equipment Data'!$S$180))*(F83/'Equipment Data'!$S$180)^K83),"N/A")</f>
        <v>2999.8531811907937</v>
      </c>
      <c r="N83" s="293">
        <f>+IF(G83-1.01325&gt;10,10^('Equipment Data'!$F$180+'Equipment Data'!$G$180*LOG10(G83-1.01325)+'Equipment Data'!$H$180*LOG10(G83-1.01325)*LOG10(G83-1.01325)),1)</f>
        <v>1</v>
      </c>
      <c r="O83" s="293">
        <f>+IF(I83="Cl",'Equipment Data'!$K$180,IF(I83="CS",'Equipment Data'!$L$180,IF(I83="Cu",'Equipment Data'!$M$180,IF(I83="SS",'Equipment Data'!$N$180,IF(I83="Ni",'Equipment Data'!$O$180,IF(I83="Ti",'Equipment Data'!$P$180,"N/A"))))))</f>
        <v>1.41</v>
      </c>
      <c r="P83" s="293">
        <f>+'Equipment Data'!$I$180+'Equipment Data'!$J$180*O83*N83</f>
        <v>3.7934999999999999</v>
      </c>
      <c r="Q83" s="167">
        <f>+M83*P83</f>
        <v>11379.943042847275</v>
      </c>
      <c r="R83" s="306"/>
      <c r="S83" s="307"/>
      <c r="T83" s="106"/>
      <c r="U83" s="105"/>
      <c r="V83" s="105"/>
      <c r="W83" s="83"/>
      <c r="X83" s="1"/>
      <c r="CI83" s="83"/>
      <c r="CJ83" s="83"/>
      <c r="CK83" s="83"/>
      <c r="CL83" s="83"/>
      <c r="CM83" s="83"/>
      <c r="CN83" s="83"/>
      <c r="CO83" s="83"/>
    </row>
    <row r="84" spans="1:93" x14ac:dyDescent="0.3">
      <c r="A84" s="83"/>
      <c r="B84" s="104"/>
      <c r="C84" s="301"/>
      <c r="D84" s="268" t="s">
        <v>269</v>
      </c>
      <c r="E84" s="268" t="s">
        <v>159</v>
      </c>
      <c r="F84" s="293">
        <v>1</v>
      </c>
      <c r="G84" s="293">
        <v>1</v>
      </c>
      <c r="H84" s="293" t="s">
        <v>474</v>
      </c>
      <c r="I84" s="293" t="s">
        <v>85</v>
      </c>
      <c r="J84" s="293" t="str">
        <f>+IF(F84&gt;'Equipment Data'!$S$181,"yes","No")</f>
        <v>No</v>
      </c>
      <c r="K84" s="293">
        <v>0.67</v>
      </c>
      <c r="L84" s="293" t="s">
        <v>354</v>
      </c>
      <c r="M84" s="170">
        <f>+IF(AND(D84="Pump",E84="Reciprocating pump"),IF(F84&lt;'Equipment Data'!$S$181,10^('Equipment Data'!$C$181+'Equipment Data'!$D$181*LOG10(F84)+'Equipment Data'!$E$181*LOG10(F84)*LOG10(F84)),10^('Equipment Data'!$C$181+'Equipment Data'!$D$181*LOG10('Equipment Data'!$S$181)+'Equipment Data'!$E$181*LOG10('Equipment Data'!$S$181)*LOG10('Equipment Data'!$S$181))*(F84/'Equipment Data'!$S$181)^K84),"N/A")</f>
        <v>7406.2778366815619</v>
      </c>
      <c r="N84" s="293">
        <f>+IF(G84-1.01325&gt;10,10^('Equipment Data'!$F$181+'Equipment Data'!$G$181*LOG10(G84-1.01325)+'Equipment Data'!$H$181*LOG10(G84-1.01325)*LOG10(G84-1.01325)),1)</f>
        <v>1</v>
      </c>
      <c r="O84" s="293">
        <f>+IF(I84="Cl",'Equipment Data'!$K$181,IF(I84="CS",'Equipment Data'!$L$181,IF(I84="Cu",'Equipment Data'!$M$181,IF(I84="SS",'Equipment Data'!$N$181,IF(I84="Ni",'Equipment Data'!$O$181,IF(I84="Ti",'Equipment Data'!$P$181,"N/A"))))))</f>
        <v>1.46</v>
      </c>
      <c r="P84" s="293">
        <f>+'Equipment Data'!$I$181+'Equipment Data'!$J$181*O84*N84</f>
        <v>3.8609999999999998</v>
      </c>
      <c r="Q84" s="167">
        <f>+M84*P84</f>
        <v>28595.638727427508</v>
      </c>
      <c r="R84" s="306"/>
      <c r="S84" s="307"/>
      <c r="T84" s="106"/>
      <c r="U84" s="105"/>
      <c r="V84" s="105"/>
      <c r="W84" s="83"/>
      <c r="X84" s="1"/>
      <c r="CI84" s="83"/>
      <c r="CJ84" s="83"/>
      <c r="CK84" s="83"/>
      <c r="CL84" s="83"/>
      <c r="CM84" s="83"/>
      <c r="CN84" s="83"/>
      <c r="CO84" s="83"/>
    </row>
    <row r="85" spans="1:93" x14ac:dyDescent="0.3">
      <c r="A85" s="83"/>
      <c r="B85" s="104"/>
      <c r="C85" s="218"/>
      <c r="D85" s="268" t="s">
        <v>527</v>
      </c>
      <c r="E85" s="268" t="s">
        <v>161</v>
      </c>
      <c r="F85" s="293">
        <v>1</v>
      </c>
      <c r="G85" s="293" t="s">
        <v>354</v>
      </c>
      <c r="H85" s="293" t="s">
        <v>472</v>
      </c>
      <c r="I85" s="293" t="s">
        <v>354</v>
      </c>
      <c r="J85" s="293" t="str">
        <f>+IF(F85&gt;'Equipment Data'!$G$186,"yes","No")</f>
        <v>No</v>
      </c>
      <c r="K85" s="293">
        <v>0.67</v>
      </c>
      <c r="L85" s="293" t="s">
        <v>354</v>
      </c>
      <c r="M85" s="170">
        <f>+IF(AND(D85="Reactor",E85="Autoclave"),IF(F85&lt;'Equipment Data'!$G$186,10^('Equipment Data'!$C$186+'Equipment Data'!$D$186*LOG10(F85)+'Equipment Data'!$E$186*LOG10(F85)*LOG10(F85)),10^('Equipment Data'!$C$186+'Equipment Data'!$D$186*LOG10('Equipment Data'!$G$186)+'Equipment Data'!$E$186*LOG10('Equipment Data'!$G$186)*LOG10('Equipment Data'!$G$186))*(F85/'Equipment Data'!$G$186)^K85),"N/A")</f>
        <v>36199.285622423973</v>
      </c>
      <c r="N85" s="293" t="s">
        <v>354</v>
      </c>
      <c r="O85" s="293" t="s">
        <v>354</v>
      </c>
      <c r="P85" s="296">
        <f>+'Equipment Data'!$H$186</f>
        <v>4</v>
      </c>
      <c r="Q85" s="167">
        <f t="shared" ref="Q85:Q96" si="8">+M85*P85</f>
        <v>144797.14248969589</v>
      </c>
      <c r="R85" s="297"/>
      <c r="S85" s="223"/>
      <c r="T85" s="106"/>
      <c r="U85" s="105"/>
      <c r="V85" s="105"/>
      <c r="W85" s="83"/>
      <c r="X85" s="1"/>
      <c r="CI85" s="83"/>
      <c r="CJ85" s="83"/>
      <c r="CK85" s="83"/>
      <c r="CL85" s="83"/>
      <c r="CM85" s="83"/>
      <c r="CN85" s="83"/>
      <c r="CO85" s="83"/>
    </row>
    <row r="86" spans="1:93" x14ac:dyDescent="0.3">
      <c r="A86" s="83"/>
      <c r="B86" s="104"/>
      <c r="C86" s="216"/>
      <c r="D86" s="268" t="s">
        <v>527</v>
      </c>
      <c r="E86" s="268" t="s">
        <v>162</v>
      </c>
      <c r="F86" s="293">
        <v>1</v>
      </c>
      <c r="G86" s="293" t="s">
        <v>354</v>
      </c>
      <c r="H86" s="293" t="s">
        <v>472</v>
      </c>
      <c r="I86" s="293" t="s">
        <v>354</v>
      </c>
      <c r="J86" s="293" t="str">
        <f>+IF(F86&gt;'Equipment Data'!$G$187,"yes","No")</f>
        <v>No</v>
      </c>
      <c r="K86" s="293">
        <v>0.67</v>
      </c>
      <c r="L86" s="293" t="s">
        <v>354</v>
      </c>
      <c r="M86" s="170">
        <f>+IF(AND(D86="Reactor",E86="Fermenter"),IF(F86&lt;'Equipment Data'!$G$187,10^('Equipment Data'!$C$187+'Equipment Data'!$D$187*LOG10(F86)+'Equipment Data'!E187*LOG10(F86)*LOG10(F86)),10^('Equipment Data'!$C$187+'Equipment Data'!$D$187*LOG10('Equipment Data'!$G$187)+'Equipment Data'!$E$187*LOG10('Equipment Data'!$G$187)*LOG10('Equipment Data'!$G$187))*(F86/'Equipment Data'!$G$187)^K86),"N/A")</f>
        <v>12740.896859191113</v>
      </c>
      <c r="N86" s="293" t="s">
        <v>354</v>
      </c>
      <c r="O86" s="293" t="s">
        <v>354</v>
      </c>
      <c r="P86" s="296">
        <f>+'Equipment Data'!$H$187</f>
        <v>4</v>
      </c>
      <c r="Q86" s="167">
        <f t="shared" si="8"/>
        <v>50963.58743676445</v>
      </c>
      <c r="R86" s="294"/>
      <c r="S86" s="217"/>
      <c r="T86" s="106"/>
      <c r="U86" s="105"/>
      <c r="V86" s="105"/>
      <c r="W86" s="83"/>
      <c r="X86" s="1"/>
      <c r="CI86" s="83"/>
      <c r="CJ86" s="83"/>
      <c r="CK86" s="83"/>
      <c r="CL86" s="83"/>
      <c r="CM86" s="83"/>
      <c r="CN86" s="83"/>
      <c r="CO86" s="83"/>
    </row>
    <row r="87" spans="1:93" x14ac:dyDescent="0.3">
      <c r="A87" s="83"/>
      <c r="B87" s="104"/>
      <c r="C87" s="216"/>
      <c r="D87" s="268" t="s">
        <v>527</v>
      </c>
      <c r="E87" s="268" t="s">
        <v>163</v>
      </c>
      <c r="F87" s="293">
        <v>1</v>
      </c>
      <c r="G87" s="293" t="s">
        <v>354</v>
      </c>
      <c r="H87" s="293" t="s">
        <v>472</v>
      </c>
      <c r="I87" s="293" t="s">
        <v>354</v>
      </c>
      <c r="J87" s="293" t="str">
        <f>+IF(F87&gt;'Equipment Data'!$G$188,"yes","No")</f>
        <v>No</v>
      </c>
      <c r="K87" s="293">
        <v>0.67</v>
      </c>
      <c r="L87" s="293" t="s">
        <v>354</v>
      </c>
      <c r="M87" s="170">
        <f>+IF(AND(D87="Reactor",E87="Inoculum Tank"),IF(F87&lt;'Equipment Data'!$G$188,10^('Equipment Data'!$C$188+'Equipment Data'!$D$188*LOG10(F87)+'Equipment Data'!$E$188*LOG10(F87)*LOG10(F87)),10^('Equipment Data'!$C$188+'Equipment Data'!$D$188*LOG10('Equipment Data'!$G$188)+'Equipment Data'!$E$188*LOG10('Equipment Data'!$G$188)*LOG10('Equipment Data'!$G$188))*(F87/'Equipment Data'!$G$188)^K87),"N/A")</f>
        <v>6247.4098790155467</v>
      </c>
      <c r="N87" s="293" t="s">
        <v>354</v>
      </c>
      <c r="O87" s="293" t="s">
        <v>354</v>
      </c>
      <c r="P87" s="296">
        <f>+'Equipment Data'!$H$188</f>
        <v>4</v>
      </c>
      <c r="Q87" s="167">
        <f t="shared" si="8"/>
        <v>24989.639516062187</v>
      </c>
      <c r="R87" s="294"/>
      <c r="S87" s="217"/>
      <c r="T87" s="106"/>
      <c r="U87" s="105"/>
      <c r="V87" s="105"/>
      <c r="W87" s="83"/>
      <c r="X87" s="1"/>
      <c r="CI87" s="83"/>
      <c r="CJ87" s="83"/>
      <c r="CK87" s="83"/>
      <c r="CL87" s="83"/>
      <c r="CM87" s="83"/>
      <c r="CN87" s="83"/>
      <c r="CO87" s="83"/>
    </row>
    <row r="88" spans="1:93" x14ac:dyDescent="0.3">
      <c r="A88" s="83"/>
      <c r="B88" s="104"/>
      <c r="C88" s="216"/>
      <c r="D88" s="268" t="s">
        <v>527</v>
      </c>
      <c r="E88" s="268" t="s">
        <v>164</v>
      </c>
      <c r="F88" s="293">
        <v>1</v>
      </c>
      <c r="G88" s="293" t="s">
        <v>354</v>
      </c>
      <c r="H88" s="293" t="s">
        <v>472</v>
      </c>
      <c r="I88" s="293" t="s">
        <v>354</v>
      </c>
      <c r="J88" s="293" t="str">
        <f>+IF(F88&gt;'Equipment Data'!$G$189,"yes","No")</f>
        <v>No</v>
      </c>
      <c r="K88" s="293">
        <v>0.67</v>
      </c>
      <c r="L88" s="293" t="s">
        <v>354</v>
      </c>
      <c r="M88" s="170">
        <f>+IF(AND(D88="Reactor",E88="Jacketed Agitated"),IF(F88&lt;'Equipment Data'!$G$189,10^('Equipment Data'!$C$189+'Equipment Data'!$D$189*LOG10(F88)+'Equipment Data'!$E$189*LOG10(F88)*LOG10(F88)),10^('Equipment Data'!$C$189+'Equipment Data'!$D$189*LOG10('Equipment Data'!$G$189)+'Equipment Data'!$E$189*LOG10('Equipment Data'!$G$189)*LOG10('Equipment Data'!$G$189))*(F88/'Equipment Data'!$G$189)^K88),"N/A")</f>
        <v>12740.896859191113</v>
      </c>
      <c r="N88" s="293" t="s">
        <v>354</v>
      </c>
      <c r="O88" s="293" t="s">
        <v>354</v>
      </c>
      <c r="P88" s="296">
        <f>+'Equipment Data'!$H$189</f>
        <v>4</v>
      </c>
      <c r="Q88" s="167">
        <f t="shared" si="8"/>
        <v>50963.58743676445</v>
      </c>
      <c r="R88" s="294"/>
      <c r="S88" s="217"/>
      <c r="T88" s="106"/>
      <c r="U88" s="105"/>
      <c r="V88" s="105"/>
      <c r="W88" s="83"/>
      <c r="X88" s="1"/>
      <c r="CI88" s="83"/>
      <c r="CJ88" s="83"/>
      <c r="CK88" s="83"/>
      <c r="CL88" s="83"/>
      <c r="CM88" s="83"/>
      <c r="CN88" s="83"/>
      <c r="CO88" s="83"/>
    </row>
    <row r="89" spans="1:93" x14ac:dyDescent="0.3">
      <c r="A89" s="83"/>
      <c r="B89" s="104"/>
      <c r="C89" s="216"/>
      <c r="D89" s="268" t="s">
        <v>527</v>
      </c>
      <c r="E89" s="268" t="s">
        <v>165</v>
      </c>
      <c r="F89" s="293">
        <v>1</v>
      </c>
      <c r="G89" s="293" t="s">
        <v>354</v>
      </c>
      <c r="H89" s="293" t="s">
        <v>472</v>
      </c>
      <c r="I89" s="293" t="s">
        <v>354</v>
      </c>
      <c r="J89" s="293" t="str">
        <f>+IF(F89&gt;'Equipment Data'!$G$190,"yes","No")</f>
        <v>No</v>
      </c>
      <c r="K89" s="293">
        <v>0.67</v>
      </c>
      <c r="L89" s="293" t="s">
        <v>354</v>
      </c>
      <c r="M89" s="170">
        <f>+IF(AND(D89="Reactor",E89="Jacketed Non-Agitated"),IF(F89&lt;'Equipment Data'!$G$190,10^('Equipment Data'!$C$190+'Equipment Data'!$D$190*LOG10(F89)+'Equipment Data'!$E$190*LOG10(F89)*LOG10(F89)),10^('Equipment Data'!$C$190+'Equipment Data'!$D$190*LOG10('Equipment Data'!$G$190)+'Equipment Data'!E190*LOG10('Equipment Data'!$G$190)*LOG10('Equipment Data'!$G$190))*(F89/'Equipment Data'!$G$190)^K89),"N/A")</f>
        <v>2236.6601494661795</v>
      </c>
      <c r="N89" s="293" t="s">
        <v>354</v>
      </c>
      <c r="O89" s="293" t="s">
        <v>354</v>
      </c>
      <c r="P89" s="296">
        <f>+'Equipment Data'!$H$190</f>
        <v>4</v>
      </c>
      <c r="Q89" s="167">
        <f t="shared" si="8"/>
        <v>8946.6405978647181</v>
      </c>
      <c r="R89" s="294"/>
      <c r="S89" s="217"/>
      <c r="T89" s="106"/>
      <c r="U89" s="105"/>
      <c r="V89" s="105"/>
      <c r="W89" s="83"/>
      <c r="X89" s="1"/>
      <c r="CI89" s="83"/>
      <c r="CJ89" s="83"/>
      <c r="CK89" s="83"/>
      <c r="CL89" s="83"/>
      <c r="CM89" s="83"/>
      <c r="CN89" s="83"/>
      <c r="CO89" s="83"/>
    </row>
    <row r="90" spans="1:93" x14ac:dyDescent="0.3">
      <c r="A90" s="83"/>
      <c r="B90" s="104"/>
      <c r="C90" s="224"/>
      <c r="D90" s="268" t="s">
        <v>527</v>
      </c>
      <c r="E90" s="268" t="s">
        <v>166</v>
      </c>
      <c r="F90" s="293">
        <v>1</v>
      </c>
      <c r="G90" s="293" t="s">
        <v>354</v>
      </c>
      <c r="H90" s="293" t="s">
        <v>472</v>
      </c>
      <c r="I90" s="293" t="s">
        <v>354</v>
      </c>
      <c r="J90" s="293" t="str">
        <f>+IF(F90&gt;'Equipment Data'!$G$191,"yes","No")</f>
        <v>No</v>
      </c>
      <c r="K90" s="293">
        <v>0.67</v>
      </c>
      <c r="L90" s="293" t="s">
        <v>354</v>
      </c>
      <c r="M90" s="170">
        <f>+IF(AND(D90="Reactor",E90="Mixer/Settler"),IF(F90&lt;'Equipment Data'!$G$191,10^('Equipment Data'!$C$191+'Equipment Data'!$D$191*LOG10(F90)+'Equipment Data'!$E$191*LOG10(F90)*LOG10(F90)),10^('Equipment Data'!$C$191+'Equipment Data'!$D$191*LOG10('Equipment Data'!$G$191)+'Equipment Data'!$E$191*LOG10('Equipment Data'!$G$191)*LOG10('Equipment Data'!$G$191))*(F90/'Equipment Data'!$G$191)^K90),"N/A")</f>
        <v>51475.431993126258</v>
      </c>
      <c r="N90" s="293" t="s">
        <v>354</v>
      </c>
      <c r="O90" s="293" t="s">
        <v>354</v>
      </c>
      <c r="P90" s="296">
        <f>+'Equipment Data'!$H$191</f>
        <v>4</v>
      </c>
      <c r="Q90" s="167">
        <f t="shared" si="8"/>
        <v>205901.72797250503</v>
      </c>
      <c r="R90" s="294"/>
      <c r="S90" s="217"/>
      <c r="T90" s="106"/>
      <c r="U90" s="105"/>
      <c r="V90" s="105"/>
      <c r="W90" s="83"/>
      <c r="X90" s="1"/>
      <c r="CI90" s="83"/>
      <c r="CJ90" s="83"/>
      <c r="CK90" s="83"/>
      <c r="CL90" s="83"/>
      <c r="CM90" s="83"/>
      <c r="CN90" s="83"/>
      <c r="CO90" s="83"/>
    </row>
    <row r="91" spans="1:93" x14ac:dyDescent="0.3">
      <c r="A91" s="83"/>
      <c r="B91" s="104"/>
      <c r="C91" s="301"/>
      <c r="D91" s="268" t="s">
        <v>528</v>
      </c>
      <c r="E91" s="268" t="s">
        <v>168</v>
      </c>
      <c r="F91" s="293">
        <v>1</v>
      </c>
      <c r="G91" s="293" t="s">
        <v>354</v>
      </c>
      <c r="H91" s="293" t="s">
        <v>352</v>
      </c>
      <c r="I91" s="293" t="s">
        <v>354</v>
      </c>
      <c r="J91" s="293" t="str">
        <f>+IF(F91&gt;'Equipment Data'!$G$196,"yes","No")</f>
        <v>No</v>
      </c>
      <c r="K91" s="293">
        <v>0.67</v>
      </c>
      <c r="L91" s="293" t="s">
        <v>354</v>
      </c>
      <c r="M91" s="170">
        <f>+IF(AND(D91="Screen",E91="DSM"),IF(F91&lt;'Equipment Data'!$G$196,10^('Equipment Data'!$C$196+'Equipment Data'!$D$196*LOG10(F91)+'Equipment Data'!$E$196*LOG10(F91)*LOG10(F91)),10^('Equipment Data'!$C$196+'Equipment Data'!$D$196*LOG10('Equipment Data'!$G$196)+'Equipment Data'!$E$196*LOG10('Equipment Data'!$G$196)*LOG10('Equipment Data'!$G$196))*(F91/'Equipment Data'!$G$196)^K91),"N/A")</f>
        <v>6382.6348619054934</v>
      </c>
      <c r="N91" s="293" t="s">
        <v>354</v>
      </c>
      <c r="O91" s="293" t="s">
        <v>354</v>
      </c>
      <c r="P91" s="293">
        <f>+'Equipment Data'!$H$196</f>
        <v>1.34</v>
      </c>
      <c r="Q91" s="167">
        <f t="shared" si="8"/>
        <v>8552.7307149533608</v>
      </c>
      <c r="R91" s="304"/>
      <c r="S91" s="305"/>
      <c r="T91" s="106"/>
      <c r="U91" s="105"/>
      <c r="V91" s="105"/>
      <c r="W91" s="83"/>
      <c r="X91" s="1"/>
      <c r="CI91" s="83"/>
      <c r="CJ91" s="83"/>
      <c r="CK91" s="83"/>
      <c r="CL91" s="83"/>
      <c r="CM91" s="83"/>
      <c r="CN91" s="83"/>
      <c r="CO91" s="83"/>
    </row>
    <row r="92" spans="1:93" x14ac:dyDescent="0.3">
      <c r="A92" s="83"/>
      <c r="B92" s="104"/>
      <c r="C92" s="301"/>
      <c r="D92" s="268" t="s">
        <v>528</v>
      </c>
      <c r="E92" s="268" t="s">
        <v>514</v>
      </c>
      <c r="F92" s="293">
        <v>1</v>
      </c>
      <c r="G92" s="293" t="s">
        <v>354</v>
      </c>
      <c r="H92" s="293" t="s">
        <v>352</v>
      </c>
      <c r="I92" s="293" t="s">
        <v>354</v>
      </c>
      <c r="J92" s="293" t="str">
        <f>+IF(F92&gt;'Equipment Data'!$G$197,"yes","No")</f>
        <v>No</v>
      </c>
      <c r="K92" s="293">
        <v>0.67</v>
      </c>
      <c r="L92" s="293" t="s">
        <v>354</v>
      </c>
      <c r="M92" s="170">
        <f>+IF(AND(D92="Screen",E92="Rotatory"),IF(F92&lt;'Equipment Data'!$G$197,10^('Equipment Data'!$C$197+'Equipment Data'!$D$197*LOG10(F92)+'Equipment Data'!$E$197*LOG10(F92)*LOG10(F92)),10^('Equipment Data'!$C$197+'Equipment Data'!$D$197*LOG10('Equipment Data'!$G$197)+'Equipment Data'!$E$197*LOG10('Equipment Data'!$G$197)*LOG10('Equipment Data'!$G$197))*(F92/'Equipment Data'!$G$197)^K92),"N/A")</f>
        <v>11181.498245842204</v>
      </c>
      <c r="N92" s="293" t="s">
        <v>354</v>
      </c>
      <c r="O92" s="293" t="s">
        <v>354</v>
      </c>
      <c r="P92" s="293">
        <f>+'Equipment Data'!$H$197</f>
        <v>1.34</v>
      </c>
      <c r="Q92" s="167">
        <f t="shared" si="8"/>
        <v>14983.207649428554</v>
      </c>
      <c r="R92" s="306"/>
      <c r="S92" s="307"/>
      <c r="T92" s="106"/>
      <c r="U92" s="105"/>
      <c r="V92" s="105"/>
      <c r="W92" s="83"/>
      <c r="X92" s="1"/>
      <c r="CI92" s="83"/>
      <c r="CJ92" s="83"/>
      <c r="CK92" s="83"/>
      <c r="CL92" s="83"/>
      <c r="CM92" s="83"/>
      <c r="CN92" s="83"/>
      <c r="CO92" s="83"/>
    </row>
    <row r="93" spans="1:93" x14ac:dyDescent="0.3">
      <c r="A93" s="83"/>
      <c r="B93" s="104"/>
      <c r="C93" s="301"/>
      <c r="D93" s="268" t="s">
        <v>528</v>
      </c>
      <c r="E93" s="268" t="s">
        <v>169</v>
      </c>
      <c r="F93" s="293">
        <v>1</v>
      </c>
      <c r="G93" s="293" t="s">
        <v>354</v>
      </c>
      <c r="H93" s="293" t="s">
        <v>352</v>
      </c>
      <c r="I93" s="293" t="s">
        <v>354</v>
      </c>
      <c r="J93" s="293" t="str">
        <f>+IF(F93&gt;'Equipment Data'!$G$198,"yes","No")</f>
        <v>No</v>
      </c>
      <c r="K93" s="293">
        <v>0.67</v>
      </c>
      <c r="L93" s="293" t="s">
        <v>354</v>
      </c>
      <c r="M93" s="170">
        <f>+IF(AND(D93="Screen",E93="Stationary"),IF(F93&lt;'Equipment Data'!$G$198,10^('Equipment Data'!$C$198+'Equipment Data'!$D$198*LOG10(F93)+'Equipment Data'!$E$198*LOG10(F93)*LOG10(F93)),10^('Equipment Data'!$C$198+'Equipment Data'!$D$198*LOG10('Equipment Data'!$G$198)+'Equipment Data'!$E$198*LOG10('Equipment Data'!$G$198)*LOG10('Equipment Data'!$G$198))*(F93/'Equipment Data'!$G$198)^K93),"N/A")</f>
        <v>6635.9025550610077</v>
      </c>
      <c r="N93" s="293" t="s">
        <v>354</v>
      </c>
      <c r="O93" s="293" t="s">
        <v>354</v>
      </c>
      <c r="P93" s="293">
        <f>+'Equipment Data'!$H$198</f>
        <v>1.34</v>
      </c>
      <c r="Q93" s="167">
        <f t="shared" si="8"/>
        <v>8892.1094237817506</v>
      </c>
      <c r="R93" s="306"/>
      <c r="S93" s="307"/>
      <c r="T93" s="106"/>
      <c r="U93" s="105"/>
      <c r="V93" s="105"/>
      <c r="W93" s="83"/>
      <c r="X93" s="1"/>
      <c r="CI93" s="83"/>
      <c r="CJ93" s="83"/>
      <c r="CK93" s="83"/>
      <c r="CL93" s="83"/>
      <c r="CM93" s="83"/>
      <c r="CN93" s="83"/>
      <c r="CO93" s="83"/>
    </row>
    <row r="94" spans="1:93" x14ac:dyDescent="0.3">
      <c r="A94" s="83"/>
      <c r="B94" s="104"/>
      <c r="C94" s="302"/>
      <c r="D94" s="268" t="s">
        <v>528</v>
      </c>
      <c r="E94" s="268" t="s">
        <v>170</v>
      </c>
      <c r="F94" s="293">
        <v>1</v>
      </c>
      <c r="G94" s="293" t="s">
        <v>354</v>
      </c>
      <c r="H94" s="293" t="s">
        <v>352</v>
      </c>
      <c r="I94" s="293" t="s">
        <v>354</v>
      </c>
      <c r="J94" s="293" t="str">
        <f>+IF(F94&gt;'Equipment Data'!$G$199,"yes","No")</f>
        <v>No</v>
      </c>
      <c r="K94" s="293">
        <v>0.67</v>
      </c>
      <c r="L94" s="293" t="s">
        <v>354</v>
      </c>
      <c r="M94" s="170">
        <f>+IF(AND(D94="Screen",E94="Vibrating"),IF(F94&lt;'Equipment Data'!$G$199,10^('Equipment Data'!$C$199+'Equipment Data'!$D$199*LOG10(F94)+'Equipment Data'!$E$199*LOG10(F94)*LOG10(F94)),10^('Equipment Data'!$C$199+'Equipment Data'!$D$199*LOG10('Equipment Data'!$G$199)+'Equipment Data'!$E$199*LOG10('Equipment Data'!$G$199)*LOG10('Equipment Data'!$G$199))*(F94/'Equipment Data'!$G$199)^K94),"N/A")</f>
        <v>11181.498245842204</v>
      </c>
      <c r="N94" s="293" t="s">
        <v>354</v>
      </c>
      <c r="O94" s="293" t="s">
        <v>354</v>
      </c>
      <c r="P94" s="293">
        <f>+'Equipment Data'!$H$199</f>
        <v>1.34</v>
      </c>
      <c r="Q94" s="167">
        <f t="shared" si="8"/>
        <v>14983.207649428554</v>
      </c>
      <c r="R94" s="308"/>
      <c r="S94" s="309"/>
      <c r="T94" s="106"/>
      <c r="U94" s="105"/>
      <c r="V94" s="105"/>
      <c r="W94" s="83"/>
      <c r="X94" s="1"/>
      <c r="CI94" s="83"/>
      <c r="CJ94" s="83"/>
      <c r="CK94" s="83"/>
      <c r="CL94" s="83"/>
      <c r="CM94" s="83"/>
      <c r="CN94" s="83"/>
      <c r="CO94" s="83"/>
    </row>
    <row r="95" spans="1:93" x14ac:dyDescent="0.3">
      <c r="A95" s="83"/>
      <c r="B95" s="104"/>
      <c r="C95" s="218"/>
      <c r="D95" s="268" t="s">
        <v>257</v>
      </c>
      <c r="E95" s="268" t="s">
        <v>172</v>
      </c>
      <c r="F95" s="293">
        <v>1</v>
      </c>
      <c r="G95" s="293" t="s">
        <v>354</v>
      </c>
      <c r="H95" s="293" t="s">
        <v>472</v>
      </c>
      <c r="I95" s="293" t="s">
        <v>354</v>
      </c>
      <c r="J95" s="293" t="str">
        <f>+IF(F95&gt;'Equipment Data'!$I$204,"yes","No")</f>
        <v>No</v>
      </c>
      <c r="K95" s="293">
        <v>0.67</v>
      </c>
      <c r="L95" s="293" t="s">
        <v>354</v>
      </c>
      <c r="M95" s="170">
        <f>+IF(AND(D95="Tank",E95="Fixed Roof"),IF(F95&lt;'Equipment Data'!$I$204,10^('Equipment Data'!$C$204+'Equipment Data'!$D$204*LOG10(F95)+'Equipment Data'!$E$204*LOG10(F95)*LOG10(F95)),10^('Equipment Data'!$C$204+'Equipment Data'!$D$204*LOG10('Equipment Data'!$I$204)+'Equipment Data'!$E$204*LOG10('Equipment Data'!$I$204)*LOG10('Equipment Data'!$I$204))*(F95/'Equipment Data'!$I$204)^K95),"N/A")</f>
        <v>70941.44004534086</v>
      </c>
      <c r="N95" s="293" t="s">
        <v>354</v>
      </c>
      <c r="O95" s="293" t="s">
        <v>354</v>
      </c>
      <c r="P95" s="293">
        <v>1.1000000000000001</v>
      </c>
      <c r="Q95" s="167">
        <f t="shared" si="8"/>
        <v>78035.584049874946</v>
      </c>
      <c r="R95" s="164"/>
      <c r="S95" s="204"/>
      <c r="T95" s="106"/>
      <c r="U95" s="105"/>
      <c r="V95" s="105"/>
      <c r="W95" s="83"/>
      <c r="X95" s="1"/>
      <c r="CI95" s="83"/>
      <c r="CJ95" s="83"/>
      <c r="CK95" s="83"/>
      <c r="CL95" s="83"/>
      <c r="CM95" s="83"/>
      <c r="CN95" s="83"/>
      <c r="CO95" s="83"/>
    </row>
    <row r="96" spans="1:93" x14ac:dyDescent="0.3">
      <c r="A96" s="83"/>
      <c r="B96" s="104"/>
      <c r="C96" s="216"/>
      <c r="D96" s="268" t="s">
        <v>257</v>
      </c>
      <c r="E96" s="268" t="s">
        <v>173</v>
      </c>
      <c r="F96" s="293">
        <v>1</v>
      </c>
      <c r="G96" s="293" t="s">
        <v>354</v>
      </c>
      <c r="H96" s="293" t="s">
        <v>472</v>
      </c>
      <c r="I96" s="293" t="s">
        <v>354</v>
      </c>
      <c r="J96" s="293" t="str">
        <f>+IF(F96&gt;'Equipment Data'!$I$205,"yes","No")</f>
        <v>No</v>
      </c>
      <c r="K96" s="293">
        <v>0.67</v>
      </c>
      <c r="L96" s="293" t="s">
        <v>354</v>
      </c>
      <c r="M96" s="170">
        <f>+IF(AND(D96="Tank",E96="Floating Roof"),IF(F96&lt;'Equipment Data'!$I$205,10^('Equipment Data'!$C$205+'Equipment Data'!$D$205*LOG10(F96)+'Equipment Data'!$E$205*LOG10(F96)*LOG10(F96)),10^('Equipment Data'!$C$205+'Equipment Data'!$D$205*LOG10('Equipment Data'!$I$205)+'Equipment Data'!$E$205*LOG10('Equipment Data'!$I$205)*LOG10('Equipment Data'!$I$205))*(F96/'Equipment Data'!$I$205)^K96),"N/A")</f>
        <v>905107.15902752045</v>
      </c>
      <c r="N96" s="293" t="s">
        <v>354</v>
      </c>
      <c r="O96" s="293" t="s">
        <v>354</v>
      </c>
      <c r="P96" s="293">
        <v>1.1000000000000001</v>
      </c>
      <c r="Q96" s="167">
        <f t="shared" si="8"/>
        <v>995617.87493027258</v>
      </c>
      <c r="R96" s="98"/>
      <c r="S96" s="168"/>
      <c r="T96" s="106"/>
      <c r="U96" s="105"/>
      <c r="V96" s="105"/>
      <c r="W96" s="83"/>
      <c r="X96" s="1"/>
      <c r="CI96" s="83"/>
      <c r="CJ96" s="83"/>
      <c r="CK96" s="83"/>
      <c r="CL96" s="83"/>
      <c r="CM96" s="83"/>
      <c r="CN96" s="83"/>
      <c r="CO96" s="83"/>
    </row>
    <row r="97" spans="1:93" x14ac:dyDescent="0.3">
      <c r="A97" s="83"/>
      <c r="B97" s="104"/>
      <c r="C97" s="300"/>
      <c r="D97" s="268" t="s">
        <v>148</v>
      </c>
      <c r="E97" s="268" t="s">
        <v>24</v>
      </c>
      <c r="F97" s="293">
        <v>1</v>
      </c>
      <c r="G97" s="293" t="s">
        <v>354</v>
      </c>
      <c r="H97" s="293" t="s">
        <v>474</v>
      </c>
      <c r="I97" s="293" t="s">
        <v>85</v>
      </c>
      <c r="J97" s="293" t="str">
        <f>+IF(F97&gt;'Equipment Data'!$M$210,"yes","No")</f>
        <v>No</v>
      </c>
      <c r="K97" s="293">
        <v>0.67</v>
      </c>
      <c r="L97" s="293" t="s">
        <v>354</v>
      </c>
      <c r="M97" s="170">
        <f>+IF(AND(D97="Turbine",E97="Axial"),IF(F97&lt;'Equipment Data'!$M$210,10^('Equipment Data'!$C$210+'Equipment Data'!$D$210*LOG10(F97)+'Equipment Data'!$E$210*LOG10(F97)*LOG10(F97)),10^('Equipment Data'!$C$210+'Equipment Data'!$D$210*LOG10('Equipment Data'!$M$210)+'Equipment Data'!$E$210*LOG10('Equipment Data'!$M$210)*LOG10('Equipment Data'!$M$210))*(F97/'Equipment Data'!$M$210)^K97),"N/A")</f>
        <v>507.10746064051733</v>
      </c>
      <c r="N97" s="293" t="s">
        <v>354</v>
      </c>
      <c r="O97" s="293" t="s">
        <v>354</v>
      </c>
      <c r="P97" s="293">
        <f>+IF(I97="Cl",'Equipment Data'!$F$210,IF(I97="CS",'Equipment Data'!$G$210,IF(I97="Cu",'Equipment Data'!$H$210,IF(I97="SS",'Equipment Data'!$I$210,IF(I97="Ni",'Equipment Data'!$J$210,IF(I97="Ti",'Equipment Data'!$K$210,"N/A"))))))</f>
        <v>3.5</v>
      </c>
      <c r="Q97" s="167">
        <f>+M97*P97</f>
        <v>1774.8761122418107</v>
      </c>
      <c r="R97" s="304"/>
      <c r="S97" s="305"/>
      <c r="T97" s="106"/>
      <c r="U97" s="105"/>
      <c r="V97" s="105"/>
      <c r="W97" s="83"/>
      <c r="X97" s="1"/>
      <c r="CI97" s="83"/>
      <c r="CJ97" s="83"/>
      <c r="CK97" s="83"/>
      <c r="CL97" s="83"/>
      <c r="CM97" s="83"/>
      <c r="CN97" s="83"/>
      <c r="CO97" s="83"/>
    </row>
    <row r="98" spans="1:93" x14ac:dyDescent="0.3">
      <c r="A98" s="83"/>
      <c r="B98" s="104"/>
      <c r="C98" s="302"/>
      <c r="D98" s="268" t="s">
        <v>148</v>
      </c>
      <c r="E98" s="268" t="s">
        <v>178</v>
      </c>
      <c r="F98" s="293">
        <v>1</v>
      </c>
      <c r="G98" s="293" t="s">
        <v>354</v>
      </c>
      <c r="H98" s="293" t="s">
        <v>474</v>
      </c>
      <c r="I98" s="293" t="s">
        <v>85</v>
      </c>
      <c r="J98" s="293" t="str">
        <f>+IF(F98&gt;'Equipment Data'!$G$211,"yes","No")</f>
        <v>No</v>
      </c>
      <c r="K98" s="293">
        <v>0.67</v>
      </c>
      <c r="L98" s="293" t="s">
        <v>354</v>
      </c>
      <c r="M98" s="170">
        <f>+IF(AND(D98="Turbine",E98="Radial"),IF(F98&lt;'Equipment Data'!$M$211,10^('Equipment Data'!$C$211+'Equipment Data'!$D$211*LOG10(F98)+'Equipment Data'!$E$211*LOG10(F98)*LOG10(F98)),10^('Equipment Data'!$C$211+'Equipment Data'!$D$211*LOG10('Equipment Data'!$M$211)+'Equipment Data'!$E$211*LOG10('Equipment Data'!$M$211)*LOG10('Equipment Data'!$M$211))*(F98/'Equipment Data'!$M$211)^K98),"N/A")</f>
        <v>176.84793782817999</v>
      </c>
      <c r="N98" s="293" t="s">
        <v>354</v>
      </c>
      <c r="O98" s="293" t="s">
        <v>354</v>
      </c>
      <c r="P98" s="293">
        <f>+IF(I98="Cl",'Equipment Data'!$F$211,IF(I98="CS",'Equipment Data'!$G$211,IF(I98="Cu",'Equipment Data'!$H$211,IF(I98="SS",'Equipment Data'!$I$211,IF(I98="Ni",'Equipment Data'!$J$211,IF(I98="Ti",'Equipment Data'!$K$211,"N/A"))))))</f>
        <v>3.5</v>
      </c>
      <c r="Q98" s="167">
        <f>+M98*P98</f>
        <v>618.96778239862999</v>
      </c>
      <c r="R98" s="308"/>
      <c r="S98" s="309"/>
      <c r="T98" s="106"/>
      <c r="U98" s="105"/>
      <c r="V98" s="105"/>
      <c r="W98" s="83"/>
      <c r="X98" s="1"/>
      <c r="CI98" s="83"/>
      <c r="CJ98" s="83"/>
      <c r="CK98" s="83"/>
      <c r="CL98" s="83"/>
      <c r="CM98" s="83"/>
      <c r="CN98" s="83"/>
      <c r="CO98" s="83"/>
    </row>
    <row r="99" spans="1:93" x14ac:dyDescent="0.3">
      <c r="A99" s="83"/>
      <c r="B99" s="104"/>
      <c r="C99" s="218"/>
      <c r="D99" s="268" t="s">
        <v>259</v>
      </c>
      <c r="E99" s="268" t="s">
        <v>182</v>
      </c>
      <c r="F99" s="293">
        <v>1</v>
      </c>
      <c r="G99" s="293">
        <v>1</v>
      </c>
      <c r="H99" s="293" t="s">
        <v>472</v>
      </c>
      <c r="I99" s="293" t="s">
        <v>85</v>
      </c>
      <c r="J99" s="293" t="str">
        <f>+IF(F99&gt;'Equipment Data'!$G$216,"yes","No")</f>
        <v>No</v>
      </c>
      <c r="K99" s="293">
        <v>0.67</v>
      </c>
      <c r="L99" s="293" t="s">
        <v>354</v>
      </c>
      <c r="M99" s="170">
        <f>+IF(AND(D99="Vaporizer",E99="Jacketed Vessel"),IF(F99&lt;'Equipment Data'!$G$216,10^('Equipment Data'!$C$216+'Equipment Data'!$D$216*LOG10(F99)+'Equipment Data'!$E$216*LOG10(F99)*LOG10(F99)),10^('Equipment Data'!$C$216+'Equipment Data'!$D$216*LOG10('Equipment Data'!$G$216)+'Equipment Data'!$E$216*LOG10('Equipment Data'!$G$216)*LOG10('Equipment Data'!$G$216))*(F99/'Equipment Data'!$G$216)^K99),"N/A")</f>
        <v>7500.6689873606992</v>
      </c>
      <c r="N99" s="166">
        <f>+IF(G99-1.01325&gt;5,10^('Equipment Data'!$I$216+'Equipment Data'!$J$216*LOG10(G99-1.01325)+'Equipment Data'!$K$216*LOG10(G99-1.01325)*LOG10(G99-1.01325)),1)</f>
        <v>1</v>
      </c>
      <c r="O99" s="129" t="s">
        <v>354</v>
      </c>
      <c r="P99" s="293">
        <f>+IF(I99="CS",'Equipment Data'!$C$222,IF(I99="Cu",'Equipment Data'!$D$222,IF(I99="GL SS Coils",'Equipment Data'!$E$222,IF(I99="Glass Lined Ni Coils",'Equipment Data'!$F$222,IF(I99="SS",'Equipment Data'!$G$222,IF(I99="SS Clad",'Equipment Data'!$H$222,IF(I99="Ni Alloy",'Equipment Data'!$I$222,IF(I99="Ni Alloy Clad",'Equipment Data'!$J$222,IF(I99="Ti",'Equipment Data'!$K$222,IF(I99="Ti Clad",'Equipment Data'!$L$222,"N/A"))))))))))</f>
        <v>2.74</v>
      </c>
      <c r="Q99" s="167">
        <f>+M99*N99*P99</f>
        <v>20551.833025368316</v>
      </c>
      <c r="R99" s="164"/>
      <c r="S99" s="204"/>
      <c r="T99" s="106"/>
      <c r="U99" s="105"/>
      <c r="V99" s="105"/>
      <c r="W99" s="83"/>
      <c r="X99" s="1"/>
      <c r="CI99" s="83"/>
      <c r="CJ99" s="83"/>
      <c r="CK99" s="83"/>
      <c r="CL99" s="83"/>
      <c r="CM99" s="83"/>
      <c r="CN99" s="83"/>
      <c r="CO99" s="83"/>
    </row>
    <row r="100" spans="1:93" x14ac:dyDescent="0.3">
      <c r="A100" s="83"/>
      <c r="B100" s="104"/>
      <c r="C100" s="216"/>
      <c r="D100" s="268" t="s">
        <v>259</v>
      </c>
      <c r="E100" s="268" t="s">
        <v>183</v>
      </c>
      <c r="F100" s="293">
        <v>1</v>
      </c>
      <c r="G100" s="293">
        <v>1</v>
      </c>
      <c r="H100" s="293" t="s">
        <v>472</v>
      </c>
      <c r="I100" s="293" t="s">
        <v>85</v>
      </c>
      <c r="J100" s="293" t="str">
        <f>+IF(F100&gt;'Equipment Data'!$G$217,"yes","No")</f>
        <v>No</v>
      </c>
      <c r="K100" s="293">
        <v>0.67</v>
      </c>
      <c r="L100" s="293" t="s">
        <v>354</v>
      </c>
      <c r="M100" s="170">
        <f>+IF(AND(D100="Vaporizer",E100="Internal Coil"),IF(F100&lt;'Equipment Data'!$G$217,10^('Equipment Data'!$C$217+'Equipment Data'!$D$217*LOG10(F100)+'Equipment Data'!$E$217*LOG10(F100)*LOG10(F100)),10^('Equipment Data'!$C$217+'Equipment Data'!$D$217*LOG10('Equipment Data'!$G$217)+'Equipment Data'!$E$217*LOG10('Equipment Data'!$G$217)*LOG10('Equipment Data'!$G$217))*(F100/'Equipment Data'!$G$217)^K100),"N/A")</f>
        <v>10914.403364487574</v>
      </c>
      <c r="N100" s="166">
        <f>+IF(G100-1.01325&gt;5,10^('Equipment Data'!$I$217+'Equipment Data'!$J$217*LOG10(G100-1.01325)+'Equipment Data'!$K$217*LOG10(G100-1.01325)*LOG10(G100-1.01325)),1)</f>
        <v>1</v>
      </c>
      <c r="O100" s="165" t="s">
        <v>354</v>
      </c>
      <c r="P100" s="293">
        <f>+IF(I100="CS",'Equipment Data'!$C$223,IF(I100="Cu",'Equipment Data'!$D$223,IF(I100="GL SS Coils",'Equipment Data'!$E$223,IF(I100="Glass Lined Ni Coils",'Equipment Data'!$F$223,IF(I100="SS",'Equipment Data'!$G$223,IF(I100="SS Clad",'Equipment Data'!$H$223,IF(I100="Ni Alloy",'Equipment Data'!$I$223,IF(I100="Ni Alloy Clad",'Equipment Data'!$J$223,IF(I100="Ti",'Equipment Data'!$K$223,IF(I100="Ti Clad",'Equipment Data'!$L$223,"N/A"))))))))))</f>
        <v>3.03</v>
      </c>
      <c r="Q100" s="167">
        <f t="shared" ref="Q100:Q101" si="9">+M100*N100*P100</f>
        <v>33070.642194397347</v>
      </c>
      <c r="R100" s="98"/>
      <c r="S100" s="168"/>
      <c r="T100" s="106"/>
      <c r="U100" s="105"/>
      <c r="V100" s="105"/>
      <c r="W100" s="83"/>
      <c r="X100" s="1"/>
      <c r="CI100" s="83"/>
      <c r="CJ100" s="83"/>
      <c r="CK100" s="83"/>
      <c r="CL100" s="83"/>
      <c r="CM100" s="83"/>
      <c r="CN100" s="83"/>
      <c r="CO100" s="83"/>
    </row>
    <row r="101" spans="1:93" x14ac:dyDescent="0.3">
      <c r="A101" s="83"/>
      <c r="B101" s="104"/>
      <c r="C101" s="216"/>
      <c r="D101" s="268" t="s">
        <v>259</v>
      </c>
      <c r="E101" s="268" t="s">
        <v>184</v>
      </c>
      <c r="F101" s="293">
        <v>1</v>
      </c>
      <c r="G101" s="293">
        <v>1</v>
      </c>
      <c r="H101" s="293" t="s">
        <v>472</v>
      </c>
      <c r="I101" s="293" t="s">
        <v>85</v>
      </c>
      <c r="J101" s="293" t="str">
        <f>+IF(F101&gt;'Equipment Data'!$G$218,"yes","No")</f>
        <v>No</v>
      </c>
      <c r="K101" s="293">
        <v>0.67</v>
      </c>
      <c r="L101" s="293" t="s">
        <v>354</v>
      </c>
      <c r="M101" s="170">
        <f>+IF(AND(D101="Vaporizer",E101="Jacketed Vessel w/ Coil"),IF(F101&lt;'Equipment Data'!$G$218,10^('Equipment Data'!$C$218+'Equipment Data'!$D$218*LOG10(F101)+'Equipment Data'!$E$218*LOG10(F101)*LOG10(F101)),10^('Equipment Data'!$C$218+'Equipment Data'!$D$218*LOG10('Equipment Data'!$G$218)+'Equipment Data'!$E$218*LOG10('Equipment Data'!$G$218)*LOG10('Equipment Data'!$G$218))*(F101/'Equipment Data'!$G$218)^K101),"N/A")</f>
        <v>10914.403364487574</v>
      </c>
      <c r="N101" s="166">
        <f>+IF(G101-1.01325&gt;5,10^('Equipment Data'!$I$218+'Equipment Data'!$J$218*LOG10(G101-1.01325)+'Equipment Data'!$K$218*LOG10(G101-1.01325)*LOG10(G101-1.01325)),1)</f>
        <v>1</v>
      </c>
      <c r="O101" s="165" t="s">
        <v>354</v>
      </c>
      <c r="P101" s="293">
        <f>+IF(I101="CS",'Equipment Data'!$C$224,IF(I101="Cu",'Equipment Data'!$D$224,IF(I101="GL SS Coils",'Equipment Data'!$E$224,IF(I101="Glass Lined Ni Coils",'Equipment Data'!$F$224,IF(I101="SS",'Equipment Data'!$G$224,IF(I101="SS Clad",'Equipment Data'!$H$224,IF(I101="Ni Alloy",'Equipment Data'!$I$224,IF(I101="Ni Alloy Clad",'Equipment Data'!$J$224,IF(I101="Ti",'Equipment Data'!$K$224,IF(I101="Ti Clad",'Equipment Data'!$L$224,"N/A"))))))))))</f>
        <v>3.03</v>
      </c>
      <c r="Q101" s="167">
        <f t="shared" si="9"/>
        <v>33070.642194397347</v>
      </c>
      <c r="R101" s="98"/>
      <c r="S101" s="168"/>
      <c r="T101" s="106"/>
      <c r="U101" s="105"/>
      <c r="V101" s="105"/>
      <c r="W101" s="83"/>
      <c r="X101" s="1"/>
      <c r="CI101" s="83"/>
      <c r="CJ101" s="83"/>
      <c r="CK101" s="83"/>
      <c r="CL101" s="83"/>
      <c r="CM101" s="83"/>
      <c r="CN101" s="83"/>
      <c r="CO101" s="83"/>
    </row>
    <row r="102" spans="1:93" x14ac:dyDescent="0.3">
      <c r="A102" s="83"/>
      <c r="B102" s="104"/>
      <c r="C102" s="300"/>
      <c r="D102" s="268" t="s">
        <v>260</v>
      </c>
      <c r="E102" s="268" t="s">
        <v>200</v>
      </c>
      <c r="F102" s="293">
        <v>1</v>
      </c>
      <c r="G102" s="293">
        <v>1</v>
      </c>
      <c r="H102" s="293" t="s">
        <v>472</v>
      </c>
      <c r="I102" s="293" t="s">
        <v>85</v>
      </c>
      <c r="J102" s="293" t="str">
        <f>+IF(F102&gt;'Equipment Data'!$K$239,"yes","No")</f>
        <v>No</v>
      </c>
      <c r="K102" s="293">
        <v>0.67</v>
      </c>
      <c r="L102" s="293">
        <v>1</v>
      </c>
      <c r="M102" s="170">
        <f>+IF(AND(D102="Vessel",E102="Horizontal"),IF(F102&lt;'Equipment Data'!$K$239,10^('Equipment Data'!$G$239+'Equipment Data'!$H$239*LOG10(F102)+'Equipment Data'!$I$239*LOG10(F102)*LOG10(F102)),10^('Equipment Data'!$G$239+'Equipment Data'!$H$239*LOG10('Equipment Data'!$K$239)+'Equipment Data'!$I$239*LOG10('Equipment Data'!$K$239)*LOG10('Equipment Data'!$K$239))*(F102/'Equipment Data'!$K$239)^K102),"N/A")</f>
        <v>3601.6375039472782</v>
      </c>
      <c r="N102" s="166">
        <f>+IF(L102="","Input Diameter in m",IF(G102&gt;0.5,IF(((G102*L102)/(2*(850-0.6*G102))+0.00315)/0.0063&lt;1,1,((G102*L102)/(2*(850-0.6*G102))+0.00315)/0.0063),1.25))</f>
        <v>1</v>
      </c>
      <c r="O102" s="293">
        <f>+IF(I102="CS",'Equipment Data'!$C$247,IF(I102="SS Clad",'Equipment Data'!$C$248,IF(I102="SS",'Equipment Data'!$C$249,IF(I102="Ni Clad",'Equipment Data'!$C$250,IF(I102="Ni",'Equipment Data'!$C$251,IF(I102="Ti Clad",'Equipment Data'!$C$252,IF(I102="Ti",'Equipment Data'!$C$253,"N/A")))))))</f>
        <v>1</v>
      </c>
      <c r="P102" s="167">
        <f>+'Equipment Data'!$C$243+'Equipment Data'!$D$243*N102*O102</f>
        <v>3.01</v>
      </c>
      <c r="Q102" s="167">
        <f>+M102*P102</f>
        <v>10840.928886881307</v>
      </c>
      <c r="R102" s="304"/>
      <c r="S102" s="305"/>
      <c r="T102" s="106"/>
      <c r="U102" s="105"/>
      <c r="V102" s="105"/>
      <c r="W102" s="83"/>
      <c r="X102" s="1"/>
      <c r="CI102" s="83"/>
      <c r="CJ102" s="83"/>
      <c r="CK102" s="83"/>
      <c r="CL102" s="83"/>
      <c r="CM102" s="83"/>
      <c r="CN102" s="83"/>
      <c r="CO102" s="83"/>
    </row>
    <row r="103" spans="1:93" x14ac:dyDescent="0.3">
      <c r="A103" s="83"/>
      <c r="B103" s="104"/>
      <c r="C103" s="302"/>
      <c r="D103" s="268" t="s">
        <v>260</v>
      </c>
      <c r="E103" s="268" t="s">
        <v>201</v>
      </c>
      <c r="F103" s="314">
        <v>1</v>
      </c>
      <c r="G103" s="314">
        <v>1</v>
      </c>
      <c r="H103" s="314" t="s">
        <v>472</v>
      </c>
      <c r="I103" s="314" t="s">
        <v>85</v>
      </c>
      <c r="J103" s="314" t="str">
        <f>+IF(F103&gt;'Equipment Data'!$F$239,"yes","No")</f>
        <v>No</v>
      </c>
      <c r="K103" s="314">
        <v>0.67</v>
      </c>
      <c r="L103" s="314">
        <v>1</v>
      </c>
      <c r="M103" s="170">
        <f>+IF(AND(D103="Vessel",E103="Vertical"),IF(F103&lt;'Equipment Data'!$F$239,10^('Equipment Data'!$B$239+'Equipment Data'!$C$239*LOG10(F103)+'Equipment Data'!$D$239*LOG10(F103)*LOG10(F103)),10^('Equipment Data'!$B$239+'Equipment Data'!$C$239*LOG10('Equipment Data'!$F$239)+'Equipment Data'!$D$239*LOG10('Equipment Data'!$F$239)*LOG10('Equipment Data'!$F$239))*(F103/'Equipment Data'!$F$239)^K103),"N/A")</f>
        <v>3143.4025417390117</v>
      </c>
      <c r="N103" s="169">
        <f>+IF(L103="","Input Diameter in m",IF(G103&gt;0.5,IF(((G103*L103)/(2*(850-0.6*G103))+0.00315)/0.0063&lt;1,1,((G103*L103)/(2*(850-0.6*G103))+0.00315)/0.0063),1.25))</f>
        <v>1</v>
      </c>
      <c r="O103" s="314">
        <f>+IF(I103="CS",'Equipment Data'!$C$247,IF(I103="SS Clad",'Equipment Data'!$C$248,IF(I103="SS",'Equipment Data'!$C$249,IF(I103="Ni Clad",'Equipment Data'!$C$250,IF(I103="Ni",'Equipment Data'!$C$251,IF(I103="Ti Clad",'Equipment Data'!$C$252,IF(I103="Ti",'Equipment Data'!$C$253,"N/A")))))))</f>
        <v>1</v>
      </c>
      <c r="P103" s="167">
        <f>+'Equipment Data'!$C$244+'Equipment Data'!$D$244*N103*O103</f>
        <v>4.07</v>
      </c>
      <c r="Q103" s="167">
        <f>+M103*P103</f>
        <v>12793.648344877778</v>
      </c>
      <c r="R103" s="308"/>
      <c r="S103" s="309"/>
      <c r="T103" s="106"/>
      <c r="U103" s="105"/>
      <c r="V103" s="105"/>
      <c r="W103" s="83"/>
      <c r="X103" s="1"/>
      <c r="CI103" s="83"/>
      <c r="CJ103" s="83"/>
      <c r="CK103" s="83"/>
      <c r="CL103" s="83"/>
      <c r="CM103" s="83"/>
      <c r="CN103" s="83"/>
      <c r="CO103" s="83"/>
    </row>
    <row r="104" spans="1:93" x14ac:dyDescent="0.3">
      <c r="A104" s="83"/>
      <c r="B104" s="104"/>
      <c r="C104" s="218"/>
      <c r="D104" s="268" t="s">
        <v>210</v>
      </c>
      <c r="E104" s="268" t="s">
        <v>214</v>
      </c>
      <c r="F104" s="314">
        <v>1</v>
      </c>
      <c r="G104" s="314" t="s">
        <v>354</v>
      </c>
      <c r="H104" s="314" t="s">
        <v>352</v>
      </c>
      <c r="I104" s="314" t="s">
        <v>85</v>
      </c>
      <c r="J104" s="314" t="str">
        <f>+IF(F104&gt;'Equipment Data'!$G$257,"yes","No")</f>
        <v>No</v>
      </c>
      <c r="K104" s="314">
        <v>0.67</v>
      </c>
      <c r="L104" s="314">
        <v>1</v>
      </c>
      <c r="M104" s="170">
        <f>+IF(AND(D104="Tower Trays",E104="Sieve"),IF(F104&lt;'Equipment Data'!$G$257,10^('Equipment Data'!$C$257+'Equipment Data'!$D$257*LOG10(F104)+'Equipment Data'!$E$257*LOG10(F104)*LOG10(F104)),10^('Equipment Data'!$C$257+'Equipment Data'!$D$257*LOG10('Equipment Data'!$G$257)+'Equipment Data'!$E$257*LOG10('Equipment Data'!$G$257)*LOG10('Equipment Data'!$G$257))*(F104/'Equipment Data'!$G$257)^K104),"N/A")</f>
        <v>988.3254980990281</v>
      </c>
      <c r="N104" s="314" t="s">
        <v>354</v>
      </c>
      <c r="O104" s="166">
        <f>+IF(L104="","Input nº of Trays",IF(L104&lt;20,10^(0.4771+0.08516*LOG10(L104)-0.3473*LOG10(L104)*LOG10(L104)),1))</f>
        <v>2.9998531811907938</v>
      </c>
      <c r="P104" s="314">
        <f>+IF(I104="CS",'Equipment Data'!$D$262,IF(I104="SS",'Equipment Data'!$D$263,IF(I104="Fluorocarbon",'Equipment Data'!$D$264,IF(I104="Ni Alloy",'Equipment Data'!$D$265,"N/A"))))</f>
        <v>1</v>
      </c>
      <c r="Q104" s="167">
        <f>+M104*O104*P104</f>
        <v>2964.8313895243455</v>
      </c>
      <c r="R104" s="323"/>
      <c r="S104" s="204"/>
      <c r="T104" s="106"/>
      <c r="U104" s="105"/>
      <c r="V104" s="105"/>
      <c r="W104" s="83"/>
      <c r="X104" s="1"/>
      <c r="CI104" s="83"/>
      <c r="CJ104" s="83"/>
      <c r="CK104" s="83"/>
      <c r="CL104" s="83"/>
      <c r="CM104" s="83"/>
      <c r="CN104" s="83"/>
      <c r="CO104" s="83"/>
    </row>
    <row r="105" spans="1:93" x14ac:dyDescent="0.3">
      <c r="A105" s="83"/>
      <c r="B105" s="104"/>
      <c r="C105" s="216"/>
      <c r="D105" s="268" t="s">
        <v>210</v>
      </c>
      <c r="E105" s="268" t="s">
        <v>215</v>
      </c>
      <c r="F105" s="314">
        <v>1</v>
      </c>
      <c r="G105" s="314" t="s">
        <v>354</v>
      </c>
      <c r="H105" s="314" t="s">
        <v>352</v>
      </c>
      <c r="I105" s="314" t="s">
        <v>85</v>
      </c>
      <c r="J105" s="314" t="str">
        <f>+IF(F105&gt;'Equipment Data'!$G$258,"yes","No")</f>
        <v>No</v>
      </c>
      <c r="K105" s="314">
        <v>0.67</v>
      </c>
      <c r="L105" s="314">
        <v>1</v>
      </c>
      <c r="M105" s="170">
        <f>+IF(AND(D105="Tower Trays",E105="Valve"),IF(F105&lt;'Equipment Data'!$G$258,10^('Equipment Data'!$C$258+'Equipment Data'!$D$258*LOG10(F105)+'Equipment Data'!$E$258*LOG10(F105)*LOG10(F105)),10^('Equipment Data'!$C$258+'Equipment Data'!$D$258*LOG10('Equipment Data'!$G$258)+'Equipment Data'!E258*LOG10('Equipment Data'!$G$258)*LOG10('Equipment Data'!$G$258))*(F105/'Equipment Data'!$G$258)^K105),"N/A")</f>
        <v>2148.8198144034677</v>
      </c>
      <c r="N105" s="314" t="s">
        <v>354</v>
      </c>
      <c r="O105" s="166">
        <f>+IF(L105="","Input nº of Trays",IF(L105&lt;20,10^(0.4771+0.08516*LOG10(L105)-0.3473*LOG10(L105)*LOG10(L105)),1))</f>
        <v>2.9998531811907938</v>
      </c>
      <c r="P105" s="314">
        <f>+IF(I105="CS",'Equipment Data'!$E$262,IF(I105="SS",'Equipment Data'!$E$263,IF(I105="Fluorocarbon",'Equipment Data'!$E$264,IF(I105="Ni Alloy",'Equipment Data'!$E$265,"N/A"))))</f>
        <v>1</v>
      </c>
      <c r="Q105" s="167">
        <f t="shared" ref="Q105:Q106" si="10">+M105*O105*P105</f>
        <v>6446.143956044054</v>
      </c>
      <c r="R105" s="316"/>
      <c r="S105" s="168"/>
      <c r="T105" s="106"/>
      <c r="U105" s="105"/>
      <c r="V105" s="105"/>
      <c r="W105" s="83"/>
      <c r="X105" s="1"/>
      <c r="CI105" s="83"/>
      <c r="CJ105" s="83"/>
      <c r="CK105" s="83"/>
      <c r="CL105" s="83"/>
      <c r="CM105" s="83"/>
      <c r="CN105" s="83"/>
      <c r="CO105" s="83"/>
    </row>
    <row r="106" spans="1:93" x14ac:dyDescent="0.3">
      <c r="A106" s="83"/>
      <c r="B106" s="104"/>
      <c r="C106" s="224"/>
      <c r="D106" s="268" t="s">
        <v>210</v>
      </c>
      <c r="E106" s="268" t="s">
        <v>216</v>
      </c>
      <c r="F106" s="314">
        <v>1</v>
      </c>
      <c r="G106" s="314" t="s">
        <v>354</v>
      </c>
      <c r="H106" s="314" t="s">
        <v>352</v>
      </c>
      <c r="I106" s="314" t="s">
        <v>85</v>
      </c>
      <c r="J106" s="314" t="str">
        <f>+IF(F106&gt;'Equipment Data'!$G$259,"yes","No")</f>
        <v>No</v>
      </c>
      <c r="K106" s="314">
        <v>0.67</v>
      </c>
      <c r="L106" s="314">
        <v>1</v>
      </c>
      <c r="M106" s="170">
        <f>+IF(AND(D106="Tower Trays",E106="Demister"),IF(F106&lt;'Equipment Data'!$G$259,10^('Equipment Data'!$C$259+'Equipment Data'!$D$259*LOG10(F106)+'Equipment Data'!$E$259*LOG10(F106)*LOG10(F106)),10^('Equipment Data'!$C$259+'Equipment Data'!$D$259*LOG10('Equipment Data'!$G$259)+'Equipment Data'!$E$259*LOG10('Equipment Data'!$G$259)*LOG10('Equipment Data'!$G$259))*(F106/'Equipment Data'!$G$259)^K106),"N/A")</f>
        <v>1719.0954861928872</v>
      </c>
      <c r="N106" s="314" t="s">
        <v>354</v>
      </c>
      <c r="O106" s="315">
        <f>+IF(L106="","Input nº of Trays",IF(L106&lt;20,10^(0.4771+0.08516*LOG10(L106)-0.3473*LOG10(L106)*LOG10(L106)),1))</f>
        <v>2.9998531811907938</v>
      </c>
      <c r="P106" s="314">
        <f>+IF(I106="CS",'Equipment Data'!$F$262,IF(I106="SS",'Equipment Data'!$F$263,IF(I106="Fluorocarbon",'Equipment Data'!$F$264,IF(I106="Ni Alloy",'Equipment Data'!$F$265,"N/A"))))</f>
        <v>1</v>
      </c>
      <c r="Q106" s="167">
        <f t="shared" si="10"/>
        <v>5157.0340630264673</v>
      </c>
      <c r="R106" s="320"/>
      <c r="S106" s="205"/>
      <c r="T106" s="106"/>
      <c r="U106" s="105"/>
      <c r="V106" s="105"/>
      <c r="W106" s="83"/>
      <c r="X106" s="1"/>
      <c r="CI106" s="83"/>
      <c r="CJ106" s="83"/>
      <c r="CK106" s="83"/>
      <c r="CL106" s="83"/>
      <c r="CM106" s="83"/>
      <c r="CN106" s="83"/>
      <c r="CO106" s="83"/>
    </row>
    <row r="107" spans="1:93" x14ac:dyDescent="0.3">
      <c r="A107" s="83"/>
      <c r="B107" s="104"/>
      <c r="C107" s="301"/>
      <c r="D107" s="268" t="s">
        <v>536</v>
      </c>
      <c r="E107" s="268" t="s">
        <v>674</v>
      </c>
      <c r="F107" s="314">
        <v>1</v>
      </c>
      <c r="G107" s="314" t="s">
        <v>354</v>
      </c>
      <c r="H107" s="314" t="s">
        <v>472</v>
      </c>
      <c r="I107" s="314" t="s">
        <v>226</v>
      </c>
      <c r="J107" s="314" t="str">
        <f>+IF(F107&gt;'Equipment Data'!$G$283,"yes","No")</f>
        <v>No</v>
      </c>
      <c r="K107" s="314">
        <v>0.67</v>
      </c>
      <c r="L107" s="314" t="s">
        <v>354</v>
      </c>
      <c r="M107" s="170">
        <f>+IF(AND(D107="Tower Packing",E107="Packing"),IF(F107&lt;'Equipment Data'!$G$283,10^('Equipment Data'!$C$283+'Equipment Data'!$D$283*LOG10(F107)+'Equipment Data'!$E$283*LOG10(F107)*LOG10(F107)),10^('Equipment Data'!$C$283+'Equipment Data'!$D$283*LOG10('Equipment Data'!$G$283)+'Equipment Data'!$E$283*LOG10('Equipment Data'!$G$283)*LOG10('Equipment Data'!$G$283))*(F107/'Equipment Data'!$G$283)^K107),"N/A")</f>
        <v>281.3843893712488</v>
      </c>
      <c r="N107" s="314" t="s">
        <v>354</v>
      </c>
      <c r="O107" s="314" t="s">
        <v>354</v>
      </c>
      <c r="P107" s="166">
        <f>+IF(I107="Ceramic",'Equipment Data'!$H$283,IF(I107="304 SS",'Equipment Data'!$H$284,IF(I107="Plastic Saddle",'Equipment Data'!$H$285,"N/A")))</f>
        <v>4.1399999999999997</v>
      </c>
      <c r="Q107" s="167">
        <f>+M107*P107</f>
        <v>1164.93137199697</v>
      </c>
      <c r="R107" s="306"/>
      <c r="S107" s="311"/>
      <c r="T107" s="106"/>
      <c r="U107" s="105"/>
      <c r="V107" s="105"/>
      <c r="W107" s="83"/>
      <c r="X107" s="1"/>
      <c r="CI107" s="83"/>
      <c r="CJ107" s="83"/>
      <c r="CK107" s="83"/>
      <c r="CL107" s="83"/>
      <c r="CM107" s="83"/>
      <c r="CN107" s="83"/>
      <c r="CO107" s="83"/>
    </row>
    <row r="108" spans="1:93" ht="14.4" customHeight="1" x14ac:dyDescent="0.3">
      <c r="A108" s="83"/>
      <c r="B108" s="104"/>
      <c r="C108" s="1015"/>
      <c r="D108" s="1016"/>
      <c r="E108" s="1016"/>
      <c r="F108" s="1016"/>
      <c r="G108" s="1016"/>
      <c r="H108" s="1016"/>
      <c r="I108" s="1016"/>
      <c r="J108" s="1016"/>
      <c r="K108" s="1016"/>
      <c r="L108" s="1016"/>
      <c r="M108" s="1016"/>
      <c r="N108" s="1016"/>
      <c r="O108" s="1016"/>
      <c r="P108" s="1016"/>
      <c r="Q108" s="1016"/>
      <c r="R108" s="1017"/>
      <c r="S108" s="1018"/>
      <c r="T108" s="106"/>
      <c r="U108" s="105"/>
      <c r="V108" s="105"/>
      <c r="W108" s="83"/>
      <c r="X108" s="1"/>
      <c r="CI108" s="83"/>
      <c r="CJ108" s="83"/>
      <c r="CK108" s="83"/>
      <c r="CL108" s="83"/>
      <c r="CM108" s="83"/>
      <c r="CN108" s="83"/>
      <c r="CO108" s="83"/>
    </row>
    <row r="109" spans="1:93" ht="14.4" customHeight="1" x14ac:dyDescent="0.3">
      <c r="A109" s="83"/>
      <c r="B109" s="104"/>
      <c r="C109" s="853"/>
      <c r="D109" s="854"/>
      <c r="E109" s="854"/>
      <c r="F109" s="854"/>
      <c r="G109" s="854"/>
      <c r="H109" s="854"/>
      <c r="I109" s="854"/>
      <c r="J109" s="854"/>
      <c r="K109" s="854"/>
      <c r="L109" s="854"/>
      <c r="M109" s="854"/>
      <c r="N109" s="854"/>
      <c r="O109" s="854"/>
      <c r="P109" s="854"/>
      <c r="Q109" s="854"/>
      <c r="R109" s="855"/>
      <c r="S109" s="1019"/>
      <c r="T109" s="106"/>
      <c r="U109" s="105"/>
      <c r="V109" s="105"/>
      <c r="W109" s="83"/>
      <c r="X109" s="1"/>
      <c r="CI109" s="83"/>
      <c r="CJ109" s="83"/>
      <c r="CK109" s="83"/>
      <c r="CL109" s="83"/>
      <c r="CM109" s="83"/>
      <c r="CN109" s="83"/>
      <c r="CO109" s="83"/>
    </row>
    <row r="110" spans="1:93" x14ac:dyDescent="0.3">
      <c r="A110" s="83"/>
      <c r="B110" s="107"/>
      <c r="C110" s="108"/>
      <c r="D110" s="108"/>
      <c r="E110" s="108"/>
      <c r="F110" s="108"/>
      <c r="G110" s="108"/>
      <c r="H110" s="108"/>
      <c r="I110" s="108"/>
      <c r="J110" s="108"/>
      <c r="K110" s="108"/>
      <c r="L110" s="108"/>
      <c r="M110" s="108"/>
      <c r="N110" s="108"/>
      <c r="O110" s="108"/>
      <c r="P110" s="108"/>
      <c r="Q110" s="108"/>
      <c r="R110" s="108"/>
      <c r="S110" s="108"/>
      <c r="T110" s="109"/>
      <c r="U110" s="105"/>
      <c r="V110" s="105"/>
      <c r="W110" s="83"/>
      <c r="X110" s="1"/>
      <c r="CI110" s="83"/>
      <c r="CJ110" s="83"/>
      <c r="CK110" s="83"/>
      <c r="CL110" s="83"/>
      <c r="CM110" s="83"/>
      <c r="CN110" s="83"/>
      <c r="CO110" s="83"/>
    </row>
    <row r="111" spans="1:93" x14ac:dyDescent="0.3">
      <c r="A111" s="83"/>
      <c r="B111" s="105"/>
      <c r="C111" s="105"/>
      <c r="D111" s="105"/>
      <c r="E111" s="105"/>
      <c r="F111" s="105"/>
      <c r="G111" s="105"/>
      <c r="H111" s="83"/>
      <c r="I111" s="83"/>
      <c r="J111" s="83"/>
      <c r="K111" s="83"/>
      <c r="L111" s="83"/>
      <c r="M111" s="83"/>
      <c r="N111" s="83"/>
      <c r="O111" s="83"/>
      <c r="P111" s="83"/>
      <c r="Q111" s="83"/>
      <c r="R111" s="83"/>
      <c r="S111" s="83"/>
      <c r="T111" s="83"/>
      <c r="U111" s="83"/>
      <c r="V111" s="105"/>
      <c r="W111" s="83"/>
      <c r="X111" s="1"/>
      <c r="CI111" s="83"/>
      <c r="CJ111" s="83"/>
      <c r="CK111" s="83"/>
      <c r="CL111" s="83"/>
      <c r="CM111" s="83"/>
      <c r="CN111" s="83"/>
      <c r="CO111" s="83"/>
    </row>
    <row r="112" spans="1:93" x14ac:dyDescent="0.3">
      <c r="A112" s="83"/>
      <c r="B112" s="1020"/>
      <c r="C112" s="1020"/>
      <c r="D112" s="1020"/>
      <c r="E112" s="1020"/>
      <c r="F112" s="1020"/>
      <c r="G112" s="1020"/>
      <c r="H112" s="197"/>
      <c r="I112" s="198"/>
      <c r="J112" s="198"/>
      <c r="K112" s="198"/>
      <c r="L112" s="198"/>
      <c r="M112" s="198"/>
      <c r="N112" s="198"/>
      <c r="O112" s="198"/>
      <c r="P112" s="198"/>
      <c r="Q112" s="198"/>
      <c r="R112" s="198"/>
      <c r="S112" s="198"/>
      <c r="T112" s="198"/>
      <c r="U112" s="198"/>
      <c r="V112" s="105"/>
      <c r="W112" s="83"/>
      <c r="X112" s="1"/>
      <c r="CI112" s="83"/>
      <c r="CJ112" s="83"/>
      <c r="CK112" s="83"/>
      <c r="CL112" s="83"/>
      <c r="CM112" s="83"/>
      <c r="CN112" s="83"/>
      <c r="CO112" s="83"/>
    </row>
    <row r="113" spans="1:93" x14ac:dyDescent="0.3">
      <c r="A113" s="83"/>
      <c r="B113" s="105"/>
      <c r="C113" s="1"/>
      <c r="D113" s="1"/>
      <c r="E113" s="1"/>
      <c r="F113" s="1"/>
      <c r="G113" s="1"/>
      <c r="H113" s="1"/>
      <c r="I113" s="1"/>
      <c r="J113" s="1"/>
      <c r="K113" s="1"/>
      <c r="L113" s="1"/>
      <c r="M113" s="1"/>
      <c r="N113" s="1"/>
      <c r="O113" s="1"/>
      <c r="P113" s="1"/>
      <c r="Q113" s="1"/>
      <c r="R113" s="1"/>
      <c r="S113" s="83"/>
      <c r="T113" s="83"/>
      <c r="U113" s="83"/>
      <c r="V113" s="83"/>
      <c r="W113" s="83"/>
      <c r="X113" s="83"/>
      <c r="CI113" s="83"/>
      <c r="CJ113" s="83"/>
      <c r="CK113" s="83"/>
      <c r="CL113" s="83"/>
      <c r="CM113" s="83"/>
      <c r="CN113" s="83"/>
      <c r="CO113" s="83"/>
    </row>
    <row r="114" spans="1:93" x14ac:dyDescent="0.3">
      <c r="A114" s="83"/>
      <c r="B114" s="105"/>
      <c r="T114" s="83"/>
      <c r="U114" s="83"/>
      <c r="V114" s="83"/>
      <c r="W114" s="83"/>
      <c r="X114" s="83"/>
      <c r="CI114" s="83"/>
      <c r="CJ114" s="83"/>
      <c r="CK114" s="83"/>
      <c r="CL114" s="83"/>
      <c r="CM114" s="83"/>
      <c r="CN114" s="83"/>
      <c r="CO114" s="83"/>
    </row>
    <row r="115" spans="1:93" x14ac:dyDescent="0.3">
      <c r="A115" s="83"/>
      <c r="B115" s="105"/>
      <c r="T115" s="83"/>
      <c r="U115" s="83"/>
      <c r="V115" s="105"/>
      <c r="W115" s="83"/>
      <c r="X115" s="83"/>
      <c r="CI115" s="83"/>
      <c r="CJ115" s="83"/>
      <c r="CK115" s="83"/>
      <c r="CL115" s="83"/>
      <c r="CM115" s="83"/>
      <c r="CN115" s="83"/>
      <c r="CO115" s="83"/>
    </row>
    <row r="116" spans="1:93" x14ac:dyDescent="0.3">
      <c r="A116" s="83"/>
      <c r="B116" s="105"/>
      <c r="T116" s="83"/>
      <c r="U116" s="83"/>
      <c r="V116" s="105"/>
      <c r="W116" s="83"/>
      <c r="X116" s="83"/>
      <c r="CI116" s="83"/>
      <c r="CJ116" s="83"/>
      <c r="CK116" s="83"/>
      <c r="CL116" s="83"/>
      <c r="CM116" s="83"/>
      <c r="CN116" s="83"/>
      <c r="CO116" s="83"/>
    </row>
    <row r="117" spans="1:93" x14ac:dyDescent="0.3">
      <c r="A117" s="83"/>
      <c r="B117" s="105"/>
      <c r="T117" s="83"/>
      <c r="U117" s="83"/>
      <c r="V117" s="105"/>
      <c r="W117" s="83"/>
      <c r="X117" s="83"/>
      <c r="CI117" s="83"/>
      <c r="CJ117" s="83"/>
      <c r="CK117" s="83"/>
      <c r="CL117" s="83"/>
      <c r="CM117" s="83"/>
      <c r="CN117" s="83"/>
      <c r="CO117" s="83"/>
    </row>
    <row r="118" spans="1:93" x14ac:dyDescent="0.3">
      <c r="A118" s="83"/>
      <c r="B118" s="105"/>
      <c r="T118" s="83"/>
      <c r="U118" s="83"/>
      <c r="V118" s="105"/>
      <c r="W118" s="83"/>
      <c r="X118" s="83"/>
      <c r="CI118" s="83"/>
      <c r="CJ118" s="83"/>
      <c r="CK118" s="83"/>
      <c r="CL118" s="83"/>
      <c r="CM118" s="83"/>
      <c r="CN118" s="83"/>
      <c r="CO118" s="83"/>
    </row>
    <row r="119" spans="1:93" x14ac:dyDescent="0.3">
      <c r="A119" s="83"/>
      <c r="B119" s="105"/>
      <c r="T119" s="83"/>
      <c r="U119" s="83"/>
      <c r="V119" s="105"/>
      <c r="W119" s="83"/>
      <c r="X119" s="83"/>
      <c r="CI119" s="83"/>
      <c r="CJ119" s="83"/>
      <c r="CK119" s="83"/>
      <c r="CL119" s="83"/>
      <c r="CM119" s="83"/>
      <c r="CN119" s="83"/>
      <c r="CO119" s="83"/>
    </row>
    <row r="120" spans="1:93" x14ac:dyDescent="0.3">
      <c r="A120" s="83"/>
      <c r="B120" s="105"/>
      <c r="T120" s="83"/>
      <c r="U120" s="83"/>
      <c r="V120" s="105"/>
      <c r="W120" s="83"/>
      <c r="X120" s="83"/>
      <c r="CI120" s="83"/>
      <c r="CJ120" s="83"/>
      <c r="CK120" s="83"/>
      <c r="CL120" s="83"/>
      <c r="CM120" s="83"/>
      <c r="CN120" s="83"/>
      <c r="CO120" s="83"/>
    </row>
  </sheetData>
  <mergeCells count="15">
    <mergeCell ref="CH8:CM9"/>
    <mergeCell ref="C108:R109"/>
    <mergeCell ref="S108:S109"/>
    <mergeCell ref="B112:G112"/>
    <mergeCell ref="C3:G3"/>
    <mergeCell ref="H3:I3"/>
    <mergeCell ref="K3:S3"/>
    <mergeCell ref="K4:S4"/>
    <mergeCell ref="D11:L11"/>
    <mergeCell ref="D5:E5"/>
    <mergeCell ref="H5:I5"/>
    <mergeCell ref="K5:S9"/>
    <mergeCell ref="C6:C7"/>
    <mergeCell ref="C8:C9"/>
    <mergeCell ref="M11:Q11"/>
  </mergeCells>
  <phoneticPr fontId="14" type="noConversion"/>
  <hyperlinks>
    <hyperlink ref="E6" r:id="rId1" display="https://richardturton.faculty.wvu.edu/publications/analysis-synthesis-and-design-of-chemical-processes-5th-edition" xr:uid="{5F269422-52F1-4F01-87D0-5763E08BD69E}"/>
  </hyperlinks>
  <pageMargins left="0.7" right="0.7" top="0.75" bottom="0.75" header="0.3" footer="0.3"/>
  <pageSetup paperSize="9"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2769" r:id="rId5" name="Button 1">
              <controlPr defaultSize="0" print="0" autoFill="0" autoPict="0" macro="[0]!Plant">
                <anchor moveWithCells="1" sizeWithCells="1">
                  <from>
                    <xdr:col>2</xdr:col>
                    <xdr:colOff>38100</xdr:colOff>
                    <xdr:row>7</xdr:row>
                    <xdr:rowOff>30480</xdr:rowOff>
                  </from>
                  <to>
                    <xdr:col>2</xdr:col>
                    <xdr:colOff>1363980</xdr:colOff>
                    <xdr:row>8</xdr:row>
                    <xdr:rowOff>182880</xdr:rowOff>
                  </to>
                </anchor>
              </controlPr>
            </control>
          </mc:Choice>
        </mc:AlternateContent>
      </controls>
    </mc:Choice>
  </mc:AlternateContent>
  <tableParts count="59">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4"/>
  <dimension ref="B1:L46"/>
  <sheetViews>
    <sheetView showGridLines="0" zoomScale="40" zoomScaleNormal="40" workbookViewId="0">
      <selection activeCell="L47" sqref="L47"/>
    </sheetView>
  </sheetViews>
  <sheetFormatPr defaultColWidth="11.109375" defaultRowHeight="14.4" x14ac:dyDescent="0.3"/>
  <cols>
    <col min="1" max="1" width="2.5546875" customWidth="1"/>
    <col min="2" max="3" width="34.109375" customWidth="1"/>
    <col min="4" max="5" width="95.88671875" customWidth="1"/>
    <col min="6" max="6" width="4.44140625" customWidth="1"/>
  </cols>
  <sheetData>
    <row r="1" spans="2:12" x14ac:dyDescent="0.3">
      <c r="C1" s="92"/>
      <c r="D1" s="92"/>
      <c r="E1" s="92"/>
      <c r="F1" s="92"/>
      <c r="G1" s="92"/>
      <c r="H1" s="92"/>
      <c r="I1" s="92"/>
      <c r="J1" s="92"/>
      <c r="K1" s="92"/>
      <c r="L1" s="92"/>
    </row>
    <row r="2" spans="2:12" ht="27" customHeight="1" x14ac:dyDescent="0.3">
      <c r="B2" s="879" t="s">
        <v>358</v>
      </c>
      <c r="C2" s="880"/>
      <c r="D2" s="880"/>
      <c r="E2" s="881"/>
      <c r="F2" s="92"/>
      <c r="G2" s="92"/>
      <c r="H2" s="92"/>
      <c r="I2" s="92"/>
      <c r="J2" s="92"/>
      <c r="K2" s="92"/>
      <c r="L2" s="92"/>
    </row>
    <row r="3" spans="2:12" ht="27" customHeight="1" x14ac:dyDescent="0.3">
      <c r="B3" s="553" t="s">
        <v>699</v>
      </c>
      <c r="C3" s="657" t="s">
        <v>360</v>
      </c>
      <c r="D3" s="658" t="s">
        <v>580</v>
      </c>
      <c r="E3" s="659" t="s">
        <v>700</v>
      </c>
      <c r="F3" s="92"/>
      <c r="G3" s="92"/>
      <c r="H3" s="92"/>
      <c r="I3" s="92"/>
      <c r="J3" s="92"/>
      <c r="K3" s="92"/>
      <c r="L3" s="92"/>
    </row>
    <row r="4" spans="2:12" ht="27" customHeight="1" x14ac:dyDescent="0.3">
      <c r="B4" s="655"/>
      <c r="C4" s="655"/>
      <c r="D4" s="655"/>
      <c r="E4" s="653"/>
      <c r="G4" s="126"/>
      <c r="H4" s="126"/>
      <c r="I4" s="126"/>
      <c r="J4" s="126"/>
      <c r="K4" s="126"/>
      <c r="L4" s="92"/>
    </row>
    <row r="5" spans="2:12" ht="27" customHeight="1" x14ac:dyDescent="0.3">
      <c r="B5" s="655"/>
      <c r="C5" s="655"/>
      <c r="D5" s="655"/>
      <c r="E5" s="653"/>
      <c r="G5" s="125"/>
      <c r="H5" s="125"/>
      <c r="I5" s="125"/>
      <c r="J5" s="125"/>
      <c r="K5" s="125"/>
      <c r="L5" s="92"/>
    </row>
    <row r="6" spans="2:12" ht="27" customHeight="1" x14ac:dyDescent="0.3">
      <c r="B6" s="655"/>
      <c r="C6" s="655"/>
      <c r="D6" s="655"/>
      <c r="E6" s="653"/>
      <c r="G6" s="125"/>
      <c r="H6" s="125"/>
      <c r="I6" s="125"/>
      <c r="J6" s="125"/>
      <c r="K6" s="125"/>
      <c r="L6" s="92"/>
    </row>
    <row r="7" spans="2:12" ht="27" customHeight="1" x14ac:dyDescent="0.3">
      <c r="B7" s="655"/>
      <c r="C7" s="655"/>
      <c r="D7" s="655"/>
      <c r="E7" s="653"/>
      <c r="G7" s="125"/>
      <c r="H7" s="125"/>
      <c r="I7" s="125"/>
      <c r="J7" s="125"/>
      <c r="K7" s="125"/>
      <c r="L7" s="92"/>
    </row>
    <row r="8" spans="2:12" ht="27" customHeight="1" x14ac:dyDescent="0.3">
      <c r="B8" s="655"/>
      <c r="C8" s="655"/>
      <c r="D8" s="655"/>
      <c r="E8" s="653"/>
      <c r="G8" s="125"/>
      <c r="H8" s="125"/>
      <c r="I8" s="125"/>
      <c r="J8" s="125"/>
      <c r="K8" s="125"/>
      <c r="L8" s="92"/>
    </row>
    <row r="9" spans="2:12" ht="27" customHeight="1" x14ac:dyDescent="0.3">
      <c r="B9" s="655"/>
      <c r="C9" s="655"/>
      <c r="D9" s="655"/>
      <c r="E9" s="653"/>
      <c r="G9" s="125"/>
      <c r="H9" s="125"/>
      <c r="I9" s="125"/>
      <c r="J9" s="125"/>
      <c r="K9" s="125"/>
      <c r="L9" s="92"/>
    </row>
    <row r="10" spans="2:12" ht="27" customHeight="1" x14ac:dyDescent="0.3">
      <c r="B10" s="655"/>
      <c r="C10" s="655"/>
      <c r="D10" s="655"/>
      <c r="E10" s="653"/>
      <c r="G10" s="125"/>
      <c r="H10" s="125"/>
      <c r="I10" s="125"/>
      <c r="J10" s="125"/>
      <c r="K10" s="125"/>
      <c r="L10" s="92"/>
    </row>
    <row r="11" spans="2:12" ht="27" customHeight="1" x14ac:dyDescent="0.3">
      <c r="B11" s="655"/>
      <c r="C11" s="655"/>
      <c r="D11" s="655"/>
      <c r="E11" s="653"/>
      <c r="G11" s="125"/>
      <c r="H11" s="125"/>
      <c r="I11" s="125"/>
      <c r="J11" s="125"/>
      <c r="K11" s="125"/>
      <c r="L11" s="92"/>
    </row>
    <row r="12" spans="2:12" ht="27" customHeight="1" x14ac:dyDescent="0.3">
      <c r="B12" s="655"/>
      <c r="C12" s="655"/>
      <c r="D12" s="655"/>
      <c r="E12" s="653"/>
      <c r="G12" s="125"/>
      <c r="H12" s="125"/>
      <c r="I12" s="125"/>
      <c r="J12" s="125"/>
      <c r="K12" s="125"/>
      <c r="L12" s="92"/>
    </row>
    <row r="13" spans="2:12" ht="27" customHeight="1" x14ac:dyDescent="0.3">
      <c r="B13" s="655"/>
      <c r="C13" s="655"/>
      <c r="D13" s="655"/>
      <c r="E13" s="653"/>
      <c r="G13" s="125"/>
      <c r="H13" s="125"/>
      <c r="I13" s="125"/>
      <c r="J13" s="125"/>
      <c r="K13" s="125"/>
      <c r="L13" s="92"/>
    </row>
    <row r="14" spans="2:12" ht="27" customHeight="1" x14ac:dyDescent="0.3">
      <c r="B14" s="655"/>
      <c r="C14" s="655"/>
      <c r="D14" s="655"/>
      <c r="E14" s="653"/>
      <c r="G14" s="125"/>
      <c r="H14" s="125"/>
      <c r="I14" s="125"/>
      <c r="J14" s="125"/>
      <c r="K14" s="125"/>
      <c r="L14" s="92"/>
    </row>
    <row r="15" spans="2:12" ht="27" customHeight="1" x14ac:dyDescent="0.3">
      <c r="B15" s="655"/>
      <c r="C15" s="655"/>
      <c r="D15" s="655"/>
      <c r="E15" s="653"/>
      <c r="G15" s="125"/>
      <c r="H15" s="125"/>
      <c r="I15" s="125"/>
      <c r="J15" s="125"/>
      <c r="K15" s="125"/>
      <c r="L15" s="92"/>
    </row>
    <row r="16" spans="2:12" ht="27" customHeight="1" x14ac:dyDescent="0.3">
      <c r="B16" s="655"/>
      <c r="C16" s="655"/>
      <c r="D16" s="655"/>
      <c r="E16" s="653"/>
      <c r="G16" s="125"/>
      <c r="H16" s="125"/>
      <c r="I16" s="125"/>
      <c r="J16" s="125"/>
      <c r="K16" s="125"/>
      <c r="L16" s="92"/>
    </row>
    <row r="17" spans="2:12" ht="27" customHeight="1" x14ac:dyDescent="0.3">
      <c r="B17" s="655"/>
      <c r="C17" s="655"/>
      <c r="D17" s="655"/>
      <c r="E17" s="653"/>
      <c r="G17" s="125"/>
      <c r="H17" s="125"/>
      <c r="I17" s="125"/>
      <c r="J17" s="125"/>
      <c r="K17" s="125"/>
      <c r="L17" s="92"/>
    </row>
    <row r="18" spans="2:12" ht="27" customHeight="1" x14ac:dyDescent="0.3">
      <c r="B18" s="655"/>
      <c r="C18" s="655"/>
      <c r="D18" s="655"/>
      <c r="E18" s="653"/>
      <c r="G18" s="125"/>
      <c r="H18" s="125"/>
      <c r="I18" s="125"/>
      <c r="J18" s="125"/>
      <c r="K18" s="125"/>
      <c r="L18" s="92"/>
    </row>
    <row r="19" spans="2:12" ht="27" customHeight="1" x14ac:dyDescent="0.3">
      <c r="B19" s="655"/>
      <c r="C19" s="655"/>
      <c r="D19" s="655"/>
      <c r="E19" s="653"/>
      <c r="G19" s="125"/>
      <c r="H19" s="125"/>
      <c r="I19" s="125"/>
      <c r="J19" s="125"/>
      <c r="K19" s="125"/>
      <c r="L19" s="92"/>
    </row>
    <row r="20" spans="2:12" ht="27" customHeight="1" x14ac:dyDescent="0.3">
      <c r="B20" s="655"/>
      <c r="C20" s="655"/>
      <c r="D20" s="655"/>
      <c r="E20" s="653"/>
      <c r="G20" s="125"/>
      <c r="H20" s="125"/>
      <c r="I20" s="125"/>
      <c r="J20" s="125"/>
      <c r="K20" s="125"/>
      <c r="L20" s="92"/>
    </row>
    <row r="21" spans="2:12" ht="27" customHeight="1" x14ac:dyDescent="0.3">
      <c r="B21" s="655"/>
      <c r="C21" s="655"/>
      <c r="D21" s="655"/>
      <c r="E21" s="653"/>
      <c r="G21" s="125"/>
      <c r="H21" s="125"/>
      <c r="I21" s="125"/>
      <c r="J21" s="125"/>
      <c r="K21" s="125"/>
      <c r="L21" s="92"/>
    </row>
    <row r="22" spans="2:12" ht="27" customHeight="1" x14ac:dyDescent="0.3">
      <c r="B22" s="655"/>
      <c r="C22" s="655"/>
      <c r="D22" s="655"/>
      <c r="E22" s="653"/>
      <c r="G22" s="125"/>
      <c r="H22" s="125"/>
      <c r="I22" s="125"/>
      <c r="J22" s="125"/>
      <c r="K22" s="125"/>
      <c r="L22" s="92"/>
    </row>
    <row r="23" spans="2:12" ht="27" customHeight="1" x14ac:dyDescent="0.3">
      <c r="B23" s="655"/>
      <c r="C23" s="655"/>
      <c r="D23" s="655"/>
      <c r="E23" s="653"/>
      <c r="G23" s="125"/>
      <c r="H23" s="125"/>
      <c r="I23" s="125"/>
      <c r="J23" s="125"/>
      <c r="K23" s="125"/>
      <c r="L23" s="92"/>
    </row>
    <row r="24" spans="2:12" ht="27" customHeight="1" x14ac:dyDescent="0.3">
      <c r="B24" s="655"/>
      <c r="C24" s="655"/>
      <c r="D24" s="655"/>
      <c r="E24" s="653"/>
      <c r="G24" s="125"/>
      <c r="H24" s="125"/>
      <c r="I24" s="125"/>
      <c r="J24" s="125"/>
      <c r="K24" s="125"/>
      <c r="L24" s="92"/>
    </row>
    <row r="25" spans="2:12" ht="27" customHeight="1" x14ac:dyDescent="0.3">
      <c r="B25" s="655"/>
      <c r="C25" s="655"/>
      <c r="D25" s="655"/>
      <c r="E25" s="653"/>
      <c r="G25" s="125"/>
      <c r="H25" s="125"/>
      <c r="I25" s="125"/>
      <c r="J25" s="125"/>
      <c r="K25" s="125"/>
      <c r="L25" s="92"/>
    </row>
    <row r="26" spans="2:12" ht="27" customHeight="1" x14ac:dyDescent="0.3">
      <c r="B26" s="655"/>
      <c r="C26" s="655"/>
      <c r="D26" s="655"/>
      <c r="E26" s="653"/>
      <c r="G26" s="125"/>
      <c r="H26" s="125"/>
      <c r="I26" s="125"/>
      <c r="J26" s="125"/>
      <c r="K26" s="125"/>
      <c r="L26" s="92"/>
    </row>
    <row r="27" spans="2:12" ht="27" customHeight="1" x14ac:dyDescent="0.3">
      <c r="B27" s="655"/>
      <c r="C27" s="655"/>
      <c r="D27" s="655"/>
      <c r="E27" s="653"/>
      <c r="G27" s="125"/>
      <c r="H27" s="125"/>
      <c r="I27" s="125"/>
      <c r="J27" s="125"/>
      <c r="K27" s="125"/>
      <c r="L27" s="92"/>
    </row>
    <row r="28" spans="2:12" ht="27" customHeight="1" x14ac:dyDescent="0.3">
      <c r="B28" s="655"/>
      <c r="C28" s="655"/>
      <c r="D28" s="655"/>
      <c r="E28" s="653"/>
      <c r="G28" s="125"/>
      <c r="H28" s="125"/>
      <c r="I28" s="125"/>
      <c r="J28" s="125"/>
      <c r="K28" s="125"/>
      <c r="L28" s="92"/>
    </row>
    <row r="29" spans="2:12" ht="27" customHeight="1" x14ac:dyDescent="0.3">
      <c r="B29" s="655"/>
      <c r="C29" s="655"/>
      <c r="D29" s="655"/>
      <c r="E29" s="653"/>
      <c r="G29" s="125"/>
      <c r="H29" s="125"/>
      <c r="I29" s="125"/>
      <c r="J29" s="125"/>
      <c r="K29" s="125"/>
      <c r="L29" s="92"/>
    </row>
    <row r="30" spans="2:12" ht="27" customHeight="1" x14ac:dyDescent="0.3">
      <c r="B30" s="655"/>
      <c r="C30" s="655"/>
      <c r="D30" s="655"/>
      <c r="E30" s="653"/>
      <c r="G30" s="125"/>
      <c r="H30" s="125"/>
      <c r="I30" s="125"/>
      <c r="J30" s="125"/>
      <c r="K30" s="125"/>
      <c r="L30" s="92"/>
    </row>
    <row r="31" spans="2:12" ht="27" customHeight="1" x14ac:dyDescent="0.3">
      <c r="B31" s="655"/>
      <c r="C31" s="655"/>
      <c r="D31" s="655"/>
      <c r="E31" s="653"/>
      <c r="G31" s="125"/>
      <c r="H31" s="125"/>
      <c r="I31" s="125"/>
      <c r="J31" s="125"/>
      <c r="K31" s="125"/>
      <c r="L31" s="92"/>
    </row>
    <row r="32" spans="2:12" ht="27" customHeight="1" x14ac:dyDescent="0.3">
      <c r="B32" s="655"/>
      <c r="C32" s="655"/>
      <c r="D32" s="655"/>
      <c r="E32" s="653"/>
      <c r="G32" s="125"/>
      <c r="H32" s="125"/>
      <c r="I32" s="125"/>
      <c r="J32" s="125"/>
      <c r="K32" s="125"/>
      <c r="L32" s="92"/>
    </row>
    <row r="33" spans="2:12" ht="27" customHeight="1" x14ac:dyDescent="0.3">
      <c r="B33" s="655"/>
      <c r="C33" s="655"/>
      <c r="D33" s="655"/>
      <c r="E33" s="653"/>
      <c r="G33" s="125"/>
      <c r="H33" s="125"/>
      <c r="I33" s="125"/>
      <c r="J33" s="125"/>
      <c r="K33" s="125"/>
      <c r="L33" s="92"/>
    </row>
    <row r="34" spans="2:12" ht="27" customHeight="1" x14ac:dyDescent="0.3">
      <c r="B34" s="655"/>
      <c r="C34" s="655"/>
      <c r="D34" s="655"/>
      <c r="E34" s="653"/>
      <c r="G34" s="125"/>
      <c r="H34" s="125"/>
      <c r="I34" s="125"/>
      <c r="J34" s="125"/>
      <c r="K34" s="125"/>
      <c r="L34" s="92"/>
    </row>
    <row r="35" spans="2:12" ht="27" customHeight="1" x14ac:dyDescent="0.3">
      <c r="B35" s="655"/>
      <c r="C35" s="655"/>
      <c r="D35" s="655"/>
      <c r="E35" s="653"/>
      <c r="G35" s="125"/>
      <c r="H35" s="125"/>
      <c r="I35" s="125"/>
      <c r="J35" s="125"/>
      <c r="K35" s="125"/>
      <c r="L35" s="92"/>
    </row>
    <row r="36" spans="2:12" ht="27" customHeight="1" x14ac:dyDescent="0.3">
      <c r="B36" s="655"/>
      <c r="C36" s="655"/>
      <c r="D36" s="655"/>
      <c r="E36" s="653"/>
      <c r="G36" s="125"/>
      <c r="H36" s="125"/>
      <c r="I36" s="125"/>
      <c r="J36" s="125"/>
      <c r="K36" s="125"/>
      <c r="L36" s="92"/>
    </row>
    <row r="37" spans="2:12" ht="27" customHeight="1" x14ac:dyDescent="0.3">
      <c r="B37" s="193"/>
      <c r="C37" s="193"/>
      <c r="D37" s="193"/>
      <c r="E37" s="656"/>
      <c r="G37" s="125"/>
      <c r="H37" s="125"/>
      <c r="I37" s="125"/>
      <c r="J37" s="125"/>
      <c r="K37" s="125"/>
      <c r="L37" s="92"/>
    </row>
    <row r="38" spans="2:12" x14ac:dyDescent="0.3">
      <c r="G38" s="125"/>
      <c r="H38" s="125"/>
      <c r="I38" s="125"/>
      <c r="J38" s="125"/>
      <c r="K38" s="125"/>
      <c r="L38" s="92"/>
    </row>
    <row r="39" spans="2:12" x14ac:dyDescent="0.3">
      <c r="G39" s="92"/>
      <c r="H39" s="92"/>
      <c r="I39" s="92"/>
      <c r="J39" s="92"/>
      <c r="K39" s="92"/>
      <c r="L39" s="92"/>
    </row>
    <row r="40" spans="2:12" x14ac:dyDescent="0.3">
      <c r="C40" s="92"/>
      <c r="D40" s="92"/>
      <c r="E40" s="92"/>
      <c r="F40" s="92"/>
      <c r="G40" s="92"/>
      <c r="H40" s="92"/>
      <c r="I40" s="92"/>
      <c r="J40" s="92"/>
      <c r="K40" s="92"/>
      <c r="L40" s="92"/>
    </row>
    <row r="41" spans="2:12" x14ac:dyDescent="0.3">
      <c r="C41" s="92"/>
      <c r="D41" s="92"/>
      <c r="E41" s="92"/>
      <c r="F41" s="92"/>
      <c r="G41" s="92"/>
      <c r="H41" s="92"/>
      <c r="I41" s="92"/>
      <c r="J41" s="92"/>
      <c r="K41" s="92"/>
      <c r="L41" s="92"/>
    </row>
    <row r="42" spans="2:12" x14ac:dyDescent="0.3">
      <c r="C42" s="92"/>
      <c r="D42" s="92"/>
      <c r="E42" s="92"/>
      <c r="F42" s="92"/>
      <c r="G42" s="92"/>
      <c r="H42" s="92"/>
      <c r="I42" s="92"/>
      <c r="J42" s="92"/>
      <c r="K42" s="92"/>
      <c r="L42" s="92"/>
    </row>
    <row r="43" spans="2:12" x14ac:dyDescent="0.3">
      <c r="C43" s="92"/>
      <c r="D43" s="92"/>
      <c r="E43" s="92"/>
      <c r="F43" s="92"/>
      <c r="G43" s="92"/>
      <c r="H43" s="92"/>
      <c r="I43" s="92"/>
      <c r="J43" s="92"/>
      <c r="K43" s="92"/>
      <c r="L43" s="92"/>
    </row>
    <row r="44" spans="2:12" x14ac:dyDescent="0.3">
      <c r="C44" s="92"/>
      <c r="D44" s="92"/>
      <c r="E44" s="92"/>
      <c r="F44" s="92"/>
      <c r="G44" s="92"/>
      <c r="H44" s="92"/>
      <c r="I44" s="92"/>
      <c r="J44" s="92"/>
      <c r="K44" s="92"/>
      <c r="L44" s="92"/>
    </row>
    <row r="45" spans="2:12" x14ac:dyDescent="0.3">
      <c r="C45" s="92"/>
      <c r="D45" s="92"/>
      <c r="E45" s="92"/>
      <c r="F45" s="92"/>
      <c r="G45" s="92"/>
      <c r="H45" s="92"/>
      <c r="I45" s="92"/>
      <c r="J45" s="92"/>
      <c r="K45" s="92"/>
      <c r="L45" s="92"/>
    </row>
    <row r="46" spans="2:12" x14ac:dyDescent="0.3">
      <c r="C46" s="92"/>
      <c r="D46" s="92"/>
      <c r="E46" s="92"/>
      <c r="F46" s="92"/>
      <c r="G46" s="92"/>
      <c r="H46" s="92"/>
      <c r="I46" s="92"/>
      <c r="J46" s="92"/>
      <c r="K46" s="92"/>
      <c r="L46" s="92"/>
    </row>
  </sheetData>
  <mergeCells count="1">
    <mergeCell ref="B2:E2"/>
  </mergeCells>
  <pageMargins left="0.7" right="0.7" top="0.75" bottom="0.75" header="0.3" footer="0.3"/>
  <pageSetup paperSize="9" orientation="portrait" verticalDpi="0"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9B26D-8CAE-42A5-A917-EBD8EAB552A7}">
  <sheetPr codeName="Hoja30"/>
  <dimension ref="A1:DC948"/>
  <sheetViews>
    <sheetView showGridLines="0" zoomScale="85" zoomScaleNormal="85" workbookViewId="0">
      <selection activeCell="J2" sqref="J2:K2"/>
    </sheetView>
  </sheetViews>
  <sheetFormatPr defaultColWidth="11.109375" defaultRowHeight="14.4" x14ac:dyDescent="0.3"/>
  <cols>
    <col min="6" max="6" width="14.109375" bestFit="1" customWidth="1"/>
    <col min="10" max="10" width="16.109375" bestFit="1" customWidth="1"/>
    <col min="11" max="11" width="21.5546875" bestFit="1" customWidth="1"/>
  </cols>
  <sheetData>
    <row r="1" spans="1:107"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row>
    <row r="2" spans="1:107" x14ac:dyDescent="0.3">
      <c r="A2" s="83"/>
      <c r="B2" s="368" t="s">
        <v>490</v>
      </c>
      <c r="C2" s="186" t="s">
        <v>314</v>
      </c>
      <c r="D2" s="370" t="s">
        <v>491</v>
      </c>
      <c r="E2" s="83"/>
      <c r="F2" s="374" t="s">
        <v>477</v>
      </c>
      <c r="G2" s="362" t="s">
        <v>603</v>
      </c>
      <c r="H2" s="292" t="s">
        <v>492</v>
      </c>
      <c r="I2" s="83"/>
      <c r="J2" s="1033" t="s">
        <v>493</v>
      </c>
      <c r="K2" s="1034"/>
      <c r="L2" s="371">
        <v>1.2</v>
      </c>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row>
    <row r="3" spans="1:107" x14ac:dyDescent="0.3">
      <c r="A3" s="83"/>
      <c r="B3" s="372">
        <v>1995</v>
      </c>
      <c r="C3" s="372">
        <v>381.1</v>
      </c>
      <c r="D3" s="272" cm="1">
        <f t="array" aca="1" ref="D3" ca="1">INDIRECT(ADDRESS(MATCH('Plant Overview'!$E$8,'Cost Conversion'!$B$3:$B$48,0)+2,3))/C3</f>
        <v>1.6502230385725529</v>
      </c>
      <c r="E3" s="83"/>
      <c r="F3" s="185" t="s">
        <v>478</v>
      </c>
      <c r="G3" s="363">
        <v>1</v>
      </c>
      <c r="H3" s="272" cm="1">
        <f t="array" aca="1" ref="H3" ca="1">INDIRECT(ADDRESS(MATCH('Plant Overview'!$E$7,'Cost Conversion'!$F$3:$F$22,0)+2,7))/G3</f>
        <v>1.2</v>
      </c>
      <c r="I3" s="83"/>
      <c r="J3" s="83"/>
      <c r="K3" s="83"/>
      <c r="L3" s="83"/>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row>
    <row r="4" spans="1:107" x14ac:dyDescent="0.3">
      <c r="A4" s="83"/>
      <c r="B4" s="116">
        <v>1996</v>
      </c>
      <c r="C4" s="116">
        <v>381.7</v>
      </c>
      <c r="D4" s="273" cm="1">
        <f t="array" aca="1" ref="D4" ca="1">INDIRECT(ADDRESS(MATCH('Plant Overview'!$E$8,'Cost Conversion'!$B$3:$B$48,0)+2,3))/C4</f>
        <v>1.6476290280324863</v>
      </c>
      <c r="E4" s="83"/>
      <c r="F4" s="163" t="s">
        <v>479</v>
      </c>
      <c r="G4" s="358">
        <v>0.95</v>
      </c>
      <c r="H4" s="273" cm="1">
        <f t="array" aca="1" ref="H4" ca="1">INDIRECT(ADDRESS(MATCH('Plant Overview'!$E$7,'Cost Conversion'!$F$3:$F$22,0)+2,7))/G4</f>
        <v>1.263157894736842</v>
      </c>
      <c r="I4" s="83"/>
      <c r="J4" s="83"/>
      <c r="K4" s="83"/>
      <c r="L4" s="83"/>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row>
    <row r="5" spans="1:107" x14ac:dyDescent="0.3">
      <c r="A5" s="83"/>
      <c r="B5" s="116">
        <v>1997</v>
      </c>
      <c r="C5" s="116">
        <v>386.5</v>
      </c>
      <c r="D5" s="273" cm="1">
        <f t="array" aca="1" ref="D5" ca="1">INDIRECT(ADDRESS(MATCH('Plant Overview'!$E$8,'Cost Conversion'!$B$3:$B$48,0)+2,3))/C5</f>
        <v>1.6271668822768435</v>
      </c>
      <c r="E5" s="83"/>
      <c r="F5" s="163" t="s">
        <v>480</v>
      </c>
      <c r="G5" s="358">
        <v>1.1000000000000001</v>
      </c>
      <c r="H5" s="273" cm="1">
        <f t="array" aca="1" ref="H5" ca="1">INDIRECT(ADDRESS(MATCH('Plant Overview'!$E$7,'Cost Conversion'!$F$3:$F$22,0)+2,7))/G5</f>
        <v>1.0909090909090908</v>
      </c>
      <c r="I5" s="83"/>
      <c r="J5" s="83"/>
      <c r="K5" s="83"/>
      <c r="L5" s="83"/>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row>
    <row r="6" spans="1:107" x14ac:dyDescent="0.3">
      <c r="A6" s="83"/>
      <c r="B6" s="116">
        <v>1998</v>
      </c>
      <c r="C6" s="116">
        <v>389.5</v>
      </c>
      <c r="D6" s="273" cm="1">
        <f t="array" aca="1" ref="D6" ca="1">INDIRECT(ADDRESS(MATCH('Plant Overview'!$E$8,'Cost Conversion'!$B$3:$B$48,0)+2,3))/C6</f>
        <v>1.6146341463414633</v>
      </c>
      <c r="E6" s="83"/>
      <c r="F6" s="163" t="s">
        <v>481</v>
      </c>
      <c r="G6" s="358">
        <v>1.1499999999999999</v>
      </c>
      <c r="H6" s="273" cm="1">
        <f t="array" aca="1" ref="H6" ca="1">INDIRECT(ADDRESS(MATCH('Plant Overview'!$E$7,'Cost Conversion'!$F$3:$F$22,0)+2,7))/G6</f>
        <v>1.0434782608695652</v>
      </c>
      <c r="I6" s="83"/>
      <c r="J6" s="83"/>
      <c r="K6" s="83"/>
      <c r="L6" s="83"/>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row>
    <row r="7" spans="1:107" x14ac:dyDescent="0.3">
      <c r="A7" s="83"/>
      <c r="B7" s="116">
        <v>1999</v>
      </c>
      <c r="C7" s="116">
        <v>390.6</v>
      </c>
      <c r="D7" s="273" cm="1">
        <f t="array" aca="1" ref="D7" ca="1">INDIRECT(ADDRESS(MATCH('Plant Overview'!$E$8,'Cost Conversion'!$B$3:$B$48,0)+2,3))/C7</f>
        <v>1.6100870455709164</v>
      </c>
      <c r="E7" s="83"/>
      <c r="F7" s="163" t="s">
        <v>482</v>
      </c>
      <c r="G7" s="358">
        <v>1.25</v>
      </c>
      <c r="H7" s="273" cm="1">
        <f t="array" aca="1" ref="H7" ca="1">INDIRECT(ADDRESS(MATCH('Plant Overview'!$E$7,'Cost Conversion'!$F$3:$F$22,0)+2,7))/G7</f>
        <v>0.96</v>
      </c>
      <c r="I7" s="83"/>
      <c r="J7" s="83"/>
      <c r="K7" s="83"/>
      <c r="L7" s="83"/>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row>
    <row r="8" spans="1:107" x14ac:dyDescent="0.3">
      <c r="A8" s="83"/>
      <c r="B8" s="116">
        <v>2000</v>
      </c>
      <c r="C8" s="116">
        <v>394.1</v>
      </c>
      <c r="D8" s="273" cm="1">
        <f t="array" aca="1" ref="D8" ca="1">INDIRECT(ADDRESS(MATCH('Plant Overview'!$E$8,'Cost Conversion'!$B$3:$B$48,0)+2,3))/C8</f>
        <v>1.5957878710987057</v>
      </c>
      <c r="E8" s="83"/>
      <c r="F8" s="163" t="s">
        <v>488</v>
      </c>
      <c r="G8" s="358">
        <v>1.2</v>
      </c>
      <c r="H8" s="273" cm="1">
        <f t="array" aca="1" ref="H8" ca="1">INDIRECT(ADDRESS(MATCH('Plant Overview'!$E$7,'Cost Conversion'!$F$3:$F$22,0)+2,7))/G8</f>
        <v>1</v>
      </c>
      <c r="I8" s="83"/>
      <c r="J8" s="83"/>
      <c r="K8" s="83"/>
      <c r="L8" s="83"/>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row>
    <row r="9" spans="1:107" x14ac:dyDescent="0.3">
      <c r="A9" s="83"/>
      <c r="B9" s="116">
        <v>2001</v>
      </c>
      <c r="C9" s="116">
        <v>394.3</v>
      </c>
      <c r="D9" s="273" cm="1">
        <f t="array" aca="1" ref="D9" ca="1">INDIRECT(ADDRESS(MATCH('Plant Overview'!$E$8,'Cost Conversion'!$B$3:$B$48,0)+2,3))/C9</f>
        <v>1.5949784428100431</v>
      </c>
      <c r="E9" s="83"/>
      <c r="F9" s="163" t="s">
        <v>600</v>
      </c>
      <c r="G9" s="336">
        <v>0.9</v>
      </c>
      <c r="H9" s="273" cm="1">
        <f t="array" aca="1" ref="H9" ca="1">INDIRECT(ADDRESS(MATCH('Plant Overview'!$E$7,'Cost Conversion'!$F$3:$F$22,0)+2,7))/G9</f>
        <v>1.3333333333333333</v>
      </c>
      <c r="I9" s="83"/>
      <c r="J9" s="83"/>
      <c r="K9" s="83"/>
      <c r="L9" s="83"/>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row>
    <row r="10" spans="1:107" x14ac:dyDescent="0.3">
      <c r="A10" s="83"/>
      <c r="B10" s="116">
        <v>2002</v>
      </c>
      <c r="C10" s="116">
        <v>395.6</v>
      </c>
      <c r="D10" s="273" cm="1">
        <f t="array" aca="1" ref="D10" ca="1">INDIRECT(ADDRESS(MATCH('Plant Overview'!$E$8,'Cost Conversion'!$B$3:$B$48,0)+2,3))/C10</f>
        <v>1.5897371081900908</v>
      </c>
      <c r="E10" s="83"/>
      <c r="F10" s="163" t="s">
        <v>483</v>
      </c>
      <c r="G10" s="358">
        <v>0.95</v>
      </c>
      <c r="H10" s="273" cm="1">
        <f t="array" aca="1" ref="H10" ca="1">INDIRECT(ADDRESS(MATCH('Plant Overview'!$E$7,'Cost Conversion'!$F$3:$F$22,0)+2,7))/G10</f>
        <v>1.263157894736842</v>
      </c>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row>
    <row r="11" spans="1:107" x14ac:dyDescent="0.3">
      <c r="A11" s="83"/>
      <c r="B11" s="116">
        <v>2003</v>
      </c>
      <c r="C11" s="116">
        <v>402</v>
      </c>
      <c r="D11" s="273" cm="1">
        <f t="array" aca="1" ref="D11" ca="1">INDIRECT(ADDRESS(MATCH('Plant Overview'!$E$8,'Cost Conversion'!$B$3:$B$48,0)+2,3))/C11</f>
        <v>1.5644278606965174</v>
      </c>
      <c r="E11" s="83"/>
      <c r="F11" s="163" t="s">
        <v>602</v>
      </c>
      <c r="G11" s="336">
        <v>0.95</v>
      </c>
      <c r="H11" s="273" cm="1">
        <f t="array" aca="1" ref="H11" ca="1">INDIRECT(ADDRESS(MATCH('Plant Overview'!$E$7,'Cost Conversion'!$F$3:$F$22,0)+2,7))/G11</f>
        <v>1.263157894736842</v>
      </c>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row>
    <row r="12" spans="1:107" x14ac:dyDescent="0.3">
      <c r="A12" s="83"/>
      <c r="B12" s="116">
        <v>2004</v>
      </c>
      <c r="C12" s="116">
        <v>444.2</v>
      </c>
      <c r="D12" s="273" cm="1">
        <f t="array" aca="1" ref="D12" ca="1">INDIRECT(ADDRESS(MATCH('Plant Overview'!$E$8,'Cost Conversion'!$B$3:$B$48,0)+2,3))/C12</f>
        <v>1.4158036920306167</v>
      </c>
      <c r="E12" s="83"/>
      <c r="F12" s="163" t="s">
        <v>484</v>
      </c>
      <c r="G12" s="358">
        <v>1.1499999999999999</v>
      </c>
      <c r="H12" s="273" cm="1">
        <f t="array" aca="1" ref="H12" ca="1">INDIRECT(ADDRESS(MATCH('Plant Overview'!$E$7,'Cost Conversion'!$F$3:$F$22,0)+2,7))/G12</f>
        <v>1.0434782608695652</v>
      </c>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row>
    <row r="13" spans="1:107" x14ac:dyDescent="0.3">
      <c r="A13" s="83"/>
      <c r="B13" s="116">
        <v>2005</v>
      </c>
      <c r="C13" s="116">
        <v>468.2</v>
      </c>
      <c r="D13" s="273" cm="1">
        <f t="array" aca="1" ref="D13" ca="1">INDIRECT(ADDRESS(MATCH('Plant Overview'!$E$8,'Cost Conversion'!$B$3:$B$48,0)+2,3))/C13</f>
        <v>1.3432293891499358</v>
      </c>
      <c r="E13" s="83"/>
      <c r="F13" s="163" t="s">
        <v>601</v>
      </c>
      <c r="G13" s="336">
        <v>1.3</v>
      </c>
      <c r="H13" s="273" cm="1">
        <f t="array" aca="1" ref="H13" ca="1">INDIRECT(ADDRESS(MATCH('Plant Overview'!$E$7,'Cost Conversion'!$F$3:$F$22,0)+2,7))/G13</f>
        <v>0.92307692307692302</v>
      </c>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row>
    <row r="14" spans="1:107" x14ac:dyDescent="0.3">
      <c r="A14" s="83"/>
      <c r="B14" s="116">
        <v>2006</v>
      </c>
      <c r="C14" s="116">
        <v>499.6</v>
      </c>
      <c r="D14" s="273" cm="1">
        <f t="array" aca="1" ref="D14" ca="1">INDIRECT(ADDRESS(MATCH('Plant Overview'!$E$8,'Cost Conversion'!$B$3:$B$48,0)+2,3))/C14</f>
        <v>1.258807045636509</v>
      </c>
      <c r="E14" s="83"/>
      <c r="F14" s="163" t="s">
        <v>485</v>
      </c>
      <c r="G14" s="358">
        <v>0.85</v>
      </c>
      <c r="H14" s="273" cm="1">
        <f t="array" aca="1" ref="H14" ca="1">INDIRECT(ADDRESS(MATCH('Plant Overview'!$E$7,'Cost Conversion'!$F$3:$F$22,0)+2,7))/G14</f>
        <v>1.411764705882353</v>
      </c>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row>
    <row r="15" spans="1:107" x14ac:dyDescent="0.3">
      <c r="A15" s="83"/>
      <c r="B15" s="116">
        <v>2007</v>
      </c>
      <c r="C15" s="116">
        <v>525.4</v>
      </c>
      <c r="D15" s="273" cm="1">
        <f t="array" aca="1" ref="D15" ca="1">INDIRECT(ADDRESS(MATCH('Plant Overview'!$E$8,'Cost Conversion'!$B$3:$B$48,0)+2,3))/C15</f>
        <v>1.1969927674153027</v>
      </c>
      <c r="E15" s="83"/>
      <c r="F15" s="163" t="s">
        <v>597</v>
      </c>
      <c r="G15" s="336">
        <v>0.75</v>
      </c>
      <c r="H15" s="273" cm="1">
        <f t="array" aca="1" ref="H15" ca="1">INDIRECT(ADDRESS(MATCH('Plant Overview'!$E$7,'Cost Conversion'!$F$3:$F$22,0)+2,7))/G15</f>
        <v>1.5999999999999999</v>
      </c>
      <c r="I15" s="83"/>
      <c r="J15" s="83"/>
      <c r="K15" s="83"/>
      <c r="L15" s="83"/>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row>
    <row r="16" spans="1:107" x14ac:dyDescent="0.3">
      <c r="A16" s="83"/>
      <c r="B16" s="116">
        <v>2008</v>
      </c>
      <c r="C16" s="116">
        <v>575.4</v>
      </c>
      <c r="D16" s="273" cm="1">
        <f t="array" aca="1" ref="D16" ca="1">INDIRECT(ADDRESS(MATCH('Plant Overview'!$E$8,'Cost Conversion'!$B$3:$B$48,0)+2,3))/C16</f>
        <v>1.0929787973583593</v>
      </c>
      <c r="E16" s="83"/>
      <c r="F16" s="163" t="s">
        <v>598</v>
      </c>
      <c r="G16" s="336">
        <v>0.85</v>
      </c>
      <c r="H16" s="273" cm="1">
        <f t="array" aca="1" ref="H16" ca="1">INDIRECT(ADDRESS(MATCH('Plant Overview'!$E$7,'Cost Conversion'!$F$3:$F$22,0)+2,7))/G16</f>
        <v>1.411764705882353</v>
      </c>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row>
    <row r="17" spans="1:107" x14ac:dyDescent="0.3">
      <c r="A17" s="83"/>
      <c r="B17" s="116">
        <v>2009</v>
      </c>
      <c r="C17" s="116">
        <v>521.9</v>
      </c>
      <c r="D17" s="273" cm="1">
        <f t="array" aca="1" ref="D17" ca="1">INDIRECT(ADDRESS(MATCH('Plant Overview'!$E$8,'Cost Conversion'!$B$3:$B$48,0)+2,3))/C17</f>
        <v>1.2050201187967045</v>
      </c>
      <c r="E17" s="83"/>
      <c r="F17" s="163" t="s">
        <v>599</v>
      </c>
      <c r="G17" s="336">
        <v>0.9</v>
      </c>
      <c r="H17" s="273" cm="1">
        <f t="array" aca="1" ref="H17" ca="1">INDIRECT(ADDRESS(MATCH('Plant Overview'!$E$7,'Cost Conversion'!$F$3:$F$22,0)+2,7))/G17</f>
        <v>1.3333333333333333</v>
      </c>
      <c r="I17" s="83"/>
      <c r="J17" s="83"/>
      <c r="K17" s="83"/>
      <c r="L17" s="83"/>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row>
    <row r="18" spans="1:107" x14ac:dyDescent="0.3">
      <c r="A18" s="83"/>
      <c r="B18" s="116">
        <v>2010</v>
      </c>
      <c r="C18" s="116">
        <v>550.79999999999995</v>
      </c>
      <c r="D18" s="273" cm="1">
        <f t="array" aca="1" ref="D18" ca="1">INDIRECT(ADDRESS(MATCH('Plant Overview'!$E$8,'Cost Conversion'!$B$3:$B$48,0)+2,3))/C18</f>
        <v>1.1417937545388526</v>
      </c>
      <c r="E18" s="83"/>
      <c r="F18" s="163"/>
      <c r="G18" s="358">
        <v>1</v>
      </c>
      <c r="H18" s="273" cm="1">
        <f t="array" aca="1" ref="H18" ca="1">INDIRECT(ADDRESS(MATCH('Plant Overview'!$E$7,'Cost Conversion'!$F$3:$F$22,0)+2,7))/G18</f>
        <v>1.2</v>
      </c>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row>
    <row r="19" spans="1:107" x14ac:dyDescent="0.3">
      <c r="A19" s="83"/>
      <c r="B19" s="116">
        <v>2011</v>
      </c>
      <c r="C19" s="116">
        <v>585.70000000000005</v>
      </c>
      <c r="D19" s="273" cm="1">
        <f t="array" aca="1" ref="D19" ca="1">INDIRECT(ADDRESS(MATCH('Plant Overview'!$E$8,'Cost Conversion'!$B$3:$B$48,0)+2,3))/C19</f>
        <v>1.0737578965340617</v>
      </c>
      <c r="E19" s="83"/>
      <c r="F19" s="163"/>
      <c r="G19" s="358">
        <v>1</v>
      </c>
      <c r="H19" s="273" cm="1">
        <f t="array" aca="1" ref="H19" ca="1">INDIRECT(ADDRESS(MATCH('Plant Overview'!$E$7,'Cost Conversion'!$F$3:$F$22,0)+2,7))/G19</f>
        <v>1.2</v>
      </c>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row>
    <row r="20" spans="1:107" x14ac:dyDescent="0.3">
      <c r="A20" s="83"/>
      <c r="B20" s="116">
        <v>2012</v>
      </c>
      <c r="C20" s="116">
        <v>584.6</v>
      </c>
      <c r="D20" s="273" cm="1">
        <f t="array" aca="1" ref="D20" ca="1">INDIRECT(ADDRESS(MATCH('Plant Overview'!$E$8,'Cost Conversion'!$B$3:$B$48,0)+2,3))/C20</f>
        <v>1.0757783099555251</v>
      </c>
      <c r="E20" s="83"/>
      <c r="F20" s="163"/>
      <c r="G20" s="358">
        <v>1</v>
      </c>
      <c r="H20" s="273" cm="1">
        <f t="array" aca="1" ref="H20" ca="1">INDIRECT(ADDRESS(MATCH('Plant Overview'!$E$7,'Cost Conversion'!$F$3:$F$22,0)+2,7))/G20</f>
        <v>1.2</v>
      </c>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row>
    <row r="21" spans="1:107" x14ac:dyDescent="0.3">
      <c r="A21" s="83"/>
      <c r="B21" s="116">
        <v>2013</v>
      </c>
      <c r="C21" s="116">
        <v>567.29999999999995</v>
      </c>
      <c r="D21" s="273" cm="1">
        <f t="array" aca="1" ref="D21" ca="1">INDIRECT(ADDRESS(MATCH('Plant Overview'!$E$8,'Cost Conversion'!$B$3:$B$48,0)+2,3))/C21</f>
        <v>1.1085845231799754</v>
      </c>
      <c r="E21" s="83"/>
      <c r="F21" s="163"/>
      <c r="G21" s="358">
        <v>1</v>
      </c>
      <c r="H21" s="273" cm="1">
        <f t="array" aca="1" ref="H21" ca="1">INDIRECT(ADDRESS(MATCH('Plant Overview'!$E$7,'Cost Conversion'!$F$3:$F$22,0)+2,7))/G21</f>
        <v>1.2</v>
      </c>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row>
    <row r="22" spans="1:107" x14ac:dyDescent="0.3">
      <c r="A22" s="83"/>
      <c r="B22" s="116">
        <v>2014</v>
      </c>
      <c r="C22" s="116">
        <v>576.1</v>
      </c>
      <c r="D22" s="273" cm="1">
        <f t="array" aca="1" ref="D22" ca="1">INDIRECT(ADDRESS(MATCH('Plant Overview'!$E$8,'Cost Conversion'!$B$3:$B$48,0)+2,3))/C22</f>
        <v>1.0916507550772434</v>
      </c>
      <c r="E22" s="83"/>
      <c r="F22" s="196"/>
      <c r="G22" s="337">
        <v>1</v>
      </c>
      <c r="H22" s="274" cm="1">
        <f t="array" aca="1" ref="H22" ca="1">INDIRECT(ADDRESS(MATCH('Plant Overview'!$E$7,'Cost Conversion'!$F$3:$F$22,0)+2,7))/G22</f>
        <v>1.2</v>
      </c>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row>
    <row r="23" spans="1:107" x14ac:dyDescent="0.3">
      <c r="A23" s="83"/>
      <c r="B23" s="116">
        <v>2015</v>
      </c>
      <c r="C23" s="116">
        <v>557</v>
      </c>
      <c r="D23" s="273" cm="1">
        <f t="array" aca="1" ref="D23" ca="1">INDIRECT(ADDRESS(MATCH('Plant Overview'!$E$8,'Cost Conversion'!$B$3:$B$48,0)+2,3))/C23</f>
        <v>1.1290843806104129</v>
      </c>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row>
    <row r="24" spans="1:107" x14ac:dyDescent="0.3">
      <c r="A24" s="83"/>
      <c r="B24" s="116">
        <v>2016</v>
      </c>
      <c r="C24" s="116">
        <v>542</v>
      </c>
      <c r="D24" s="273" cm="1">
        <f t="array" aca="1" ref="D24" ca="1">INDIRECT(ADDRESS(MATCH('Plant Overview'!$E$8,'Cost Conversion'!$B$3:$B$48,0)+2,3))/C24</f>
        <v>1.1603321033210332</v>
      </c>
      <c r="E24" s="83"/>
      <c r="G24" s="1035" t="s">
        <v>611</v>
      </c>
      <c r="H24" s="1035"/>
      <c r="I24" s="1035"/>
      <c r="J24" s="369" t="s">
        <v>610</v>
      </c>
      <c r="K24" s="339">
        <v>0.5</v>
      </c>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row>
    <row r="25" spans="1:107" x14ac:dyDescent="0.3">
      <c r="A25" s="83"/>
      <c r="B25" s="116">
        <v>2017</v>
      </c>
      <c r="C25" s="116">
        <v>567.5</v>
      </c>
      <c r="D25" s="273" cm="1">
        <f t="array" aca="1" ref="D25" ca="1">INDIRECT(ADDRESS(MATCH('Plant Overview'!$E$8,'Cost Conversion'!$B$3:$B$48,0)+2,3))/C25</f>
        <v>1.108193832599119</v>
      </c>
      <c r="E25" s="83"/>
      <c r="F25" s="364" t="s">
        <v>477</v>
      </c>
      <c r="G25" s="364" t="s">
        <v>229</v>
      </c>
      <c r="H25" s="369"/>
      <c r="I25" s="365"/>
      <c r="J25" s="371" t="s">
        <v>626</v>
      </c>
      <c r="K25" s="365" t="s">
        <v>612</v>
      </c>
      <c r="L25" s="83"/>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row>
    <row r="26" spans="1:107" x14ac:dyDescent="0.3">
      <c r="A26" s="83"/>
      <c r="B26" s="116">
        <v>2018</v>
      </c>
      <c r="C26" s="116">
        <v>603.1</v>
      </c>
      <c r="D26" s="273" cm="1">
        <f t="array" aca="1" ref="D26" ca="1">INDIRECT(ADDRESS(MATCH('Plant Overview'!$E$8,'Cost Conversion'!$B$3:$B$48,0)+2,3))/C26</f>
        <v>1.0427789752943126</v>
      </c>
      <c r="E26" s="83"/>
      <c r="F26" s="366" t="s">
        <v>604</v>
      </c>
      <c r="G26" s="358">
        <v>1</v>
      </c>
      <c r="H26" s="243">
        <v>1</v>
      </c>
      <c r="I26" s="359">
        <v>1</v>
      </c>
      <c r="J26" s="275">
        <f t="shared" ref="J26:J38" si="0">H26*I26</f>
        <v>1</v>
      </c>
      <c r="K26" s="359">
        <f t="shared" ref="K26:K38" si="1">(G26+$K$24*J26)/(1+$K$24)</f>
        <v>1</v>
      </c>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row>
    <row r="27" spans="1:107" x14ac:dyDescent="0.3">
      <c r="A27" s="83"/>
      <c r="B27" s="116">
        <v>2019</v>
      </c>
      <c r="C27" s="116">
        <v>607.5</v>
      </c>
      <c r="D27" s="273" cm="1">
        <f t="array" aca="1" ref="D27" ca="1">INDIRECT(ADDRESS(MATCH('Plant Overview'!$E$8,'Cost Conversion'!$B$3:$B$48,0)+2,3))/C27</f>
        <v>1.0352263374485597</v>
      </c>
      <c r="E27" s="83"/>
      <c r="F27" s="366" t="s">
        <v>605</v>
      </c>
      <c r="G27" s="358">
        <v>0.95</v>
      </c>
      <c r="H27" s="243">
        <v>1.19</v>
      </c>
      <c r="I27" s="359">
        <v>1.04</v>
      </c>
      <c r="J27" s="275">
        <f t="shared" si="0"/>
        <v>1.2376</v>
      </c>
      <c r="K27" s="359">
        <f t="shared" si="1"/>
        <v>1.0458666666666667</v>
      </c>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row>
    <row r="28" spans="1:107" x14ac:dyDescent="0.3">
      <c r="A28" s="83"/>
      <c r="B28" s="116">
        <v>2020</v>
      </c>
      <c r="C28" s="327">
        <v>628.9</v>
      </c>
      <c r="D28" s="273" cm="1">
        <f t="array" aca="1" ref="D28" ca="1">INDIRECT(ADDRESS(MATCH('Plant Overview'!$E$8,'Cost Conversion'!$B$3:$B$48,0)+2,3))/C28</f>
        <v>1</v>
      </c>
      <c r="E28" s="83"/>
      <c r="F28" s="366" t="s">
        <v>606</v>
      </c>
      <c r="G28" s="358">
        <v>1.01</v>
      </c>
      <c r="H28" s="243">
        <v>1.54</v>
      </c>
      <c r="I28" s="359">
        <v>1.87</v>
      </c>
      <c r="J28" s="275">
        <f t="shared" si="0"/>
        <v>2.8798000000000004</v>
      </c>
      <c r="K28" s="359">
        <f t="shared" si="1"/>
        <v>1.6332666666666669</v>
      </c>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row>
    <row r="29" spans="1:107" x14ac:dyDescent="0.3">
      <c r="A29" s="83"/>
      <c r="B29" s="116">
        <v>2021</v>
      </c>
      <c r="C29" s="327">
        <v>637.70000000000095</v>
      </c>
      <c r="D29" s="273" cm="1">
        <f t="array" aca="1" ref="D29" ca="1">INDIRECT(ADDRESS(MATCH('Plant Overview'!$E$8,'Cost Conversion'!$B$3:$B$48,0)+2,3))/C29</f>
        <v>0.9862004077152251</v>
      </c>
      <c r="E29" s="83"/>
      <c r="F29" s="366" t="s">
        <v>607</v>
      </c>
      <c r="G29" s="358">
        <v>1.1000000000000001</v>
      </c>
      <c r="H29" s="243">
        <v>1.4</v>
      </c>
      <c r="I29" s="359">
        <v>1.3</v>
      </c>
      <c r="J29" s="275">
        <f t="shared" si="0"/>
        <v>1.8199999999999998</v>
      </c>
      <c r="K29" s="359">
        <f t="shared" si="1"/>
        <v>1.3399999999999999</v>
      </c>
      <c r="L29" s="83"/>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row>
    <row r="30" spans="1:107" x14ac:dyDescent="0.3">
      <c r="A30" s="83"/>
      <c r="B30" s="116">
        <v>2022</v>
      </c>
      <c r="C30" s="327">
        <v>646.50000000000102</v>
      </c>
      <c r="D30" s="273" cm="1">
        <f t="array" aca="1" ref="D30" ca="1">INDIRECT(ADDRESS(MATCH('Plant Overview'!$E$8,'Cost Conversion'!$B$3:$B$48,0)+2,3))/C30</f>
        <v>0.97277648878576795</v>
      </c>
      <c r="E30" s="83"/>
      <c r="F30" s="366" t="s">
        <v>597</v>
      </c>
      <c r="G30" s="358">
        <v>0.87</v>
      </c>
      <c r="H30" s="243">
        <v>2.86</v>
      </c>
      <c r="I30" s="359">
        <v>0.21</v>
      </c>
      <c r="J30" s="275">
        <f t="shared" si="0"/>
        <v>0.60059999999999991</v>
      </c>
      <c r="K30" s="359">
        <f t="shared" si="1"/>
        <v>0.78019999999999989</v>
      </c>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row>
    <row r="31" spans="1:107" x14ac:dyDescent="0.3">
      <c r="A31" s="83"/>
      <c r="B31" s="116">
        <v>2023</v>
      </c>
      <c r="C31" s="327">
        <v>655.30000000000098</v>
      </c>
      <c r="D31" s="273" cm="1">
        <f t="array" aca="1" ref="D31" ca="1">INDIRECT(ADDRESS(MATCH('Plant Overview'!$E$8,'Cost Conversion'!$B$3:$B$48,0)+2,3))/C31</f>
        <v>0.9597131084999222</v>
      </c>
      <c r="E31" s="83"/>
      <c r="F31" s="366" t="s">
        <v>600</v>
      </c>
      <c r="G31" s="358">
        <v>0.93</v>
      </c>
      <c r="H31" s="243">
        <v>1.6</v>
      </c>
      <c r="I31" s="359">
        <v>0.55000000000000004</v>
      </c>
      <c r="J31" s="275">
        <f t="shared" si="0"/>
        <v>0.88000000000000012</v>
      </c>
      <c r="K31" s="359">
        <f t="shared" si="1"/>
        <v>0.91333333333333344</v>
      </c>
      <c r="L31" s="83"/>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row>
    <row r="32" spans="1:107" x14ac:dyDescent="0.3">
      <c r="A32" s="83"/>
      <c r="B32" s="116">
        <v>2024</v>
      </c>
      <c r="C32" s="327">
        <v>664.10000000000105</v>
      </c>
      <c r="D32" s="273" cm="1">
        <f t="array" aca="1" ref="D32" ca="1">INDIRECT(ADDRESS(MATCH('Plant Overview'!$E$8,'Cost Conversion'!$B$3:$B$48,0)+2,3))/C32</f>
        <v>0.94699593434723539</v>
      </c>
      <c r="E32" s="83"/>
      <c r="F32" s="366" t="s">
        <v>608</v>
      </c>
      <c r="G32" s="358">
        <v>1.01</v>
      </c>
      <c r="H32" s="243">
        <v>1.25</v>
      </c>
      <c r="I32" s="359">
        <v>1.36</v>
      </c>
      <c r="J32" s="275">
        <f t="shared" si="0"/>
        <v>1.7000000000000002</v>
      </c>
      <c r="K32" s="359">
        <f t="shared" si="1"/>
        <v>1.24</v>
      </c>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row>
    <row r="33" spans="1:107" x14ac:dyDescent="0.3">
      <c r="A33" s="83"/>
      <c r="B33" s="116">
        <v>2025</v>
      </c>
      <c r="C33" s="327">
        <v>672.900000000001</v>
      </c>
      <c r="D33" s="273" cm="1">
        <f t="array" aca="1" ref="D33" ca="1">INDIRECT(ADDRESS(MATCH('Plant Overview'!$E$8,'Cost Conversion'!$B$3:$B$48,0)+2,3))/C33</f>
        <v>0.93461138356367812</v>
      </c>
      <c r="E33" s="83"/>
      <c r="F33" s="366" t="s">
        <v>485</v>
      </c>
      <c r="G33" s="358">
        <v>0.94</v>
      </c>
      <c r="H33" s="243">
        <v>3.03</v>
      </c>
      <c r="I33" s="359">
        <v>0.35</v>
      </c>
      <c r="J33" s="275">
        <f t="shared" si="0"/>
        <v>1.0604999999999998</v>
      </c>
      <c r="K33" s="359">
        <f t="shared" si="1"/>
        <v>0.98016666666666652</v>
      </c>
      <c r="L33" s="83"/>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row>
    <row r="34" spans="1:107" x14ac:dyDescent="0.3">
      <c r="A34" s="83"/>
      <c r="B34" s="116">
        <v>2026</v>
      </c>
      <c r="C34" s="327">
        <v>681.70000000000095</v>
      </c>
      <c r="D34" s="273" cm="1">
        <f t="array" aca="1" ref="D34" ca="1">INDIRECT(ADDRESS(MATCH('Plant Overview'!$E$8,'Cost Conversion'!$B$3:$B$48,0)+2,3))/C34</f>
        <v>0.92254657473962021</v>
      </c>
      <c r="E34" s="83"/>
      <c r="F34" s="366" t="s">
        <v>484</v>
      </c>
      <c r="G34" s="358">
        <v>0.9</v>
      </c>
      <c r="H34" s="243">
        <v>1.22</v>
      </c>
      <c r="I34" s="359">
        <v>0.92</v>
      </c>
      <c r="J34" s="275">
        <f t="shared" si="0"/>
        <v>1.1224000000000001</v>
      </c>
      <c r="K34" s="359">
        <f t="shared" si="1"/>
        <v>0.97413333333333341</v>
      </c>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row>
    <row r="35" spans="1:107" x14ac:dyDescent="0.3">
      <c r="A35" s="83"/>
      <c r="B35" s="116">
        <v>2027</v>
      </c>
      <c r="C35" s="327">
        <v>690.50000000000102</v>
      </c>
      <c r="D35" s="273" cm="1">
        <f t="array" aca="1" ref="D35" ca="1">INDIRECT(ADDRESS(MATCH('Plant Overview'!$E$8,'Cost Conversion'!$B$3:$B$48,0)+2,3))/C35</f>
        <v>0.91078928312816665</v>
      </c>
      <c r="E35" s="83"/>
      <c r="F35" s="366" t="s">
        <v>599</v>
      </c>
      <c r="G35" s="358">
        <v>0.94</v>
      </c>
      <c r="H35" s="243">
        <v>2.2999999999999998</v>
      </c>
      <c r="I35" s="359">
        <v>0.32</v>
      </c>
      <c r="J35" s="275">
        <f t="shared" si="0"/>
        <v>0.73599999999999999</v>
      </c>
      <c r="K35" s="359">
        <f t="shared" si="1"/>
        <v>0.87199999999999989</v>
      </c>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row>
    <row r="36" spans="1:107" x14ac:dyDescent="0.3">
      <c r="A36" s="83"/>
      <c r="B36" s="116">
        <v>2028</v>
      </c>
      <c r="C36" s="327">
        <v>699.30000000000098</v>
      </c>
      <c r="D36" s="273" cm="1">
        <f t="array" aca="1" ref="D36" ca="1">INDIRECT(ADDRESS(MATCH('Plant Overview'!$E$8,'Cost Conversion'!$B$3:$B$48,0)+2,3))/C36</f>
        <v>0.89932789932789803</v>
      </c>
      <c r="E36" s="83"/>
      <c r="F36" s="366" t="s">
        <v>609</v>
      </c>
      <c r="G36" s="358">
        <v>1.05</v>
      </c>
      <c r="H36" s="243">
        <v>2.8</v>
      </c>
      <c r="I36" s="359">
        <v>0.95</v>
      </c>
      <c r="J36" s="275">
        <f t="shared" si="0"/>
        <v>2.6599999999999997</v>
      </c>
      <c r="K36" s="359">
        <f t="shared" si="1"/>
        <v>1.5866666666666667</v>
      </c>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row>
    <row r="37" spans="1:107" x14ac:dyDescent="0.3">
      <c r="A37" s="83"/>
      <c r="B37" s="116">
        <v>2029</v>
      </c>
      <c r="C37" s="327">
        <v>708.10000000000105</v>
      </c>
      <c r="D37" s="273" cm="1">
        <f t="array" aca="1" ref="D37" ca="1">INDIRECT(ADDRESS(MATCH('Plant Overview'!$E$8,'Cost Conversion'!$B$3:$B$48,0)+2,3))/C37</f>
        <v>0.88815139104646101</v>
      </c>
      <c r="E37" s="83"/>
      <c r="F37" s="366" t="s">
        <v>602</v>
      </c>
      <c r="G37" s="358">
        <v>1.01</v>
      </c>
      <c r="H37" s="243">
        <v>2</v>
      </c>
      <c r="I37" s="359">
        <v>0.38</v>
      </c>
      <c r="J37" s="275">
        <f t="shared" si="0"/>
        <v>0.76</v>
      </c>
      <c r="K37" s="359">
        <f t="shared" si="1"/>
        <v>0.92666666666666675</v>
      </c>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row>
    <row r="38" spans="1:107" x14ac:dyDescent="0.3">
      <c r="A38" s="83"/>
      <c r="B38" s="116">
        <v>2030</v>
      </c>
      <c r="C38" s="327">
        <v>716.900000000001</v>
      </c>
      <c r="D38" s="273" cm="1">
        <f t="array" aca="1" ref="D38" ca="1">INDIRECT(ADDRESS(MATCH('Plant Overview'!$E$8,'Cost Conversion'!$B$3:$B$48,0)+2,3))/C38</f>
        <v>0.87724926768028888</v>
      </c>
      <c r="E38" s="83"/>
      <c r="F38" s="367" t="s">
        <v>598</v>
      </c>
      <c r="G38" s="360">
        <v>0.93</v>
      </c>
      <c r="H38" s="334">
        <v>2.2200000000000002</v>
      </c>
      <c r="I38" s="361">
        <v>0.32</v>
      </c>
      <c r="J38" s="335">
        <f t="shared" si="0"/>
        <v>0.71040000000000003</v>
      </c>
      <c r="K38" s="361">
        <f t="shared" si="1"/>
        <v>0.85680000000000012</v>
      </c>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row>
    <row r="39" spans="1:107" x14ac:dyDescent="0.3">
      <c r="A39" s="83"/>
      <c r="B39" s="116">
        <v>2031</v>
      </c>
      <c r="C39" s="327">
        <v>725.70000000000095</v>
      </c>
      <c r="D39" s="273" cm="1">
        <f t="array" aca="1" ref="D39" ca="1">INDIRECT(ADDRESS(MATCH('Plant Overview'!$E$8,'Cost Conversion'!$B$3:$B$48,0)+2,3))/C39</f>
        <v>0.86661154747140579</v>
      </c>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row>
    <row r="40" spans="1:107" x14ac:dyDescent="0.3">
      <c r="A40" s="83"/>
      <c r="B40" s="116">
        <v>2032</v>
      </c>
      <c r="C40" s="327">
        <v>734.50000000000102</v>
      </c>
      <c r="D40" s="273" cm="1">
        <f t="array" aca="1" ref="D40" ca="1">INDIRECT(ADDRESS(MATCH('Plant Overview'!$E$8,'Cost Conversion'!$B$3:$B$48,0)+2,3))/C40</f>
        <v>0.85622872702518593</v>
      </c>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row>
    <row r="41" spans="1:107" x14ac:dyDescent="0.3">
      <c r="A41" s="83"/>
      <c r="B41" s="116">
        <v>2033</v>
      </c>
      <c r="C41" s="327">
        <v>743.30000000000098</v>
      </c>
      <c r="D41" s="273" cm="1">
        <f t="array" aca="1" ref="D41" ca="1">INDIRECT(ADDRESS(MATCH('Plant Overview'!$E$8,'Cost Conversion'!$B$3:$B$48,0)+2,3))/C41</f>
        <v>0.84609175299340666</v>
      </c>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row>
    <row r="42" spans="1:107" x14ac:dyDescent="0.3">
      <c r="A42" s="83"/>
      <c r="B42" s="116">
        <v>2034</v>
      </c>
      <c r="C42" s="327">
        <v>752.10000000000105</v>
      </c>
      <c r="D42" s="273" cm="1">
        <f t="array" aca="1" ref="D42" ca="1">INDIRECT(ADDRESS(MATCH('Plant Overview'!$E$8,'Cost Conversion'!$B$3:$B$48,0)+2,3))/C42</f>
        <v>0.8361919957452455</v>
      </c>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row>
    <row r="43" spans="1:107" x14ac:dyDescent="0.3">
      <c r="A43" s="83"/>
      <c r="B43" s="116">
        <v>2035</v>
      </c>
      <c r="C43" s="327">
        <v>760.90000000000202</v>
      </c>
      <c r="D43" s="273" cm="1">
        <f t="array" aca="1" ref="D43" ca="1">INDIRECT(ADDRESS(MATCH('Plant Overview'!$E$8,'Cost Conversion'!$B$3:$B$48,0)+2,3))/C43</f>
        <v>0.82652122486528889</v>
      </c>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row>
    <row r="44" spans="1:107" x14ac:dyDescent="0.3">
      <c r="A44" s="83"/>
      <c r="B44" s="116">
        <v>2036</v>
      </c>
      <c r="C44" s="327">
        <v>769.70000000000198</v>
      </c>
      <c r="D44" s="273" cm="1">
        <f t="array" aca="1" ref="D44" ca="1">INDIRECT(ADDRESS(MATCH('Plant Overview'!$E$8,'Cost Conversion'!$B$3:$B$48,0)+2,3))/C44</f>
        <v>0.81707158633233512</v>
      </c>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row>
    <row r="45" spans="1:107" x14ac:dyDescent="0.3">
      <c r="A45" s="83"/>
      <c r="B45" s="116">
        <v>2037</v>
      </c>
      <c r="C45" s="327">
        <v>778.50000000000205</v>
      </c>
      <c r="D45" s="273" cm="1">
        <f t="array" aca="1" ref="D45" ca="1">INDIRECT(ADDRESS(MATCH('Plant Overview'!$E$8,'Cost Conversion'!$B$3:$B$48,0)+2,3))/C45</f>
        <v>0.80783558124598376</v>
      </c>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row>
    <row r="46" spans="1:107" x14ac:dyDescent="0.3">
      <c r="A46" s="83"/>
      <c r="B46" s="116">
        <v>2038</v>
      </c>
      <c r="C46" s="327">
        <v>787.300000000002</v>
      </c>
      <c r="D46" s="273" cm="1">
        <f t="array" aca="1" ref="D46" ca="1">INDIRECT(ADDRESS(MATCH('Plant Overview'!$E$8,'Cost Conversion'!$B$3:$B$48,0)+2,3))/C46</f>
        <v>0.79880604597992932</v>
      </c>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row>
    <row r="47" spans="1:107" x14ac:dyDescent="0.3">
      <c r="A47" s="83"/>
      <c r="B47" s="116">
        <v>2039</v>
      </c>
      <c r="C47" s="327">
        <v>796.10000000000196</v>
      </c>
      <c r="D47" s="273" cm="1">
        <f t="array" aca="1" ref="D47" ca="1">INDIRECT(ADDRESS(MATCH('Plant Overview'!$E$8,'Cost Conversion'!$B$3:$B$48,0)+2,3))/C47</f>
        <v>0.78997613365154939</v>
      </c>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row>
    <row r="48" spans="1:107" x14ac:dyDescent="0.3">
      <c r="A48" s="83"/>
      <c r="B48" s="373">
        <v>2040</v>
      </c>
      <c r="C48" s="328">
        <v>804.90000000000202</v>
      </c>
      <c r="D48" s="274" cm="1">
        <f t="array" aca="1" ref="D48" ca="1">INDIRECT(ADDRESS(MATCH('Plant Overview'!$E$8,'Cost Conversion'!$B$3:$B$48,0)+2,3))/C48</f>
        <v>0.78133929680705483</v>
      </c>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row>
    <row r="49" spans="1:107" x14ac:dyDescent="0.3">
      <c r="A49" s="83"/>
      <c r="B49" s="83"/>
      <c r="C49" s="83"/>
      <c r="D49" s="83"/>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row>
    <row r="50" spans="1:107" x14ac:dyDescent="0.3">
      <c r="A50" s="83"/>
      <c r="B50" s="83"/>
      <c r="C50" s="83"/>
      <c r="D50" s="83"/>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row>
    <row r="51" spans="1:107" x14ac:dyDescent="0.3">
      <c r="A51" s="83"/>
      <c r="B51" s="83"/>
      <c r="C51" s="83"/>
      <c r="D51" s="83"/>
      <c r="E51" s="83"/>
      <c r="F51" s="83"/>
      <c r="G51" s="83"/>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row>
    <row r="52" spans="1:107" x14ac:dyDescent="0.3">
      <c r="A52" s="83"/>
      <c r="B52" s="83"/>
      <c r="C52" s="83"/>
      <c r="D52" s="83"/>
      <c r="E52" s="83"/>
      <c r="F52" s="83"/>
      <c r="G52" s="83"/>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row>
    <row r="53" spans="1:107" x14ac:dyDescent="0.3">
      <c r="A53" s="83"/>
      <c r="B53" s="83"/>
      <c r="C53" s="83"/>
      <c r="D53" s="83"/>
      <c r="E53" s="83"/>
      <c r="F53" s="83"/>
      <c r="G53" s="83"/>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row>
    <row r="54" spans="1:107" x14ac:dyDescent="0.3">
      <c r="A54" s="83"/>
      <c r="B54" s="83"/>
      <c r="C54" s="83"/>
      <c r="D54" s="83"/>
      <c r="E54" s="83"/>
      <c r="F54" s="83"/>
      <c r="G54" s="83"/>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row>
    <row r="55" spans="1:107" x14ac:dyDescent="0.3">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row>
    <row r="56" spans="1:107" x14ac:dyDescent="0.3">
      <c r="A56" s="83"/>
      <c r="B56" s="83"/>
      <c r="C56" s="83"/>
      <c r="D56" s="83"/>
      <c r="E56" s="83"/>
      <c r="F56" s="83"/>
      <c r="G56" s="83"/>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row>
    <row r="57" spans="1:107" x14ac:dyDescent="0.3">
      <c r="A57" s="83"/>
      <c r="B57" s="83"/>
      <c r="C57" s="83"/>
      <c r="D57" s="83"/>
      <c r="E57" s="83"/>
      <c r="F57" s="83"/>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row>
    <row r="58" spans="1:107" x14ac:dyDescent="0.3">
      <c r="A58" s="83"/>
      <c r="B58" s="83"/>
      <c r="C58" s="83"/>
      <c r="D58" s="83"/>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row>
    <row r="59" spans="1:107" x14ac:dyDescent="0.3">
      <c r="A59" s="83"/>
      <c r="B59" s="83"/>
      <c r="C59" s="83"/>
      <c r="D59" s="83"/>
      <c r="E59" s="83"/>
      <c r="F59" s="83"/>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row>
    <row r="60" spans="1:107" x14ac:dyDescent="0.3">
      <c r="A60" s="83"/>
      <c r="B60" s="83"/>
      <c r="C60" s="83"/>
      <c r="D60" s="83"/>
      <c r="E60" s="83"/>
      <c r="F60" s="8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row>
    <row r="61" spans="1:107" x14ac:dyDescent="0.3">
      <c r="A61" s="83"/>
      <c r="B61" s="83"/>
      <c r="C61" s="83"/>
      <c r="D61" s="83"/>
      <c r="E61" s="83"/>
      <c r="F61" s="83"/>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row>
    <row r="62" spans="1:107" x14ac:dyDescent="0.3">
      <c r="A62" s="83"/>
      <c r="B62" s="83"/>
      <c r="C62" s="83"/>
      <c r="D62" s="83"/>
      <c r="E62" s="83"/>
      <c r="F62" s="8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row>
    <row r="63" spans="1:107" x14ac:dyDescent="0.3">
      <c r="A63" s="83"/>
      <c r="B63" s="83"/>
      <c r="C63" s="83"/>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row>
    <row r="64" spans="1:107" x14ac:dyDescent="0.3">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row>
    <row r="65" spans="1:107" x14ac:dyDescent="0.3">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row>
    <row r="66" spans="1:107" x14ac:dyDescent="0.3">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row>
    <row r="67" spans="1:107" x14ac:dyDescent="0.3">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row>
    <row r="68" spans="1:107" x14ac:dyDescent="0.3">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row>
    <row r="69" spans="1:107" x14ac:dyDescent="0.3">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row>
    <row r="70" spans="1:107" x14ac:dyDescent="0.3">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row>
    <row r="71" spans="1:107" x14ac:dyDescent="0.3">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row>
    <row r="72" spans="1:107" x14ac:dyDescent="0.3">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row>
    <row r="73" spans="1:107" x14ac:dyDescent="0.3">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row>
    <row r="74" spans="1:107" x14ac:dyDescent="0.3">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row>
    <row r="75" spans="1:107" x14ac:dyDescent="0.3">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row>
    <row r="76" spans="1:107" x14ac:dyDescent="0.3">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row>
    <row r="77" spans="1:107" x14ac:dyDescent="0.3">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row>
    <row r="78" spans="1:107" x14ac:dyDescent="0.3">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row>
    <row r="79" spans="1:107" x14ac:dyDescent="0.3">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row>
    <row r="80" spans="1:107" x14ac:dyDescent="0.3">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row>
    <row r="81" spans="1:107" x14ac:dyDescent="0.3">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row>
    <row r="82" spans="1:107" x14ac:dyDescent="0.3">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row>
    <row r="83" spans="1:107"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row>
    <row r="84" spans="1:107"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row>
    <row r="85" spans="1:107"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row>
    <row r="86" spans="1:107" x14ac:dyDescent="0.3">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row>
    <row r="87" spans="1:107" x14ac:dyDescent="0.3">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row>
    <row r="88" spans="1:107" x14ac:dyDescent="0.3">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row>
    <row r="89" spans="1:107" x14ac:dyDescent="0.3">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row>
    <row r="90" spans="1:107" x14ac:dyDescent="0.3">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row>
    <row r="91" spans="1:107" x14ac:dyDescent="0.3">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row>
    <row r="92" spans="1:107" x14ac:dyDescent="0.3">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row>
    <row r="93" spans="1:107" x14ac:dyDescent="0.3">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row>
    <row r="94" spans="1:107" x14ac:dyDescent="0.3">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row>
    <row r="95" spans="1:107" x14ac:dyDescent="0.3">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row>
    <row r="96" spans="1:107" x14ac:dyDescent="0.3">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row>
    <row r="97" spans="1:107" x14ac:dyDescent="0.3">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row>
    <row r="98" spans="1:107" x14ac:dyDescent="0.3">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row>
    <row r="99" spans="1:107" x14ac:dyDescent="0.3">
      <c r="A99" s="83"/>
      <c r="B99" s="83"/>
      <c r="C99" s="83"/>
      <c r="D99" s="83"/>
      <c r="E99" s="83"/>
      <c r="F99" s="83"/>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row>
    <row r="100" spans="1:107" x14ac:dyDescent="0.3">
      <c r="A100" s="83"/>
      <c r="B100" s="83"/>
      <c r="C100" s="83"/>
      <c r="D100" s="83"/>
      <c r="E100" s="83"/>
      <c r="F100" s="8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row>
    <row r="101" spans="1:107" x14ac:dyDescent="0.3">
      <c r="A101" s="83"/>
      <c r="B101" s="83"/>
      <c r="C101" s="83"/>
      <c r="D101" s="83"/>
      <c r="E101" s="83"/>
      <c r="F101" s="83"/>
      <c r="G101" s="83"/>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row>
    <row r="102" spans="1:107" x14ac:dyDescent="0.3">
      <c r="A102" s="83"/>
      <c r="B102" s="83"/>
      <c r="C102" s="83"/>
      <c r="D102" s="83"/>
      <c r="E102" s="83"/>
      <c r="F102" s="83"/>
      <c r="G102" s="83"/>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row>
    <row r="103" spans="1:107" x14ac:dyDescent="0.3">
      <c r="A103" s="83"/>
      <c r="B103" s="83"/>
      <c r="C103" s="83"/>
      <c r="D103" s="83"/>
      <c r="E103" s="83"/>
      <c r="F103" s="83"/>
      <c r="G103" s="83"/>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row>
    <row r="104" spans="1:107" x14ac:dyDescent="0.3">
      <c r="A104" s="83"/>
      <c r="B104" s="83"/>
      <c r="C104" s="83"/>
      <c r="D104" s="83"/>
      <c r="E104" s="83"/>
      <c r="F104" s="83"/>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row>
    <row r="105" spans="1:107" x14ac:dyDescent="0.3">
      <c r="A105" s="83"/>
      <c r="B105" s="83"/>
      <c r="C105" s="83"/>
      <c r="D105" s="83"/>
      <c r="E105" s="83"/>
      <c r="F105" s="83"/>
      <c r="G105" s="83"/>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row>
    <row r="106" spans="1:107" x14ac:dyDescent="0.3">
      <c r="A106" s="83"/>
      <c r="B106" s="83"/>
      <c r="C106" s="83"/>
      <c r="D106" s="83"/>
      <c r="E106" s="83"/>
      <c r="F106" s="83"/>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row>
    <row r="107" spans="1:107" x14ac:dyDescent="0.3">
      <c r="A107" s="83"/>
      <c r="B107" s="83"/>
      <c r="C107" s="83"/>
      <c r="D107" s="83"/>
      <c r="E107" s="83"/>
      <c r="F107" s="83"/>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row>
    <row r="108" spans="1:107" x14ac:dyDescent="0.3">
      <c r="A108" s="83"/>
      <c r="B108" s="83"/>
      <c r="C108" s="83"/>
      <c r="D108" s="83"/>
      <c r="E108" s="83"/>
      <c r="F108" s="83"/>
      <c r="G108" s="83"/>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row>
    <row r="109" spans="1:107" x14ac:dyDescent="0.3">
      <c r="A109" s="83"/>
      <c r="B109" s="83"/>
      <c r="C109" s="83"/>
      <c r="D109" s="83"/>
      <c r="E109" s="83"/>
      <c r="F109" s="83"/>
      <c r="G109" s="83"/>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row>
    <row r="110" spans="1:107" x14ac:dyDescent="0.3">
      <c r="A110" s="83"/>
      <c r="B110" s="83"/>
      <c r="C110" s="83"/>
      <c r="D110" s="83"/>
      <c r="E110" s="83"/>
      <c r="F110" s="83"/>
      <c r="G110" s="83"/>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row>
    <row r="111" spans="1:107" x14ac:dyDescent="0.3">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row>
    <row r="112" spans="1:107" x14ac:dyDescent="0.3">
      <c r="A112" s="83"/>
      <c r="B112" s="83"/>
      <c r="C112" s="83"/>
      <c r="D112" s="83"/>
      <c r="E112" s="83"/>
      <c r="F112" s="83"/>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row>
    <row r="113" spans="1:107" x14ac:dyDescent="0.3">
      <c r="A113" s="83"/>
      <c r="B113" s="83"/>
      <c r="C113" s="83"/>
      <c r="D113" s="83"/>
      <c r="E113" s="83"/>
      <c r="F113" s="83"/>
      <c r="G113" s="83"/>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row>
    <row r="114" spans="1:107" x14ac:dyDescent="0.3">
      <c r="A114" s="83"/>
      <c r="B114" s="83"/>
      <c r="C114" s="83"/>
      <c r="D114" s="83"/>
      <c r="E114" s="83"/>
      <c r="F114" s="83"/>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row>
    <row r="115" spans="1:107" x14ac:dyDescent="0.3">
      <c r="A115" s="83"/>
      <c r="B115" s="83"/>
      <c r="C115" s="83"/>
      <c r="D115" s="83"/>
      <c r="E115" s="83"/>
      <c r="F115" s="83"/>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row>
    <row r="116" spans="1:107" x14ac:dyDescent="0.3">
      <c r="A116" s="83"/>
      <c r="B116" s="83"/>
      <c r="C116" s="83"/>
      <c r="D116" s="83"/>
      <c r="E116" s="83"/>
      <c r="F116" s="83"/>
      <c r="G116" s="83"/>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row>
    <row r="117" spans="1:107" x14ac:dyDescent="0.3">
      <c r="A117" s="83"/>
      <c r="B117" s="83"/>
      <c r="C117" s="83"/>
      <c r="D117" s="83"/>
      <c r="E117" s="83"/>
      <c r="F117" s="83"/>
      <c r="G117" s="83"/>
      <c r="H117" s="83"/>
      <c r="I117" s="83"/>
      <c r="J117" s="83"/>
      <c r="K117" s="83"/>
      <c r="L117" s="83"/>
      <c r="M117" s="83"/>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row>
    <row r="118" spans="1:107" x14ac:dyDescent="0.3">
      <c r="A118" s="83"/>
      <c r="B118" s="83"/>
      <c r="C118" s="83"/>
      <c r="D118" s="83"/>
      <c r="E118" s="83"/>
      <c r="F118" s="83"/>
      <c r="G118" s="83"/>
      <c r="H118" s="83"/>
      <c r="I118" s="83"/>
      <c r="J118" s="83"/>
      <c r="K118" s="83"/>
      <c r="L118" s="83"/>
      <c r="M118" s="83"/>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row>
    <row r="119" spans="1:107" x14ac:dyDescent="0.3">
      <c r="A119" s="83"/>
      <c r="B119" s="83"/>
      <c r="C119" s="83"/>
      <c r="D119" s="83"/>
      <c r="E119" s="83"/>
      <c r="F119" s="83"/>
      <c r="G119" s="83"/>
      <c r="H119" s="83"/>
      <c r="I119" s="83"/>
      <c r="J119" s="83"/>
      <c r="K119" s="83"/>
      <c r="L119" s="83"/>
      <c r="M119" s="83"/>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row>
    <row r="120" spans="1:107" x14ac:dyDescent="0.3">
      <c r="A120" s="83"/>
      <c r="B120" s="83"/>
      <c r="C120" s="83"/>
      <c r="D120" s="83"/>
      <c r="E120" s="83"/>
      <c r="F120" s="83"/>
      <c r="G120" s="83"/>
      <c r="H120" s="83"/>
      <c r="I120" s="83"/>
      <c r="J120" s="83"/>
      <c r="K120" s="83"/>
      <c r="L120" s="83"/>
      <c r="M120" s="83"/>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row>
    <row r="121" spans="1:107" x14ac:dyDescent="0.3">
      <c r="A121" s="83"/>
      <c r="B121" s="83"/>
      <c r="C121" s="83"/>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row>
    <row r="122" spans="1:107" x14ac:dyDescent="0.3">
      <c r="A122" s="83"/>
      <c r="B122" s="83"/>
      <c r="C122" s="83"/>
      <c r="D122" s="83"/>
      <c r="E122" s="83"/>
      <c r="F122" s="83"/>
      <c r="G122" s="83"/>
      <c r="H122" s="83"/>
      <c r="I122" s="83"/>
      <c r="J122" s="83"/>
      <c r="K122" s="83"/>
      <c r="L122" s="83"/>
      <c r="M122" s="83"/>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row>
    <row r="123" spans="1:107" x14ac:dyDescent="0.3">
      <c r="A123" s="83"/>
      <c r="B123" s="83"/>
      <c r="C123" s="83"/>
      <c r="D123" s="83"/>
      <c r="E123" s="83"/>
      <c r="F123" s="83"/>
      <c r="G123" s="83"/>
      <c r="H123" s="83"/>
      <c r="I123" s="83"/>
      <c r="J123" s="83"/>
      <c r="K123" s="83"/>
      <c r="L123" s="83"/>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row>
    <row r="124" spans="1:107" x14ac:dyDescent="0.3">
      <c r="A124" s="83"/>
      <c r="B124" s="83"/>
      <c r="C124" s="83"/>
      <c r="D124" s="83"/>
      <c r="E124" s="83"/>
      <c r="F124" s="83"/>
      <c r="G124" s="83"/>
      <c r="H124" s="83"/>
      <c r="I124" s="83"/>
      <c r="J124" s="83"/>
      <c r="K124" s="83"/>
      <c r="L124" s="83"/>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row>
    <row r="125" spans="1:107" x14ac:dyDescent="0.3">
      <c r="A125" s="83"/>
      <c r="B125" s="83"/>
      <c r="C125" s="83"/>
      <c r="D125" s="83"/>
      <c r="E125" s="83"/>
      <c r="F125" s="83"/>
      <c r="G125" s="83"/>
      <c r="H125" s="83"/>
      <c r="I125" s="83"/>
      <c r="J125" s="83"/>
      <c r="K125" s="83"/>
      <c r="L125" s="83"/>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row>
    <row r="126" spans="1:107" x14ac:dyDescent="0.3">
      <c r="A126" s="83"/>
      <c r="B126" s="83"/>
      <c r="C126" s="83"/>
      <c r="D126" s="83"/>
      <c r="E126" s="83"/>
      <c r="F126" s="83"/>
      <c r="G126" s="83"/>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row>
    <row r="127" spans="1:107" x14ac:dyDescent="0.3">
      <c r="A127" s="83"/>
      <c r="B127" s="83"/>
      <c r="C127" s="83"/>
      <c r="D127" s="83"/>
      <c r="E127" s="83"/>
      <c r="F127" s="83"/>
      <c r="G127" s="83"/>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row>
    <row r="128" spans="1:107" x14ac:dyDescent="0.3">
      <c r="A128" s="83"/>
      <c r="B128" s="83"/>
      <c r="C128" s="83"/>
      <c r="D128" s="83"/>
      <c r="E128" s="83"/>
      <c r="F128" s="83"/>
      <c r="G128" s="83"/>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row>
    <row r="129" spans="1:107" x14ac:dyDescent="0.3">
      <c r="A129" s="83"/>
      <c r="B129" s="83"/>
      <c r="C129" s="83"/>
      <c r="D129" s="83"/>
      <c r="E129" s="83"/>
      <c r="F129" s="83"/>
      <c r="G129" s="83"/>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row>
    <row r="130" spans="1:107" x14ac:dyDescent="0.3">
      <c r="A130" s="83"/>
      <c r="B130" s="83"/>
      <c r="C130" s="83"/>
      <c r="D130" s="83"/>
      <c r="E130" s="83"/>
      <c r="F130" s="83"/>
      <c r="G130" s="83"/>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row>
    <row r="131" spans="1:107" x14ac:dyDescent="0.3">
      <c r="A131" s="83"/>
      <c r="B131" s="83"/>
      <c r="C131" s="83"/>
      <c r="D131" s="83"/>
      <c r="E131" s="83"/>
      <c r="F131" s="83"/>
      <c r="G131" s="83"/>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row>
    <row r="132" spans="1:107" x14ac:dyDescent="0.3">
      <c r="A132" s="83"/>
      <c r="B132" s="83"/>
      <c r="C132" s="83"/>
      <c r="D132" s="83"/>
      <c r="E132" s="83"/>
      <c r="F132" s="83"/>
      <c r="G132" s="83"/>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row>
    <row r="133" spans="1:107" x14ac:dyDescent="0.3">
      <c r="A133" s="83"/>
      <c r="B133" s="83"/>
      <c r="C133" s="83"/>
      <c r="D133" s="83"/>
      <c r="E133" s="83"/>
      <c r="F133" s="83"/>
      <c r="G133" s="83"/>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row>
    <row r="134" spans="1:107" x14ac:dyDescent="0.3">
      <c r="A134" s="83"/>
      <c r="B134" s="83"/>
      <c r="C134" s="83"/>
      <c r="D134" s="83"/>
      <c r="E134" s="83"/>
      <c r="F134" s="83"/>
      <c r="G134" s="83"/>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row>
    <row r="135" spans="1:107" x14ac:dyDescent="0.3">
      <c r="A135" s="83"/>
      <c r="B135" s="83"/>
      <c r="C135" s="83"/>
      <c r="D135" s="83"/>
      <c r="E135" s="83"/>
      <c r="F135" s="83"/>
      <c r="G135" s="83"/>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row>
    <row r="136" spans="1:107" x14ac:dyDescent="0.3">
      <c r="A136" s="83"/>
      <c r="B136" s="83"/>
      <c r="C136" s="83"/>
      <c r="D136" s="83"/>
      <c r="E136" s="83"/>
      <c r="F136" s="83"/>
      <c r="G136" s="83"/>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row>
    <row r="137" spans="1:107" x14ac:dyDescent="0.3">
      <c r="A137" s="83"/>
      <c r="B137" s="83"/>
      <c r="C137" s="83"/>
      <c r="D137" s="83"/>
      <c r="E137" s="83"/>
      <c r="F137" s="83"/>
      <c r="G137" s="83"/>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row>
    <row r="138" spans="1:107" x14ac:dyDescent="0.3">
      <c r="A138" s="83"/>
      <c r="B138" s="83"/>
      <c r="C138" s="83"/>
      <c r="D138" s="83"/>
      <c r="E138" s="83"/>
      <c r="F138" s="83"/>
      <c r="G138" s="83"/>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row>
    <row r="139" spans="1:107" x14ac:dyDescent="0.3">
      <c r="A139" s="83"/>
      <c r="B139" s="83"/>
      <c r="C139" s="83"/>
      <c r="D139" s="83"/>
      <c r="E139" s="83"/>
      <c r="F139" s="83"/>
      <c r="G139" s="83"/>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row>
    <row r="140" spans="1:107" x14ac:dyDescent="0.3">
      <c r="A140" s="83"/>
      <c r="B140" s="83"/>
      <c r="C140" s="83"/>
      <c r="D140" s="83"/>
      <c r="E140" s="83"/>
      <c r="F140" s="83"/>
      <c r="G140" s="83"/>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row>
    <row r="141" spans="1:107" x14ac:dyDescent="0.3">
      <c r="A141" s="83"/>
      <c r="B141" s="83"/>
      <c r="C141" s="83"/>
      <c r="D141" s="83"/>
      <c r="E141" s="83"/>
      <c r="F141" s="83"/>
      <c r="G141" s="83"/>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row>
    <row r="142" spans="1:107" x14ac:dyDescent="0.3">
      <c r="A142" s="83"/>
      <c r="B142" s="83"/>
      <c r="C142" s="83"/>
      <c r="D142" s="83"/>
      <c r="E142" s="83"/>
      <c r="F142" s="83"/>
      <c r="G142" s="83"/>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row>
    <row r="143" spans="1:107" x14ac:dyDescent="0.3">
      <c r="A143" s="83"/>
      <c r="B143" s="83"/>
      <c r="C143" s="83"/>
      <c r="D143" s="83"/>
      <c r="E143" s="83"/>
      <c r="F143" s="83"/>
      <c r="G143" s="83"/>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row>
    <row r="144" spans="1:107" x14ac:dyDescent="0.3">
      <c r="A144" s="83"/>
      <c r="B144" s="83"/>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row>
    <row r="145" spans="1:107" x14ac:dyDescent="0.3">
      <c r="A145" s="83"/>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row>
    <row r="146" spans="1:107" x14ac:dyDescent="0.3">
      <c r="A146" s="83"/>
      <c r="B146" s="83"/>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row>
    <row r="147" spans="1:107" x14ac:dyDescent="0.3">
      <c r="A147" s="83"/>
      <c r="B147" s="83"/>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row>
    <row r="148" spans="1:107" x14ac:dyDescent="0.3">
      <c r="A148" s="83"/>
      <c r="B148" s="83"/>
      <c r="C148" s="83"/>
      <c r="D148" s="83"/>
      <c r="E148" s="83"/>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row>
    <row r="149" spans="1:107" x14ac:dyDescent="0.3">
      <c r="A149" s="83"/>
      <c r="B149" s="83"/>
      <c r="C149" s="83"/>
      <c r="D149" s="83"/>
      <c r="E149" s="83"/>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row>
    <row r="150" spans="1:107" x14ac:dyDescent="0.3">
      <c r="A150" s="83"/>
      <c r="B150" s="83"/>
      <c r="C150" s="83"/>
      <c r="D150" s="83"/>
      <c r="E150" s="83"/>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row>
    <row r="151" spans="1:107" x14ac:dyDescent="0.3">
      <c r="A151" s="83"/>
      <c r="B151" s="83"/>
      <c r="C151" s="83"/>
      <c r="D151" s="83"/>
      <c r="E151" s="83"/>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row>
    <row r="152" spans="1:107" x14ac:dyDescent="0.3">
      <c r="A152" s="83"/>
      <c r="B152" s="83"/>
      <c r="C152" s="83"/>
      <c r="D152" s="83"/>
      <c r="E152" s="83"/>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row>
    <row r="153" spans="1:107" x14ac:dyDescent="0.3">
      <c r="A153" s="83"/>
      <c r="B153" s="83"/>
      <c r="C153" s="83"/>
      <c r="D153" s="83"/>
      <c r="E153" s="83"/>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row>
    <row r="154" spans="1:107" x14ac:dyDescent="0.3">
      <c r="A154" s="83"/>
      <c r="B154" s="83"/>
      <c r="C154" s="83"/>
      <c r="D154" s="83"/>
      <c r="E154" s="83"/>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row>
    <row r="155" spans="1:107" x14ac:dyDescent="0.3">
      <c r="A155" s="83"/>
      <c r="B155" s="83"/>
      <c r="C155" s="83"/>
      <c r="D155" s="83"/>
      <c r="E155" s="83"/>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row>
    <row r="156" spans="1:107" x14ac:dyDescent="0.3">
      <c r="A156" s="83"/>
      <c r="B156" s="83"/>
      <c r="C156" s="83"/>
      <c r="D156" s="83"/>
      <c r="E156" s="83"/>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row>
    <row r="157" spans="1:107" x14ac:dyDescent="0.3">
      <c r="A157" s="83"/>
      <c r="B157" s="83"/>
      <c r="C157" s="83"/>
      <c r="D157" s="83"/>
      <c r="E157" s="83"/>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row>
    <row r="158" spans="1:107" x14ac:dyDescent="0.3">
      <c r="A158" s="83"/>
      <c r="B158" s="83"/>
      <c r="C158" s="83"/>
      <c r="D158" s="83"/>
      <c r="E158" s="83"/>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row>
    <row r="159" spans="1:107" x14ac:dyDescent="0.3">
      <c r="A159" s="83"/>
      <c r="B159" s="83"/>
      <c r="C159" s="83"/>
      <c r="D159" s="83"/>
      <c r="E159" s="83"/>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row>
    <row r="160" spans="1:107" x14ac:dyDescent="0.3">
      <c r="A160" s="83"/>
      <c r="B160" s="83"/>
      <c r="C160" s="83"/>
      <c r="D160" s="83"/>
      <c r="E160" s="83"/>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row>
    <row r="161" spans="1:107" x14ac:dyDescent="0.3">
      <c r="A161" s="83"/>
      <c r="B161" s="83"/>
      <c r="C161" s="83"/>
      <c r="D161" s="83"/>
      <c r="E161" s="83"/>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row>
    <row r="162" spans="1:107" x14ac:dyDescent="0.3">
      <c r="A162" s="83"/>
      <c r="B162" s="83"/>
      <c r="C162" s="83"/>
      <c r="D162" s="83"/>
      <c r="E162" s="83"/>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row>
    <row r="163" spans="1:107" x14ac:dyDescent="0.3">
      <c r="A163" s="83"/>
      <c r="B163" s="83"/>
      <c r="C163" s="83"/>
      <c r="D163" s="83"/>
      <c r="E163" s="83"/>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row>
    <row r="164" spans="1:107" x14ac:dyDescent="0.3">
      <c r="A164" s="83"/>
      <c r="B164" s="83"/>
      <c r="C164" s="83"/>
      <c r="D164" s="83"/>
      <c r="E164" s="83"/>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row>
    <row r="165" spans="1:107" x14ac:dyDescent="0.3">
      <c r="A165" s="83"/>
      <c r="B165" s="83"/>
      <c r="C165" s="83"/>
      <c r="D165" s="83"/>
      <c r="E165" s="83"/>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row>
    <row r="166" spans="1:107" x14ac:dyDescent="0.3">
      <c r="A166" s="83"/>
      <c r="B166" s="83"/>
      <c r="C166" s="83"/>
      <c r="D166" s="83"/>
      <c r="E166" s="83"/>
      <c r="F166" s="83"/>
      <c r="G166" s="83"/>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row>
    <row r="167" spans="1:107" x14ac:dyDescent="0.3">
      <c r="A167" s="83"/>
      <c r="B167" s="83"/>
      <c r="C167" s="83"/>
      <c r="D167" s="83"/>
      <c r="E167" s="83"/>
      <c r="F167" s="83"/>
      <c r="G167" s="83"/>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row>
    <row r="168" spans="1:107" x14ac:dyDescent="0.3">
      <c r="A168" s="83"/>
      <c r="B168" s="83"/>
      <c r="C168" s="83"/>
      <c r="D168" s="83"/>
      <c r="E168" s="83"/>
      <c r="F168" s="83"/>
      <c r="G168" s="83"/>
      <c r="H168" s="83"/>
      <c r="I168" s="83"/>
      <c r="J168" s="83"/>
      <c r="K168" s="83"/>
      <c r="L168" s="83"/>
      <c r="M168" s="83"/>
      <c r="N168" s="83"/>
      <c r="O168" s="83"/>
      <c r="P168" s="83"/>
      <c r="Q168" s="83"/>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row>
    <row r="169" spans="1:107" x14ac:dyDescent="0.3">
      <c r="A169" s="83"/>
      <c r="B169" s="83"/>
      <c r="C169" s="83"/>
      <c r="D169" s="83"/>
      <c r="E169" s="83"/>
      <c r="F169" s="83"/>
      <c r="G169" s="83"/>
      <c r="H169" s="83"/>
      <c r="I169" s="83"/>
      <c r="J169" s="83"/>
      <c r="K169" s="83"/>
      <c r="L169" s="83"/>
      <c r="M169" s="83"/>
      <c r="N169" s="83"/>
      <c r="O169" s="83"/>
      <c r="P169" s="83"/>
      <c r="Q169" s="83"/>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row>
    <row r="170" spans="1:107" x14ac:dyDescent="0.3">
      <c r="A170" s="83"/>
      <c r="B170" s="83"/>
      <c r="C170" s="83"/>
      <c r="D170" s="83"/>
      <c r="E170" s="83"/>
      <c r="F170" s="83"/>
      <c r="G170" s="83"/>
      <c r="H170" s="83"/>
      <c r="I170" s="83"/>
      <c r="J170" s="83"/>
      <c r="K170" s="83"/>
      <c r="L170" s="83"/>
      <c r="M170" s="83"/>
      <c r="N170" s="83"/>
      <c r="O170" s="83"/>
      <c r="P170" s="83"/>
      <c r="Q170" s="83"/>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row>
    <row r="171" spans="1:107" x14ac:dyDescent="0.3">
      <c r="A171" s="83"/>
      <c r="B171" s="83"/>
      <c r="C171" s="83"/>
      <c r="D171" s="83"/>
      <c r="E171" s="83"/>
      <c r="F171" s="83"/>
      <c r="G171" s="83"/>
      <c r="H171" s="83"/>
      <c r="I171" s="83"/>
      <c r="J171" s="83"/>
      <c r="K171" s="83"/>
      <c r="L171" s="83"/>
      <c r="M171" s="83"/>
      <c r="N171" s="83"/>
      <c r="O171" s="83"/>
      <c r="P171" s="83"/>
      <c r="Q171" s="83"/>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row>
    <row r="172" spans="1:107" x14ac:dyDescent="0.3">
      <c r="A172" s="83"/>
      <c r="B172" s="83"/>
      <c r="C172" s="83"/>
      <c r="D172" s="83"/>
      <c r="E172" s="83"/>
      <c r="F172" s="83"/>
      <c r="G172" s="83"/>
      <c r="H172" s="83"/>
      <c r="I172" s="83"/>
      <c r="J172" s="83"/>
      <c r="K172" s="83"/>
      <c r="L172" s="83"/>
      <c r="M172" s="83"/>
      <c r="N172" s="83"/>
      <c r="O172" s="83"/>
      <c r="P172" s="83"/>
      <c r="Q172" s="83"/>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row>
    <row r="173" spans="1:107" x14ac:dyDescent="0.3">
      <c r="A173" s="83"/>
      <c r="B173" s="83"/>
      <c r="C173" s="83"/>
      <c r="D173" s="83"/>
      <c r="E173" s="83"/>
      <c r="F173" s="83"/>
      <c r="G173" s="83"/>
      <c r="H173" s="83"/>
      <c r="I173" s="83"/>
      <c r="J173" s="83"/>
      <c r="K173" s="83"/>
      <c r="L173" s="83"/>
      <c r="M173" s="83"/>
      <c r="N173" s="83"/>
      <c r="O173" s="83"/>
      <c r="P173" s="83"/>
      <c r="Q173" s="83"/>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row>
    <row r="174" spans="1:107" x14ac:dyDescent="0.3">
      <c r="A174" s="83"/>
      <c r="B174" s="83"/>
      <c r="C174" s="83"/>
      <c r="D174" s="83"/>
      <c r="E174" s="83"/>
      <c r="F174" s="83"/>
      <c r="G174" s="83"/>
      <c r="H174" s="83"/>
      <c r="I174" s="83"/>
      <c r="J174" s="83"/>
      <c r="K174" s="83"/>
      <c r="L174" s="83"/>
      <c r="M174" s="83"/>
      <c r="N174" s="83"/>
      <c r="O174" s="83"/>
      <c r="P174" s="83"/>
      <c r="Q174" s="83"/>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row>
    <row r="175" spans="1:107" x14ac:dyDescent="0.3">
      <c r="A175" s="83"/>
      <c r="B175" s="83"/>
      <c r="C175" s="83"/>
      <c r="D175" s="83"/>
      <c r="E175" s="83"/>
      <c r="F175" s="83"/>
      <c r="G175" s="83"/>
      <c r="H175" s="83"/>
      <c r="I175" s="83"/>
      <c r="J175" s="83"/>
      <c r="K175" s="83"/>
      <c r="L175" s="83"/>
      <c r="M175" s="83"/>
      <c r="N175" s="83"/>
      <c r="O175" s="83"/>
      <c r="P175" s="83"/>
      <c r="Q175" s="83"/>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row>
    <row r="176" spans="1:107" x14ac:dyDescent="0.3">
      <c r="A176" s="83"/>
      <c r="B176" s="83"/>
      <c r="C176" s="83"/>
      <c r="D176" s="83"/>
      <c r="E176" s="83"/>
      <c r="F176" s="83"/>
      <c r="G176" s="83"/>
      <c r="H176" s="83"/>
      <c r="I176" s="83"/>
      <c r="J176" s="83"/>
      <c r="K176" s="83"/>
      <c r="L176" s="83"/>
      <c r="M176" s="83"/>
      <c r="N176" s="83"/>
      <c r="O176" s="83"/>
      <c r="P176" s="83"/>
      <c r="Q176" s="83"/>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row>
    <row r="177" spans="1:107" x14ac:dyDescent="0.3">
      <c r="A177" s="83"/>
      <c r="B177" s="83"/>
      <c r="C177" s="83"/>
      <c r="D177" s="83"/>
      <c r="E177" s="83"/>
      <c r="F177" s="83"/>
      <c r="G177" s="83"/>
      <c r="H177" s="83"/>
      <c r="I177" s="83"/>
      <c r="J177" s="83"/>
      <c r="K177" s="83"/>
      <c r="L177" s="83"/>
      <c r="M177" s="83"/>
      <c r="N177" s="83"/>
      <c r="O177" s="83"/>
      <c r="P177" s="83"/>
      <c r="Q177" s="83"/>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row>
    <row r="178" spans="1:107" x14ac:dyDescent="0.3">
      <c r="A178" s="83"/>
      <c r="B178" s="83"/>
      <c r="C178" s="83"/>
      <c r="D178" s="83"/>
      <c r="E178" s="83"/>
      <c r="F178" s="83"/>
      <c r="G178" s="83"/>
      <c r="H178" s="83"/>
      <c r="I178" s="83"/>
      <c r="J178" s="83"/>
      <c r="K178" s="83"/>
      <c r="L178" s="83"/>
      <c r="M178" s="83"/>
      <c r="N178" s="83"/>
      <c r="O178" s="83"/>
      <c r="P178" s="83"/>
      <c r="Q178" s="83"/>
      <c r="R178" s="83"/>
      <c r="S178" s="83"/>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row>
    <row r="179" spans="1:107" x14ac:dyDescent="0.3">
      <c r="A179" s="83"/>
      <c r="B179" s="83"/>
      <c r="C179" s="83"/>
      <c r="D179" s="83"/>
      <c r="E179" s="83"/>
      <c r="F179" s="83"/>
      <c r="G179" s="83"/>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row>
    <row r="180" spans="1:107" x14ac:dyDescent="0.3">
      <c r="A180" s="83"/>
      <c r="B180" s="83"/>
      <c r="C180" s="83"/>
      <c r="D180" s="83"/>
      <c r="E180" s="83"/>
      <c r="F180" s="83"/>
      <c r="G180" s="83"/>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row>
    <row r="181" spans="1:107" x14ac:dyDescent="0.3">
      <c r="A181" s="83"/>
      <c r="B181" s="83"/>
      <c r="C181" s="83"/>
      <c r="D181" s="83"/>
      <c r="E181" s="83"/>
      <c r="F181" s="83"/>
      <c r="G181" s="83"/>
      <c r="H181" s="83"/>
      <c r="I181" s="83"/>
      <c r="J181" s="83"/>
      <c r="K181" s="83"/>
      <c r="L181" s="83"/>
      <c r="M181" s="83"/>
      <c r="N181" s="83"/>
      <c r="O181" s="83"/>
      <c r="P181" s="83"/>
      <c r="Q181" s="83"/>
      <c r="R181" s="83"/>
      <c r="S181" s="83"/>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row>
    <row r="182" spans="1:107" x14ac:dyDescent="0.3">
      <c r="A182" s="83"/>
      <c r="B182" s="83"/>
      <c r="C182" s="83"/>
      <c r="D182" s="83"/>
      <c r="E182" s="83"/>
      <c r="F182" s="83"/>
      <c r="G182" s="83"/>
      <c r="H182" s="83"/>
      <c r="I182" s="83"/>
      <c r="J182" s="83"/>
      <c r="K182" s="83"/>
      <c r="L182" s="83"/>
      <c r="M182" s="83"/>
      <c r="N182" s="83"/>
      <c r="O182" s="83"/>
      <c r="P182" s="83"/>
      <c r="Q182" s="83"/>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row>
    <row r="183" spans="1:107" x14ac:dyDescent="0.3">
      <c r="A183" s="83"/>
      <c r="B183" s="83"/>
      <c r="C183" s="83"/>
      <c r="D183" s="83"/>
      <c r="E183" s="83"/>
      <c r="F183" s="83"/>
      <c r="G183" s="83"/>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row>
    <row r="184" spans="1:107" x14ac:dyDescent="0.3">
      <c r="A184" s="83"/>
      <c r="B184" s="83"/>
      <c r="C184" s="83"/>
      <c r="D184" s="83"/>
      <c r="E184" s="83"/>
      <c r="F184" s="83"/>
      <c r="G184" s="83"/>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row>
    <row r="185" spans="1:107" x14ac:dyDescent="0.3">
      <c r="A185" s="83"/>
      <c r="B185" s="83"/>
      <c r="C185" s="83"/>
      <c r="D185" s="83"/>
      <c r="E185" s="83"/>
      <c r="F185" s="83"/>
      <c r="G185" s="83"/>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row>
    <row r="186" spans="1:107" x14ac:dyDescent="0.3">
      <c r="A186" s="83"/>
      <c r="B186" s="83"/>
      <c r="C186" s="83"/>
      <c r="D186" s="83"/>
      <c r="E186" s="83"/>
      <c r="F186" s="83"/>
      <c r="G186" s="83"/>
      <c r="H186" s="83"/>
      <c r="I186" s="83"/>
      <c r="J186" s="83"/>
      <c r="K186" s="83"/>
      <c r="L186" s="83"/>
      <c r="M186" s="83"/>
      <c r="N186" s="83"/>
      <c r="O186" s="83"/>
      <c r="P186" s="83"/>
      <c r="Q186" s="83"/>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row>
    <row r="187" spans="1:107" x14ac:dyDescent="0.3">
      <c r="A187" s="83"/>
      <c r="B187" s="83"/>
      <c r="C187" s="83"/>
      <c r="D187" s="83"/>
      <c r="E187" s="83"/>
      <c r="F187" s="83"/>
      <c r="G187" s="83"/>
      <c r="H187" s="83"/>
      <c r="I187" s="83"/>
      <c r="J187" s="83"/>
      <c r="K187" s="83"/>
      <c r="L187" s="83"/>
      <c r="M187" s="83"/>
      <c r="N187" s="83"/>
      <c r="O187" s="83"/>
      <c r="P187" s="83"/>
      <c r="Q187" s="83"/>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row>
    <row r="188" spans="1:107" x14ac:dyDescent="0.3">
      <c r="A188" s="83"/>
      <c r="B188" s="83"/>
      <c r="C188" s="83"/>
      <c r="D188" s="83"/>
      <c r="E188" s="83"/>
      <c r="F188" s="83"/>
      <c r="G188" s="83"/>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row>
    <row r="189" spans="1:107" x14ac:dyDescent="0.3">
      <c r="A189" s="83"/>
      <c r="B189" s="83"/>
      <c r="C189" s="83"/>
      <c r="D189" s="83"/>
      <c r="E189" s="83"/>
      <c r="F189" s="83"/>
      <c r="G189" s="83"/>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row>
    <row r="190" spans="1:107" x14ac:dyDescent="0.3">
      <c r="A190" s="83"/>
      <c r="B190" s="83"/>
      <c r="C190" s="83"/>
      <c r="D190" s="83"/>
      <c r="E190" s="83"/>
      <c r="F190" s="83"/>
      <c r="G190" s="83"/>
      <c r="H190" s="83"/>
      <c r="I190" s="83"/>
      <c r="J190" s="83"/>
      <c r="K190" s="83"/>
      <c r="L190" s="83"/>
      <c r="M190" s="83"/>
      <c r="N190" s="83"/>
      <c r="O190" s="83"/>
      <c r="P190" s="83"/>
      <c r="Q190" s="83"/>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row>
    <row r="191" spans="1:107" x14ac:dyDescent="0.3">
      <c r="A191" s="83"/>
      <c r="B191" s="83"/>
      <c r="C191" s="83"/>
      <c r="D191" s="83"/>
      <c r="E191" s="83"/>
      <c r="F191" s="83"/>
      <c r="G191" s="83"/>
      <c r="H191" s="83"/>
      <c r="I191" s="83"/>
      <c r="J191" s="83"/>
      <c r="K191" s="83"/>
      <c r="L191" s="83"/>
      <c r="M191" s="83"/>
      <c r="N191" s="83"/>
      <c r="O191" s="83"/>
      <c r="P191" s="83"/>
      <c r="Q191" s="83"/>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row>
    <row r="192" spans="1:107" x14ac:dyDescent="0.3">
      <c r="A192" s="83"/>
      <c r="B192" s="83"/>
      <c r="C192" s="83"/>
      <c r="D192" s="83"/>
      <c r="E192" s="83"/>
      <c r="F192" s="83"/>
      <c r="G192" s="83"/>
      <c r="H192" s="83"/>
      <c r="I192" s="83"/>
      <c r="J192" s="83"/>
      <c r="K192" s="83"/>
      <c r="L192" s="83"/>
      <c r="M192" s="83"/>
      <c r="N192" s="83"/>
      <c r="O192" s="83"/>
      <c r="P192" s="83"/>
      <c r="Q192" s="83"/>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row>
    <row r="193" spans="1:107" x14ac:dyDescent="0.3">
      <c r="A193" s="83"/>
      <c r="B193" s="83"/>
      <c r="C193" s="83"/>
      <c r="D193" s="83"/>
      <c r="E193" s="83"/>
      <c r="F193" s="83"/>
      <c r="G193" s="83"/>
      <c r="H193" s="83"/>
      <c r="I193" s="83"/>
      <c r="J193" s="83"/>
      <c r="K193" s="83"/>
      <c r="L193" s="83"/>
      <c r="M193" s="83"/>
      <c r="N193" s="83"/>
      <c r="O193" s="83"/>
      <c r="P193" s="83"/>
      <c r="Q193" s="83"/>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row>
    <row r="194" spans="1:107" x14ac:dyDescent="0.3">
      <c r="A194" s="83"/>
      <c r="B194" s="83"/>
      <c r="C194" s="83"/>
      <c r="D194" s="83"/>
      <c r="E194" s="83"/>
      <c r="F194" s="83"/>
      <c r="G194" s="83"/>
      <c r="H194" s="83"/>
      <c r="I194" s="83"/>
      <c r="J194" s="83"/>
      <c r="K194" s="83"/>
      <c r="L194" s="83"/>
      <c r="M194" s="83"/>
      <c r="N194" s="83"/>
      <c r="O194" s="83"/>
      <c r="P194" s="83"/>
      <c r="Q194" s="83"/>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row>
    <row r="195" spans="1:107" x14ac:dyDescent="0.3">
      <c r="A195" s="83"/>
      <c r="B195" s="83"/>
      <c r="C195" s="83"/>
      <c r="D195" s="83"/>
      <c r="E195" s="83"/>
      <c r="F195" s="83"/>
      <c r="G195" s="83"/>
      <c r="H195" s="83"/>
      <c r="I195" s="83"/>
      <c r="J195" s="83"/>
      <c r="K195" s="83"/>
      <c r="L195" s="83"/>
      <c r="M195" s="83"/>
      <c r="N195" s="83"/>
      <c r="O195" s="83"/>
      <c r="P195" s="83"/>
      <c r="Q195" s="83"/>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row>
    <row r="196" spans="1:107" x14ac:dyDescent="0.3">
      <c r="A196" s="83"/>
      <c r="B196" s="83"/>
      <c r="C196" s="83"/>
      <c r="D196" s="83"/>
      <c r="E196" s="83"/>
      <c r="F196" s="83"/>
      <c r="G196" s="83"/>
      <c r="H196" s="83"/>
      <c r="I196" s="83"/>
      <c r="J196" s="83"/>
      <c r="K196" s="83"/>
      <c r="L196" s="83"/>
      <c r="M196" s="83"/>
      <c r="N196" s="83"/>
      <c r="O196" s="83"/>
      <c r="P196" s="83"/>
      <c r="Q196" s="83"/>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row>
    <row r="197" spans="1:107" x14ac:dyDescent="0.3">
      <c r="A197" s="83"/>
      <c r="B197" s="83"/>
      <c r="C197" s="83"/>
      <c r="D197" s="83"/>
      <c r="E197" s="83"/>
      <c r="F197" s="83"/>
      <c r="G197" s="83"/>
      <c r="H197" s="83"/>
      <c r="I197" s="83"/>
      <c r="J197" s="83"/>
      <c r="K197" s="83"/>
      <c r="L197" s="83"/>
      <c r="M197" s="83"/>
      <c r="N197" s="83"/>
      <c r="O197" s="83"/>
      <c r="P197" s="83"/>
      <c r="Q197" s="83"/>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row>
    <row r="198" spans="1:107" x14ac:dyDescent="0.3">
      <c r="A198" s="83"/>
      <c r="B198" s="83"/>
      <c r="C198" s="83"/>
      <c r="D198" s="83"/>
      <c r="E198" s="83"/>
      <c r="F198" s="83"/>
      <c r="G198" s="83"/>
      <c r="H198" s="83"/>
      <c r="I198" s="83"/>
      <c r="J198" s="83"/>
      <c r="K198" s="83"/>
      <c r="L198" s="83"/>
      <c r="M198" s="83"/>
      <c r="N198" s="83"/>
      <c r="O198" s="83"/>
      <c r="P198" s="83"/>
      <c r="Q198" s="83"/>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row>
    <row r="199" spans="1:107" x14ac:dyDescent="0.3">
      <c r="A199" s="83"/>
      <c r="B199" s="83"/>
      <c r="C199" s="83"/>
      <c r="D199" s="83"/>
      <c r="E199" s="83"/>
      <c r="F199" s="83"/>
      <c r="G199" s="83"/>
      <c r="H199" s="83"/>
      <c r="I199" s="83"/>
      <c r="J199" s="83"/>
      <c r="K199" s="83"/>
      <c r="L199" s="83"/>
      <c r="M199" s="83"/>
      <c r="N199" s="83"/>
      <c r="O199" s="83"/>
      <c r="P199" s="83"/>
      <c r="Q199" s="83"/>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row>
    <row r="200" spans="1:107" x14ac:dyDescent="0.3">
      <c r="A200" s="83"/>
      <c r="B200" s="83"/>
      <c r="C200" s="83"/>
      <c r="D200" s="83"/>
      <c r="E200" s="83"/>
      <c r="F200" s="83"/>
      <c r="G200" s="83"/>
      <c r="H200" s="83"/>
      <c r="I200" s="83"/>
      <c r="J200" s="83"/>
      <c r="K200" s="83"/>
      <c r="L200" s="83"/>
      <c r="M200" s="83"/>
      <c r="N200" s="83"/>
      <c r="O200" s="83"/>
      <c r="P200" s="83"/>
      <c r="Q200" s="83"/>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row>
    <row r="201" spans="1:107" x14ac:dyDescent="0.3">
      <c r="A201" s="83"/>
      <c r="B201" s="83"/>
      <c r="C201" s="83"/>
      <c r="D201" s="83"/>
      <c r="E201" s="83"/>
      <c r="F201" s="83"/>
      <c r="G201" s="83"/>
      <c r="H201" s="83"/>
      <c r="I201" s="83"/>
      <c r="J201" s="83"/>
      <c r="K201" s="83"/>
      <c r="L201" s="83"/>
      <c r="M201" s="83"/>
      <c r="N201" s="83"/>
      <c r="O201" s="83"/>
      <c r="P201" s="83"/>
      <c r="Q201" s="83"/>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row>
    <row r="202" spans="1:107" x14ac:dyDescent="0.3">
      <c r="A202" s="83"/>
      <c r="B202" s="83"/>
      <c r="C202" s="83"/>
      <c r="D202" s="83"/>
      <c r="E202" s="83"/>
      <c r="F202" s="83"/>
      <c r="G202" s="83"/>
      <c r="H202" s="83"/>
      <c r="I202" s="83"/>
      <c r="J202" s="83"/>
      <c r="K202" s="83"/>
      <c r="L202" s="83"/>
      <c r="M202" s="83"/>
      <c r="N202" s="83"/>
      <c r="O202" s="83"/>
      <c r="P202" s="83"/>
      <c r="Q202" s="83"/>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row>
    <row r="203" spans="1:107" x14ac:dyDescent="0.3">
      <c r="A203" s="83"/>
      <c r="B203" s="83"/>
      <c r="C203" s="83"/>
      <c r="D203" s="83"/>
      <c r="E203" s="83"/>
      <c r="F203" s="83"/>
      <c r="G203" s="83"/>
      <c r="H203" s="83"/>
      <c r="I203" s="83"/>
      <c r="J203" s="83"/>
      <c r="K203" s="83"/>
      <c r="L203" s="83"/>
      <c r="M203" s="83"/>
      <c r="N203" s="83"/>
      <c r="O203" s="83"/>
      <c r="P203" s="83"/>
      <c r="Q203" s="83"/>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row>
    <row r="204" spans="1:107" x14ac:dyDescent="0.3">
      <c r="A204" s="83"/>
      <c r="B204" s="83"/>
      <c r="C204" s="83"/>
      <c r="D204" s="83"/>
      <c r="E204" s="83"/>
      <c r="F204" s="83"/>
      <c r="G204" s="83"/>
      <c r="H204" s="83"/>
      <c r="I204" s="83"/>
      <c r="J204" s="83"/>
      <c r="K204" s="83"/>
      <c r="L204" s="83"/>
      <c r="M204" s="83"/>
      <c r="N204" s="83"/>
      <c r="O204" s="83"/>
      <c r="P204" s="83"/>
      <c r="Q204" s="83"/>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row>
    <row r="205" spans="1:107" x14ac:dyDescent="0.3">
      <c r="A205" s="83"/>
      <c r="B205" s="83"/>
      <c r="C205" s="83"/>
      <c r="D205" s="83"/>
      <c r="E205" s="83"/>
      <c r="F205" s="83"/>
      <c r="G205" s="83"/>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row>
    <row r="206" spans="1:107" x14ac:dyDescent="0.3">
      <c r="A206" s="83"/>
      <c r="B206" s="83"/>
      <c r="C206" s="83"/>
      <c r="D206" s="83"/>
      <c r="E206" s="83"/>
      <c r="F206" s="83"/>
      <c r="G206" s="83"/>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row>
    <row r="207" spans="1:107" x14ac:dyDescent="0.3">
      <c r="A207" s="83"/>
      <c r="B207" s="83"/>
      <c r="C207" s="83"/>
      <c r="D207" s="83"/>
      <c r="E207" s="83"/>
      <c r="F207" s="83"/>
      <c r="G207" s="83"/>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row>
    <row r="208" spans="1:107" x14ac:dyDescent="0.3">
      <c r="A208" s="83"/>
      <c r="B208" s="83"/>
      <c r="C208" s="83"/>
      <c r="D208" s="83"/>
      <c r="E208" s="83"/>
      <c r="F208" s="83"/>
      <c r="G208" s="83"/>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row>
    <row r="209" spans="1:107" x14ac:dyDescent="0.3">
      <c r="A209" s="83"/>
      <c r="B209" s="83"/>
      <c r="C209" s="83"/>
      <c r="D209" s="83"/>
      <c r="E209" s="83"/>
      <c r="F209" s="83"/>
      <c r="G209" s="83"/>
      <c r="H209" s="83"/>
      <c r="I209" s="83"/>
      <c r="J209" s="83"/>
      <c r="K209" s="83"/>
      <c r="L209" s="83"/>
      <c r="M209" s="83"/>
      <c r="N209" s="83"/>
      <c r="O209" s="83"/>
      <c r="P209" s="83"/>
      <c r="Q209" s="83"/>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row>
    <row r="210" spans="1:107" x14ac:dyDescent="0.3">
      <c r="A210" s="83"/>
      <c r="B210" s="83"/>
      <c r="C210" s="83"/>
      <c r="D210" s="83"/>
      <c r="E210" s="83"/>
      <c r="F210" s="83"/>
      <c r="G210" s="83"/>
      <c r="H210" s="83"/>
      <c r="I210" s="83"/>
      <c r="J210" s="83"/>
      <c r="K210" s="83"/>
      <c r="L210" s="83"/>
      <c r="M210" s="83"/>
      <c r="N210" s="83"/>
      <c r="O210" s="83"/>
      <c r="P210" s="83"/>
      <c r="Q210" s="83"/>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row>
    <row r="211" spans="1:107" x14ac:dyDescent="0.3">
      <c r="A211" s="83"/>
      <c r="B211" s="83"/>
      <c r="C211" s="83"/>
      <c r="D211" s="83"/>
      <c r="E211" s="83"/>
      <c r="F211" s="83"/>
      <c r="G211" s="83"/>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row>
    <row r="212" spans="1:107" x14ac:dyDescent="0.3">
      <c r="A212" s="83"/>
      <c r="B212" s="83"/>
      <c r="C212" s="83"/>
      <c r="D212" s="83"/>
      <c r="E212" s="83"/>
      <c r="F212" s="83"/>
      <c r="G212" s="83"/>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row>
    <row r="213" spans="1:107" x14ac:dyDescent="0.3">
      <c r="A213" s="83"/>
      <c r="B213" s="83"/>
      <c r="C213" s="83"/>
      <c r="D213" s="83"/>
      <c r="E213" s="83"/>
      <c r="F213" s="83"/>
      <c r="G213" s="83"/>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row>
    <row r="214" spans="1:107" x14ac:dyDescent="0.3">
      <c r="A214" s="83"/>
      <c r="B214" s="83"/>
      <c r="C214" s="83"/>
      <c r="D214" s="83"/>
      <c r="E214" s="83"/>
      <c r="F214" s="83"/>
      <c r="G214" s="83"/>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row>
    <row r="215" spans="1:107" x14ac:dyDescent="0.3">
      <c r="A215" s="83"/>
      <c r="B215" s="83"/>
      <c r="C215" s="83"/>
      <c r="D215" s="83"/>
      <c r="E215" s="83"/>
      <c r="F215" s="83"/>
      <c r="G215" s="83"/>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row>
    <row r="216" spans="1:107" x14ac:dyDescent="0.3">
      <c r="A216" s="83"/>
      <c r="B216" s="83"/>
      <c r="C216" s="83"/>
      <c r="D216" s="83"/>
      <c r="E216" s="83"/>
      <c r="F216" s="83"/>
      <c r="G216" s="83"/>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row>
    <row r="217" spans="1:107" x14ac:dyDescent="0.3">
      <c r="A217" s="83"/>
      <c r="B217" s="83"/>
      <c r="C217" s="83"/>
      <c r="D217" s="83"/>
      <c r="E217" s="83"/>
      <c r="F217" s="83"/>
      <c r="G217" s="83"/>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row>
    <row r="218" spans="1:107" x14ac:dyDescent="0.3">
      <c r="A218" s="83"/>
      <c r="B218" s="83"/>
      <c r="C218" s="83"/>
      <c r="D218" s="83"/>
      <c r="E218" s="83"/>
      <c r="F218" s="83"/>
      <c r="G218" s="83"/>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row>
    <row r="219" spans="1:107" x14ac:dyDescent="0.3">
      <c r="A219" s="83"/>
      <c r="B219" s="83"/>
      <c r="C219" s="83"/>
      <c r="D219" s="83"/>
      <c r="E219" s="83"/>
      <c r="F219" s="83"/>
      <c r="G219" s="83"/>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row>
    <row r="220" spans="1:107" x14ac:dyDescent="0.3">
      <c r="A220" s="83"/>
      <c r="B220" s="83"/>
      <c r="C220" s="83"/>
      <c r="D220" s="83"/>
      <c r="E220" s="83"/>
      <c r="F220" s="83"/>
      <c r="G220" s="83"/>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row>
    <row r="221" spans="1:107" x14ac:dyDescent="0.3">
      <c r="A221" s="83"/>
      <c r="B221" s="83"/>
      <c r="C221" s="83"/>
      <c r="D221" s="83"/>
      <c r="E221" s="83"/>
      <c r="F221" s="83"/>
      <c r="G221" s="83"/>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row>
    <row r="222" spans="1:107" x14ac:dyDescent="0.3">
      <c r="A222" s="83"/>
      <c r="B222" s="83"/>
      <c r="C222" s="83"/>
      <c r="D222" s="83"/>
      <c r="E222" s="83"/>
      <c r="F222" s="83"/>
      <c r="G222" s="83"/>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row>
    <row r="223" spans="1:107" x14ac:dyDescent="0.3">
      <c r="A223" s="83"/>
      <c r="B223" s="83"/>
      <c r="C223" s="83"/>
      <c r="D223" s="83"/>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row>
    <row r="224" spans="1:107" x14ac:dyDescent="0.3">
      <c r="A224" s="83"/>
      <c r="B224" s="83"/>
      <c r="C224" s="83"/>
      <c r="D224" s="83"/>
      <c r="E224" s="83"/>
      <c r="F224" s="83"/>
      <c r="G224" s="83"/>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row>
    <row r="225" spans="1:107" x14ac:dyDescent="0.3">
      <c r="A225" s="83"/>
      <c r="B225" s="83"/>
      <c r="C225" s="83"/>
      <c r="D225" s="83"/>
      <c r="E225" s="83"/>
      <c r="F225" s="83"/>
      <c r="G225" s="83"/>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row>
    <row r="226" spans="1:107" x14ac:dyDescent="0.3">
      <c r="A226" s="83"/>
      <c r="B226" s="83"/>
      <c r="C226" s="83"/>
      <c r="D226" s="83"/>
      <c r="E226" s="83"/>
      <c r="F226" s="83"/>
      <c r="G226" s="83"/>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row>
    <row r="227" spans="1:107" x14ac:dyDescent="0.3">
      <c r="A227" s="83"/>
      <c r="B227" s="83"/>
      <c r="C227" s="83"/>
      <c r="D227" s="83"/>
      <c r="E227" s="83"/>
      <c r="F227" s="83"/>
      <c r="G227" s="83"/>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row>
    <row r="228" spans="1:107" x14ac:dyDescent="0.3">
      <c r="A228" s="83"/>
      <c r="B228" s="83"/>
      <c r="C228" s="83"/>
      <c r="D228" s="83"/>
      <c r="E228" s="83"/>
      <c r="F228" s="83"/>
      <c r="G228" s="83"/>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row>
    <row r="229" spans="1:107" x14ac:dyDescent="0.3">
      <c r="A229" s="83"/>
      <c r="B229" s="83"/>
      <c r="C229" s="83"/>
      <c r="D229" s="83"/>
      <c r="E229" s="83"/>
      <c r="F229" s="83"/>
      <c r="G229" s="83"/>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row>
    <row r="230" spans="1:107" x14ac:dyDescent="0.3">
      <c r="A230" s="83"/>
      <c r="B230" s="83"/>
      <c r="C230" s="83"/>
      <c r="D230" s="83"/>
      <c r="E230" s="83"/>
      <c r="F230" s="83"/>
      <c r="G230" s="83"/>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row>
    <row r="231" spans="1:107" x14ac:dyDescent="0.3">
      <c r="A231" s="83"/>
      <c r="B231" s="83"/>
      <c r="C231" s="83"/>
      <c r="D231" s="83"/>
      <c r="E231" s="83"/>
      <c r="F231" s="83"/>
      <c r="G231" s="83"/>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row>
    <row r="232" spans="1:107" x14ac:dyDescent="0.3">
      <c r="A232" s="83"/>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row>
    <row r="233" spans="1:107" x14ac:dyDescent="0.3">
      <c r="A233" s="83"/>
      <c r="B233" s="83"/>
      <c r="C233" s="83"/>
      <c r="D233" s="83"/>
      <c r="E233" s="83"/>
      <c r="F233" s="83"/>
      <c r="G233" s="83"/>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row>
    <row r="234" spans="1:107" x14ac:dyDescent="0.3">
      <c r="A234" s="83"/>
      <c r="B234" s="83"/>
      <c r="C234" s="83"/>
      <c r="D234" s="83"/>
      <c r="E234" s="83"/>
      <c r="F234" s="83"/>
      <c r="G234" s="83"/>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row>
    <row r="235" spans="1:107" x14ac:dyDescent="0.3">
      <c r="A235" s="83"/>
      <c r="B235" s="83"/>
      <c r="C235" s="83"/>
      <c r="D235" s="83"/>
      <c r="E235" s="83"/>
      <c r="F235" s="83"/>
      <c r="G235" s="83"/>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row>
    <row r="236" spans="1:107" x14ac:dyDescent="0.3">
      <c r="A236" s="83"/>
      <c r="B236" s="83"/>
      <c r="C236" s="83"/>
      <c r="D236" s="83"/>
      <c r="E236" s="83"/>
      <c r="F236" s="83"/>
      <c r="G236" s="83"/>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row>
    <row r="237" spans="1:107" x14ac:dyDescent="0.3">
      <c r="A237" s="83"/>
      <c r="B237" s="83"/>
      <c r="C237" s="83"/>
      <c r="D237" s="83"/>
      <c r="E237" s="83"/>
      <c r="F237" s="83"/>
      <c r="G237" s="83"/>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row>
    <row r="238" spans="1:107" x14ac:dyDescent="0.3">
      <c r="A238" s="83"/>
      <c r="B238" s="83"/>
      <c r="C238" s="83"/>
      <c r="D238" s="83"/>
      <c r="E238" s="83"/>
      <c r="F238" s="83"/>
      <c r="G238" s="83"/>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row>
    <row r="239" spans="1:107" x14ac:dyDescent="0.3">
      <c r="A239" s="83"/>
      <c r="B239" s="83"/>
      <c r="C239" s="83"/>
      <c r="D239" s="83"/>
      <c r="E239" s="83"/>
      <c r="F239" s="83"/>
      <c r="G239" s="83"/>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row>
    <row r="240" spans="1:107" x14ac:dyDescent="0.3">
      <c r="A240" s="83"/>
      <c r="B240" s="83"/>
      <c r="C240" s="83"/>
      <c r="D240" s="83"/>
      <c r="E240" s="83"/>
      <c r="F240" s="83"/>
      <c r="G240" s="83"/>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row>
    <row r="241" spans="1:107" x14ac:dyDescent="0.3">
      <c r="A241" s="83"/>
      <c r="B241" s="83"/>
      <c r="C241" s="83"/>
      <c r="D241" s="83"/>
      <c r="E241" s="83"/>
      <c r="F241" s="83"/>
      <c r="G241" s="83"/>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row>
    <row r="242" spans="1:107" x14ac:dyDescent="0.3">
      <c r="A242" s="83"/>
      <c r="B242" s="83"/>
      <c r="C242" s="83"/>
      <c r="D242" s="83"/>
      <c r="E242" s="83"/>
      <c r="F242" s="83"/>
      <c r="G242" s="83"/>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row>
    <row r="243" spans="1:107" x14ac:dyDescent="0.3">
      <c r="A243" s="83"/>
      <c r="B243" s="83"/>
      <c r="C243" s="83"/>
      <c r="D243" s="83"/>
      <c r="E243" s="83"/>
      <c r="F243" s="83"/>
      <c r="G243" s="83"/>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row>
    <row r="244" spans="1:107" x14ac:dyDescent="0.3">
      <c r="A244" s="83"/>
      <c r="B244" s="83"/>
      <c r="C244" s="83"/>
      <c r="D244" s="83"/>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row>
    <row r="245" spans="1:107" x14ac:dyDescent="0.3">
      <c r="A245" s="83"/>
      <c r="B245" s="83"/>
      <c r="C245" s="83"/>
      <c r="D245" s="83"/>
      <c r="E245" s="83"/>
      <c r="F245" s="83"/>
      <c r="G245" s="83"/>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row>
    <row r="246" spans="1:107" x14ac:dyDescent="0.3">
      <c r="A246" s="83"/>
      <c r="B246" s="83"/>
      <c r="C246" s="83"/>
      <c r="D246" s="83"/>
      <c r="E246" s="83"/>
      <c r="F246" s="83"/>
      <c r="G246" s="83"/>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row>
    <row r="247" spans="1:107" x14ac:dyDescent="0.3">
      <c r="A247" s="83"/>
      <c r="B247" s="83"/>
      <c r="C247" s="83"/>
      <c r="D247" s="83"/>
      <c r="E247" s="83"/>
      <c r="F247" s="83"/>
      <c r="G247" s="83"/>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row>
    <row r="248" spans="1:107" x14ac:dyDescent="0.3">
      <c r="A248" s="83"/>
      <c r="B248" s="83"/>
      <c r="C248" s="83"/>
      <c r="D248" s="83"/>
      <c r="E248" s="83"/>
      <c r="F248" s="83"/>
      <c r="G248" s="83"/>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row>
    <row r="249" spans="1:107" x14ac:dyDescent="0.3">
      <c r="A249" s="83"/>
      <c r="B249" s="83"/>
      <c r="C249" s="83"/>
      <c r="D249" s="83"/>
      <c r="E249" s="83"/>
      <c r="F249" s="83"/>
      <c r="G249" s="83"/>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row>
    <row r="250" spans="1:107" x14ac:dyDescent="0.3">
      <c r="A250" s="83"/>
      <c r="B250" s="83"/>
      <c r="C250" s="83"/>
      <c r="D250" s="83"/>
      <c r="E250" s="83"/>
      <c r="F250" s="83"/>
      <c r="G250" s="83"/>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row>
    <row r="251" spans="1:107" x14ac:dyDescent="0.3">
      <c r="A251" s="83"/>
      <c r="B251" s="83"/>
      <c r="C251" s="83"/>
      <c r="D251" s="83"/>
      <c r="E251" s="83"/>
      <c r="F251" s="83"/>
      <c r="G251" s="83"/>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row>
    <row r="252" spans="1:107" x14ac:dyDescent="0.3">
      <c r="A252" s="83"/>
      <c r="B252" s="83"/>
      <c r="C252" s="83"/>
      <c r="D252" s="83"/>
      <c r="E252" s="83"/>
      <c r="F252" s="83"/>
      <c r="G252" s="83"/>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row>
    <row r="253" spans="1:107" x14ac:dyDescent="0.3">
      <c r="A253" s="83"/>
      <c r="B253" s="83"/>
      <c r="C253" s="83"/>
      <c r="D253" s="83"/>
      <c r="E253" s="83"/>
      <c r="F253" s="83"/>
      <c r="G253" s="83"/>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row>
    <row r="254" spans="1:107" x14ac:dyDescent="0.3">
      <c r="A254" s="83"/>
      <c r="B254" s="83"/>
      <c r="C254" s="83"/>
      <c r="D254" s="83"/>
      <c r="E254" s="83"/>
      <c r="F254" s="83"/>
      <c r="G254" s="83"/>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row>
    <row r="255" spans="1:107" x14ac:dyDescent="0.3">
      <c r="A255" s="83"/>
      <c r="B255" s="83"/>
      <c r="C255" s="83"/>
      <c r="D255" s="83"/>
      <c r="E255" s="83"/>
      <c r="F255" s="83"/>
      <c r="G255" s="83"/>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row>
    <row r="256" spans="1:107" x14ac:dyDescent="0.3">
      <c r="A256" s="83"/>
      <c r="B256" s="83"/>
      <c r="C256" s="83"/>
      <c r="D256" s="83"/>
      <c r="E256" s="83"/>
      <c r="F256" s="83"/>
      <c r="G256" s="83"/>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row>
    <row r="257" spans="1:107" x14ac:dyDescent="0.3">
      <c r="A257" s="83"/>
      <c r="B257" s="83"/>
      <c r="C257" s="83"/>
      <c r="D257" s="83"/>
      <c r="E257" s="83"/>
      <c r="F257" s="83"/>
      <c r="G257" s="83"/>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row>
    <row r="258" spans="1:107" x14ac:dyDescent="0.3">
      <c r="A258" s="83"/>
      <c r="B258" s="83"/>
      <c r="C258" s="83"/>
      <c r="D258" s="83"/>
      <c r="E258" s="83"/>
      <c r="F258" s="83"/>
      <c r="G258" s="83"/>
      <c r="H258" s="83"/>
      <c r="I258" s="83"/>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row>
    <row r="259" spans="1:107" x14ac:dyDescent="0.3">
      <c r="A259" s="83"/>
      <c r="B259" s="83"/>
      <c r="C259" s="83"/>
      <c r="D259" s="83"/>
      <c r="E259" s="83"/>
      <c r="F259" s="83"/>
      <c r="G259" s="83"/>
      <c r="H259" s="83"/>
      <c r="I259" s="83"/>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row>
    <row r="260" spans="1:107" x14ac:dyDescent="0.3">
      <c r="A260" s="83"/>
      <c r="B260" s="83"/>
      <c r="C260" s="83"/>
      <c r="D260" s="83"/>
      <c r="E260" s="83"/>
      <c r="F260" s="83"/>
      <c r="G260" s="83"/>
      <c r="H260" s="83"/>
      <c r="I260" s="83"/>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row>
    <row r="261" spans="1:107" x14ac:dyDescent="0.3">
      <c r="A261" s="83"/>
      <c r="B261" s="83"/>
      <c r="C261" s="83"/>
      <c r="D261" s="83"/>
      <c r="E261" s="83"/>
      <c r="F261" s="83"/>
      <c r="G261" s="83"/>
      <c r="H261" s="83"/>
      <c r="I261" s="83"/>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row>
    <row r="262" spans="1:107" x14ac:dyDescent="0.3">
      <c r="A262" s="83"/>
      <c r="B262" s="83"/>
      <c r="C262" s="83"/>
      <c r="D262" s="83"/>
      <c r="E262" s="83"/>
      <c r="F262" s="83"/>
      <c r="G262" s="83"/>
      <c r="H262" s="83"/>
      <c r="I262" s="83"/>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row>
    <row r="263" spans="1:107" x14ac:dyDescent="0.3">
      <c r="A263" s="83"/>
      <c r="B263" s="83"/>
      <c r="C263" s="83"/>
      <c r="D263" s="83"/>
      <c r="E263" s="83"/>
      <c r="F263" s="83"/>
      <c r="G263" s="83"/>
      <c r="H263" s="83"/>
      <c r="I263" s="83"/>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row>
    <row r="264" spans="1:107" x14ac:dyDescent="0.3">
      <c r="A264" s="83"/>
      <c r="B264" s="83"/>
      <c r="C264" s="83"/>
      <c r="D264" s="83"/>
      <c r="E264" s="83"/>
      <c r="F264" s="83"/>
      <c r="G264" s="83"/>
      <c r="H264" s="83"/>
      <c r="I264" s="83"/>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row>
    <row r="265" spans="1:107" x14ac:dyDescent="0.3">
      <c r="A265" s="83"/>
      <c r="B265" s="83"/>
      <c r="C265" s="83"/>
      <c r="D265" s="83"/>
      <c r="E265" s="83"/>
      <c r="F265" s="83"/>
      <c r="G265" s="83"/>
      <c r="H265" s="83"/>
      <c r="I265" s="83"/>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row>
    <row r="266" spans="1:107" x14ac:dyDescent="0.3">
      <c r="A266" s="83"/>
      <c r="B266" s="83"/>
      <c r="C266" s="83"/>
      <c r="D266" s="83"/>
      <c r="E266" s="83"/>
      <c r="F266" s="83"/>
      <c r="G266" s="83"/>
      <c r="H266" s="83"/>
      <c r="I266" s="83"/>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row>
    <row r="267" spans="1:107" x14ac:dyDescent="0.3">
      <c r="A267" s="83"/>
      <c r="B267" s="83"/>
      <c r="C267" s="83"/>
      <c r="D267" s="83"/>
      <c r="E267" s="83"/>
      <c r="F267" s="83"/>
      <c r="G267" s="83"/>
      <c r="H267" s="83"/>
      <c r="I267" s="83"/>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row>
    <row r="268" spans="1:107" x14ac:dyDescent="0.3">
      <c r="A268" s="83"/>
      <c r="B268" s="83"/>
      <c r="C268" s="83"/>
      <c r="D268" s="83"/>
      <c r="E268" s="83"/>
      <c r="F268" s="83"/>
      <c r="G268" s="83"/>
      <c r="H268" s="83"/>
      <c r="I268" s="83"/>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row>
    <row r="269" spans="1:107" x14ac:dyDescent="0.3">
      <c r="A269" s="83"/>
      <c r="B269" s="83"/>
      <c r="C269" s="83"/>
      <c r="D269" s="83"/>
      <c r="E269" s="83"/>
      <c r="F269" s="83"/>
      <c r="G269" s="83"/>
      <c r="H269" s="83"/>
      <c r="I269" s="83"/>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row>
    <row r="270" spans="1:107" x14ac:dyDescent="0.3">
      <c r="A270" s="83"/>
      <c r="B270" s="83"/>
      <c r="C270" s="83"/>
      <c r="D270" s="83"/>
      <c r="E270" s="83"/>
      <c r="F270" s="83"/>
      <c r="G270" s="83"/>
      <c r="H270" s="83"/>
      <c r="I270" s="83"/>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row>
    <row r="271" spans="1:107" x14ac:dyDescent="0.3">
      <c r="A271" s="83"/>
      <c r="B271" s="83"/>
      <c r="C271" s="83"/>
      <c r="D271" s="83"/>
      <c r="E271" s="83"/>
      <c r="F271" s="83"/>
      <c r="G271" s="83"/>
      <c r="H271" s="83"/>
      <c r="I271" s="83"/>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row>
    <row r="272" spans="1:107" x14ac:dyDescent="0.3">
      <c r="A272" s="83"/>
      <c r="B272" s="83"/>
      <c r="C272" s="83"/>
      <c r="D272" s="83"/>
      <c r="E272" s="83"/>
      <c r="F272" s="83"/>
      <c r="G272" s="83"/>
      <c r="H272" s="83"/>
      <c r="I272" s="83"/>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row>
    <row r="273" spans="1:107" x14ac:dyDescent="0.3">
      <c r="A273" s="83"/>
      <c r="B273" s="83"/>
      <c r="C273" s="83"/>
      <c r="D273" s="83"/>
      <c r="E273" s="83"/>
      <c r="F273" s="83"/>
      <c r="G273" s="83"/>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row>
    <row r="274" spans="1:107" x14ac:dyDescent="0.3">
      <c r="A274" s="83"/>
      <c r="B274" s="83"/>
      <c r="C274" s="83"/>
      <c r="D274" s="83"/>
      <c r="E274" s="83"/>
      <c r="F274" s="83"/>
      <c r="G274" s="83"/>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row>
    <row r="275" spans="1:107" x14ac:dyDescent="0.3">
      <c r="A275" s="83"/>
      <c r="B275" s="83"/>
      <c r="C275" s="83"/>
      <c r="D275" s="83"/>
      <c r="E275" s="83"/>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row>
    <row r="276" spans="1:107" x14ac:dyDescent="0.3">
      <c r="A276" s="83"/>
      <c r="B276" s="83"/>
      <c r="C276" s="83"/>
      <c r="D276" s="83"/>
      <c r="E276" s="83"/>
      <c r="F276" s="83"/>
      <c r="G276" s="83"/>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row>
    <row r="277" spans="1:107" x14ac:dyDescent="0.3">
      <c r="A277" s="83"/>
      <c r="B277" s="83"/>
      <c r="C277" s="83"/>
      <c r="D277" s="83"/>
      <c r="E277" s="83"/>
      <c r="F277" s="83"/>
      <c r="G277" s="83"/>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row>
    <row r="278" spans="1:107" x14ac:dyDescent="0.3">
      <c r="A278" s="83"/>
      <c r="B278" s="83"/>
      <c r="C278" s="83"/>
      <c r="D278" s="83"/>
      <c r="E278" s="83"/>
      <c r="F278" s="83"/>
      <c r="G278" s="83"/>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row>
    <row r="279" spans="1:107" x14ac:dyDescent="0.3">
      <c r="A279" s="83"/>
      <c r="B279" s="83"/>
      <c r="C279" s="83"/>
      <c r="D279" s="83"/>
      <c r="E279" s="83"/>
      <c r="F279" s="83"/>
      <c r="G279" s="83"/>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row>
    <row r="280" spans="1:107" x14ac:dyDescent="0.3">
      <c r="A280" s="83"/>
      <c r="B280" s="83"/>
      <c r="C280" s="83"/>
      <c r="D280" s="83"/>
      <c r="E280" s="83"/>
      <c r="F280" s="83"/>
      <c r="G280" s="83"/>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row>
    <row r="281" spans="1:107" x14ac:dyDescent="0.3">
      <c r="A281" s="83"/>
      <c r="B281" s="83"/>
      <c r="C281" s="83"/>
      <c r="D281" s="83"/>
      <c r="E281" s="83"/>
      <c r="F281" s="83"/>
      <c r="G281" s="83"/>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row>
    <row r="282" spans="1:107" x14ac:dyDescent="0.3">
      <c r="A282" s="83"/>
      <c r="B282" s="83"/>
      <c r="C282" s="83"/>
      <c r="D282" s="83"/>
      <c r="E282" s="83"/>
      <c r="F282" s="83"/>
      <c r="G282" s="83"/>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row>
    <row r="283" spans="1:107" x14ac:dyDescent="0.3">
      <c r="A283" s="83"/>
      <c r="B283" s="83"/>
      <c r="C283" s="83"/>
      <c r="D283" s="83"/>
      <c r="E283" s="83"/>
      <c r="F283" s="83"/>
      <c r="G283" s="83"/>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row>
    <row r="284" spans="1:107" x14ac:dyDescent="0.3">
      <c r="A284" s="83"/>
      <c r="B284" s="83"/>
      <c r="C284" s="83"/>
      <c r="D284" s="83"/>
      <c r="E284" s="83"/>
      <c r="F284" s="83"/>
      <c r="G284" s="83"/>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row>
    <row r="285" spans="1:107" x14ac:dyDescent="0.3">
      <c r="A285" s="83"/>
      <c r="B285" s="83"/>
      <c r="C285" s="83"/>
      <c r="D285" s="83"/>
      <c r="E285" s="83"/>
      <c r="F285" s="83"/>
      <c r="G285" s="83"/>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row>
    <row r="286" spans="1:107"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row>
    <row r="287" spans="1:107"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row>
    <row r="288" spans="1:107"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row>
    <row r="289" spans="1:107"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row>
    <row r="290" spans="1:107"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row>
    <row r="291" spans="1:107"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row>
    <row r="292" spans="1:107"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row>
    <row r="293" spans="1:107"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row>
    <row r="294" spans="1:107"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row>
    <row r="295" spans="1:107"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row>
    <row r="296" spans="1:107"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row>
    <row r="297" spans="1:107"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row>
    <row r="298" spans="1:107"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row>
    <row r="299" spans="1:107"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row>
    <row r="300" spans="1:107"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row>
    <row r="301" spans="1:107"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row>
    <row r="302" spans="1:107"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row>
    <row r="303" spans="1:107"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row>
    <row r="304" spans="1:107"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row>
    <row r="305" spans="1:107"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row>
    <row r="306" spans="1:107"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row>
    <row r="307" spans="1:107"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row>
    <row r="308" spans="1:107"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row>
    <row r="309" spans="1:107"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row>
    <row r="310" spans="1:107"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row>
    <row r="311" spans="1:107"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row>
    <row r="312" spans="1:107"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row>
    <row r="313" spans="1:107"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row>
    <row r="314" spans="1:107"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row>
    <row r="315" spans="1:107"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row>
    <row r="316" spans="1:107"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row>
    <row r="317" spans="1:107"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row>
    <row r="318" spans="1:107"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row>
    <row r="319" spans="1:107"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row>
    <row r="320" spans="1:107"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row>
    <row r="321" spans="1:107"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row>
    <row r="322" spans="1:107"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row>
    <row r="323" spans="1:107"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row>
    <row r="324" spans="1:107"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row>
    <row r="325" spans="1:107"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row>
    <row r="326" spans="1:107"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row>
    <row r="327" spans="1:107"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row>
    <row r="328" spans="1:107"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row>
    <row r="329" spans="1:107"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row>
    <row r="330" spans="1:107"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row>
    <row r="331" spans="1:107"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row>
    <row r="332" spans="1:107"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row>
    <row r="333" spans="1:107"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row>
    <row r="334" spans="1:107"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row>
    <row r="335" spans="1:107"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row>
    <row r="336" spans="1:107"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row>
    <row r="337" spans="1:107"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row>
    <row r="338" spans="1:107"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row>
    <row r="339" spans="1:107"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row>
    <row r="340" spans="1:107"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row>
    <row r="341" spans="1:107"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row>
    <row r="342" spans="1:107"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row>
    <row r="343" spans="1:107"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row>
    <row r="344" spans="1:107"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row>
    <row r="345" spans="1:107"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row>
    <row r="346" spans="1:107"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row>
    <row r="347" spans="1:107"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row>
    <row r="348" spans="1:107"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row>
    <row r="349" spans="1:107"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row>
    <row r="350" spans="1:107"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row>
    <row r="351" spans="1:107"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row>
    <row r="352" spans="1:107"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row>
    <row r="353" spans="1:107"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row>
    <row r="354" spans="1:107"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row>
    <row r="355" spans="1:107"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row>
    <row r="356" spans="1:107"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row>
    <row r="357" spans="1:107"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row>
    <row r="358" spans="1:107"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row>
    <row r="359" spans="1:107"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row>
    <row r="360" spans="1:107"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row>
    <row r="361" spans="1:107"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row>
    <row r="362" spans="1:107"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row>
    <row r="363" spans="1:107"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row>
    <row r="364" spans="1:107"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row>
    <row r="365" spans="1:107"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row>
    <row r="366" spans="1:107"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row>
    <row r="367" spans="1:107"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row>
    <row r="368" spans="1:107"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row>
    <row r="369" spans="1:107"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row>
    <row r="370" spans="1:107"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row>
    <row r="371" spans="1:107"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row>
    <row r="372" spans="1:107"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row>
    <row r="373" spans="1:107"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row>
    <row r="374" spans="1:107"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row>
    <row r="375" spans="1:107"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row>
    <row r="376" spans="1:107"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row>
    <row r="377" spans="1:107"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row>
    <row r="378" spans="1:107"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row>
    <row r="379" spans="1:107"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row>
    <row r="380" spans="1:107"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row>
    <row r="381" spans="1:107"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row>
    <row r="382" spans="1:107"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row>
    <row r="383" spans="1:107"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row>
    <row r="384" spans="1:107"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row>
    <row r="385" spans="1:107"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row>
    <row r="386" spans="1:107"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row>
    <row r="387" spans="1:107"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row>
    <row r="388" spans="1:107"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row>
    <row r="389" spans="1:107"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row>
    <row r="390" spans="1:107"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row>
    <row r="391" spans="1:107"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row>
    <row r="392" spans="1:107"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row>
    <row r="393" spans="1:107"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row>
    <row r="394" spans="1:107"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row>
    <row r="395" spans="1:107"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row>
    <row r="396" spans="1:107"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row>
    <row r="397" spans="1:107"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row>
    <row r="398" spans="1:107"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row>
    <row r="399" spans="1:107"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row>
    <row r="400" spans="1:107"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row>
    <row r="401" spans="1:107"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row>
    <row r="402" spans="1:107"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row>
    <row r="403" spans="1:107"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row>
    <row r="404" spans="1:107"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row>
    <row r="405" spans="1:107"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row>
    <row r="406" spans="1:107"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row>
    <row r="407" spans="1:107"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row>
    <row r="408" spans="1:107"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row>
    <row r="409" spans="1:107"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row>
    <row r="410" spans="1:107"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row>
    <row r="411" spans="1:107"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row>
    <row r="412" spans="1:107"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row>
    <row r="413" spans="1:107"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row>
    <row r="414" spans="1:107"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row>
    <row r="415" spans="1:107"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row>
    <row r="416" spans="1:107"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row>
    <row r="417" spans="1:107"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row>
    <row r="418" spans="1:107"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row>
    <row r="419" spans="1:107"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row>
    <row r="420" spans="1:107"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row>
    <row r="421" spans="1:107"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row>
    <row r="422" spans="1:107"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row>
    <row r="423" spans="1:107"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row>
    <row r="424" spans="1:107"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row>
    <row r="425" spans="1:107"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row>
    <row r="426" spans="1:107"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row>
    <row r="427" spans="1:107"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row>
    <row r="428" spans="1:107"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row>
    <row r="429" spans="1:107"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row>
    <row r="430" spans="1:107"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row>
    <row r="431" spans="1:107"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row>
    <row r="432" spans="1:107"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row>
    <row r="433" spans="1:107"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row>
    <row r="434" spans="1:107"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row>
    <row r="435" spans="1:107"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row>
    <row r="436" spans="1:107"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row>
    <row r="437" spans="1:107"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row>
    <row r="438" spans="1:107"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row>
    <row r="439" spans="1:107"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row>
    <row r="440" spans="1:107"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row>
    <row r="441" spans="1:107"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row>
    <row r="442" spans="1:107"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row>
    <row r="443" spans="1:107"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row>
    <row r="444" spans="1:107"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row>
    <row r="445" spans="1:107"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row>
    <row r="446" spans="1:107"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row>
    <row r="447" spans="1:107"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row>
    <row r="448" spans="1:107"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row>
    <row r="449" spans="1:107"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row>
    <row r="450" spans="1:107"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row>
    <row r="451" spans="1:107"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row>
    <row r="452" spans="1:107"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row>
    <row r="453" spans="1:107"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row>
    <row r="454" spans="1:107"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row>
    <row r="455" spans="1:107"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row>
    <row r="456" spans="1:107"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row>
    <row r="457" spans="1:107"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row>
    <row r="458" spans="1:107"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row>
    <row r="459" spans="1:107"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row>
    <row r="460" spans="1:107"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row>
    <row r="461" spans="1:107"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row>
    <row r="462" spans="1:107"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row>
    <row r="463" spans="1:107"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row>
    <row r="464" spans="1:107"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row>
    <row r="465" spans="1:107"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row>
    <row r="466" spans="1:107"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row>
    <row r="467" spans="1:107"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row>
    <row r="468" spans="1:107"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row>
    <row r="469" spans="1:107"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row>
    <row r="470" spans="1:107"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row>
    <row r="471" spans="1:107"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row>
    <row r="472" spans="1:107"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row>
    <row r="473" spans="1:107"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row>
    <row r="474" spans="1:107"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row>
    <row r="475" spans="1:107"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row>
    <row r="476" spans="1:107"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row>
    <row r="477" spans="1:107"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row>
    <row r="478" spans="1:107"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row>
    <row r="479" spans="1:107"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row>
    <row r="480" spans="1:107"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row>
    <row r="481" spans="1:107"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row>
    <row r="482" spans="1:107"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row>
    <row r="483" spans="1:107"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row>
    <row r="484" spans="1:107"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row>
    <row r="485" spans="1:107"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row>
    <row r="486" spans="1:107"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row>
    <row r="487" spans="1:107"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row>
    <row r="488" spans="1:107"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row>
    <row r="489" spans="1:107"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row>
    <row r="490" spans="1:107"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row>
    <row r="491" spans="1:107"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row>
    <row r="492" spans="1:107"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row>
    <row r="493" spans="1:107"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row>
    <row r="494" spans="1:107"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row>
    <row r="495" spans="1:107"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row>
    <row r="496" spans="1:107"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row>
    <row r="497" spans="1:107"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row>
    <row r="498" spans="1:107"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row>
    <row r="499" spans="1:107"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row>
    <row r="500" spans="1:107"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row>
    <row r="501" spans="1:107"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row>
    <row r="502" spans="1:107"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row>
    <row r="503" spans="1:107"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row>
    <row r="504" spans="1:107"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row>
    <row r="505" spans="1:107"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row>
    <row r="506" spans="1:107"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row>
    <row r="507" spans="1:107"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row>
    <row r="508" spans="1:107" x14ac:dyDescent="0.3">
      <c r="A508" s="83"/>
      <c r="B508" s="83"/>
      <c r="C508" s="83"/>
      <c r="D508" s="83"/>
      <c r="E508" s="83"/>
      <c r="F508" s="83"/>
      <c r="G508" s="83"/>
      <c r="H508" s="83"/>
      <c r="I508" s="83"/>
      <c r="J508" s="83"/>
      <c r="K508" s="83"/>
      <c r="L508" s="83"/>
      <c r="M508" s="83"/>
      <c r="N508" s="83"/>
      <c r="O508" s="83"/>
      <c r="P508" s="83"/>
      <c r="Q508" s="83"/>
      <c r="R508" s="83"/>
      <c r="S508" s="83"/>
      <c r="T508" s="83"/>
      <c r="U508" s="83"/>
      <c r="V508" s="83"/>
      <c r="W508" s="83"/>
      <c r="X508" s="83"/>
      <c r="Y508" s="83"/>
      <c r="Z508" s="83"/>
      <c r="AA508" s="83"/>
      <c r="AB508" s="83"/>
      <c r="AC508" s="83"/>
      <c r="AD508" s="83"/>
      <c r="AE508" s="83"/>
      <c r="AF508" s="83"/>
      <c r="AG508" s="83"/>
      <c r="AH508" s="83"/>
      <c r="AI508" s="83"/>
      <c r="AJ508" s="83"/>
      <c r="AK508" s="83"/>
      <c r="AL508" s="83"/>
      <c r="AM508" s="83"/>
      <c r="AN508" s="83"/>
      <c r="AO508" s="83"/>
      <c r="AP508" s="83"/>
      <c r="AQ508" s="83"/>
      <c r="AR508" s="83"/>
      <c r="AS508" s="83"/>
      <c r="AT508" s="83"/>
      <c r="AU508" s="83"/>
      <c r="AV508" s="83"/>
      <c r="AW508" s="83"/>
      <c r="AX508" s="83"/>
      <c r="AY508" s="83"/>
      <c r="AZ508" s="83"/>
      <c r="BA508" s="83"/>
      <c r="BB508" s="83"/>
      <c r="BC508" s="83"/>
      <c r="BD508" s="83"/>
      <c r="BE508" s="83"/>
      <c r="BF508" s="83"/>
      <c r="BG508" s="83"/>
      <c r="BH508" s="83"/>
      <c r="BI508" s="83"/>
      <c r="BJ508" s="83"/>
      <c r="BK508" s="83"/>
      <c r="BL508" s="83"/>
      <c r="BM508" s="83"/>
      <c r="BN508" s="83"/>
      <c r="BO508" s="83"/>
      <c r="BP508" s="83"/>
      <c r="BQ508" s="83"/>
      <c r="BR508" s="83"/>
      <c r="BS508" s="83"/>
      <c r="BT508" s="83"/>
      <c r="BU508" s="83"/>
      <c r="BV508" s="83"/>
      <c r="BW508" s="83"/>
      <c r="BX508" s="83"/>
      <c r="BY508" s="83"/>
      <c r="BZ508" s="83"/>
      <c r="CA508" s="83"/>
      <c r="CB508" s="83"/>
      <c r="CC508" s="83"/>
      <c r="CD508" s="83"/>
      <c r="CE508" s="83"/>
      <c r="CF508" s="83"/>
      <c r="CG508" s="83"/>
      <c r="CH508" s="83"/>
      <c r="CI508" s="83"/>
      <c r="CJ508" s="83"/>
      <c r="CK508" s="83"/>
      <c r="CL508" s="83"/>
      <c r="CM508" s="83"/>
      <c r="CN508" s="83"/>
      <c r="CO508" s="83"/>
      <c r="CP508" s="83"/>
      <c r="CQ508" s="83"/>
      <c r="CR508" s="83"/>
      <c r="CS508" s="83"/>
      <c r="CT508" s="83"/>
      <c r="CU508" s="83"/>
      <c r="CV508" s="83"/>
      <c r="CW508" s="83"/>
      <c r="CX508" s="83"/>
      <c r="CY508" s="83"/>
      <c r="CZ508" s="83"/>
      <c r="DA508" s="83"/>
      <c r="DB508" s="83"/>
      <c r="DC508" s="83"/>
    </row>
    <row r="509" spans="1:107" x14ac:dyDescent="0.3">
      <c r="A509" s="83"/>
      <c r="B509" s="83"/>
      <c r="C509" s="83"/>
      <c r="D509" s="83"/>
      <c r="E509" s="83"/>
      <c r="F509" s="83"/>
      <c r="G509" s="83"/>
      <c r="H509" s="83"/>
      <c r="I509" s="83"/>
      <c r="J509" s="83"/>
      <c r="K509" s="83"/>
      <c r="L509" s="83"/>
      <c r="M509" s="83"/>
      <c r="N509" s="83"/>
      <c r="O509" s="83"/>
      <c r="P509" s="83"/>
      <c r="Q509" s="83"/>
      <c r="R509" s="83"/>
      <c r="S509" s="83"/>
      <c r="T509" s="83"/>
      <c r="U509" s="83"/>
      <c r="V509" s="83"/>
      <c r="W509" s="83"/>
      <c r="X509" s="83"/>
      <c r="Y509" s="83"/>
      <c r="Z509" s="83"/>
      <c r="AA509" s="83"/>
      <c r="AB509" s="83"/>
      <c r="AC509" s="83"/>
      <c r="AD509" s="83"/>
      <c r="AE509" s="83"/>
      <c r="AF509" s="83"/>
      <c r="AG509" s="83"/>
      <c r="AH509" s="83"/>
      <c r="AI509" s="83"/>
      <c r="AJ509" s="83"/>
      <c r="AK509" s="83"/>
      <c r="AL509" s="83"/>
      <c r="AM509" s="83"/>
      <c r="AN509" s="83"/>
      <c r="AO509" s="83"/>
      <c r="AP509" s="83"/>
      <c r="AQ509" s="83"/>
      <c r="AR509" s="83"/>
      <c r="AS509" s="83"/>
      <c r="AT509" s="83"/>
      <c r="AU509" s="83"/>
      <c r="AV509" s="83"/>
      <c r="AW509" s="83"/>
      <c r="AX509" s="83"/>
      <c r="AY509" s="83"/>
      <c r="AZ509" s="83"/>
      <c r="BA509" s="83"/>
      <c r="BB509" s="83"/>
      <c r="BC509" s="83"/>
      <c r="BD509" s="83"/>
      <c r="BE509" s="83"/>
      <c r="BF509" s="83"/>
      <c r="BG509" s="83"/>
      <c r="BH509" s="83"/>
      <c r="BI509" s="83"/>
      <c r="BJ509" s="83"/>
      <c r="BK509" s="83"/>
      <c r="BL509" s="83"/>
      <c r="BM509" s="83"/>
      <c r="BN509" s="83"/>
      <c r="BO509" s="83"/>
      <c r="BP509" s="83"/>
      <c r="BQ509" s="83"/>
      <c r="BR509" s="83"/>
      <c r="BS509" s="83"/>
      <c r="BT509" s="83"/>
      <c r="BU509" s="83"/>
      <c r="BV509" s="83"/>
      <c r="BW509" s="83"/>
      <c r="BX509" s="83"/>
      <c r="BY509" s="83"/>
      <c r="BZ509" s="83"/>
      <c r="CA509" s="83"/>
      <c r="CB509" s="83"/>
      <c r="CC509" s="83"/>
      <c r="CD509" s="83"/>
      <c r="CE509" s="83"/>
      <c r="CF509" s="83"/>
      <c r="CG509" s="83"/>
      <c r="CH509" s="83"/>
      <c r="CI509" s="83"/>
      <c r="CJ509" s="83"/>
      <c r="CK509" s="83"/>
      <c r="CL509" s="83"/>
      <c r="CM509" s="83"/>
      <c r="CN509" s="83"/>
      <c r="CO509" s="83"/>
      <c r="CP509" s="83"/>
      <c r="CQ509" s="83"/>
      <c r="CR509" s="83"/>
      <c r="CS509" s="83"/>
      <c r="CT509" s="83"/>
      <c r="CU509" s="83"/>
      <c r="CV509" s="83"/>
      <c r="CW509" s="83"/>
      <c r="CX509" s="83"/>
      <c r="CY509" s="83"/>
      <c r="CZ509" s="83"/>
      <c r="DA509" s="83"/>
      <c r="DB509" s="83"/>
      <c r="DC509" s="83"/>
    </row>
    <row r="510" spans="1:107" x14ac:dyDescent="0.3">
      <c r="A510" s="83"/>
      <c r="B510" s="83"/>
      <c r="C510" s="83"/>
      <c r="D510" s="83"/>
      <c r="E510" s="83"/>
      <c r="F510" s="83"/>
      <c r="G510" s="83"/>
      <c r="H510" s="83"/>
      <c r="I510" s="83"/>
      <c r="J510" s="83"/>
      <c r="K510" s="83"/>
      <c r="L510" s="83"/>
      <c r="M510" s="83"/>
      <c r="N510" s="83"/>
      <c r="O510" s="83"/>
      <c r="P510" s="83"/>
      <c r="Q510" s="83"/>
      <c r="R510" s="83"/>
      <c r="S510" s="83"/>
      <c r="T510" s="83"/>
      <c r="U510" s="83"/>
      <c r="V510" s="83"/>
      <c r="W510" s="83"/>
      <c r="X510" s="83"/>
      <c r="Y510" s="83"/>
      <c r="Z510" s="83"/>
      <c r="AA510" s="83"/>
      <c r="AB510" s="83"/>
      <c r="AC510" s="83"/>
      <c r="AD510" s="83"/>
      <c r="AE510" s="83"/>
      <c r="AF510" s="83"/>
      <c r="AG510" s="83"/>
      <c r="AH510" s="83"/>
      <c r="AI510" s="83"/>
      <c r="AJ510" s="83"/>
      <c r="AK510" s="83"/>
      <c r="AL510" s="83"/>
      <c r="AM510" s="83"/>
      <c r="AN510" s="83"/>
      <c r="AO510" s="83"/>
      <c r="AP510" s="83"/>
      <c r="AQ510" s="83"/>
      <c r="AR510" s="83"/>
      <c r="AS510" s="83"/>
      <c r="AT510" s="83"/>
      <c r="AU510" s="83"/>
      <c r="AV510" s="83"/>
      <c r="AW510" s="83"/>
      <c r="AX510" s="83"/>
      <c r="AY510" s="83"/>
      <c r="AZ510" s="83"/>
      <c r="BA510" s="83"/>
      <c r="BB510" s="83"/>
      <c r="BC510" s="83"/>
      <c r="BD510" s="83"/>
      <c r="BE510" s="83"/>
      <c r="BF510" s="83"/>
      <c r="BG510" s="83"/>
      <c r="BH510" s="83"/>
      <c r="BI510" s="83"/>
      <c r="BJ510" s="83"/>
      <c r="BK510" s="83"/>
      <c r="BL510" s="83"/>
      <c r="BM510" s="83"/>
      <c r="BN510" s="83"/>
      <c r="BO510" s="83"/>
      <c r="BP510" s="83"/>
      <c r="BQ510" s="83"/>
      <c r="BR510" s="83"/>
      <c r="BS510" s="83"/>
      <c r="BT510" s="83"/>
      <c r="BU510" s="83"/>
      <c r="BV510" s="83"/>
      <c r="BW510" s="83"/>
      <c r="BX510" s="83"/>
      <c r="BY510" s="83"/>
      <c r="BZ510" s="83"/>
      <c r="CA510" s="83"/>
      <c r="CB510" s="83"/>
      <c r="CC510" s="83"/>
      <c r="CD510" s="83"/>
      <c r="CE510" s="83"/>
      <c r="CF510" s="83"/>
      <c r="CG510" s="83"/>
      <c r="CH510" s="83"/>
      <c r="CI510" s="83"/>
      <c r="CJ510" s="83"/>
      <c r="CK510" s="83"/>
      <c r="CL510" s="83"/>
      <c r="CM510" s="83"/>
      <c r="CN510" s="83"/>
      <c r="CO510" s="83"/>
      <c r="CP510" s="83"/>
      <c r="CQ510" s="83"/>
      <c r="CR510" s="83"/>
      <c r="CS510" s="83"/>
      <c r="CT510" s="83"/>
      <c r="CU510" s="83"/>
      <c r="CV510" s="83"/>
      <c r="CW510" s="83"/>
      <c r="CX510" s="83"/>
      <c r="CY510" s="83"/>
      <c r="CZ510" s="83"/>
      <c r="DA510" s="83"/>
      <c r="DB510" s="83"/>
      <c r="DC510" s="83"/>
    </row>
    <row r="511" spans="1:107" x14ac:dyDescent="0.3">
      <c r="A511" s="83"/>
      <c r="B511" s="83"/>
      <c r="C511" s="83"/>
      <c r="D511" s="83"/>
      <c r="E511" s="83"/>
      <c r="F511" s="83"/>
      <c r="G511" s="83"/>
      <c r="H511" s="83"/>
      <c r="I511" s="83"/>
      <c r="J511" s="83"/>
      <c r="K511" s="83"/>
      <c r="L511" s="83"/>
      <c r="M511" s="83"/>
      <c r="N511" s="83"/>
      <c r="O511" s="83"/>
      <c r="P511" s="83"/>
      <c r="Q511" s="83"/>
      <c r="R511" s="83"/>
      <c r="S511" s="83"/>
      <c r="T511" s="83"/>
      <c r="U511" s="83"/>
      <c r="V511" s="83"/>
      <c r="W511" s="83"/>
      <c r="X511" s="83"/>
      <c r="Y511" s="83"/>
      <c r="Z511" s="83"/>
      <c r="AA511" s="83"/>
      <c r="AB511" s="83"/>
      <c r="AC511" s="83"/>
      <c r="AD511" s="83"/>
      <c r="AE511" s="83"/>
      <c r="AF511" s="83"/>
      <c r="AG511" s="83"/>
      <c r="AH511" s="83"/>
      <c r="AI511" s="83"/>
      <c r="AJ511" s="83"/>
      <c r="AK511" s="83"/>
      <c r="AL511" s="83"/>
      <c r="AM511" s="83"/>
      <c r="AN511" s="83"/>
      <c r="AO511" s="83"/>
      <c r="AP511" s="83"/>
      <c r="AQ511" s="83"/>
      <c r="AR511" s="83"/>
      <c r="AS511" s="83"/>
      <c r="AT511" s="83"/>
      <c r="AU511" s="83"/>
      <c r="AV511" s="83"/>
      <c r="AW511" s="83"/>
      <c r="AX511" s="83"/>
      <c r="AY511" s="83"/>
      <c r="AZ511" s="83"/>
      <c r="BA511" s="83"/>
      <c r="BB511" s="83"/>
      <c r="BC511" s="83"/>
      <c r="BD511" s="83"/>
      <c r="BE511" s="83"/>
      <c r="BF511" s="83"/>
      <c r="BG511" s="83"/>
      <c r="BH511" s="83"/>
      <c r="BI511" s="83"/>
      <c r="BJ511" s="83"/>
      <c r="BK511" s="83"/>
      <c r="BL511" s="83"/>
      <c r="BM511" s="83"/>
      <c r="BN511" s="83"/>
      <c r="BO511" s="83"/>
      <c r="BP511" s="83"/>
      <c r="BQ511" s="83"/>
      <c r="BR511" s="83"/>
      <c r="BS511" s="83"/>
      <c r="BT511" s="83"/>
      <c r="BU511" s="83"/>
      <c r="BV511" s="83"/>
      <c r="BW511" s="83"/>
      <c r="BX511" s="83"/>
      <c r="BY511" s="83"/>
      <c r="BZ511" s="83"/>
      <c r="CA511" s="83"/>
      <c r="CB511" s="83"/>
      <c r="CC511" s="83"/>
      <c r="CD511" s="83"/>
      <c r="CE511" s="83"/>
      <c r="CF511" s="83"/>
      <c r="CG511" s="83"/>
      <c r="CH511" s="83"/>
      <c r="CI511" s="83"/>
      <c r="CJ511" s="83"/>
      <c r="CK511" s="83"/>
      <c r="CL511" s="83"/>
      <c r="CM511" s="83"/>
      <c r="CN511" s="83"/>
      <c r="CO511" s="83"/>
      <c r="CP511" s="83"/>
      <c r="CQ511" s="83"/>
      <c r="CR511" s="83"/>
      <c r="CS511" s="83"/>
      <c r="CT511" s="83"/>
      <c r="CU511" s="83"/>
      <c r="CV511" s="83"/>
      <c r="CW511" s="83"/>
      <c r="CX511" s="83"/>
      <c r="CY511" s="83"/>
      <c r="CZ511" s="83"/>
      <c r="DA511" s="83"/>
      <c r="DB511" s="83"/>
      <c r="DC511" s="83"/>
    </row>
    <row r="512" spans="1:107" x14ac:dyDescent="0.3">
      <c r="A512" s="83"/>
      <c r="B512" s="83"/>
      <c r="C512" s="83"/>
      <c r="D512" s="83"/>
      <c r="E512" s="83"/>
      <c r="F512" s="83"/>
      <c r="G512" s="83"/>
      <c r="H512" s="83"/>
      <c r="I512" s="83"/>
      <c r="J512" s="83"/>
      <c r="K512" s="83"/>
      <c r="L512" s="83"/>
      <c r="M512" s="83"/>
      <c r="N512" s="83"/>
      <c r="O512" s="83"/>
      <c r="P512" s="83"/>
      <c r="Q512" s="83"/>
      <c r="R512" s="83"/>
      <c r="S512" s="83"/>
      <c r="T512" s="83"/>
      <c r="U512" s="83"/>
      <c r="V512" s="83"/>
      <c r="W512" s="83"/>
      <c r="X512" s="83"/>
      <c r="Y512" s="83"/>
      <c r="Z512" s="83"/>
      <c r="AA512" s="83"/>
      <c r="AB512" s="83"/>
      <c r="AC512" s="83"/>
      <c r="AD512" s="83"/>
      <c r="AE512" s="83"/>
      <c r="AF512" s="83"/>
      <c r="AG512" s="83"/>
      <c r="AH512" s="83"/>
      <c r="AI512" s="83"/>
      <c r="AJ512" s="83"/>
      <c r="AK512" s="83"/>
      <c r="AL512" s="83"/>
      <c r="AM512" s="83"/>
      <c r="AN512" s="83"/>
      <c r="AO512" s="83"/>
      <c r="AP512" s="83"/>
      <c r="AQ512" s="83"/>
      <c r="AR512" s="83"/>
      <c r="AS512" s="83"/>
      <c r="AT512" s="83"/>
      <c r="AU512" s="83"/>
      <c r="AV512" s="83"/>
      <c r="AW512" s="83"/>
      <c r="AX512" s="83"/>
      <c r="AY512" s="83"/>
      <c r="AZ512" s="83"/>
      <c r="BA512" s="83"/>
      <c r="BB512" s="83"/>
      <c r="BC512" s="83"/>
      <c r="BD512" s="83"/>
      <c r="BE512" s="83"/>
      <c r="BF512" s="83"/>
      <c r="BG512" s="83"/>
      <c r="BH512" s="83"/>
      <c r="BI512" s="83"/>
      <c r="BJ512" s="83"/>
      <c r="BK512" s="83"/>
      <c r="BL512" s="83"/>
      <c r="BM512" s="83"/>
      <c r="BN512" s="83"/>
      <c r="BO512" s="83"/>
      <c r="BP512" s="83"/>
      <c r="BQ512" s="83"/>
      <c r="BR512" s="83"/>
      <c r="BS512" s="83"/>
      <c r="BT512" s="83"/>
      <c r="BU512" s="83"/>
      <c r="BV512" s="83"/>
      <c r="BW512" s="83"/>
      <c r="BX512" s="83"/>
      <c r="BY512" s="83"/>
      <c r="BZ512" s="83"/>
      <c r="CA512" s="83"/>
      <c r="CB512" s="83"/>
      <c r="CC512" s="83"/>
      <c r="CD512" s="83"/>
      <c r="CE512" s="83"/>
      <c r="CF512" s="83"/>
      <c r="CG512" s="83"/>
      <c r="CH512" s="83"/>
      <c r="CI512" s="83"/>
      <c r="CJ512" s="83"/>
      <c r="CK512" s="83"/>
      <c r="CL512" s="83"/>
      <c r="CM512" s="83"/>
      <c r="CN512" s="83"/>
      <c r="CO512" s="83"/>
      <c r="CP512" s="83"/>
      <c r="CQ512" s="83"/>
      <c r="CR512" s="83"/>
      <c r="CS512" s="83"/>
      <c r="CT512" s="83"/>
      <c r="CU512" s="83"/>
      <c r="CV512" s="83"/>
      <c r="CW512" s="83"/>
      <c r="CX512" s="83"/>
      <c r="CY512" s="83"/>
      <c r="CZ512" s="83"/>
      <c r="DA512" s="83"/>
      <c r="DB512" s="83"/>
      <c r="DC512" s="83"/>
    </row>
    <row r="513" spans="1:107" x14ac:dyDescent="0.3">
      <c r="A513" s="83"/>
      <c r="B513" s="83"/>
      <c r="C513" s="83"/>
      <c r="D513" s="83"/>
      <c r="E513" s="83"/>
      <c r="F513" s="83"/>
      <c r="G513" s="83"/>
      <c r="H513" s="83"/>
      <c r="I513" s="83"/>
      <c r="J513" s="83"/>
      <c r="K513" s="83"/>
      <c r="L513" s="83"/>
      <c r="M513" s="83"/>
      <c r="N513" s="83"/>
      <c r="O513" s="83"/>
      <c r="P513" s="83"/>
      <c r="Q513" s="83"/>
      <c r="R513" s="83"/>
      <c r="S513" s="83"/>
      <c r="T513" s="83"/>
      <c r="U513" s="83"/>
      <c r="V513" s="83"/>
      <c r="W513" s="83"/>
      <c r="X513" s="83"/>
      <c r="Y513" s="83"/>
      <c r="Z513" s="83"/>
      <c r="AA513" s="83"/>
      <c r="AB513" s="83"/>
      <c r="AC513" s="83"/>
      <c r="AD513" s="83"/>
      <c r="AE513" s="83"/>
      <c r="AF513" s="83"/>
      <c r="AG513" s="83"/>
      <c r="AH513" s="83"/>
      <c r="AI513" s="83"/>
      <c r="AJ513" s="83"/>
      <c r="AK513" s="83"/>
      <c r="AL513" s="83"/>
      <c r="AM513" s="83"/>
      <c r="AN513" s="83"/>
      <c r="AO513" s="83"/>
      <c r="AP513" s="83"/>
      <c r="AQ513" s="83"/>
      <c r="AR513" s="83"/>
      <c r="AS513" s="83"/>
      <c r="AT513" s="83"/>
      <c r="AU513" s="83"/>
      <c r="AV513" s="83"/>
      <c r="AW513" s="83"/>
      <c r="AX513" s="83"/>
      <c r="AY513" s="83"/>
      <c r="AZ513" s="83"/>
      <c r="BA513" s="83"/>
      <c r="BB513" s="83"/>
      <c r="BC513" s="83"/>
      <c r="BD513" s="83"/>
      <c r="BE513" s="83"/>
      <c r="BF513" s="83"/>
      <c r="BG513" s="83"/>
      <c r="BH513" s="83"/>
      <c r="BI513" s="83"/>
      <c r="BJ513" s="83"/>
      <c r="BK513" s="83"/>
      <c r="BL513" s="83"/>
      <c r="BM513" s="83"/>
      <c r="BN513" s="83"/>
      <c r="BO513" s="83"/>
      <c r="BP513" s="83"/>
      <c r="BQ513" s="83"/>
      <c r="BR513" s="83"/>
      <c r="BS513" s="83"/>
      <c r="BT513" s="83"/>
      <c r="BU513" s="83"/>
      <c r="BV513" s="83"/>
      <c r="BW513" s="83"/>
      <c r="BX513" s="83"/>
      <c r="BY513" s="83"/>
      <c r="BZ513" s="83"/>
      <c r="CA513" s="83"/>
      <c r="CB513" s="83"/>
      <c r="CC513" s="83"/>
      <c r="CD513" s="83"/>
      <c r="CE513" s="83"/>
      <c r="CF513" s="83"/>
      <c r="CG513" s="83"/>
      <c r="CH513" s="83"/>
      <c r="CI513" s="83"/>
      <c r="CJ513" s="83"/>
      <c r="CK513" s="83"/>
      <c r="CL513" s="83"/>
      <c r="CM513" s="83"/>
      <c r="CN513" s="83"/>
      <c r="CO513" s="83"/>
      <c r="CP513" s="83"/>
      <c r="CQ513" s="83"/>
      <c r="CR513" s="83"/>
      <c r="CS513" s="83"/>
      <c r="CT513" s="83"/>
      <c r="CU513" s="83"/>
      <c r="CV513" s="83"/>
      <c r="CW513" s="83"/>
      <c r="CX513" s="83"/>
      <c r="CY513" s="83"/>
      <c r="CZ513" s="83"/>
      <c r="DA513" s="83"/>
      <c r="DB513" s="83"/>
      <c r="DC513" s="83"/>
    </row>
    <row r="514" spans="1:107" x14ac:dyDescent="0.3">
      <c r="A514" s="83"/>
      <c r="B514" s="83"/>
      <c r="C514" s="83"/>
      <c r="D514" s="83"/>
      <c r="E514" s="83"/>
      <c r="F514" s="83"/>
      <c r="G514" s="83"/>
      <c r="H514" s="83"/>
      <c r="I514" s="83"/>
      <c r="J514" s="83"/>
      <c r="K514" s="83"/>
      <c r="L514" s="83"/>
      <c r="M514" s="83"/>
      <c r="N514" s="83"/>
      <c r="O514" s="83"/>
      <c r="P514" s="83"/>
      <c r="Q514" s="83"/>
      <c r="R514" s="83"/>
      <c r="S514" s="83"/>
      <c r="T514" s="83"/>
      <c r="U514" s="83"/>
      <c r="V514" s="83"/>
      <c r="W514" s="83"/>
      <c r="X514" s="83"/>
      <c r="Y514" s="83"/>
      <c r="Z514" s="83"/>
      <c r="AA514" s="83"/>
      <c r="AB514" s="83"/>
      <c r="AC514" s="83"/>
      <c r="AD514" s="83"/>
      <c r="AE514" s="83"/>
      <c r="AF514" s="83"/>
      <c r="AG514" s="83"/>
      <c r="AH514" s="83"/>
      <c r="AI514" s="83"/>
      <c r="AJ514" s="83"/>
      <c r="AK514" s="83"/>
      <c r="AL514" s="83"/>
      <c r="AM514" s="83"/>
      <c r="AN514" s="83"/>
      <c r="AO514" s="83"/>
      <c r="AP514" s="83"/>
      <c r="AQ514" s="83"/>
      <c r="AR514" s="83"/>
      <c r="AS514" s="83"/>
      <c r="AT514" s="83"/>
      <c r="AU514" s="83"/>
      <c r="AV514" s="83"/>
      <c r="AW514" s="83"/>
      <c r="AX514" s="83"/>
      <c r="AY514" s="83"/>
      <c r="AZ514" s="83"/>
      <c r="BA514" s="83"/>
      <c r="BB514" s="83"/>
      <c r="BC514" s="83"/>
      <c r="BD514" s="83"/>
      <c r="BE514" s="83"/>
      <c r="BF514" s="83"/>
      <c r="BG514" s="83"/>
      <c r="BH514" s="83"/>
      <c r="BI514" s="83"/>
      <c r="BJ514" s="83"/>
      <c r="BK514" s="83"/>
      <c r="BL514" s="83"/>
      <c r="BM514" s="83"/>
      <c r="BN514" s="83"/>
      <c r="BO514" s="83"/>
      <c r="BP514" s="83"/>
      <c r="BQ514" s="83"/>
      <c r="BR514" s="83"/>
      <c r="BS514" s="83"/>
      <c r="BT514" s="83"/>
      <c r="BU514" s="83"/>
      <c r="BV514" s="83"/>
      <c r="BW514" s="83"/>
      <c r="BX514" s="83"/>
      <c r="BY514" s="83"/>
      <c r="BZ514" s="83"/>
      <c r="CA514" s="83"/>
      <c r="CB514" s="83"/>
      <c r="CC514" s="83"/>
      <c r="CD514" s="83"/>
      <c r="CE514" s="83"/>
      <c r="CF514" s="83"/>
      <c r="CG514" s="83"/>
      <c r="CH514" s="83"/>
      <c r="CI514" s="83"/>
      <c r="CJ514" s="83"/>
      <c r="CK514" s="83"/>
      <c r="CL514" s="83"/>
      <c r="CM514" s="83"/>
      <c r="CN514" s="83"/>
      <c r="CO514" s="83"/>
      <c r="CP514" s="83"/>
      <c r="CQ514" s="83"/>
      <c r="CR514" s="83"/>
      <c r="CS514" s="83"/>
      <c r="CT514" s="83"/>
      <c r="CU514" s="83"/>
      <c r="CV514" s="83"/>
      <c r="CW514" s="83"/>
      <c r="CX514" s="83"/>
      <c r="CY514" s="83"/>
      <c r="CZ514" s="83"/>
      <c r="DA514" s="83"/>
      <c r="DB514" s="83"/>
      <c r="DC514" s="83"/>
    </row>
    <row r="515" spans="1:107" x14ac:dyDescent="0.3">
      <c r="A515" s="83"/>
      <c r="B515" s="83"/>
      <c r="C515" s="83"/>
      <c r="D515" s="83"/>
      <c r="E515" s="83"/>
      <c r="F515" s="83"/>
      <c r="G515" s="83"/>
      <c r="H515" s="83"/>
      <c r="I515" s="83"/>
      <c r="J515" s="83"/>
      <c r="K515" s="83"/>
      <c r="L515" s="83"/>
      <c r="M515" s="83"/>
      <c r="N515" s="83"/>
      <c r="O515" s="83"/>
      <c r="P515" s="83"/>
      <c r="Q515" s="83"/>
      <c r="R515" s="83"/>
      <c r="S515" s="83"/>
      <c r="T515" s="83"/>
      <c r="U515" s="83"/>
      <c r="V515" s="83"/>
      <c r="W515" s="83"/>
      <c r="X515" s="83"/>
      <c r="Y515" s="83"/>
      <c r="Z515" s="83"/>
      <c r="AA515" s="83"/>
      <c r="AB515" s="83"/>
      <c r="AC515" s="83"/>
      <c r="AD515" s="83"/>
      <c r="AE515" s="83"/>
      <c r="AF515" s="83"/>
      <c r="AG515" s="83"/>
      <c r="AH515" s="83"/>
      <c r="AI515" s="83"/>
      <c r="AJ515" s="83"/>
      <c r="AK515" s="83"/>
      <c r="AL515" s="83"/>
      <c r="AM515" s="83"/>
      <c r="AN515" s="83"/>
      <c r="AO515" s="83"/>
      <c r="AP515" s="83"/>
      <c r="AQ515" s="83"/>
      <c r="AR515" s="83"/>
      <c r="AS515" s="83"/>
      <c r="AT515" s="83"/>
      <c r="AU515" s="83"/>
      <c r="AV515" s="83"/>
      <c r="AW515" s="83"/>
      <c r="AX515" s="83"/>
      <c r="AY515" s="83"/>
      <c r="AZ515" s="83"/>
      <c r="BA515" s="83"/>
      <c r="BB515" s="83"/>
      <c r="BC515" s="83"/>
      <c r="BD515" s="83"/>
      <c r="BE515" s="83"/>
      <c r="BF515" s="83"/>
      <c r="BG515" s="83"/>
      <c r="BH515" s="83"/>
      <c r="BI515" s="83"/>
      <c r="BJ515" s="83"/>
      <c r="BK515" s="83"/>
      <c r="BL515" s="83"/>
      <c r="BM515" s="83"/>
      <c r="BN515" s="83"/>
      <c r="BO515" s="83"/>
      <c r="BP515" s="83"/>
      <c r="BQ515" s="83"/>
      <c r="BR515" s="83"/>
      <c r="BS515" s="83"/>
      <c r="BT515" s="83"/>
      <c r="BU515" s="83"/>
      <c r="BV515" s="83"/>
      <c r="BW515" s="83"/>
      <c r="BX515" s="83"/>
      <c r="BY515" s="83"/>
      <c r="BZ515" s="83"/>
      <c r="CA515" s="83"/>
      <c r="CB515" s="83"/>
      <c r="CC515" s="83"/>
      <c r="CD515" s="83"/>
      <c r="CE515" s="83"/>
      <c r="CF515" s="83"/>
      <c r="CG515" s="83"/>
      <c r="CH515" s="83"/>
      <c r="CI515" s="83"/>
      <c r="CJ515" s="83"/>
      <c r="CK515" s="83"/>
      <c r="CL515" s="83"/>
      <c r="CM515" s="83"/>
      <c r="CN515" s="83"/>
      <c r="CO515" s="83"/>
      <c r="CP515" s="83"/>
      <c r="CQ515" s="83"/>
      <c r="CR515" s="83"/>
      <c r="CS515" s="83"/>
      <c r="CT515" s="83"/>
      <c r="CU515" s="83"/>
      <c r="CV515" s="83"/>
      <c r="CW515" s="83"/>
      <c r="CX515" s="83"/>
      <c r="CY515" s="83"/>
      <c r="CZ515" s="83"/>
      <c r="DA515" s="83"/>
      <c r="DB515" s="83"/>
      <c r="DC515" s="83"/>
    </row>
    <row r="516" spans="1:107" x14ac:dyDescent="0.3">
      <c r="A516" s="83"/>
      <c r="B516" s="83"/>
      <c r="C516" s="83"/>
      <c r="D516" s="83"/>
      <c r="E516" s="83"/>
      <c r="F516" s="83"/>
      <c r="G516" s="83"/>
      <c r="H516" s="83"/>
      <c r="I516" s="83"/>
      <c r="J516" s="83"/>
      <c r="K516" s="83"/>
      <c r="L516" s="83"/>
      <c r="M516" s="83"/>
      <c r="N516" s="83"/>
      <c r="O516" s="83"/>
      <c r="P516" s="83"/>
      <c r="Q516" s="83"/>
      <c r="R516" s="83"/>
      <c r="S516" s="83"/>
      <c r="T516" s="83"/>
      <c r="U516" s="83"/>
      <c r="V516" s="83"/>
      <c r="W516" s="83"/>
      <c r="X516" s="83"/>
      <c r="Y516" s="83"/>
      <c r="Z516" s="83"/>
      <c r="AA516" s="83"/>
      <c r="AB516" s="83"/>
      <c r="AC516" s="83"/>
      <c r="AD516" s="83"/>
      <c r="AE516" s="83"/>
      <c r="AF516" s="83"/>
      <c r="AG516" s="83"/>
      <c r="AH516" s="83"/>
      <c r="AI516" s="83"/>
      <c r="AJ516" s="83"/>
      <c r="AK516" s="83"/>
      <c r="AL516" s="83"/>
      <c r="AM516" s="83"/>
      <c r="AN516" s="83"/>
      <c r="AO516" s="83"/>
      <c r="AP516" s="83"/>
      <c r="AQ516" s="83"/>
      <c r="AR516" s="83"/>
      <c r="AS516" s="83"/>
      <c r="AT516" s="83"/>
      <c r="AU516" s="83"/>
      <c r="AV516" s="83"/>
      <c r="AW516" s="83"/>
      <c r="AX516" s="83"/>
      <c r="AY516" s="83"/>
      <c r="AZ516" s="83"/>
      <c r="BA516" s="83"/>
      <c r="BB516" s="83"/>
      <c r="BC516" s="83"/>
      <c r="BD516" s="83"/>
      <c r="BE516" s="83"/>
      <c r="BF516" s="83"/>
      <c r="BG516" s="83"/>
      <c r="BH516" s="83"/>
      <c r="BI516" s="83"/>
      <c r="BJ516" s="83"/>
      <c r="BK516" s="83"/>
      <c r="BL516" s="83"/>
      <c r="BM516" s="83"/>
      <c r="BN516" s="83"/>
      <c r="BO516" s="83"/>
      <c r="BP516" s="83"/>
      <c r="BQ516" s="83"/>
      <c r="BR516" s="83"/>
      <c r="BS516" s="83"/>
      <c r="BT516" s="83"/>
      <c r="BU516" s="83"/>
      <c r="BV516" s="83"/>
      <c r="BW516" s="83"/>
      <c r="BX516" s="83"/>
      <c r="BY516" s="83"/>
      <c r="BZ516" s="83"/>
      <c r="CA516" s="83"/>
      <c r="CB516" s="83"/>
      <c r="CC516" s="83"/>
      <c r="CD516" s="83"/>
      <c r="CE516" s="83"/>
      <c r="CF516" s="83"/>
      <c r="CG516" s="83"/>
      <c r="CH516" s="83"/>
      <c r="CI516" s="83"/>
      <c r="CJ516" s="83"/>
      <c r="CK516" s="83"/>
      <c r="CL516" s="83"/>
      <c r="CM516" s="83"/>
      <c r="CN516" s="83"/>
      <c r="CO516" s="83"/>
      <c r="CP516" s="83"/>
      <c r="CQ516" s="83"/>
      <c r="CR516" s="83"/>
      <c r="CS516" s="83"/>
      <c r="CT516" s="83"/>
      <c r="CU516" s="83"/>
      <c r="CV516" s="83"/>
      <c r="CW516" s="83"/>
      <c r="CX516" s="83"/>
      <c r="CY516" s="83"/>
      <c r="CZ516" s="83"/>
      <c r="DA516" s="83"/>
      <c r="DB516" s="83"/>
      <c r="DC516" s="83"/>
    </row>
    <row r="517" spans="1:107" x14ac:dyDescent="0.3">
      <c r="A517" s="83"/>
      <c r="B517" s="83"/>
      <c r="C517" s="83"/>
      <c r="D517" s="83"/>
      <c r="E517" s="83"/>
      <c r="F517" s="83"/>
      <c r="G517" s="83"/>
      <c r="H517" s="83"/>
      <c r="I517" s="83"/>
      <c r="J517" s="83"/>
      <c r="K517" s="83"/>
      <c r="L517" s="83"/>
      <c r="M517" s="83"/>
      <c r="N517" s="83"/>
      <c r="O517" s="83"/>
      <c r="P517" s="83"/>
      <c r="Q517" s="83"/>
      <c r="R517" s="83"/>
      <c r="S517" s="83"/>
      <c r="T517" s="83"/>
      <c r="U517" s="83"/>
      <c r="V517" s="83"/>
      <c r="W517" s="83"/>
      <c r="X517" s="83"/>
      <c r="Y517" s="83"/>
      <c r="Z517" s="83"/>
      <c r="AA517" s="83"/>
      <c r="AB517" s="83"/>
      <c r="AC517" s="83"/>
      <c r="AD517" s="83"/>
      <c r="AE517" s="83"/>
      <c r="AF517" s="83"/>
      <c r="AG517" s="83"/>
      <c r="AH517" s="83"/>
      <c r="AI517" s="83"/>
      <c r="AJ517" s="83"/>
      <c r="AK517" s="83"/>
      <c r="AL517" s="83"/>
      <c r="AM517" s="83"/>
      <c r="AN517" s="83"/>
      <c r="AO517" s="83"/>
      <c r="AP517" s="83"/>
      <c r="AQ517" s="83"/>
      <c r="AR517" s="83"/>
      <c r="AS517" s="83"/>
      <c r="AT517" s="83"/>
      <c r="AU517" s="83"/>
      <c r="AV517" s="83"/>
      <c r="AW517" s="83"/>
      <c r="AX517" s="83"/>
      <c r="AY517" s="83"/>
      <c r="AZ517" s="83"/>
      <c r="BA517" s="83"/>
      <c r="BB517" s="83"/>
      <c r="BC517" s="83"/>
      <c r="BD517" s="83"/>
      <c r="BE517" s="83"/>
      <c r="BF517" s="83"/>
      <c r="BG517" s="83"/>
      <c r="BH517" s="83"/>
      <c r="BI517" s="83"/>
      <c r="BJ517" s="83"/>
      <c r="BK517" s="83"/>
      <c r="BL517" s="83"/>
      <c r="BM517" s="83"/>
      <c r="BN517" s="83"/>
      <c r="BO517" s="83"/>
      <c r="BP517" s="83"/>
      <c r="BQ517" s="83"/>
      <c r="BR517" s="83"/>
      <c r="BS517" s="83"/>
      <c r="BT517" s="83"/>
      <c r="BU517" s="83"/>
      <c r="BV517" s="83"/>
      <c r="BW517" s="83"/>
      <c r="BX517" s="83"/>
      <c r="BY517" s="83"/>
      <c r="BZ517" s="83"/>
      <c r="CA517" s="83"/>
      <c r="CB517" s="83"/>
      <c r="CC517" s="83"/>
      <c r="CD517" s="83"/>
      <c r="CE517" s="83"/>
      <c r="CF517" s="83"/>
      <c r="CG517" s="83"/>
      <c r="CH517" s="83"/>
      <c r="CI517" s="83"/>
      <c r="CJ517" s="83"/>
      <c r="CK517" s="83"/>
      <c r="CL517" s="83"/>
      <c r="CM517" s="83"/>
      <c r="CN517" s="83"/>
      <c r="CO517" s="83"/>
      <c r="CP517" s="83"/>
      <c r="CQ517" s="83"/>
      <c r="CR517" s="83"/>
      <c r="CS517" s="83"/>
      <c r="CT517" s="83"/>
      <c r="CU517" s="83"/>
      <c r="CV517" s="83"/>
      <c r="CW517" s="83"/>
      <c r="CX517" s="83"/>
      <c r="CY517" s="83"/>
      <c r="CZ517" s="83"/>
      <c r="DA517" s="83"/>
      <c r="DB517" s="83"/>
      <c r="DC517" s="83"/>
    </row>
    <row r="518" spans="1:107" x14ac:dyDescent="0.3">
      <c r="A518" s="83"/>
      <c r="B518" s="83"/>
      <c r="C518" s="83"/>
      <c r="D518" s="83"/>
      <c r="E518" s="83"/>
      <c r="F518" s="83"/>
      <c r="G518" s="83"/>
      <c r="H518" s="83"/>
      <c r="I518" s="83"/>
      <c r="J518" s="83"/>
      <c r="K518" s="83"/>
      <c r="L518" s="83"/>
      <c r="M518" s="83"/>
      <c r="N518" s="83"/>
      <c r="O518" s="83"/>
      <c r="P518" s="83"/>
      <c r="Q518" s="83"/>
      <c r="R518" s="83"/>
      <c r="S518" s="83"/>
      <c r="T518" s="83"/>
      <c r="U518" s="83"/>
      <c r="V518" s="83"/>
      <c r="W518" s="83"/>
      <c r="X518" s="83"/>
      <c r="Y518" s="83"/>
      <c r="Z518" s="83"/>
      <c r="AA518" s="83"/>
      <c r="AB518" s="83"/>
      <c r="AC518" s="83"/>
      <c r="AD518" s="83"/>
      <c r="AE518" s="83"/>
      <c r="AF518" s="83"/>
      <c r="AG518" s="83"/>
      <c r="AH518" s="83"/>
      <c r="AI518" s="83"/>
      <c r="AJ518" s="83"/>
      <c r="AK518" s="83"/>
      <c r="AL518" s="83"/>
      <c r="AM518" s="83"/>
      <c r="AN518" s="83"/>
      <c r="AO518" s="83"/>
      <c r="AP518" s="83"/>
      <c r="AQ518" s="83"/>
      <c r="AR518" s="83"/>
      <c r="AS518" s="83"/>
      <c r="AT518" s="83"/>
      <c r="AU518" s="83"/>
      <c r="AV518" s="83"/>
      <c r="AW518" s="83"/>
      <c r="AX518" s="83"/>
      <c r="AY518" s="83"/>
      <c r="AZ518" s="83"/>
      <c r="BA518" s="83"/>
      <c r="BB518" s="83"/>
      <c r="BC518" s="83"/>
      <c r="BD518" s="83"/>
      <c r="BE518" s="83"/>
      <c r="BF518" s="83"/>
      <c r="BG518" s="83"/>
      <c r="BH518" s="83"/>
      <c r="BI518" s="83"/>
      <c r="BJ518" s="83"/>
      <c r="BK518" s="83"/>
      <c r="BL518" s="83"/>
      <c r="BM518" s="83"/>
      <c r="BN518" s="83"/>
      <c r="BO518" s="83"/>
      <c r="BP518" s="83"/>
      <c r="BQ518" s="83"/>
      <c r="BR518" s="83"/>
      <c r="BS518" s="83"/>
      <c r="BT518" s="83"/>
      <c r="BU518" s="83"/>
      <c r="BV518" s="83"/>
      <c r="BW518" s="83"/>
      <c r="BX518" s="83"/>
      <c r="BY518" s="83"/>
      <c r="BZ518" s="83"/>
      <c r="CA518" s="83"/>
      <c r="CB518" s="83"/>
      <c r="CC518" s="83"/>
      <c r="CD518" s="83"/>
      <c r="CE518" s="83"/>
      <c r="CF518" s="83"/>
      <c r="CG518" s="83"/>
      <c r="CH518" s="83"/>
      <c r="CI518" s="83"/>
      <c r="CJ518" s="83"/>
      <c r="CK518" s="83"/>
      <c r="CL518" s="83"/>
      <c r="CM518" s="83"/>
      <c r="CN518" s="83"/>
      <c r="CO518" s="83"/>
      <c r="CP518" s="83"/>
      <c r="CQ518" s="83"/>
      <c r="CR518" s="83"/>
      <c r="CS518" s="83"/>
      <c r="CT518" s="83"/>
      <c r="CU518" s="83"/>
      <c r="CV518" s="83"/>
      <c r="CW518" s="83"/>
      <c r="CX518" s="83"/>
      <c r="CY518" s="83"/>
      <c r="CZ518" s="83"/>
      <c r="DA518" s="83"/>
      <c r="DB518" s="83"/>
      <c r="DC518" s="83"/>
    </row>
    <row r="519" spans="1:107" x14ac:dyDescent="0.3">
      <c r="A519" s="83"/>
      <c r="B519" s="83"/>
      <c r="C519" s="83"/>
      <c r="D519" s="83"/>
      <c r="E519" s="83"/>
      <c r="F519" s="83"/>
      <c r="G519" s="83"/>
      <c r="H519" s="83"/>
      <c r="I519" s="83"/>
      <c r="J519" s="83"/>
      <c r="K519" s="83"/>
      <c r="L519" s="83"/>
      <c r="M519" s="83"/>
      <c r="N519" s="83"/>
      <c r="O519" s="83"/>
      <c r="P519" s="83"/>
      <c r="Q519" s="83"/>
      <c r="R519" s="83"/>
      <c r="S519" s="83"/>
      <c r="T519" s="83"/>
      <c r="U519" s="83"/>
      <c r="V519" s="83"/>
      <c r="W519" s="83"/>
      <c r="X519" s="83"/>
      <c r="Y519" s="83"/>
      <c r="Z519" s="83"/>
      <c r="AA519" s="83"/>
      <c r="AB519" s="83"/>
      <c r="AC519" s="83"/>
      <c r="AD519" s="83"/>
      <c r="AE519" s="83"/>
      <c r="AF519" s="83"/>
      <c r="AG519" s="83"/>
      <c r="AH519" s="83"/>
      <c r="AI519" s="83"/>
      <c r="AJ519" s="83"/>
      <c r="AK519" s="83"/>
      <c r="AL519" s="83"/>
      <c r="AM519" s="83"/>
      <c r="AN519" s="83"/>
      <c r="AO519" s="83"/>
      <c r="AP519" s="83"/>
      <c r="AQ519" s="83"/>
      <c r="AR519" s="83"/>
      <c r="AS519" s="83"/>
      <c r="AT519" s="83"/>
      <c r="AU519" s="83"/>
      <c r="AV519" s="83"/>
      <c r="AW519" s="83"/>
      <c r="AX519" s="83"/>
      <c r="AY519" s="83"/>
      <c r="AZ519" s="83"/>
      <c r="BA519" s="83"/>
      <c r="BB519" s="83"/>
      <c r="BC519" s="83"/>
      <c r="BD519" s="83"/>
      <c r="BE519" s="83"/>
      <c r="BF519" s="83"/>
      <c r="BG519" s="83"/>
      <c r="BH519" s="83"/>
      <c r="BI519" s="83"/>
      <c r="BJ519" s="83"/>
      <c r="BK519" s="83"/>
      <c r="BL519" s="83"/>
      <c r="BM519" s="83"/>
      <c r="BN519" s="83"/>
      <c r="BO519" s="83"/>
      <c r="BP519" s="83"/>
      <c r="BQ519" s="83"/>
      <c r="BR519" s="83"/>
      <c r="BS519" s="83"/>
      <c r="BT519" s="83"/>
      <c r="BU519" s="83"/>
      <c r="BV519" s="83"/>
      <c r="BW519" s="83"/>
      <c r="BX519" s="83"/>
      <c r="BY519" s="83"/>
      <c r="BZ519" s="83"/>
      <c r="CA519" s="83"/>
      <c r="CB519" s="83"/>
      <c r="CC519" s="83"/>
      <c r="CD519" s="83"/>
      <c r="CE519" s="83"/>
      <c r="CF519" s="83"/>
      <c r="CG519" s="83"/>
      <c r="CH519" s="83"/>
      <c r="CI519" s="83"/>
      <c r="CJ519" s="83"/>
      <c r="CK519" s="83"/>
      <c r="CL519" s="83"/>
      <c r="CM519" s="83"/>
      <c r="CN519" s="83"/>
      <c r="CO519" s="83"/>
      <c r="CP519" s="83"/>
      <c r="CQ519" s="83"/>
      <c r="CR519" s="83"/>
      <c r="CS519" s="83"/>
      <c r="CT519" s="83"/>
      <c r="CU519" s="83"/>
      <c r="CV519" s="83"/>
      <c r="CW519" s="83"/>
      <c r="CX519" s="83"/>
      <c r="CY519" s="83"/>
      <c r="CZ519" s="83"/>
      <c r="DA519" s="83"/>
      <c r="DB519" s="83"/>
      <c r="DC519" s="83"/>
    </row>
    <row r="520" spans="1:107" x14ac:dyDescent="0.3">
      <c r="A520" s="83"/>
      <c r="B520" s="83"/>
      <c r="C520" s="83"/>
      <c r="D520" s="83"/>
      <c r="E520" s="83"/>
      <c r="F520" s="83"/>
      <c r="G520" s="83"/>
      <c r="H520" s="83"/>
      <c r="I520" s="83"/>
      <c r="J520" s="83"/>
      <c r="K520" s="83"/>
      <c r="L520" s="83"/>
      <c r="M520" s="83"/>
      <c r="N520" s="83"/>
      <c r="O520" s="83"/>
      <c r="P520" s="83"/>
      <c r="Q520" s="83"/>
      <c r="R520" s="83"/>
      <c r="S520" s="83"/>
      <c r="T520" s="83"/>
      <c r="U520" s="83"/>
      <c r="V520" s="83"/>
      <c r="W520" s="83"/>
      <c r="X520" s="83"/>
      <c r="Y520" s="83"/>
      <c r="Z520" s="83"/>
      <c r="AA520" s="83"/>
      <c r="AB520" s="83"/>
      <c r="AC520" s="83"/>
      <c r="AD520" s="83"/>
      <c r="AE520" s="83"/>
      <c r="AF520" s="83"/>
      <c r="AG520" s="83"/>
      <c r="AH520" s="83"/>
      <c r="AI520" s="83"/>
      <c r="AJ520" s="83"/>
      <c r="AK520" s="83"/>
      <c r="AL520" s="83"/>
      <c r="AM520" s="83"/>
      <c r="AN520" s="83"/>
      <c r="AO520" s="83"/>
      <c r="AP520" s="83"/>
      <c r="AQ520" s="83"/>
      <c r="AR520" s="83"/>
      <c r="AS520" s="83"/>
      <c r="AT520" s="83"/>
      <c r="AU520" s="83"/>
      <c r="AV520" s="83"/>
      <c r="AW520" s="83"/>
      <c r="AX520" s="83"/>
      <c r="AY520" s="83"/>
      <c r="AZ520" s="83"/>
      <c r="BA520" s="83"/>
      <c r="BB520" s="83"/>
      <c r="BC520" s="83"/>
      <c r="BD520" s="83"/>
      <c r="BE520" s="83"/>
      <c r="BF520" s="83"/>
      <c r="BG520" s="83"/>
      <c r="BH520" s="83"/>
      <c r="BI520" s="83"/>
      <c r="BJ520" s="83"/>
      <c r="BK520" s="83"/>
      <c r="BL520" s="83"/>
      <c r="BM520" s="83"/>
      <c r="BN520" s="83"/>
      <c r="BO520" s="83"/>
      <c r="BP520" s="83"/>
      <c r="BQ520" s="83"/>
      <c r="BR520" s="83"/>
      <c r="BS520" s="83"/>
      <c r="BT520" s="83"/>
      <c r="BU520" s="83"/>
      <c r="BV520" s="83"/>
      <c r="BW520" s="83"/>
      <c r="BX520" s="83"/>
      <c r="BY520" s="83"/>
      <c r="BZ520" s="83"/>
      <c r="CA520" s="83"/>
      <c r="CB520" s="83"/>
      <c r="CC520" s="83"/>
      <c r="CD520" s="83"/>
      <c r="CE520" s="83"/>
      <c r="CF520" s="83"/>
      <c r="CG520" s="83"/>
      <c r="CH520" s="83"/>
      <c r="CI520" s="83"/>
      <c r="CJ520" s="83"/>
      <c r="CK520" s="83"/>
      <c r="CL520" s="83"/>
      <c r="CM520" s="83"/>
      <c r="CN520" s="83"/>
      <c r="CO520" s="83"/>
      <c r="CP520" s="83"/>
      <c r="CQ520" s="83"/>
      <c r="CR520" s="83"/>
      <c r="CS520" s="83"/>
      <c r="CT520" s="83"/>
      <c r="CU520" s="83"/>
      <c r="CV520" s="83"/>
      <c r="CW520" s="83"/>
      <c r="CX520" s="83"/>
      <c r="CY520" s="83"/>
      <c r="CZ520" s="83"/>
      <c r="DA520" s="83"/>
      <c r="DB520" s="83"/>
      <c r="DC520" s="83"/>
    </row>
    <row r="521" spans="1:107" x14ac:dyDescent="0.3">
      <c r="A521" s="83"/>
      <c r="B521" s="83"/>
      <c r="C521" s="83"/>
      <c r="D521" s="83"/>
      <c r="E521" s="83"/>
      <c r="F521" s="83"/>
      <c r="G521" s="83"/>
      <c r="H521" s="83"/>
      <c r="I521" s="83"/>
      <c r="J521" s="83"/>
      <c r="K521" s="83"/>
      <c r="L521" s="83"/>
      <c r="M521" s="83"/>
      <c r="N521" s="83"/>
      <c r="O521" s="83"/>
      <c r="P521" s="83"/>
      <c r="Q521" s="83"/>
      <c r="R521" s="83"/>
      <c r="S521" s="83"/>
      <c r="T521" s="83"/>
      <c r="U521" s="83"/>
      <c r="V521" s="83"/>
      <c r="W521" s="83"/>
      <c r="X521" s="83"/>
      <c r="Y521" s="83"/>
      <c r="Z521" s="83"/>
      <c r="AA521" s="83"/>
      <c r="AB521" s="83"/>
      <c r="AC521" s="83"/>
      <c r="AD521" s="83"/>
      <c r="AE521" s="83"/>
      <c r="AF521" s="83"/>
      <c r="AG521" s="83"/>
      <c r="AH521" s="83"/>
      <c r="AI521" s="83"/>
      <c r="AJ521" s="83"/>
      <c r="AK521" s="83"/>
      <c r="AL521" s="83"/>
      <c r="AM521" s="83"/>
      <c r="AN521" s="83"/>
      <c r="AO521" s="83"/>
      <c r="AP521" s="83"/>
      <c r="AQ521" s="83"/>
      <c r="AR521" s="83"/>
      <c r="AS521" s="83"/>
      <c r="AT521" s="83"/>
      <c r="AU521" s="83"/>
      <c r="AV521" s="83"/>
      <c r="AW521" s="83"/>
      <c r="AX521" s="83"/>
      <c r="AY521" s="83"/>
      <c r="AZ521" s="83"/>
      <c r="BA521" s="83"/>
      <c r="BB521" s="83"/>
      <c r="BC521" s="83"/>
      <c r="BD521" s="83"/>
      <c r="BE521" s="83"/>
      <c r="BF521" s="83"/>
      <c r="BG521" s="83"/>
      <c r="BH521" s="83"/>
      <c r="BI521" s="83"/>
      <c r="BJ521" s="83"/>
      <c r="BK521" s="83"/>
      <c r="BL521" s="83"/>
      <c r="BM521" s="83"/>
      <c r="BN521" s="83"/>
      <c r="BO521" s="83"/>
      <c r="BP521" s="83"/>
      <c r="BQ521" s="83"/>
      <c r="BR521" s="83"/>
      <c r="BS521" s="83"/>
      <c r="BT521" s="83"/>
      <c r="BU521" s="83"/>
      <c r="BV521" s="83"/>
      <c r="BW521" s="83"/>
      <c r="BX521" s="83"/>
      <c r="BY521" s="83"/>
      <c r="BZ521" s="83"/>
      <c r="CA521" s="83"/>
      <c r="CB521" s="83"/>
      <c r="CC521" s="83"/>
      <c r="CD521" s="83"/>
      <c r="CE521" s="83"/>
      <c r="CF521" s="83"/>
      <c r="CG521" s="83"/>
      <c r="CH521" s="83"/>
      <c r="CI521" s="83"/>
      <c r="CJ521" s="83"/>
      <c r="CK521" s="83"/>
      <c r="CL521" s="83"/>
      <c r="CM521" s="83"/>
      <c r="CN521" s="83"/>
      <c r="CO521" s="83"/>
      <c r="CP521" s="83"/>
      <c r="CQ521" s="83"/>
      <c r="CR521" s="83"/>
      <c r="CS521" s="83"/>
      <c r="CT521" s="83"/>
      <c r="CU521" s="83"/>
      <c r="CV521" s="83"/>
      <c r="CW521" s="83"/>
      <c r="CX521" s="83"/>
      <c r="CY521" s="83"/>
      <c r="CZ521" s="83"/>
      <c r="DA521" s="83"/>
      <c r="DB521" s="83"/>
      <c r="DC521" s="83"/>
    </row>
    <row r="522" spans="1:107" x14ac:dyDescent="0.3">
      <c r="A522" s="83"/>
      <c r="B522" s="83"/>
      <c r="C522" s="83"/>
      <c r="D522" s="83"/>
      <c r="E522" s="83"/>
      <c r="F522" s="83"/>
      <c r="G522" s="83"/>
      <c r="H522" s="83"/>
      <c r="I522" s="83"/>
      <c r="J522" s="83"/>
      <c r="K522" s="83"/>
      <c r="L522" s="83"/>
      <c r="M522" s="83"/>
      <c r="N522" s="83"/>
      <c r="O522" s="83"/>
      <c r="P522" s="83"/>
      <c r="Q522" s="83"/>
      <c r="R522" s="83"/>
      <c r="S522" s="83"/>
      <c r="T522" s="83"/>
      <c r="U522" s="83"/>
      <c r="V522" s="83"/>
      <c r="W522" s="83"/>
      <c r="X522" s="83"/>
      <c r="Y522" s="83"/>
      <c r="Z522" s="83"/>
      <c r="AA522" s="83"/>
      <c r="AB522" s="83"/>
      <c r="AC522" s="83"/>
      <c r="AD522" s="83"/>
      <c r="AE522" s="83"/>
      <c r="AF522" s="83"/>
      <c r="AG522" s="83"/>
      <c r="AH522" s="83"/>
      <c r="AI522" s="83"/>
      <c r="AJ522" s="83"/>
      <c r="AK522" s="83"/>
      <c r="AL522" s="83"/>
      <c r="AM522" s="83"/>
      <c r="AN522" s="83"/>
      <c r="AO522" s="83"/>
      <c r="AP522" s="83"/>
      <c r="AQ522" s="83"/>
      <c r="AR522" s="83"/>
      <c r="AS522" s="83"/>
      <c r="AT522" s="83"/>
      <c r="AU522" s="83"/>
      <c r="AV522" s="83"/>
      <c r="AW522" s="83"/>
      <c r="AX522" s="83"/>
      <c r="AY522" s="83"/>
      <c r="AZ522" s="83"/>
      <c r="BA522" s="83"/>
      <c r="BB522" s="83"/>
      <c r="BC522" s="83"/>
      <c r="BD522" s="83"/>
      <c r="BE522" s="83"/>
      <c r="BF522" s="83"/>
      <c r="BG522" s="83"/>
      <c r="BH522" s="83"/>
      <c r="BI522" s="83"/>
      <c r="BJ522" s="83"/>
      <c r="BK522" s="83"/>
      <c r="BL522" s="83"/>
      <c r="BM522" s="83"/>
      <c r="BN522" s="83"/>
      <c r="BO522" s="83"/>
      <c r="BP522" s="83"/>
      <c r="BQ522" s="83"/>
      <c r="BR522" s="83"/>
      <c r="BS522" s="83"/>
      <c r="BT522" s="83"/>
      <c r="BU522" s="83"/>
      <c r="BV522" s="83"/>
      <c r="BW522" s="83"/>
      <c r="BX522" s="83"/>
      <c r="BY522" s="83"/>
      <c r="BZ522" s="83"/>
      <c r="CA522" s="83"/>
      <c r="CB522" s="83"/>
      <c r="CC522" s="83"/>
      <c r="CD522" s="83"/>
      <c r="CE522" s="83"/>
      <c r="CF522" s="83"/>
      <c r="CG522" s="83"/>
      <c r="CH522" s="83"/>
      <c r="CI522" s="83"/>
      <c r="CJ522" s="83"/>
      <c r="CK522" s="83"/>
      <c r="CL522" s="83"/>
      <c r="CM522" s="83"/>
      <c r="CN522" s="83"/>
      <c r="CO522" s="83"/>
      <c r="CP522" s="83"/>
      <c r="CQ522" s="83"/>
      <c r="CR522" s="83"/>
      <c r="CS522" s="83"/>
      <c r="CT522" s="83"/>
      <c r="CU522" s="83"/>
      <c r="CV522" s="83"/>
      <c r="CW522" s="83"/>
      <c r="CX522" s="83"/>
      <c r="CY522" s="83"/>
      <c r="CZ522" s="83"/>
      <c r="DA522" s="83"/>
      <c r="DB522" s="83"/>
      <c r="DC522" s="83"/>
    </row>
    <row r="523" spans="1:107" x14ac:dyDescent="0.3">
      <c r="A523" s="83"/>
      <c r="B523" s="83"/>
      <c r="C523" s="83"/>
      <c r="D523" s="83"/>
      <c r="E523" s="83"/>
      <c r="F523" s="83"/>
      <c r="G523" s="83"/>
      <c r="H523" s="83"/>
      <c r="I523" s="83"/>
      <c r="J523" s="83"/>
      <c r="K523" s="83"/>
      <c r="L523" s="83"/>
      <c r="M523" s="83"/>
      <c r="N523" s="83"/>
      <c r="O523" s="83"/>
      <c r="P523" s="83"/>
      <c r="Q523" s="83"/>
      <c r="R523" s="83"/>
      <c r="S523" s="83"/>
      <c r="T523" s="83"/>
      <c r="U523" s="83"/>
      <c r="V523" s="83"/>
      <c r="W523" s="83"/>
      <c r="X523" s="83"/>
      <c r="Y523" s="83"/>
      <c r="Z523" s="83"/>
      <c r="AA523" s="83"/>
      <c r="AB523" s="83"/>
      <c r="AC523" s="83"/>
      <c r="AD523" s="83"/>
      <c r="AE523" s="83"/>
      <c r="AF523" s="83"/>
      <c r="AG523" s="83"/>
      <c r="AH523" s="83"/>
      <c r="AI523" s="83"/>
      <c r="AJ523" s="83"/>
      <c r="AK523" s="83"/>
      <c r="AL523" s="83"/>
      <c r="AM523" s="83"/>
      <c r="AN523" s="83"/>
      <c r="AO523" s="83"/>
      <c r="AP523" s="83"/>
      <c r="AQ523" s="83"/>
      <c r="AR523" s="83"/>
      <c r="AS523" s="83"/>
      <c r="AT523" s="83"/>
      <c r="AU523" s="83"/>
      <c r="AV523" s="83"/>
      <c r="AW523" s="83"/>
      <c r="AX523" s="83"/>
      <c r="AY523" s="83"/>
      <c r="AZ523" s="83"/>
      <c r="BA523" s="83"/>
      <c r="BB523" s="83"/>
      <c r="BC523" s="83"/>
      <c r="BD523" s="83"/>
      <c r="BE523" s="83"/>
      <c r="BF523" s="83"/>
      <c r="BG523" s="83"/>
      <c r="BH523" s="83"/>
      <c r="BI523" s="83"/>
      <c r="BJ523" s="83"/>
      <c r="BK523" s="83"/>
      <c r="BL523" s="83"/>
      <c r="BM523" s="83"/>
      <c r="BN523" s="83"/>
      <c r="BO523" s="83"/>
      <c r="BP523" s="83"/>
      <c r="BQ523" s="83"/>
      <c r="BR523" s="83"/>
      <c r="BS523" s="83"/>
      <c r="BT523" s="83"/>
      <c r="BU523" s="83"/>
      <c r="BV523" s="83"/>
      <c r="BW523" s="83"/>
      <c r="BX523" s="83"/>
      <c r="BY523" s="83"/>
      <c r="BZ523" s="83"/>
      <c r="CA523" s="83"/>
      <c r="CB523" s="83"/>
      <c r="CC523" s="83"/>
      <c r="CD523" s="83"/>
      <c r="CE523" s="83"/>
      <c r="CF523" s="83"/>
      <c r="CG523" s="83"/>
      <c r="CH523" s="83"/>
      <c r="CI523" s="83"/>
      <c r="CJ523" s="83"/>
      <c r="CK523" s="83"/>
      <c r="CL523" s="83"/>
      <c r="CM523" s="83"/>
      <c r="CN523" s="83"/>
      <c r="CO523" s="83"/>
      <c r="CP523" s="83"/>
      <c r="CQ523" s="83"/>
      <c r="CR523" s="83"/>
      <c r="CS523" s="83"/>
      <c r="CT523" s="83"/>
      <c r="CU523" s="83"/>
      <c r="CV523" s="83"/>
      <c r="CW523" s="83"/>
      <c r="CX523" s="83"/>
      <c r="CY523" s="83"/>
      <c r="CZ523" s="83"/>
      <c r="DA523" s="83"/>
      <c r="DB523" s="83"/>
      <c r="DC523" s="83"/>
    </row>
    <row r="524" spans="1:107" x14ac:dyDescent="0.3">
      <c r="A524" s="83"/>
      <c r="B524" s="83"/>
      <c r="C524" s="83"/>
      <c r="D524" s="83"/>
      <c r="E524" s="83"/>
      <c r="F524" s="83"/>
      <c r="G524" s="83"/>
      <c r="H524" s="83"/>
      <c r="I524" s="83"/>
      <c r="J524" s="83"/>
      <c r="K524" s="83"/>
      <c r="L524" s="83"/>
      <c r="M524" s="83"/>
      <c r="N524" s="83"/>
      <c r="O524" s="83"/>
      <c r="P524" s="83"/>
      <c r="Q524" s="83"/>
      <c r="R524" s="83"/>
      <c r="S524" s="83"/>
      <c r="T524" s="83"/>
      <c r="U524" s="83"/>
      <c r="V524" s="83"/>
      <c r="W524" s="83"/>
      <c r="X524" s="83"/>
      <c r="Y524" s="83"/>
      <c r="Z524" s="83"/>
      <c r="AA524" s="83"/>
      <c r="AB524" s="83"/>
      <c r="AC524" s="83"/>
      <c r="AD524" s="83"/>
      <c r="AE524" s="83"/>
      <c r="AF524" s="83"/>
      <c r="AG524" s="83"/>
      <c r="AH524" s="83"/>
      <c r="AI524" s="83"/>
      <c r="AJ524" s="83"/>
      <c r="AK524" s="83"/>
      <c r="AL524" s="83"/>
      <c r="AM524" s="83"/>
      <c r="AN524" s="83"/>
      <c r="AO524" s="83"/>
      <c r="AP524" s="83"/>
      <c r="AQ524" s="83"/>
      <c r="AR524" s="83"/>
      <c r="AS524" s="83"/>
      <c r="AT524" s="83"/>
      <c r="AU524" s="83"/>
      <c r="AV524" s="83"/>
      <c r="AW524" s="83"/>
      <c r="AX524" s="83"/>
      <c r="AY524" s="83"/>
      <c r="AZ524" s="83"/>
      <c r="BA524" s="83"/>
      <c r="BB524" s="83"/>
      <c r="BC524" s="83"/>
      <c r="BD524" s="83"/>
      <c r="BE524" s="83"/>
      <c r="BF524" s="83"/>
      <c r="BG524" s="83"/>
      <c r="BH524" s="83"/>
      <c r="BI524" s="83"/>
      <c r="BJ524" s="83"/>
      <c r="BK524" s="83"/>
      <c r="BL524" s="83"/>
      <c r="BM524" s="83"/>
      <c r="BN524" s="83"/>
      <c r="BO524" s="83"/>
      <c r="BP524" s="83"/>
      <c r="BQ524" s="83"/>
      <c r="BR524" s="83"/>
      <c r="BS524" s="83"/>
      <c r="BT524" s="83"/>
      <c r="BU524" s="83"/>
      <c r="BV524" s="83"/>
      <c r="BW524" s="83"/>
      <c r="BX524" s="83"/>
      <c r="BY524" s="83"/>
      <c r="BZ524" s="83"/>
      <c r="CA524" s="83"/>
      <c r="CB524" s="83"/>
      <c r="CC524" s="83"/>
      <c r="CD524" s="83"/>
      <c r="CE524" s="83"/>
      <c r="CF524" s="83"/>
      <c r="CG524" s="83"/>
      <c r="CH524" s="83"/>
      <c r="CI524" s="83"/>
      <c r="CJ524" s="83"/>
      <c r="CK524" s="83"/>
      <c r="CL524" s="83"/>
      <c r="CM524" s="83"/>
      <c r="CN524" s="83"/>
      <c r="CO524" s="83"/>
      <c r="CP524" s="83"/>
      <c r="CQ524" s="83"/>
      <c r="CR524" s="83"/>
      <c r="CS524" s="83"/>
      <c r="CT524" s="83"/>
      <c r="CU524" s="83"/>
      <c r="CV524" s="83"/>
      <c r="CW524" s="83"/>
      <c r="CX524" s="83"/>
      <c r="CY524" s="83"/>
      <c r="CZ524" s="83"/>
      <c r="DA524" s="83"/>
      <c r="DB524" s="83"/>
      <c r="DC524" s="83"/>
    </row>
    <row r="525" spans="1:107" x14ac:dyDescent="0.3">
      <c r="A525" s="83"/>
      <c r="B525" s="83"/>
      <c r="C525" s="83"/>
      <c r="D525" s="83"/>
      <c r="E525" s="83"/>
      <c r="F525" s="83"/>
      <c r="G525" s="83"/>
      <c r="H525" s="83"/>
      <c r="I525" s="83"/>
      <c r="J525" s="83"/>
      <c r="K525" s="83"/>
      <c r="L525" s="83"/>
      <c r="M525" s="83"/>
      <c r="N525" s="83"/>
      <c r="O525" s="83"/>
      <c r="P525" s="83"/>
      <c r="Q525" s="83"/>
      <c r="R525" s="83"/>
      <c r="S525" s="83"/>
      <c r="T525" s="83"/>
      <c r="U525" s="83"/>
      <c r="V525" s="83"/>
      <c r="W525" s="83"/>
      <c r="X525" s="83"/>
      <c r="Y525" s="83"/>
      <c r="Z525" s="83"/>
      <c r="AA525" s="83"/>
      <c r="AB525" s="83"/>
      <c r="AC525" s="83"/>
      <c r="AD525" s="83"/>
      <c r="AE525" s="83"/>
      <c r="AF525" s="83"/>
      <c r="AG525" s="83"/>
      <c r="AH525" s="83"/>
      <c r="AI525" s="83"/>
      <c r="AJ525" s="83"/>
      <c r="AK525" s="83"/>
      <c r="AL525" s="83"/>
      <c r="AM525" s="83"/>
      <c r="AN525" s="83"/>
      <c r="AO525" s="83"/>
      <c r="AP525" s="83"/>
      <c r="AQ525" s="83"/>
      <c r="AR525" s="83"/>
      <c r="AS525" s="83"/>
      <c r="AT525" s="83"/>
      <c r="AU525" s="83"/>
      <c r="AV525" s="83"/>
      <c r="AW525" s="83"/>
      <c r="AX525" s="83"/>
      <c r="AY525" s="83"/>
      <c r="AZ525" s="83"/>
      <c r="BA525" s="83"/>
      <c r="BB525" s="83"/>
      <c r="BC525" s="83"/>
      <c r="BD525" s="83"/>
      <c r="BE525" s="83"/>
      <c r="BF525" s="83"/>
      <c r="BG525" s="83"/>
      <c r="BH525" s="83"/>
      <c r="BI525" s="83"/>
      <c r="BJ525" s="83"/>
      <c r="BK525" s="83"/>
      <c r="BL525" s="83"/>
      <c r="BM525" s="83"/>
      <c r="BN525" s="83"/>
      <c r="BO525" s="83"/>
      <c r="BP525" s="83"/>
      <c r="BQ525" s="83"/>
      <c r="BR525" s="83"/>
      <c r="BS525" s="83"/>
      <c r="BT525" s="83"/>
      <c r="BU525" s="83"/>
      <c r="BV525" s="83"/>
      <c r="BW525" s="83"/>
      <c r="BX525" s="83"/>
      <c r="BY525" s="83"/>
      <c r="BZ525" s="83"/>
      <c r="CA525" s="83"/>
      <c r="CB525" s="83"/>
      <c r="CC525" s="83"/>
      <c r="CD525" s="83"/>
      <c r="CE525" s="83"/>
      <c r="CF525" s="83"/>
      <c r="CG525" s="83"/>
      <c r="CH525" s="83"/>
      <c r="CI525" s="83"/>
      <c r="CJ525" s="83"/>
      <c r="CK525" s="83"/>
      <c r="CL525" s="83"/>
      <c r="CM525" s="83"/>
      <c r="CN525" s="83"/>
      <c r="CO525" s="83"/>
      <c r="CP525" s="83"/>
      <c r="CQ525" s="83"/>
      <c r="CR525" s="83"/>
      <c r="CS525" s="83"/>
      <c r="CT525" s="83"/>
      <c r="CU525" s="83"/>
      <c r="CV525" s="83"/>
      <c r="CW525" s="83"/>
      <c r="CX525" s="83"/>
      <c r="CY525" s="83"/>
      <c r="CZ525" s="83"/>
      <c r="DA525" s="83"/>
      <c r="DB525" s="83"/>
      <c r="DC525" s="83"/>
    </row>
    <row r="526" spans="1:107" x14ac:dyDescent="0.3">
      <c r="A526" s="83"/>
      <c r="B526" s="83"/>
      <c r="C526" s="83"/>
      <c r="D526" s="83"/>
      <c r="E526" s="83"/>
      <c r="F526" s="83"/>
      <c r="G526" s="83"/>
      <c r="H526" s="83"/>
      <c r="I526" s="83"/>
      <c r="J526" s="83"/>
      <c r="K526" s="83"/>
      <c r="L526" s="83"/>
      <c r="M526" s="83"/>
      <c r="N526" s="83"/>
      <c r="O526" s="83"/>
      <c r="P526" s="83"/>
      <c r="Q526" s="83"/>
      <c r="R526" s="83"/>
      <c r="S526" s="83"/>
      <c r="T526" s="83"/>
      <c r="U526" s="83"/>
      <c r="V526" s="83"/>
      <c r="W526" s="83"/>
      <c r="X526" s="83"/>
      <c r="Y526" s="83"/>
      <c r="Z526" s="83"/>
      <c r="AA526" s="83"/>
      <c r="AB526" s="83"/>
      <c r="AC526" s="83"/>
      <c r="AD526" s="83"/>
      <c r="AE526" s="83"/>
      <c r="AF526" s="83"/>
      <c r="AG526" s="83"/>
      <c r="AH526" s="83"/>
      <c r="AI526" s="83"/>
      <c r="AJ526" s="83"/>
      <c r="AK526" s="83"/>
      <c r="AL526" s="83"/>
      <c r="AM526" s="83"/>
      <c r="AN526" s="83"/>
      <c r="AO526" s="83"/>
      <c r="AP526" s="83"/>
      <c r="AQ526" s="83"/>
      <c r="AR526" s="83"/>
      <c r="AS526" s="83"/>
      <c r="AT526" s="83"/>
      <c r="AU526" s="83"/>
      <c r="AV526" s="83"/>
      <c r="AW526" s="83"/>
      <c r="AX526" s="83"/>
      <c r="AY526" s="83"/>
      <c r="AZ526" s="83"/>
      <c r="BA526" s="83"/>
      <c r="BB526" s="83"/>
      <c r="BC526" s="83"/>
      <c r="BD526" s="83"/>
      <c r="BE526" s="83"/>
      <c r="BF526" s="83"/>
      <c r="BG526" s="83"/>
      <c r="BH526" s="83"/>
      <c r="BI526" s="83"/>
      <c r="BJ526" s="83"/>
      <c r="BK526" s="83"/>
      <c r="BL526" s="83"/>
      <c r="BM526" s="83"/>
      <c r="BN526" s="83"/>
      <c r="BO526" s="83"/>
      <c r="BP526" s="83"/>
      <c r="BQ526" s="83"/>
      <c r="BR526" s="83"/>
      <c r="BS526" s="83"/>
      <c r="BT526" s="83"/>
      <c r="BU526" s="83"/>
      <c r="BV526" s="83"/>
      <c r="BW526" s="83"/>
      <c r="BX526" s="83"/>
      <c r="BY526" s="83"/>
      <c r="BZ526" s="83"/>
      <c r="CA526" s="83"/>
      <c r="CB526" s="83"/>
      <c r="CC526" s="83"/>
      <c r="CD526" s="83"/>
      <c r="CE526" s="83"/>
      <c r="CF526" s="83"/>
      <c r="CG526" s="83"/>
      <c r="CH526" s="83"/>
      <c r="CI526" s="83"/>
      <c r="CJ526" s="83"/>
      <c r="CK526" s="83"/>
      <c r="CL526" s="83"/>
      <c r="CM526" s="83"/>
      <c r="CN526" s="83"/>
      <c r="CO526" s="83"/>
      <c r="CP526" s="83"/>
      <c r="CQ526" s="83"/>
      <c r="CR526" s="83"/>
      <c r="CS526" s="83"/>
      <c r="CT526" s="83"/>
      <c r="CU526" s="83"/>
      <c r="CV526" s="83"/>
      <c r="CW526" s="83"/>
      <c r="CX526" s="83"/>
      <c r="CY526" s="83"/>
      <c r="CZ526" s="83"/>
      <c r="DA526" s="83"/>
      <c r="DB526" s="83"/>
      <c r="DC526" s="83"/>
    </row>
    <row r="527" spans="1:107" x14ac:dyDescent="0.3">
      <c r="A527" s="83"/>
      <c r="B527" s="83"/>
      <c r="C527" s="83"/>
      <c r="D527" s="83"/>
      <c r="E527" s="83"/>
      <c r="F527" s="83"/>
      <c r="G527" s="83"/>
      <c r="H527" s="83"/>
      <c r="I527" s="83"/>
      <c r="J527" s="83"/>
      <c r="K527" s="83"/>
      <c r="L527" s="83"/>
      <c r="M527" s="83"/>
      <c r="N527" s="83"/>
      <c r="O527" s="83"/>
      <c r="P527" s="83"/>
      <c r="Q527" s="83"/>
      <c r="R527" s="83"/>
      <c r="S527" s="83"/>
      <c r="T527" s="83"/>
      <c r="U527" s="83"/>
      <c r="V527" s="83"/>
      <c r="W527" s="83"/>
      <c r="X527" s="83"/>
      <c r="Y527" s="83"/>
      <c r="Z527" s="83"/>
      <c r="AA527" s="83"/>
      <c r="AB527" s="83"/>
      <c r="AC527" s="83"/>
      <c r="AD527" s="83"/>
      <c r="AE527" s="83"/>
      <c r="AF527" s="83"/>
      <c r="AG527" s="83"/>
      <c r="AH527" s="83"/>
      <c r="AI527" s="83"/>
      <c r="AJ527" s="83"/>
      <c r="AK527" s="83"/>
      <c r="AL527" s="83"/>
      <c r="AM527" s="83"/>
      <c r="AN527" s="83"/>
      <c r="AO527" s="83"/>
      <c r="AP527" s="83"/>
      <c r="AQ527" s="83"/>
      <c r="AR527" s="83"/>
      <c r="AS527" s="83"/>
      <c r="AT527" s="83"/>
      <c r="AU527" s="83"/>
      <c r="AV527" s="83"/>
      <c r="AW527" s="83"/>
      <c r="AX527" s="83"/>
      <c r="AY527" s="83"/>
      <c r="AZ527" s="83"/>
      <c r="BA527" s="83"/>
      <c r="BB527" s="83"/>
      <c r="BC527" s="83"/>
      <c r="BD527" s="83"/>
      <c r="BE527" s="83"/>
      <c r="BF527" s="83"/>
      <c r="BG527" s="83"/>
      <c r="BH527" s="83"/>
      <c r="BI527" s="83"/>
      <c r="BJ527" s="83"/>
      <c r="BK527" s="83"/>
      <c r="BL527" s="83"/>
      <c r="BM527" s="83"/>
      <c r="BN527" s="83"/>
      <c r="BO527" s="83"/>
      <c r="BP527" s="83"/>
      <c r="BQ527" s="83"/>
      <c r="BR527" s="83"/>
      <c r="BS527" s="83"/>
      <c r="BT527" s="83"/>
      <c r="BU527" s="83"/>
      <c r="BV527" s="83"/>
      <c r="BW527" s="83"/>
      <c r="BX527" s="83"/>
      <c r="BY527" s="83"/>
      <c r="BZ527" s="83"/>
      <c r="CA527" s="83"/>
      <c r="CB527" s="83"/>
      <c r="CC527" s="83"/>
      <c r="CD527" s="83"/>
      <c r="CE527" s="83"/>
      <c r="CF527" s="83"/>
      <c r="CG527" s="83"/>
      <c r="CH527" s="83"/>
      <c r="CI527" s="83"/>
      <c r="CJ527" s="83"/>
      <c r="CK527" s="83"/>
      <c r="CL527" s="83"/>
      <c r="CM527" s="83"/>
      <c r="CN527" s="83"/>
      <c r="CO527" s="83"/>
      <c r="CP527" s="83"/>
      <c r="CQ527" s="83"/>
      <c r="CR527" s="83"/>
      <c r="CS527" s="83"/>
      <c r="CT527" s="83"/>
      <c r="CU527" s="83"/>
      <c r="CV527" s="83"/>
      <c r="CW527" s="83"/>
      <c r="CX527" s="83"/>
      <c r="CY527" s="83"/>
      <c r="CZ527" s="83"/>
      <c r="DA527" s="83"/>
      <c r="DB527" s="83"/>
      <c r="DC527" s="83"/>
    </row>
    <row r="528" spans="1:107" x14ac:dyDescent="0.3">
      <c r="A528" s="83"/>
      <c r="B528" s="83"/>
      <c r="C528" s="83"/>
      <c r="D528" s="83"/>
      <c r="E528" s="83"/>
      <c r="F528" s="83"/>
      <c r="G528" s="83"/>
      <c r="H528" s="83"/>
      <c r="I528" s="83"/>
      <c r="J528" s="83"/>
      <c r="K528" s="83"/>
      <c r="L528" s="83"/>
      <c r="M528" s="83"/>
      <c r="N528" s="83"/>
      <c r="O528" s="83"/>
      <c r="P528" s="83"/>
      <c r="Q528" s="83"/>
      <c r="R528" s="83"/>
      <c r="S528" s="83"/>
      <c r="T528" s="83"/>
      <c r="U528" s="83"/>
      <c r="V528" s="83"/>
      <c r="W528" s="83"/>
      <c r="X528" s="83"/>
      <c r="Y528" s="83"/>
      <c r="Z528" s="83"/>
      <c r="AA528" s="83"/>
      <c r="AB528" s="83"/>
      <c r="AC528" s="83"/>
      <c r="AD528" s="83"/>
      <c r="AE528" s="83"/>
      <c r="AF528" s="83"/>
      <c r="AG528" s="83"/>
      <c r="AH528" s="83"/>
      <c r="AI528" s="83"/>
      <c r="AJ528" s="83"/>
      <c r="AK528" s="83"/>
      <c r="AL528" s="83"/>
      <c r="AM528" s="83"/>
      <c r="AN528" s="83"/>
      <c r="AO528" s="83"/>
      <c r="AP528" s="83"/>
      <c r="AQ528" s="83"/>
      <c r="AR528" s="83"/>
      <c r="AS528" s="83"/>
      <c r="AT528" s="83"/>
      <c r="AU528" s="83"/>
      <c r="AV528" s="83"/>
      <c r="AW528" s="83"/>
      <c r="AX528" s="83"/>
      <c r="AY528" s="83"/>
      <c r="AZ528" s="83"/>
      <c r="BA528" s="83"/>
      <c r="BB528" s="83"/>
      <c r="BC528" s="83"/>
      <c r="BD528" s="83"/>
      <c r="BE528" s="83"/>
      <c r="BF528" s="83"/>
      <c r="BG528" s="83"/>
      <c r="BH528" s="83"/>
      <c r="BI528" s="83"/>
      <c r="BJ528" s="83"/>
      <c r="BK528" s="83"/>
      <c r="BL528" s="83"/>
      <c r="BM528" s="83"/>
      <c r="BN528" s="83"/>
      <c r="BO528" s="83"/>
      <c r="BP528" s="83"/>
      <c r="BQ528" s="83"/>
      <c r="BR528" s="83"/>
      <c r="BS528" s="83"/>
      <c r="BT528" s="83"/>
      <c r="BU528" s="83"/>
      <c r="BV528" s="83"/>
      <c r="BW528" s="83"/>
      <c r="BX528" s="83"/>
      <c r="BY528" s="83"/>
      <c r="BZ528" s="83"/>
      <c r="CA528" s="83"/>
      <c r="CB528" s="83"/>
      <c r="CC528" s="83"/>
      <c r="CD528" s="83"/>
      <c r="CE528" s="83"/>
      <c r="CF528" s="83"/>
      <c r="CG528" s="83"/>
      <c r="CH528" s="83"/>
      <c r="CI528" s="83"/>
      <c r="CJ528" s="83"/>
      <c r="CK528" s="83"/>
      <c r="CL528" s="83"/>
      <c r="CM528" s="83"/>
      <c r="CN528" s="83"/>
      <c r="CO528" s="83"/>
      <c r="CP528" s="83"/>
      <c r="CQ528" s="83"/>
      <c r="CR528" s="83"/>
      <c r="CS528" s="83"/>
      <c r="CT528" s="83"/>
      <c r="CU528" s="83"/>
      <c r="CV528" s="83"/>
      <c r="CW528" s="83"/>
      <c r="CX528" s="83"/>
      <c r="CY528" s="83"/>
      <c r="CZ528" s="83"/>
      <c r="DA528" s="83"/>
      <c r="DB528" s="83"/>
      <c r="DC528" s="83"/>
    </row>
    <row r="529" spans="1:107" x14ac:dyDescent="0.3">
      <c r="A529" s="83"/>
      <c r="B529" s="83"/>
      <c r="C529" s="83"/>
      <c r="D529" s="83"/>
      <c r="E529" s="83"/>
      <c r="F529" s="83"/>
      <c r="G529" s="83"/>
      <c r="H529" s="83"/>
      <c r="I529" s="83"/>
      <c r="J529" s="83"/>
      <c r="K529" s="83"/>
      <c r="L529" s="83"/>
      <c r="M529" s="83"/>
      <c r="N529" s="83"/>
      <c r="O529" s="83"/>
      <c r="P529" s="83"/>
      <c r="Q529" s="83"/>
      <c r="R529" s="83"/>
      <c r="S529" s="83"/>
      <c r="T529" s="83"/>
      <c r="U529" s="83"/>
      <c r="V529" s="83"/>
      <c r="W529" s="83"/>
      <c r="X529" s="83"/>
      <c r="Y529" s="83"/>
      <c r="Z529" s="83"/>
      <c r="AA529" s="83"/>
      <c r="AB529" s="83"/>
      <c r="AC529" s="83"/>
      <c r="AD529" s="83"/>
      <c r="AE529" s="83"/>
      <c r="AF529" s="83"/>
      <c r="AG529" s="83"/>
      <c r="AH529" s="83"/>
      <c r="AI529" s="83"/>
      <c r="AJ529" s="83"/>
      <c r="AK529" s="83"/>
      <c r="AL529" s="83"/>
      <c r="AM529" s="83"/>
      <c r="AN529" s="83"/>
      <c r="AO529" s="83"/>
      <c r="AP529" s="83"/>
      <c r="AQ529" s="83"/>
      <c r="AR529" s="83"/>
      <c r="AS529" s="83"/>
      <c r="AT529" s="83"/>
      <c r="AU529" s="83"/>
      <c r="AV529" s="83"/>
      <c r="AW529" s="83"/>
      <c r="AX529" s="83"/>
      <c r="AY529" s="83"/>
      <c r="AZ529" s="83"/>
      <c r="BA529" s="83"/>
      <c r="BB529" s="83"/>
      <c r="BC529" s="83"/>
      <c r="BD529" s="83"/>
      <c r="BE529" s="83"/>
      <c r="BF529" s="83"/>
      <c r="BG529" s="83"/>
      <c r="BH529" s="83"/>
      <c r="BI529" s="83"/>
      <c r="BJ529" s="83"/>
      <c r="BK529" s="83"/>
      <c r="BL529" s="83"/>
      <c r="BM529" s="83"/>
      <c r="BN529" s="83"/>
      <c r="BO529" s="83"/>
      <c r="BP529" s="83"/>
      <c r="BQ529" s="83"/>
      <c r="BR529" s="83"/>
      <c r="BS529" s="83"/>
      <c r="BT529" s="83"/>
      <c r="BU529" s="83"/>
      <c r="BV529" s="83"/>
      <c r="BW529" s="83"/>
      <c r="BX529" s="83"/>
      <c r="BY529" s="83"/>
      <c r="BZ529" s="83"/>
      <c r="CA529" s="83"/>
      <c r="CB529" s="83"/>
      <c r="CC529" s="83"/>
      <c r="CD529" s="83"/>
      <c r="CE529" s="83"/>
      <c r="CF529" s="83"/>
      <c r="CG529" s="83"/>
      <c r="CH529" s="83"/>
      <c r="CI529" s="83"/>
      <c r="CJ529" s="83"/>
      <c r="CK529" s="83"/>
      <c r="CL529" s="83"/>
      <c r="CM529" s="83"/>
      <c r="CN529" s="83"/>
      <c r="CO529" s="83"/>
      <c r="CP529" s="83"/>
      <c r="CQ529" s="83"/>
      <c r="CR529" s="83"/>
      <c r="CS529" s="83"/>
      <c r="CT529" s="83"/>
      <c r="CU529" s="83"/>
      <c r="CV529" s="83"/>
      <c r="CW529" s="83"/>
      <c r="CX529" s="83"/>
      <c r="CY529" s="83"/>
      <c r="CZ529" s="83"/>
      <c r="DA529" s="83"/>
      <c r="DB529" s="83"/>
      <c r="DC529" s="83"/>
    </row>
    <row r="530" spans="1:107" x14ac:dyDescent="0.3">
      <c r="A530" s="83"/>
      <c r="B530" s="83"/>
      <c r="C530" s="83"/>
      <c r="D530" s="83"/>
      <c r="E530" s="83"/>
      <c r="F530" s="83"/>
      <c r="G530" s="83"/>
      <c r="H530" s="83"/>
      <c r="I530" s="83"/>
      <c r="J530" s="83"/>
      <c r="K530" s="83"/>
      <c r="L530" s="83"/>
      <c r="M530" s="83"/>
      <c r="N530" s="83"/>
      <c r="O530" s="83"/>
      <c r="P530" s="83"/>
      <c r="Q530" s="83"/>
      <c r="R530" s="83"/>
      <c r="S530" s="83"/>
      <c r="T530" s="83"/>
      <c r="U530" s="83"/>
      <c r="V530" s="83"/>
      <c r="W530" s="83"/>
      <c r="X530" s="83"/>
      <c r="Y530" s="83"/>
      <c r="Z530" s="83"/>
      <c r="AA530" s="83"/>
      <c r="AB530" s="83"/>
      <c r="AC530" s="83"/>
      <c r="AD530" s="83"/>
      <c r="AE530" s="83"/>
      <c r="AF530" s="83"/>
      <c r="AG530" s="83"/>
      <c r="AH530" s="83"/>
      <c r="AI530" s="83"/>
      <c r="AJ530" s="83"/>
      <c r="AK530" s="83"/>
      <c r="AL530" s="83"/>
      <c r="AM530" s="83"/>
      <c r="AN530" s="83"/>
      <c r="AO530" s="83"/>
      <c r="AP530" s="83"/>
      <c r="AQ530" s="83"/>
      <c r="AR530" s="83"/>
      <c r="AS530" s="83"/>
      <c r="AT530" s="83"/>
      <c r="AU530" s="83"/>
      <c r="AV530" s="83"/>
      <c r="AW530" s="83"/>
      <c r="AX530" s="83"/>
      <c r="AY530" s="83"/>
      <c r="AZ530" s="83"/>
      <c r="BA530" s="83"/>
      <c r="BB530" s="83"/>
      <c r="BC530" s="83"/>
      <c r="BD530" s="83"/>
      <c r="BE530" s="83"/>
      <c r="BF530" s="83"/>
      <c r="BG530" s="83"/>
      <c r="BH530" s="83"/>
      <c r="BI530" s="83"/>
      <c r="BJ530" s="83"/>
      <c r="BK530" s="83"/>
      <c r="BL530" s="83"/>
      <c r="BM530" s="83"/>
      <c r="BN530" s="83"/>
      <c r="BO530" s="83"/>
      <c r="BP530" s="83"/>
      <c r="BQ530" s="83"/>
      <c r="BR530" s="83"/>
      <c r="BS530" s="83"/>
      <c r="BT530" s="83"/>
      <c r="BU530" s="83"/>
      <c r="BV530" s="83"/>
      <c r="BW530" s="83"/>
      <c r="BX530" s="83"/>
      <c r="BY530" s="83"/>
      <c r="BZ530" s="83"/>
      <c r="CA530" s="83"/>
      <c r="CB530" s="83"/>
      <c r="CC530" s="83"/>
      <c r="CD530" s="83"/>
      <c r="CE530" s="83"/>
      <c r="CF530" s="83"/>
      <c r="CG530" s="83"/>
      <c r="CH530" s="83"/>
      <c r="CI530" s="83"/>
      <c r="CJ530" s="83"/>
      <c r="CK530" s="83"/>
      <c r="CL530" s="83"/>
      <c r="CM530" s="83"/>
      <c r="CN530" s="83"/>
      <c r="CO530" s="83"/>
      <c r="CP530" s="83"/>
      <c r="CQ530" s="83"/>
      <c r="CR530" s="83"/>
      <c r="CS530" s="83"/>
      <c r="CT530" s="83"/>
      <c r="CU530" s="83"/>
      <c r="CV530" s="83"/>
      <c r="CW530" s="83"/>
      <c r="CX530" s="83"/>
      <c r="CY530" s="83"/>
      <c r="CZ530" s="83"/>
      <c r="DA530" s="83"/>
      <c r="DB530" s="83"/>
      <c r="DC530" s="83"/>
    </row>
    <row r="531" spans="1:107" x14ac:dyDescent="0.3">
      <c r="A531" s="83"/>
      <c r="B531" s="83"/>
      <c r="C531" s="83"/>
      <c r="D531" s="83"/>
      <c r="E531" s="83"/>
      <c r="F531" s="83"/>
      <c r="G531" s="83"/>
      <c r="H531" s="83"/>
      <c r="I531" s="83"/>
      <c r="J531" s="83"/>
      <c r="K531" s="83"/>
      <c r="L531" s="83"/>
      <c r="M531" s="83"/>
      <c r="N531" s="83"/>
      <c r="O531" s="83"/>
      <c r="P531" s="83"/>
      <c r="Q531" s="83"/>
      <c r="R531" s="83"/>
      <c r="S531" s="83"/>
      <c r="T531" s="83"/>
      <c r="U531" s="83"/>
      <c r="V531" s="83"/>
      <c r="W531" s="83"/>
      <c r="X531" s="83"/>
      <c r="Y531" s="83"/>
      <c r="Z531" s="83"/>
      <c r="AA531" s="83"/>
      <c r="AB531" s="83"/>
      <c r="AC531" s="83"/>
      <c r="AD531" s="83"/>
      <c r="AE531" s="83"/>
      <c r="AF531" s="83"/>
      <c r="AG531" s="83"/>
      <c r="AH531" s="83"/>
      <c r="AI531" s="83"/>
      <c r="AJ531" s="83"/>
      <c r="AK531" s="83"/>
      <c r="AL531" s="83"/>
      <c r="AM531" s="83"/>
      <c r="AN531" s="83"/>
      <c r="AO531" s="83"/>
      <c r="AP531" s="83"/>
      <c r="AQ531" s="83"/>
      <c r="AR531" s="83"/>
      <c r="AS531" s="83"/>
      <c r="AT531" s="83"/>
      <c r="AU531" s="83"/>
      <c r="AV531" s="83"/>
      <c r="AW531" s="83"/>
      <c r="AX531" s="83"/>
      <c r="AY531" s="83"/>
      <c r="AZ531" s="83"/>
      <c r="BA531" s="83"/>
      <c r="BB531" s="83"/>
      <c r="BC531" s="83"/>
      <c r="BD531" s="83"/>
      <c r="BE531" s="83"/>
      <c r="BF531" s="83"/>
      <c r="BG531" s="83"/>
      <c r="BH531" s="83"/>
      <c r="BI531" s="83"/>
      <c r="BJ531" s="83"/>
      <c r="BK531" s="83"/>
      <c r="BL531" s="83"/>
      <c r="BM531" s="83"/>
      <c r="BN531" s="83"/>
      <c r="BO531" s="83"/>
      <c r="BP531" s="83"/>
      <c r="BQ531" s="83"/>
      <c r="BR531" s="83"/>
      <c r="BS531" s="83"/>
      <c r="BT531" s="83"/>
      <c r="BU531" s="83"/>
      <c r="BV531" s="83"/>
      <c r="BW531" s="83"/>
      <c r="BX531" s="83"/>
      <c r="BY531" s="83"/>
      <c r="BZ531" s="83"/>
      <c r="CA531" s="83"/>
      <c r="CB531" s="83"/>
      <c r="CC531" s="83"/>
      <c r="CD531" s="83"/>
      <c r="CE531" s="83"/>
      <c r="CF531" s="83"/>
      <c r="CG531" s="83"/>
      <c r="CH531" s="83"/>
      <c r="CI531" s="83"/>
      <c r="CJ531" s="83"/>
      <c r="CK531" s="83"/>
      <c r="CL531" s="83"/>
      <c r="CM531" s="83"/>
      <c r="CN531" s="83"/>
      <c r="CO531" s="83"/>
      <c r="CP531" s="83"/>
      <c r="CQ531" s="83"/>
      <c r="CR531" s="83"/>
      <c r="CS531" s="83"/>
      <c r="CT531" s="83"/>
      <c r="CU531" s="83"/>
      <c r="CV531" s="83"/>
      <c r="CW531" s="83"/>
      <c r="CX531" s="83"/>
      <c r="CY531" s="83"/>
      <c r="CZ531" s="83"/>
      <c r="DA531" s="83"/>
      <c r="DB531" s="83"/>
      <c r="DC531" s="83"/>
    </row>
    <row r="532" spans="1:107" x14ac:dyDescent="0.3">
      <c r="A532" s="83"/>
      <c r="B532" s="83"/>
      <c r="C532" s="83"/>
      <c r="D532" s="83"/>
      <c r="E532" s="83"/>
      <c r="F532" s="83"/>
      <c r="G532" s="83"/>
      <c r="H532" s="83"/>
      <c r="I532" s="83"/>
      <c r="J532" s="83"/>
      <c r="K532" s="83"/>
      <c r="L532" s="83"/>
      <c r="M532" s="83"/>
      <c r="N532" s="83"/>
      <c r="O532" s="83"/>
      <c r="P532" s="83"/>
      <c r="Q532" s="83"/>
      <c r="R532" s="83"/>
      <c r="S532" s="83"/>
      <c r="T532" s="83"/>
      <c r="U532" s="83"/>
      <c r="V532" s="83"/>
      <c r="W532" s="83"/>
      <c r="X532" s="83"/>
      <c r="Y532" s="83"/>
      <c r="Z532" s="83"/>
      <c r="AA532" s="83"/>
      <c r="AB532" s="83"/>
      <c r="AC532" s="83"/>
      <c r="AD532" s="83"/>
      <c r="AE532" s="83"/>
      <c r="AF532" s="83"/>
      <c r="AG532" s="83"/>
      <c r="AH532" s="83"/>
      <c r="AI532" s="83"/>
      <c r="AJ532" s="83"/>
      <c r="AK532" s="83"/>
      <c r="AL532" s="83"/>
      <c r="AM532" s="83"/>
      <c r="AN532" s="83"/>
      <c r="AO532" s="83"/>
      <c r="AP532" s="83"/>
      <c r="AQ532" s="83"/>
      <c r="AR532" s="83"/>
      <c r="AS532" s="83"/>
      <c r="AT532" s="83"/>
      <c r="AU532" s="83"/>
      <c r="AV532" s="83"/>
      <c r="AW532" s="83"/>
      <c r="AX532" s="83"/>
      <c r="AY532" s="83"/>
      <c r="AZ532" s="83"/>
      <c r="BA532" s="83"/>
      <c r="BB532" s="83"/>
      <c r="BC532" s="83"/>
      <c r="BD532" s="83"/>
      <c r="BE532" s="83"/>
      <c r="BF532" s="83"/>
      <c r="BG532" s="83"/>
      <c r="BH532" s="83"/>
      <c r="BI532" s="83"/>
      <c r="BJ532" s="83"/>
      <c r="BK532" s="83"/>
      <c r="BL532" s="83"/>
      <c r="BM532" s="83"/>
      <c r="BN532" s="83"/>
      <c r="BO532" s="83"/>
      <c r="BP532" s="83"/>
      <c r="BQ532" s="83"/>
      <c r="BR532" s="83"/>
      <c r="BS532" s="83"/>
      <c r="BT532" s="83"/>
      <c r="BU532" s="83"/>
      <c r="BV532" s="83"/>
      <c r="BW532" s="83"/>
      <c r="BX532" s="83"/>
      <c r="BY532" s="83"/>
      <c r="BZ532" s="83"/>
      <c r="CA532" s="83"/>
      <c r="CB532" s="83"/>
      <c r="CC532" s="83"/>
      <c r="CD532" s="83"/>
      <c r="CE532" s="83"/>
      <c r="CF532" s="83"/>
      <c r="CG532" s="83"/>
      <c r="CH532" s="83"/>
      <c r="CI532" s="83"/>
      <c r="CJ532" s="83"/>
      <c r="CK532" s="83"/>
      <c r="CL532" s="83"/>
      <c r="CM532" s="83"/>
      <c r="CN532" s="83"/>
      <c r="CO532" s="83"/>
      <c r="CP532" s="83"/>
      <c r="CQ532" s="83"/>
      <c r="CR532" s="83"/>
      <c r="CS532" s="83"/>
      <c r="CT532" s="83"/>
      <c r="CU532" s="83"/>
      <c r="CV532" s="83"/>
      <c r="CW532" s="83"/>
      <c r="CX532" s="83"/>
      <c r="CY532" s="83"/>
      <c r="CZ532" s="83"/>
      <c r="DA532" s="83"/>
      <c r="DB532" s="83"/>
      <c r="DC532" s="83"/>
    </row>
    <row r="533" spans="1:107" x14ac:dyDescent="0.3">
      <c r="A533" s="83"/>
      <c r="B533" s="83"/>
      <c r="C533" s="83"/>
      <c r="D533" s="83"/>
      <c r="E533" s="83"/>
      <c r="F533" s="83"/>
      <c r="G533" s="83"/>
      <c r="H533" s="83"/>
      <c r="I533" s="83"/>
      <c r="J533" s="83"/>
      <c r="K533" s="83"/>
      <c r="L533" s="83"/>
      <c r="M533" s="83"/>
      <c r="N533" s="83"/>
      <c r="O533" s="83"/>
      <c r="P533" s="83"/>
      <c r="Q533" s="83"/>
      <c r="R533" s="83"/>
      <c r="S533" s="83"/>
      <c r="T533" s="83"/>
      <c r="U533" s="83"/>
      <c r="V533" s="83"/>
      <c r="W533" s="83"/>
      <c r="X533" s="83"/>
      <c r="Y533" s="83"/>
      <c r="Z533" s="83"/>
      <c r="AA533" s="83"/>
      <c r="AB533" s="83"/>
      <c r="AC533" s="83"/>
      <c r="AD533" s="83"/>
      <c r="AE533" s="83"/>
      <c r="AF533" s="83"/>
      <c r="AG533" s="83"/>
      <c r="AH533" s="83"/>
      <c r="AI533" s="83"/>
      <c r="AJ533" s="83"/>
      <c r="AK533" s="83"/>
      <c r="AL533" s="83"/>
      <c r="AM533" s="83"/>
      <c r="AN533" s="83"/>
      <c r="AO533" s="83"/>
      <c r="AP533" s="83"/>
      <c r="AQ533" s="83"/>
      <c r="AR533" s="83"/>
      <c r="AS533" s="83"/>
      <c r="AT533" s="83"/>
      <c r="AU533" s="83"/>
      <c r="AV533" s="83"/>
      <c r="AW533" s="83"/>
      <c r="AX533" s="83"/>
      <c r="AY533" s="83"/>
      <c r="AZ533" s="83"/>
      <c r="BA533" s="83"/>
      <c r="BB533" s="83"/>
      <c r="BC533" s="83"/>
      <c r="BD533" s="83"/>
      <c r="BE533" s="83"/>
      <c r="BF533" s="83"/>
      <c r="BG533" s="83"/>
      <c r="BH533" s="83"/>
      <c r="BI533" s="83"/>
      <c r="BJ533" s="83"/>
      <c r="BK533" s="83"/>
      <c r="BL533" s="83"/>
      <c r="BM533" s="83"/>
      <c r="BN533" s="83"/>
      <c r="BO533" s="83"/>
      <c r="BP533" s="83"/>
      <c r="BQ533" s="83"/>
      <c r="BR533" s="83"/>
      <c r="BS533" s="83"/>
      <c r="BT533" s="83"/>
      <c r="BU533" s="83"/>
      <c r="BV533" s="83"/>
      <c r="BW533" s="83"/>
      <c r="BX533" s="83"/>
      <c r="BY533" s="83"/>
      <c r="BZ533" s="83"/>
      <c r="CA533" s="83"/>
      <c r="CB533" s="83"/>
      <c r="CC533" s="83"/>
      <c r="CD533" s="83"/>
      <c r="CE533" s="83"/>
      <c r="CF533" s="83"/>
      <c r="CG533" s="83"/>
      <c r="CH533" s="83"/>
      <c r="CI533" s="83"/>
      <c r="CJ533" s="83"/>
      <c r="CK533" s="83"/>
      <c r="CL533" s="83"/>
      <c r="CM533" s="83"/>
      <c r="CN533" s="83"/>
      <c r="CO533" s="83"/>
      <c r="CP533" s="83"/>
      <c r="CQ533" s="83"/>
      <c r="CR533" s="83"/>
      <c r="CS533" s="83"/>
      <c r="CT533" s="83"/>
      <c r="CU533" s="83"/>
      <c r="CV533" s="83"/>
      <c r="CW533" s="83"/>
      <c r="CX533" s="83"/>
      <c r="CY533" s="83"/>
      <c r="CZ533" s="83"/>
      <c r="DA533" s="83"/>
      <c r="DB533" s="83"/>
      <c r="DC533" s="83"/>
    </row>
    <row r="534" spans="1:107" x14ac:dyDescent="0.3">
      <c r="A534" s="83"/>
      <c r="B534" s="83"/>
      <c r="C534" s="83"/>
      <c r="D534" s="83"/>
      <c r="E534" s="83"/>
      <c r="F534" s="83"/>
      <c r="G534" s="83"/>
      <c r="H534" s="83"/>
      <c r="I534" s="83"/>
      <c r="J534" s="83"/>
      <c r="K534" s="83"/>
      <c r="L534" s="83"/>
      <c r="M534" s="83"/>
      <c r="N534" s="83"/>
      <c r="O534" s="83"/>
      <c r="P534" s="83"/>
      <c r="Q534" s="83"/>
      <c r="R534" s="83"/>
      <c r="S534" s="83"/>
      <c r="T534" s="83"/>
      <c r="U534" s="83"/>
      <c r="V534" s="83"/>
      <c r="W534" s="83"/>
      <c r="X534" s="83"/>
      <c r="Y534" s="83"/>
      <c r="Z534" s="83"/>
      <c r="AA534" s="83"/>
      <c r="AB534" s="83"/>
      <c r="AC534" s="83"/>
      <c r="AD534" s="83"/>
      <c r="AE534" s="83"/>
      <c r="AF534" s="83"/>
      <c r="AG534" s="83"/>
      <c r="AH534" s="83"/>
      <c r="AI534" s="83"/>
      <c r="AJ534" s="83"/>
      <c r="AK534" s="83"/>
      <c r="AL534" s="83"/>
      <c r="AM534" s="83"/>
      <c r="AN534" s="83"/>
      <c r="AO534" s="83"/>
      <c r="AP534" s="83"/>
      <c r="AQ534" s="83"/>
      <c r="AR534" s="83"/>
      <c r="AS534" s="83"/>
      <c r="AT534" s="83"/>
      <c r="AU534" s="83"/>
      <c r="AV534" s="83"/>
      <c r="AW534" s="83"/>
      <c r="AX534" s="83"/>
      <c r="AY534" s="83"/>
      <c r="AZ534" s="83"/>
      <c r="BA534" s="83"/>
      <c r="BB534" s="83"/>
      <c r="BC534" s="83"/>
      <c r="BD534" s="83"/>
      <c r="BE534" s="83"/>
      <c r="BF534" s="83"/>
      <c r="BG534" s="83"/>
      <c r="BH534" s="83"/>
      <c r="BI534" s="83"/>
      <c r="BJ534" s="83"/>
      <c r="BK534" s="83"/>
      <c r="BL534" s="83"/>
      <c r="BM534" s="83"/>
      <c r="BN534" s="83"/>
      <c r="BO534" s="83"/>
      <c r="BP534" s="83"/>
      <c r="BQ534" s="83"/>
      <c r="BR534" s="83"/>
      <c r="BS534" s="83"/>
      <c r="BT534" s="83"/>
      <c r="BU534" s="83"/>
      <c r="BV534" s="83"/>
      <c r="BW534" s="83"/>
      <c r="BX534" s="83"/>
      <c r="BY534" s="83"/>
      <c r="BZ534" s="83"/>
      <c r="CA534" s="83"/>
      <c r="CB534" s="83"/>
      <c r="CC534" s="83"/>
      <c r="CD534" s="83"/>
      <c r="CE534" s="83"/>
      <c r="CF534" s="83"/>
      <c r="CG534" s="83"/>
      <c r="CH534" s="83"/>
      <c r="CI534" s="83"/>
      <c r="CJ534" s="83"/>
      <c r="CK534" s="83"/>
      <c r="CL534" s="83"/>
      <c r="CM534" s="83"/>
      <c r="CN534" s="83"/>
      <c r="CO534" s="83"/>
      <c r="CP534" s="83"/>
      <c r="CQ534" s="83"/>
      <c r="CR534" s="83"/>
      <c r="CS534" s="83"/>
      <c r="CT534" s="83"/>
      <c r="CU534" s="83"/>
      <c r="CV534" s="83"/>
      <c r="CW534" s="83"/>
      <c r="CX534" s="83"/>
      <c r="CY534" s="83"/>
      <c r="CZ534" s="83"/>
      <c r="DA534" s="83"/>
      <c r="DB534" s="83"/>
      <c r="DC534" s="83"/>
    </row>
    <row r="535" spans="1:107" x14ac:dyDescent="0.3">
      <c r="A535" s="83"/>
      <c r="B535" s="83"/>
      <c r="C535" s="83"/>
      <c r="D535" s="83"/>
      <c r="E535" s="83"/>
      <c r="F535" s="83"/>
      <c r="G535" s="83"/>
      <c r="H535" s="83"/>
      <c r="I535" s="83"/>
      <c r="J535" s="83"/>
      <c r="K535" s="83"/>
      <c r="L535" s="83"/>
      <c r="M535" s="83"/>
      <c r="N535" s="83"/>
      <c r="O535" s="83"/>
      <c r="P535" s="83"/>
      <c r="Q535" s="83"/>
      <c r="R535" s="83"/>
      <c r="S535" s="83"/>
      <c r="T535" s="83"/>
      <c r="U535" s="83"/>
      <c r="V535" s="83"/>
      <c r="W535" s="83"/>
      <c r="X535" s="83"/>
      <c r="Y535" s="83"/>
      <c r="Z535" s="83"/>
      <c r="AA535" s="83"/>
      <c r="AB535" s="83"/>
      <c r="AC535" s="83"/>
      <c r="AD535" s="83"/>
      <c r="AE535" s="83"/>
      <c r="AF535" s="83"/>
      <c r="AG535" s="83"/>
      <c r="AH535" s="83"/>
      <c r="AI535" s="83"/>
      <c r="AJ535" s="83"/>
      <c r="AK535" s="83"/>
      <c r="AL535" s="83"/>
      <c r="AM535" s="83"/>
      <c r="AN535" s="83"/>
      <c r="AO535" s="83"/>
      <c r="AP535" s="83"/>
      <c r="AQ535" s="83"/>
      <c r="AR535" s="83"/>
      <c r="AS535" s="83"/>
      <c r="AT535" s="83"/>
      <c r="AU535" s="83"/>
      <c r="AV535" s="83"/>
      <c r="AW535" s="83"/>
      <c r="AX535" s="83"/>
      <c r="AY535" s="83"/>
      <c r="AZ535" s="83"/>
      <c r="BA535" s="83"/>
      <c r="BB535" s="83"/>
      <c r="BC535" s="83"/>
      <c r="BD535" s="83"/>
      <c r="BE535" s="83"/>
      <c r="BF535" s="83"/>
      <c r="BG535" s="83"/>
      <c r="BH535" s="83"/>
      <c r="BI535" s="83"/>
      <c r="BJ535" s="83"/>
      <c r="BK535" s="83"/>
      <c r="BL535" s="83"/>
      <c r="BM535" s="83"/>
      <c r="BN535" s="83"/>
      <c r="BO535" s="83"/>
      <c r="BP535" s="83"/>
      <c r="BQ535" s="83"/>
      <c r="BR535" s="83"/>
      <c r="BS535" s="83"/>
      <c r="BT535" s="83"/>
      <c r="BU535" s="83"/>
      <c r="BV535" s="83"/>
      <c r="BW535" s="83"/>
      <c r="BX535" s="83"/>
      <c r="BY535" s="83"/>
      <c r="BZ535" s="83"/>
      <c r="CA535" s="83"/>
      <c r="CB535" s="83"/>
      <c r="CC535" s="83"/>
      <c r="CD535" s="83"/>
      <c r="CE535" s="83"/>
      <c r="CF535" s="83"/>
      <c r="CG535" s="83"/>
      <c r="CH535" s="83"/>
      <c r="CI535" s="83"/>
      <c r="CJ535" s="83"/>
      <c r="CK535" s="83"/>
      <c r="CL535" s="83"/>
      <c r="CM535" s="83"/>
      <c r="CN535" s="83"/>
      <c r="CO535" s="83"/>
      <c r="CP535" s="83"/>
      <c r="CQ535" s="83"/>
      <c r="CR535" s="83"/>
      <c r="CS535" s="83"/>
      <c r="CT535" s="83"/>
      <c r="CU535" s="83"/>
      <c r="CV535" s="83"/>
      <c r="CW535" s="83"/>
      <c r="CX535" s="83"/>
      <c r="CY535" s="83"/>
      <c r="CZ535" s="83"/>
      <c r="DA535" s="83"/>
      <c r="DB535" s="83"/>
      <c r="DC535" s="83"/>
    </row>
    <row r="536" spans="1:107" x14ac:dyDescent="0.3">
      <c r="A536" s="83"/>
      <c r="B536" s="83"/>
      <c r="C536" s="83"/>
      <c r="D536" s="83"/>
      <c r="E536" s="83"/>
      <c r="F536" s="83"/>
      <c r="G536" s="83"/>
      <c r="H536" s="83"/>
      <c r="I536" s="83"/>
      <c r="J536" s="83"/>
      <c r="K536" s="83"/>
      <c r="L536" s="83"/>
      <c r="M536" s="83"/>
      <c r="N536" s="83"/>
      <c r="O536" s="83"/>
      <c r="P536" s="83"/>
      <c r="Q536" s="83"/>
      <c r="R536" s="83"/>
      <c r="S536" s="83"/>
      <c r="T536" s="83"/>
      <c r="U536" s="83"/>
      <c r="V536" s="83"/>
      <c r="W536" s="83"/>
      <c r="X536" s="83"/>
      <c r="Y536" s="83"/>
      <c r="Z536" s="83"/>
      <c r="AA536" s="83"/>
      <c r="AB536" s="83"/>
      <c r="AC536" s="83"/>
      <c r="AD536" s="83"/>
      <c r="AE536" s="83"/>
      <c r="AF536" s="83"/>
      <c r="AG536" s="83"/>
      <c r="AH536" s="83"/>
      <c r="AI536" s="83"/>
      <c r="AJ536" s="83"/>
      <c r="AK536" s="83"/>
      <c r="AL536" s="83"/>
      <c r="AM536" s="83"/>
      <c r="AN536" s="83"/>
      <c r="AO536" s="83"/>
      <c r="AP536" s="83"/>
      <c r="AQ536" s="83"/>
      <c r="AR536" s="83"/>
      <c r="AS536" s="83"/>
      <c r="AT536" s="83"/>
      <c r="AU536" s="83"/>
      <c r="AV536" s="83"/>
      <c r="AW536" s="83"/>
      <c r="AX536" s="83"/>
      <c r="AY536" s="83"/>
      <c r="AZ536" s="83"/>
      <c r="BA536" s="83"/>
      <c r="BB536" s="83"/>
      <c r="BC536" s="83"/>
      <c r="BD536" s="83"/>
      <c r="BE536" s="83"/>
      <c r="BF536" s="83"/>
      <c r="BG536" s="83"/>
      <c r="BH536" s="83"/>
      <c r="BI536" s="83"/>
      <c r="BJ536" s="83"/>
      <c r="BK536" s="83"/>
      <c r="BL536" s="83"/>
      <c r="BM536" s="83"/>
      <c r="BN536" s="83"/>
      <c r="BO536" s="83"/>
      <c r="BP536" s="83"/>
      <c r="BQ536" s="83"/>
      <c r="BR536" s="83"/>
      <c r="BS536" s="83"/>
      <c r="BT536" s="83"/>
      <c r="BU536" s="83"/>
      <c r="BV536" s="83"/>
      <c r="BW536" s="83"/>
      <c r="BX536" s="83"/>
      <c r="BY536" s="83"/>
      <c r="BZ536" s="83"/>
      <c r="CA536" s="83"/>
      <c r="CB536" s="83"/>
      <c r="CC536" s="83"/>
      <c r="CD536" s="83"/>
      <c r="CE536" s="83"/>
      <c r="CF536" s="83"/>
      <c r="CG536" s="83"/>
      <c r="CH536" s="83"/>
      <c r="CI536" s="83"/>
      <c r="CJ536" s="83"/>
      <c r="CK536" s="83"/>
      <c r="CL536" s="83"/>
      <c r="CM536" s="83"/>
      <c r="CN536" s="83"/>
      <c r="CO536" s="83"/>
      <c r="CP536" s="83"/>
      <c r="CQ536" s="83"/>
      <c r="CR536" s="83"/>
      <c r="CS536" s="83"/>
      <c r="CT536" s="83"/>
      <c r="CU536" s="83"/>
      <c r="CV536" s="83"/>
      <c r="CW536" s="83"/>
      <c r="CX536" s="83"/>
      <c r="CY536" s="83"/>
      <c r="CZ536" s="83"/>
      <c r="DA536" s="83"/>
      <c r="DB536" s="83"/>
      <c r="DC536" s="83"/>
    </row>
    <row r="537" spans="1:107" x14ac:dyDescent="0.3">
      <c r="A537" s="83"/>
      <c r="B537" s="83"/>
      <c r="C537" s="83"/>
      <c r="D537" s="83"/>
      <c r="E537" s="83"/>
      <c r="F537" s="83"/>
      <c r="G537" s="83"/>
      <c r="H537" s="83"/>
      <c r="I537" s="83"/>
      <c r="J537" s="83"/>
      <c r="K537" s="83"/>
      <c r="L537" s="83"/>
      <c r="M537" s="83"/>
      <c r="N537" s="83"/>
      <c r="O537" s="83"/>
      <c r="P537" s="83"/>
      <c r="Q537" s="83"/>
      <c r="R537" s="83"/>
      <c r="S537" s="83"/>
      <c r="T537" s="83"/>
      <c r="U537" s="83"/>
      <c r="V537" s="83"/>
      <c r="W537" s="83"/>
      <c r="X537" s="83"/>
      <c r="Y537" s="83"/>
      <c r="Z537" s="83"/>
      <c r="AA537" s="83"/>
      <c r="AB537" s="83"/>
      <c r="AC537" s="83"/>
      <c r="AD537" s="83"/>
      <c r="AE537" s="83"/>
      <c r="AF537" s="83"/>
      <c r="AG537" s="83"/>
      <c r="AH537" s="83"/>
      <c r="AI537" s="83"/>
      <c r="AJ537" s="83"/>
      <c r="AK537" s="83"/>
      <c r="AL537" s="83"/>
      <c r="AM537" s="83"/>
      <c r="AN537" s="83"/>
      <c r="AO537" s="83"/>
      <c r="AP537" s="83"/>
      <c r="AQ537" s="83"/>
      <c r="AR537" s="83"/>
      <c r="AS537" s="83"/>
      <c r="AT537" s="83"/>
      <c r="AU537" s="83"/>
      <c r="AV537" s="83"/>
      <c r="AW537" s="83"/>
      <c r="AX537" s="83"/>
      <c r="AY537" s="83"/>
      <c r="AZ537" s="83"/>
      <c r="BA537" s="83"/>
      <c r="BB537" s="83"/>
      <c r="BC537" s="83"/>
      <c r="BD537" s="83"/>
      <c r="BE537" s="83"/>
      <c r="BF537" s="83"/>
      <c r="BG537" s="83"/>
      <c r="BH537" s="83"/>
      <c r="BI537" s="83"/>
      <c r="BJ537" s="83"/>
      <c r="BK537" s="83"/>
      <c r="BL537" s="83"/>
      <c r="BM537" s="83"/>
      <c r="BN537" s="83"/>
      <c r="BO537" s="83"/>
      <c r="BP537" s="83"/>
      <c r="BQ537" s="83"/>
      <c r="BR537" s="83"/>
      <c r="BS537" s="83"/>
      <c r="BT537" s="83"/>
      <c r="BU537" s="83"/>
      <c r="BV537" s="83"/>
      <c r="BW537" s="83"/>
      <c r="BX537" s="83"/>
      <c r="BY537" s="83"/>
      <c r="BZ537" s="83"/>
      <c r="CA537" s="83"/>
      <c r="CB537" s="83"/>
      <c r="CC537" s="83"/>
      <c r="CD537" s="83"/>
      <c r="CE537" s="83"/>
      <c r="CF537" s="83"/>
      <c r="CG537" s="83"/>
      <c r="CH537" s="83"/>
      <c r="CI537" s="83"/>
      <c r="CJ537" s="83"/>
      <c r="CK537" s="83"/>
      <c r="CL537" s="83"/>
      <c r="CM537" s="83"/>
      <c r="CN537" s="83"/>
      <c r="CO537" s="83"/>
      <c r="CP537" s="83"/>
      <c r="CQ537" s="83"/>
      <c r="CR537" s="83"/>
      <c r="CS537" s="83"/>
      <c r="CT537" s="83"/>
      <c r="CU537" s="83"/>
      <c r="CV537" s="83"/>
      <c r="CW537" s="83"/>
      <c r="CX537" s="83"/>
      <c r="CY537" s="83"/>
      <c r="CZ537" s="83"/>
      <c r="DA537" s="83"/>
      <c r="DB537" s="83"/>
      <c r="DC537" s="83"/>
    </row>
    <row r="538" spans="1:107" x14ac:dyDescent="0.3">
      <c r="A538" s="83"/>
      <c r="B538" s="83"/>
      <c r="C538" s="83"/>
      <c r="D538" s="83"/>
      <c r="E538" s="83"/>
      <c r="F538" s="83"/>
      <c r="G538" s="83"/>
      <c r="H538" s="83"/>
      <c r="I538" s="83"/>
      <c r="J538" s="83"/>
      <c r="K538" s="83"/>
      <c r="L538" s="83"/>
      <c r="M538" s="83"/>
      <c r="N538" s="83"/>
      <c r="O538" s="83"/>
      <c r="P538" s="83"/>
      <c r="Q538" s="83"/>
      <c r="R538" s="83"/>
      <c r="S538" s="83"/>
      <c r="T538" s="83"/>
      <c r="U538" s="83"/>
      <c r="V538" s="83"/>
      <c r="W538" s="83"/>
      <c r="X538" s="83"/>
      <c r="Y538" s="83"/>
      <c r="Z538" s="83"/>
      <c r="AA538" s="83"/>
      <c r="AB538" s="83"/>
      <c r="AC538" s="83"/>
      <c r="AD538" s="83"/>
      <c r="AE538" s="83"/>
      <c r="AF538" s="83"/>
      <c r="AG538" s="83"/>
      <c r="AH538" s="83"/>
      <c r="AI538" s="83"/>
      <c r="AJ538" s="83"/>
      <c r="AK538" s="83"/>
      <c r="AL538" s="83"/>
      <c r="AM538" s="83"/>
      <c r="AN538" s="83"/>
      <c r="AO538" s="83"/>
      <c r="AP538" s="83"/>
      <c r="AQ538" s="83"/>
      <c r="AR538" s="83"/>
      <c r="AS538" s="83"/>
      <c r="AT538" s="83"/>
      <c r="AU538" s="83"/>
      <c r="AV538" s="83"/>
      <c r="AW538" s="83"/>
      <c r="AX538" s="83"/>
      <c r="AY538" s="83"/>
      <c r="AZ538" s="83"/>
      <c r="BA538" s="83"/>
      <c r="BB538" s="83"/>
      <c r="BC538" s="83"/>
      <c r="BD538" s="83"/>
      <c r="BE538" s="83"/>
      <c r="BF538" s="83"/>
      <c r="BG538" s="83"/>
      <c r="BH538" s="83"/>
      <c r="BI538" s="83"/>
      <c r="BJ538" s="83"/>
      <c r="BK538" s="83"/>
      <c r="BL538" s="83"/>
      <c r="BM538" s="83"/>
      <c r="BN538" s="83"/>
      <c r="BO538" s="83"/>
      <c r="BP538" s="83"/>
      <c r="BQ538" s="83"/>
      <c r="BR538" s="83"/>
      <c r="BS538" s="83"/>
      <c r="BT538" s="83"/>
      <c r="BU538" s="83"/>
      <c r="BV538" s="83"/>
      <c r="BW538" s="83"/>
      <c r="BX538" s="83"/>
      <c r="BY538" s="83"/>
      <c r="BZ538" s="83"/>
      <c r="CA538" s="83"/>
      <c r="CB538" s="83"/>
      <c r="CC538" s="83"/>
      <c r="CD538" s="83"/>
      <c r="CE538" s="83"/>
      <c r="CF538" s="83"/>
      <c r="CG538" s="83"/>
      <c r="CH538" s="83"/>
      <c r="CI538" s="83"/>
      <c r="CJ538" s="83"/>
      <c r="CK538" s="83"/>
      <c r="CL538" s="83"/>
      <c r="CM538" s="83"/>
      <c r="CN538" s="83"/>
      <c r="CO538" s="83"/>
      <c r="CP538" s="83"/>
      <c r="CQ538" s="83"/>
      <c r="CR538" s="83"/>
      <c r="CS538" s="83"/>
      <c r="CT538" s="83"/>
      <c r="CU538" s="83"/>
      <c r="CV538" s="83"/>
      <c r="CW538" s="83"/>
      <c r="CX538" s="83"/>
      <c r="CY538" s="83"/>
      <c r="CZ538" s="83"/>
      <c r="DA538" s="83"/>
      <c r="DB538" s="83"/>
      <c r="DC538" s="83"/>
    </row>
    <row r="539" spans="1:107" x14ac:dyDescent="0.3">
      <c r="A539" s="83"/>
      <c r="B539" s="83"/>
      <c r="C539" s="83"/>
      <c r="D539" s="83"/>
      <c r="E539" s="83"/>
      <c r="F539" s="83"/>
      <c r="G539" s="83"/>
      <c r="H539" s="83"/>
      <c r="I539" s="83"/>
      <c r="J539" s="83"/>
      <c r="K539" s="83"/>
      <c r="L539" s="83"/>
      <c r="M539" s="83"/>
      <c r="N539" s="83"/>
      <c r="O539" s="83"/>
      <c r="P539" s="83"/>
      <c r="Q539" s="83"/>
      <c r="R539" s="83"/>
      <c r="S539" s="83"/>
      <c r="T539" s="83"/>
      <c r="U539" s="83"/>
      <c r="V539" s="83"/>
      <c r="W539" s="83"/>
      <c r="X539" s="83"/>
      <c r="Y539" s="83"/>
      <c r="Z539" s="83"/>
      <c r="AA539" s="83"/>
      <c r="AB539" s="83"/>
      <c r="AC539" s="83"/>
      <c r="AD539" s="83"/>
      <c r="AE539" s="83"/>
      <c r="AF539" s="83"/>
      <c r="AG539" s="83"/>
      <c r="AH539" s="83"/>
      <c r="AI539" s="83"/>
      <c r="AJ539" s="83"/>
      <c r="AK539" s="83"/>
      <c r="AL539" s="83"/>
      <c r="AM539" s="83"/>
      <c r="AN539" s="83"/>
      <c r="AO539" s="83"/>
      <c r="AP539" s="83"/>
      <c r="AQ539" s="83"/>
      <c r="AR539" s="83"/>
      <c r="AS539" s="83"/>
      <c r="AT539" s="83"/>
      <c r="AU539" s="83"/>
      <c r="AV539" s="83"/>
      <c r="AW539" s="83"/>
      <c r="AX539" s="83"/>
      <c r="AY539" s="83"/>
      <c r="AZ539" s="83"/>
      <c r="BA539" s="83"/>
      <c r="BB539" s="83"/>
      <c r="BC539" s="83"/>
      <c r="BD539" s="83"/>
      <c r="BE539" s="83"/>
      <c r="BF539" s="83"/>
      <c r="BG539" s="83"/>
      <c r="BH539" s="83"/>
      <c r="BI539" s="83"/>
      <c r="BJ539" s="83"/>
      <c r="BK539" s="83"/>
      <c r="BL539" s="83"/>
      <c r="BM539" s="83"/>
      <c r="BN539" s="83"/>
      <c r="BO539" s="83"/>
      <c r="BP539" s="83"/>
      <c r="BQ539" s="83"/>
      <c r="BR539" s="83"/>
      <c r="BS539" s="83"/>
      <c r="BT539" s="83"/>
      <c r="BU539" s="83"/>
      <c r="BV539" s="83"/>
      <c r="BW539" s="83"/>
      <c r="BX539" s="83"/>
      <c r="BY539" s="83"/>
      <c r="BZ539" s="83"/>
      <c r="CA539" s="83"/>
      <c r="CB539" s="83"/>
      <c r="CC539" s="83"/>
      <c r="CD539" s="83"/>
      <c r="CE539" s="83"/>
      <c r="CF539" s="83"/>
      <c r="CG539" s="83"/>
      <c r="CH539" s="83"/>
      <c r="CI539" s="83"/>
      <c r="CJ539" s="83"/>
      <c r="CK539" s="83"/>
      <c r="CL539" s="83"/>
      <c r="CM539" s="83"/>
      <c r="CN539" s="83"/>
      <c r="CO539" s="83"/>
      <c r="CP539" s="83"/>
      <c r="CQ539" s="83"/>
      <c r="CR539" s="83"/>
      <c r="CS539" s="83"/>
      <c r="CT539" s="83"/>
      <c r="CU539" s="83"/>
      <c r="CV539" s="83"/>
      <c r="CW539" s="83"/>
      <c r="CX539" s="83"/>
      <c r="CY539" s="83"/>
      <c r="CZ539" s="83"/>
      <c r="DA539" s="83"/>
      <c r="DB539" s="83"/>
      <c r="DC539" s="83"/>
    </row>
    <row r="540" spans="1:107" x14ac:dyDescent="0.3">
      <c r="A540" s="83"/>
      <c r="B540" s="83"/>
      <c r="C540" s="83"/>
      <c r="D540" s="83"/>
      <c r="E540" s="83"/>
      <c r="F540" s="83"/>
      <c r="G540" s="83"/>
      <c r="H540" s="83"/>
      <c r="I540" s="83"/>
      <c r="J540" s="83"/>
      <c r="K540" s="83"/>
      <c r="L540" s="83"/>
      <c r="M540" s="83"/>
      <c r="N540" s="83"/>
      <c r="O540" s="83"/>
      <c r="P540" s="83"/>
      <c r="Q540" s="83"/>
      <c r="R540" s="83"/>
      <c r="S540" s="83"/>
      <c r="T540" s="83"/>
      <c r="U540" s="83"/>
      <c r="V540" s="83"/>
      <c r="W540" s="83"/>
      <c r="X540" s="83"/>
      <c r="Y540" s="83"/>
      <c r="Z540" s="83"/>
      <c r="AA540" s="83"/>
      <c r="AB540" s="83"/>
      <c r="AC540" s="83"/>
      <c r="AD540" s="83"/>
      <c r="AE540" s="83"/>
      <c r="AF540" s="83"/>
      <c r="AG540" s="83"/>
      <c r="AH540" s="83"/>
      <c r="AI540" s="83"/>
      <c r="AJ540" s="83"/>
      <c r="AK540" s="83"/>
      <c r="AL540" s="83"/>
      <c r="AM540" s="83"/>
      <c r="AN540" s="83"/>
      <c r="AO540" s="83"/>
      <c r="AP540" s="83"/>
      <c r="AQ540" s="83"/>
      <c r="AR540" s="83"/>
      <c r="AS540" s="83"/>
      <c r="AT540" s="83"/>
      <c r="AU540" s="83"/>
      <c r="AV540" s="83"/>
      <c r="AW540" s="83"/>
      <c r="AX540" s="83"/>
      <c r="AY540" s="83"/>
      <c r="AZ540" s="83"/>
      <c r="BA540" s="83"/>
      <c r="BB540" s="83"/>
      <c r="BC540" s="83"/>
      <c r="BD540" s="83"/>
      <c r="BE540" s="83"/>
      <c r="BF540" s="83"/>
      <c r="BG540" s="83"/>
      <c r="BH540" s="83"/>
      <c r="BI540" s="83"/>
      <c r="BJ540" s="83"/>
      <c r="BK540" s="83"/>
      <c r="BL540" s="83"/>
      <c r="BM540" s="83"/>
      <c r="BN540" s="83"/>
      <c r="BO540" s="83"/>
      <c r="BP540" s="83"/>
      <c r="BQ540" s="83"/>
      <c r="BR540" s="83"/>
      <c r="BS540" s="83"/>
      <c r="BT540" s="83"/>
      <c r="BU540" s="83"/>
      <c r="BV540" s="83"/>
      <c r="BW540" s="83"/>
      <c r="BX540" s="83"/>
      <c r="BY540" s="83"/>
      <c r="BZ540" s="83"/>
      <c r="CA540" s="83"/>
      <c r="CB540" s="83"/>
      <c r="CC540" s="83"/>
      <c r="CD540" s="83"/>
      <c r="CE540" s="83"/>
      <c r="CF540" s="83"/>
      <c r="CG540" s="83"/>
      <c r="CH540" s="83"/>
      <c r="CI540" s="83"/>
      <c r="CJ540" s="83"/>
      <c r="CK540" s="83"/>
      <c r="CL540" s="83"/>
      <c r="CM540" s="83"/>
      <c r="CN540" s="83"/>
      <c r="CO540" s="83"/>
      <c r="CP540" s="83"/>
      <c r="CQ540" s="83"/>
      <c r="CR540" s="83"/>
      <c r="CS540" s="83"/>
      <c r="CT540" s="83"/>
      <c r="CU540" s="83"/>
      <c r="CV540" s="83"/>
      <c r="CW540" s="83"/>
      <c r="CX540" s="83"/>
      <c r="CY540" s="83"/>
      <c r="CZ540" s="83"/>
      <c r="DA540" s="83"/>
      <c r="DB540" s="83"/>
      <c r="DC540" s="83"/>
    </row>
    <row r="541" spans="1:107" x14ac:dyDescent="0.3">
      <c r="A541" s="83"/>
      <c r="B541" s="83"/>
      <c r="C541" s="83"/>
      <c r="D541" s="83"/>
      <c r="E541" s="83"/>
      <c r="F541" s="83"/>
      <c r="G541" s="83"/>
      <c r="H541" s="83"/>
      <c r="I541" s="83"/>
      <c r="J541" s="83"/>
      <c r="K541" s="83"/>
      <c r="L541" s="83"/>
      <c r="M541" s="83"/>
      <c r="N541" s="83"/>
      <c r="O541" s="83"/>
      <c r="P541" s="83"/>
      <c r="Q541" s="83"/>
      <c r="R541" s="83"/>
      <c r="S541" s="83"/>
      <c r="T541" s="83"/>
      <c r="U541" s="83"/>
      <c r="V541" s="83"/>
      <c r="W541" s="83"/>
      <c r="X541" s="83"/>
      <c r="Y541" s="83"/>
      <c r="Z541" s="83"/>
      <c r="AA541" s="83"/>
      <c r="AB541" s="83"/>
      <c r="AC541" s="83"/>
      <c r="AD541" s="83"/>
      <c r="AE541" s="83"/>
      <c r="AF541" s="83"/>
      <c r="AG541" s="83"/>
      <c r="AH541" s="83"/>
      <c r="AI541" s="83"/>
      <c r="AJ541" s="83"/>
      <c r="AK541" s="83"/>
      <c r="AL541" s="83"/>
      <c r="AM541" s="83"/>
      <c r="AN541" s="83"/>
      <c r="AO541" s="83"/>
      <c r="AP541" s="83"/>
      <c r="AQ541" s="83"/>
      <c r="AR541" s="83"/>
      <c r="AS541" s="83"/>
      <c r="AT541" s="83"/>
      <c r="AU541" s="83"/>
      <c r="AV541" s="83"/>
      <c r="AW541" s="83"/>
      <c r="AX541" s="83"/>
      <c r="AY541" s="83"/>
      <c r="AZ541" s="83"/>
      <c r="BA541" s="83"/>
      <c r="BB541" s="83"/>
      <c r="BC541" s="83"/>
      <c r="BD541" s="83"/>
      <c r="BE541" s="83"/>
      <c r="BF541" s="83"/>
      <c r="BG541" s="83"/>
      <c r="BH541" s="83"/>
      <c r="BI541" s="83"/>
      <c r="BJ541" s="83"/>
      <c r="BK541" s="83"/>
      <c r="BL541" s="83"/>
      <c r="BM541" s="83"/>
      <c r="BN541" s="83"/>
      <c r="BO541" s="83"/>
      <c r="BP541" s="83"/>
      <c r="BQ541" s="83"/>
      <c r="BR541" s="83"/>
      <c r="BS541" s="83"/>
      <c r="BT541" s="83"/>
      <c r="BU541" s="83"/>
      <c r="BV541" s="83"/>
      <c r="BW541" s="83"/>
      <c r="BX541" s="83"/>
      <c r="BY541" s="83"/>
      <c r="BZ541" s="83"/>
      <c r="CA541" s="83"/>
      <c r="CB541" s="83"/>
      <c r="CC541" s="83"/>
      <c r="CD541" s="83"/>
      <c r="CE541" s="83"/>
      <c r="CF541" s="83"/>
      <c r="CG541" s="83"/>
      <c r="CH541" s="83"/>
      <c r="CI541" s="83"/>
      <c r="CJ541" s="83"/>
      <c r="CK541" s="83"/>
      <c r="CL541" s="83"/>
      <c r="CM541" s="83"/>
      <c r="CN541" s="83"/>
      <c r="CO541" s="83"/>
      <c r="CP541" s="83"/>
      <c r="CQ541" s="83"/>
      <c r="CR541" s="83"/>
      <c r="CS541" s="83"/>
      <c r="CT541" s="83"/>
      <c r="CU541" s="83"/>
      <c r="CV541" s="83"/>
      <c r="CW541" s="83"/>
      <c r="CX541" s="83"/>
      <c r="CY541" s="83"/>
      <c r="CZ541" s="83"/>
      <c r="DA541" s="83"/>
      <c r="DB541" s="83"/>
      <c r="DC541" s="83"/>
    </row>
    <row r="542" spans="1:107" x14ac:dyDescent="0.3">
      <c r="A542" s="83"/>
      <c r="B542" s="83"/>
      <c r="C542" s="83"/>
      <c r="D542" s="83"/>
      <c r="E542" s="83"/>
      <c r="F542" s="83"/>
      <c r="G542" s="83"/>
      <c r="H542" s="83"/>
      <c r="I542" s="83"/>
      <c r="J542" s="83"/>
      <c r="K542" s="83"/>
      <c r="L542" s="83"/>
      <c r="M542" s="83"/>
      <c r="N542" s="83"/>
      <c r="O542" s="83"/>
      <c r="P542" s="83"/>
      <c r="Q542" s="83"/>
      <c r="R542" s="83"/>
      <c r="S542" s="83"/>
      <c r="T542" s="83"/>
      <c r="U542" s="83"/>
      <c r="V542" s="83"/>
      <c r="W542" s="83"/>
      <c r="X542" s="83"/>
      <c r="Y542" s="83"/>
      <c r="Z542" s="83"/>
      <c r="AA542" s="83"/>
      <c r="AB542" s="83"/>
      <c r="AC542" s="83"/>
      <c r="AD542" s="83"/>
      <c r="AE542" s="83"/>
      <c r="AF542" s="83"/>
      <c r="AG542" s="83"/>
      <c r="AH542" s="83"/>
      <c r="AI542" s="83"/>
      <c r="AJ542" s="83"/>
      <c r="AK542" s="83"/>
      <c r="AL542" s="83"/>
      <c r="AM542" s="83"/>
      <c r="AN542" s="83"/>
      <c r="AO542" s="83"/>
      <c r="AP542" s="83"/>
      <c r="AQ542" s="83"/>
      <c r="AR542" s="83"/>
      <c r="AS542" s="83"/>
      <c r="AT542" s="83"/>
      <c r="AU542" s="83"/>
      <c r="AV542" s="83"/>
      <c r="AW542" s="83"/>
      <c r="AX542" s="83"/>
      <c r="AY542" s="83"/>
      <c r="AZ542" s="83"/>
      <c r="BA542" s="83"/>
      <c r="BB542" s="83"/>
      <c r="BC542" s="83"/>
      <c r="BD542" s="83"/>
      <c r="BE542" s="83"/>
      <c r="BF542" s="83"/>
      <c r="BG542" s="83"/>
      <c r="BH542" s="83"/>
      <c r="BI542" s="83"/>
      <c r="BJ542" s="83"/>
      <c r="BK542" s="83"/>
      <c r="BL542" s="83"/>
      <c r="BM542" s="83"/>
      <c r="BN542" s="83"/>
      <c r="BO542" s="83"/>
      <c r="BP542" s="83"/>
      <c r="BQ542" s="83"/>
      <c r="BR542" s="83"/>
      <c r="BS542" s="83"/>
      <c r="BT542" s="83"/>
      <c r="BU542" s="83"/>
      <c r="BV542" s="83"/>
      <c r="BW542" s="83"/>
      <c r="BX542" s="83"/>
      <c r="BY542" s="83"/>
      <c r="BZ542" s="83"/>
      <c r="CA542" s="83"/>
      <c r="CB542" s="83"/>
      <c r="CC542" s="83"/>
      <c r="CD542" s="83"/>
      <c r="CE542" s="83"/>
      <c r="CF542" s="83"/>
      <c r="CG542" s="83"/>
      <c r="CH542" s="83"/>
      <c r="CI542" s="83"/>
      <c r="CJ542" s="83"/>
      <c r="CK542" s="83"/>
      <c r="CL542" s="83"/>
      <c r="CM542" s="83"/>
      <c r="CN542" s="83"/>
      <c r="CO542" s="83"/>
      <c r="CP542" s="83"/>
      <c r="CQ542" s="83"/>
      <c r="CR542" s="83"/>
      <c r="CS542" s="83"/>
      <c r="CT542" s="83"/>
      <c r="CU542" s="83"/>
      <c r="CV542" s="83"/>
      <c r="CW542" s="83"/>
      <c r="CX542" s="83"/>
      <c r="CY542" s="83"/>
      <c r="CZ542" s="83"/>
      <c r="DA542" s="83"/>
      <c r="DB542" s="83"/>
      <c r="DC542" s="83"/>
    </row>
    <row r="543" spans="1:107" x14ac:dyDescent="0.3">
      <c r="A543" s="83"/>
      <c r="B543" s="83"/>
      <c r="C543" s="83"/>
      <c r="D543" s="83"/>
      <c r="E543" s="83"/>
      <c r="F543" s="83"/>
      <c r="G543" s="83"/>
      <c r="H543" s="83"/>
      <c r="I543" s="83"/>
      <c r="J543" s="83"/>
      <c r="K543" s="83"/>
      <c r="L543" s="83"/>
      <c r="M543" s="83"/>
      <c r="N543" s="83"/>
      <c r="O543" s="83"/>
      <c r="P543" s="83"/>
      <c r="Q543" s="83"/>
      <c r="R543" s="83"/>
      <c r="S543" s="83"/>
      <c r="T543" s="83"/>
      <c r="U543" s="83"/>
      <c r="V543" s="83"/>
      <c r="W543" s="83"/>
      <c r="X543" s="83"/>
      <c r="Y543" s="83"/>
      <c r="Z543" s="83"/>
      <c r="AA543" s="83"/>
      <c r="AB543" s="83"/>
      <c r="AC543" s="83"/>
      <c r="AD543" s="83"/>
      <c r="AE543" s="83"/>
      <c r="AF543" s="83"/>
      <c r="AG543" s="83"/>
      <c r="AH543" s="83"/>
      <c r="AI543" s="83"/>
      <c r="AJ543" s="83"/>
      <c r="AK543" s="83"/>
      <c r="AL543" s="83"/>
      <c r="AM543" s="83"/>
      <c r="AN543" s="83"/>
      <c r="AO543" s="83"/>
      <c r="AP543" s="83"/>
      <c r="AQ543" s="83"/>
      <c r="AR543" s="83"/>
      <c r="AS543" s="83"/>
      <c r="AT543" s="83"/>
      <c r="AU543" s="83"/>
      <c r="AV543" s="83"/>
      <c r="AW543" s="83"/>
      <c r="AX543" s="83"/>
      <c r="AY543" s="83"/>
      <c r="AZ543" s="83"/>
      <c r="BA543" s="83"/>
      <c r="BB543" s="83"/>
      <c r="BC543" s="83"/>
      <c r="BD543" s="83"/>
      <c r="BE543" s="83"/>
      <c r="BF543" s="83"/>
      <c r="BG543" s="83"/>
      <c r="BH543" s="83"/>
      <c r="BI543" s="83"/>
      <c r="BJ543" s="83"/>
      <c r="BK543" s="83"/>
      <c r="BL543" s="83"/>
      <c r="BM543" s="83"/>
      <c r="BN543" s="83"/>
      <c r="BO543" s="83"/>
      <c r="BP543" s="83"/>
      <c r="BQ543" s="83"/>
      <c r="BR543" s="83"/>
      <c r="BS543" s="83"/>
      <c r="BT543" s="83"/>
      <c r="BU543" s="83"/>
      <c r="BV543" s="83"/>
      <c r="BW543" s="83"/>
      <c r="BX543" s="83"/>
      <c r="BY543" s="83"/>
      <c r="BZ543" s="83"/>
      <c r="CA543" s="83"/>
      <c r="CB543" s="83"/>
      <c r="CC543" s="83"/>
      <c r="CD543" s="83"/>
      <c r="CE543" s="83"/>
      <c r="CF543" s="83"/>
      <c r="CG543" s="83"/>
      <c r="CH543" s="83"/>
      <c r="CI543" s="83"/>
      <c r="CJ543" s="83"/>
      <c r="CK543" s="83"/>
      <c r="CL543" s="83"/>
      <c r="CM543" s="83"/>
      <c r="CN543" s="83"/>
      <c r="CO543" s="83"/>
      <c r="CP543" s="83"/>
      <c r="CQ543" s="83"/>
      <c r="CR543" s="83"/>
      <c r="CS543" s="83"/>
      <c r="CT543" s="83"/>
      <c r="CU543" s="83"/>
      <c r="CV543" s="83"/>
      <c r="CW543" s="83"/>
      <c r="CX543" s="83"/>
      <c r="CY543" s="83"/>
      <c r="CZ543" s="83"/>
      <c r="DA543" s="83"/>
      <c r="DB543" s="83"/>
      <c r="DC543" s="83"/>
    </row>
    <row r="544" spans="1:107" x14ac:dyDescent="0.3">
      <c r="A544" s="83"/>
      <c r="B544" s="83"/>
      <c r="C544" s="83"/>
      <c r="D544" s="83"/>
      <c r="E544" s="83"/>
      <c r="F544" s="83"/>
      <c r="G544" s="83"/>
      <c r="H544" s="83"/>
      <c r="I544" s="83"/>
      <c r="J544" s="83"/>
      <c r="K544" s="83"/>
      <c r="L544" s="83"/>
      <c r="M544" s="83"/>
      <c r="N544" s="83"/>
      <c r="O544" s="83"/>
      <c r="P544" s="83"/>
      <c r="Q544" s="83"/>
      <c r="R544" s="83"/>
      <c r="S544" s="83"/>
      <c r="T544" s="83"/>
      <c r="U544" s="83"/>
      <c r="V544" s="83"/>
      <c r="W544" s="83"/>
      <c r="X544" s="83"/>
      <c r="Y544" s="83"/>
      <c r="Z544" s="83"/>
      <c r="AA544" s="83"/>
      <c r="AB544" s="83"/>
      <c r="AC544" s="83"/>
      <c r="AD544" s="83"/>
      <c r="AE544" s="83"/>
      <c r="AF544" s="83"/>
      <c r="AG544" s="83"/>
      <c r="AH544" s="83"/>
      <c r="AI544" s="83"/>
      <c r="AJ544" s="83"/>
      <c r="AK544" s="83"/>
      <c r="AL544" s="83"/>
      <c r="AM544" s="83"/>
      <c r="AN544" s="83"/>
      <c r="AO544" s="83"/>
      <c r="AP544" s="83"/>
      <c r="AQ544" s="83"/>
      <c r="AR544" s="83"/>
      <c r="AS544" s="83"/>
      <c r="AT544" s="83"/>
      <c r="AU544" s="83"/>
      <c r="AV544" s="83"/>
      <c r="AW544" s="83"/>
      <c r="AX544" s="83"/>
      <c r="AY544" s="83"/>
      <c r="AZ544" s="83"/>
      <c r="BA544" s="83"/>
      <c r="BB544" s="83"/>
      <c r="BC544" s="83"/>
      <c r="BD544" s="83"/>
      <c r="BE544" s="83"/>
      <c r="BF544" s="83"/>
      <c r="BG544" s="83"/>
      <c r="BH544" s="83"/>
      <c r="BI544" s="83"/>
      <c r="BJ544" s="83"/>
      <c r="BK544" s="83"/>
      <c r="BL544" s="83"/>
      <c r="BM544" s="83"/>
      <c r="BN544" s="83"/>
      <c r="BO544" s="83"/>
      <c r="BP544" s="83"/>
      <c r="BQ544" s="83"/>
      <c r="BR544" s="83"/>
      <c r="BS544" s="83"/>
      <c r="BT544" s="83"/>
      <c r="BU544" s="83"/>
      <c r="BV544" s="83"/>
      <c r="BW544" s="83"/>
      <c r="BX544" s="83"/>
      <c r="BY544" s="83"/>
      <c r="BZ544" s="83"/>
      <c r="CA544" s="83"/>
      <c r="CB544" s="83"/>
      <c r="CC544" s="83"/>
      <c r="CD544" s="83"/>
      <c r="CE544" s="83"/>
      <c r="CF544" s="83"/>
      <c r="CG544" s="83"/>
      <c r="CH544" s="83"/>
      <c r="CI544" s="83"/>
      <c r="CJ544" s="83"/>
      <c r="CK544" s="83"/>
      <c r="CL544" s="83"/>
      <c r="CM544" s="83"/>
      <c r="CN544" s="83"/>
      <c r="CO544" s="83"/>
      <c r="CP544" s="83"/>
      <c r="CQ544" s="83"/>
      <c r="CR544" s="83"/>
      <c r="CS544" s="83"/>
      <c r="CT544" s="83"/>
      <c r="CU544" s="83"/>
      <c r="CV544" s="83"/>
      <c r="CW544" s="83"/>
      <c r="CX544" s="83"/>
      <c r="CY544" s="83"/>
      <c r="CZ544" s="83"/>
      <c r="DA544" s="83"/>
      <c r="DB544" s="83"/>
      <c r="DC544" s="83"/>
    </row>
    <row r="545" spans="1:107" x14ac:dyDescent="0.3">
      <c r="A545" s="83"/>
      <c r="B545" s="83"/>
      <c r="C545" s="83"/>
      <c r="D545" s="83"/>
      <c r="E545" s="83"/>
      <c r="F545" s="83"/>
      <c r="G545" s="83"/>
      <c r="H545" s="83"/>
      <c r="I545" s="83"/>
      <c r="J545" s="83"/>
      <c r="K545" s="83"/>
      <c r="L545" s="83"/>
      <c r="M545" s="83"/>
      <c r="N545" s="83"/>
      <c r="O545" s="83"/>
      <c r="P545" s="83"/>
      <c r="Q545" s="83"/>
      <c r="R545" s="83"/>
      <c r="S545" s="83"/>
      <c r="T545" s="83"/>
      <c r="U545" s="83"/>
      <c r="V545" s="83"/>
      <c r="W545" s="83"/>
      <c r="X545" s="83"/>
      <c r="Y545" s="83"/>
      <c r="Z545" s="83"/>
      <c r="AA545" s="83"/>
      <c r="AB545" s="83"/>
      <c r="AC545" s="83"/>
      <c r="AD545" s="83"/>
      <c r="AE545" s="83"/>
      <c r="AF545" s="83"/>
      <c r="AG545" s="83"/>
      <c r="AH545" s="83"/>
      <c r="AI545" s="83"/>
      <c r="AJ545" s="83"/>
      <c r="AK545" s="83"/>
      <c r="AL545" s="83"/>
      <c r="AM545" s="83"/>
      <c r="AN545" s="83"/>
      <c r="AO545" s="83"/>
      <c r="AP545" s="83"/>
      <c r="AQ545" s="83"/>
      <c r="AR545" s="83"/>
      <c r="AS545" s="83"/>
      <c r="AT545" s="83"/>
      <c r="AU545" s="83"/>
      <c r="AV545" s="83"/>
      <c r="AW545" s="83"/>
      <c r="AX545" s="83"/>
      <c r="AY545" s="83"/>
      <c r="AZ545" s="83"/>
      <c r="BA545" s="83"/>
      <c r="BB545" s="83"/>
      <c r="BC545" s="83"/>
      <c r="BD545" s="83"/>
      <c r="BE545" s="83"/>
      <c r="BF545" s="83"/>
      <c r="BG545" s="83"/>
      <c r="BH545" s="83"/>
      <c r="BI545" s="83"/>
      <c r="BJ545" s="83"/>
      <c r="BK545" s="83"/>
      <c r="BL545" s="83"/>
      <c r="BM545" s="83"/>
      <c r="BN545" s="83"/>
      <c r="BO545" s="83"/>
      <c r="BP545" s="83"/>
      <c r="BQ545" s="83"/>
      <c r="BR545" s="83"/>
      <c r="BS545" s="83"/>
      <c r="BT545" s="83"/>
      <c r="BU545" s="83"/>
      <c r="BV545" s="83"/>
      <c r="BW545" s="83"/>
      <c r="BX545" s="83"/>
      <c r="BY545" s="83"/>
      <c r="BZ545" s="83"/>
      <c r="CA545" s="83"/>
      <c r="CB545" s="83"/>
      <c r="CC545" s="83"/>
      <c r="CD545" s="83"/>
      <c r="CE545" s="83"/>
      <c r="CF545" s="83"/>
      <c r="CG545" s="83"/>
      <c r="CH545" s="83"/>
      <c r="CI545" s="83"/>
      <c r="CJ545" s="83"/>
      <c r="CK545" s="83"/>
      <c r="CL545" s="83"/>
      <c r="CM545" s="83"/>
      <c r="CN545" s="83"/>
      <c r="CO545" s="83"/>
      <c r="CP545" s="83"/>
      <c r="CQ545" s="83"/>
      <c r="CR545" s="83"/>
      <c r="CS545" s="83"/>
      <c r="CT545" s="83"/>
      <c r="CU545" s="83"/>
      <c r="CV545" s="83"/>
      <c r="CW545" s="83"/>
      <c r="CX545" s="83"/>
      <c r="CY545" s="83"/>
      <c r="CZ545" s="83"/>
      <c r="DA545" s="83"/>
      <c r="DB545" s="83"/>
      <c r="DC545" s="83"/>
    </row>
    <row r="546" spans="1:107" x14ac:dyDescent="0.3">
      <c r="A546" s="83"/>
      <c r="B546" s="83"/>
      <c r="C546" s="83"/>
      <c r="D546" s="83"/>
      <c r="E546" s="83"/>
      <c r="F546" s="83"/>
      <c r="G546" s="83"/>
      <c r="H546" s="83"/>
      <c r="I546" s="83"/>
      <c r="J546" s="83"/>
      <c r="K546" s="83"/>
      <c r="L546" s="83"/>
      <c r="M546" s="83"/>
      <c r="N546" s="83"/>
      <c r="O546" s="83"/>
      <c r="P546" s="83"/>
      <c r="Q546" s="83"/>
      <c r="R546" s="83"/>
      <c r="S546" s="83"/>
      <c r="T546" s="83"/>
      <c r="U546" s="83"/>
      <c r="V546" s="83"/>
      <c r="W546" s="83"/>
      <c r="X546" s="83"/>
      <c r="Y546" s="83"/>
      <c r="Z546" s="83"/>
      <c r="AA546" s="83"/>
      <c r="AB546" s="83"/>
      <c r="AC546" s="83"/>
      <c r="AD546" s="83"/>
      <c r="AE546" s="83"/>
      <c r="AF546" s="83"/>
      <c r="AG546" s="83"/>
      <c r="AH546" s="83"/>
      <c r="AI546" s="83"/>
      <c r="AJ546" s="83"/>
      <c r="AK546" s="83"/>
      <c r="AL546" s="83"/>
      <c r="AM546" s="83"/>
      <c r="AN546" s="83"/>
      <c r="AO546" s="83"/>
      <c r="AP546" s="83"/>
      <c r="AQ546" s="83"/>
      <c r="AR546" s="83"/>
      <c r="AS546" s="83"/>
      <c r="AT546" s="83"/>
      <c r="AU546" s="83"/>
      <c r="AV546" s="83"/>
      <c r="AW546" s="83"/>
      <c r="AX546" s="83"/>
      <c r="AY546" s="83"/>
      <c r="AZ546" s="83"/>
      <c r="BA546" s="83"/>
      <c r="BB546" s="83"/>
      <c r="BC546" s="83"/>
      <c r="BD546" s="83"/>
      <c r="BE546" s="83"/>
      <c r="BF546" s="83"/>
      <c r="BG546" s="83"/>
      <c r="BH546" s="83"/>
      <c r="BI546" s="83"/>
      <c r="BJ546" s="83"/>
      <c r="BK546" s="83"/>
      <c r="BL546" s="83"/>
      <c r="BM546" s="83"/>
      <c r="BN546" s="83"/>
      <c r="BO546" s="83"/>
      <c r="BP546" s="83"/>
      <c r="BQ546" s="83"/>
      <c r="BR546" s="83"/>
      <c r="BS546" s="83"/>
      <c r="BT546" s="83"/>
      <c r="BU546" s="83"/>
      <c r="BV546" s="83"/>
      <c r="BW546" s="83"/>
      <c r="BX546" s="83"/>
      <c r="BY546" s="83"/>
      <c r="BZ546" s="83"/>
      <c r="CA546" s="83"/>
      <c r="CB546" s="83"/>
      <c r="CC546" s="83"/>
      <c r="CD546" s="83"/>
      <c r="CE546" s="83"/>
      <c r="CF546" s="83"/>
      <c r="CG546" s="83"/>
      <c r="CH546" s="83"/>
      <c r="CI546" s="83"/>
      <c r="CJ546" s="83"/>
      <c r="CK546" s="83"/>
      <c r="CL546" s="83"/>
      <c r="CM546" s="83"/>
      <c r="CN546" s="83"/>
      <c r="CO546" s="83"/>
      <c r="CP546" s="83"/>
      <c r="CQ546" s="83"/>
      <c r="CR546" s="83"/>
      <c r="CS546" s="83"/>
      <c r="CT546" s="83"/>
      <c r="CU546" s="83"/>
      <c r="CV546" s="83"/>
      <c r="CW546" s="83"/>
      <c r="CX546" s="83"/>
      <c r="CY546" s="83"/>
      <c r="CZ546" s="83"/>
      <c r="DA546" s="83"/>
      <c r="DB546" s="83"/>
      <c r="DC546" s="83"/>
    </row>
    <row r="547" spans="1:107" x14ac:dyDescent="0.3">
      <c r="A547" s="83"/>
      <c r="B547" s="83"/>
      <c r="C547" s="83"/>
      <c r="D547" s="83"/>
      <c r="E547" s="83"/>
      <c r="F547" s="83"/>
      <c r="G547" s="83"/>
      <c r="H547" s="83"/>
      <c r="I547" s="83"/>
      <c r="J547" s="83"/>
      <c r="K547" s="83"/>
      <c r="L547" s="83"/>
      <c r="M547" s="83"/>
      <c r="N547" s="83"/>
      <c r="O547" s="83"/>
      <c r="P547" s="83"/>
      <c r="Q547" s="83"/>
      <c r="R547" s="83"/>
      <c r="S547" s="83"/>
      <c r="T547" s="83"/>
      <c r="U547" s="83"/>
      <c r="V547" s="83"/>
      <c r="W547" s="83"/>
      <c r="X547" s="83"/>
      <c r="Y547" s="83"/>
      <c r="Z547" s="83"/>
      <c r="AA547" s="83"/>
      <c r="AB547" s="83"/>
      <c r="AC547" s="83"/>
      <c r="AD547" s="83"/>
      <c r="AE547" s="83"/>
      <c r="AF547" s="83"/>
      <c r="AG547" s="83"/>
      <c r="AH547" s="83"/>
      <c r="AI547" s="83"/>
      <c r="AJ547" s="83"/>
      <c r="AK547" s="83"/>
      <c r="AL547" s="83"/>
      <c r="AM547" s="83"/>
      <c r="AN547" s="83"/>
      <c r="AO547" s="83"/>
      <c r="AP547" s="83"/>
      <c r="AQ547" s="83"/>
      <c r="AR547" s="83"/>
      <c r="AS547" s="83"/>
      <c r="AT547" s="83"/>
      <c r="AU547" s="83"/>
      <c r="AV547" s="83"/>
      <c r="AW547" s="83"/>
      <c r="AX547" s="83"/>
      <c r="AY547" s="83"/>
      <c r="AZ547" s="83"/>
      <c r="BA547" s="83"/>
      <c r="BB547" s="83"/>
      <c r="BC547" s="83"/>
      <c r="BD547" s="83"/>
      <c r="BE547" s="83"/>
      <c r="BF547" s="83"/>
      <c r="BG547" s="83"/>
      <c r="BH547" s="83"/>
      <c r="BI547" s="83"/>
      <c r="BJ547" s="83"/>
      <c r="BK547" s="83"/>
      <c r="BL547" s="83"/>
      <c r="BM547" s="83"/>
      <c r="BN547" s="83"/>
      <c r="BO547" s="83"/>
      <c r="BP547" s="83"/>
      <c r="BQ547" s="83"/>
      <c r="BR547" s="83"/>
      <c r="BS547" s="83"/>
      <c r="BT547" s="83"/>
      <c r="BU547" s="83"/>
      <c r="BV547" s="83"/>
      <c r="BW547" s="83"/>
      <c r="BX547" s="83"/>
      <c r="BY547" s="83"/>
      <c r="BZ547" s="83"/>
      <c r="CA547" s="83"/>
      <c r="CB547" s="83"/>
      <c r="CC547" s="83"/>
      <c r="CD547" s="83"/>
      <c r="CE547" s="83"/>
      <c r="CF547" s="83"/>
      <c r="CG547" s="83"/>
      <c r="CH547" s="83"/>
      <c r="CI547" s="83"/>
      <c r="CJ547" s="83"/>
      <c r="CK547" s="83"/>
      <c r="CL547" s="83"/>
      <c r="CM547" s="83"/>
      <c r="CN547" s="83"/>
      <c r="CO547" s="83"/>
      <c r="CP547" s="83"/>
      <c r="CQ547" s="83"/>
      <c r="CR547" s="83"/>
      <c r="CS547" s="83"/>
      <c r="CT547" s="83"/>
      <c r="CU547" s="83"/>
      <c r="CV547" s="83"/>
      <c r="CW547" s="83"/>
      <c r="CX547" s="83"/>
      <c r="CY547" s="83"/>
      <c r="CZ547" s="83"/>
      <c r="DA547" s="83"/>
      <c r="DB547" s="83"/>
      <c r="DC547" s="83"/>
    </row>
    <row r="548" spans="1:107" x14ac:dyDescent="0.3">
      <c r="A548" s="83"/>
      <c r="B548" s="83"/>
      <c r="C548" s="83"/>
      <c r="D548" s="83"/>
      <c r="E548" s="83"/>
      <c r="F548" s="83"/>
      <c r="G548" s="83"/>
      <c r="H548" s="83"/>
      <c r="I548" s="83"/>
      <c r="J548" s="83"/>
      <c r="K548" s="83"/>
      <c r="L548" s="83"/>
      <c r="M548" s="83"/>
      <c r="N548" s="83"/>
      <c r="O548" s="83"/>
      <c r="P548" s="83"/>
      <c r="Q548" s="83"/>
      <c r="R548" s="83"/>
      <c r="S548" s="83"/>
      <c r="T548" s="83"/>
      <c r="U548" s="83"/>
      <c r="V548" s="83"/>
      <c r="W548" s="83"/>
      <c r="X548" s="83"/>
      <c r="Y548" s="83"/>
      <c r="Z548" s="83"/>
      <c r="AA548" s="83"/>
      <c r="AB548" s="83"/>
      <c r="AC548" s="83"/>
      <c r="AD548" s="83"/>
      <c r="AE548" s="83"/>
      <c r="AF548" s="83"/>
      <c r="AG548" s="83"/>
      <c r="AH548" s="83"/>
      <c r="AI548" s="83"/>
      <c r="AJ548" s="83"/>
      <c r="AK548" s="83"/>
      <c r="AL548" s="83"/>
      <c r="AM548" s="83"/>
      <c r="AN548" s="83"/>
      <c r="AO548" s="83"/>
      <c r="AP548" s="83"/>
      <c r="AQ548" s="83"/>
      <c r="AR548" s="83"/>
      <c r="AS548" s="83"/>
      <c r="AT548" s="83"/>
      <c r="AU548" s="83"/>
      <c r="AV548" s="83"/>
      <c r="AW548" s="83"/>
      <c r="AX548" s="83"/>
      <c r="AY548" s="83"/>
      <c r="AZ548" s="83"/>
      <c r="BA548" s="83"/>
      <c r="BB548" s="83"/>
      <c r="BC548" s="83"/>
      <c r="BD548" s="83"/>
      <c r="BE548" s="83"/>
      <c r="BF548" s="83"/>
      <c r="BG548" s="83"/>
      <c r="BH548" s="83"/>
      <c r="BI548" s="83"/>
      <c r="BJ548" s="83"/>
      <c r="BK548" s="83"/>
      <c r="BL548" s="83"/>
      <c r="BM548" s="83"/>
      <c r="BN548" s="83"/>
      <c r="BO548" s="83"/>
      <c r="BP548" s="83"/>
      <c r="BQ548" s="83"/>
      <c r="BR548" s="83"/>
      <c r="BS548" s="83"/>
      <c r="BT548" s="83"/>
      <c r="BU548" s="83"/>
      <c r="BV548" s="83"/>
      <c r="BW548" s="83"/>
      <c r="BX548" s="83"/>
      <c r="BY548" s="83"/>
      <c r="BZ548" s="83"/>
      <c r="CA548" s="83"/>
      <c r="CB548" s="83"/>
      <c r="CC548" s="83"/>
      <c r="CD548" s="83"/>
      <c r="CE548" s="83"/>
      <c r="CF548" s="83"/>
      <c r="CG548" s="83"/>
      <c r="CH548" s="83"/>
      <c r="CI548" s="83"/>
      <c r="CJ548" s="83"/>
      <c r="CK548" s="83"/>
      <c r="CL548" s="83"/>
      <c r="CM548" s="83"/>
      <c r="CN548" s="83"/>
      <c r="CO548" s="83"/>
      <c r="CP548" s="83"/>
      <c r="CQ548" s="83"/>
      <c r="CR548" s="83"/>
      <c r="CS548" s="83"/>
      <c r="CT548" s="83"/>
      <c r="CU548" s="83"/>
      <c r="CV548" s="83"/>
      <c r="CW548" s="83"/>
      <c r="CX548" s="83"/>
      <c r="CY548" s="83"/>
      <c r="CZ548" s="83"/>
      <c r="DA548" s="83"/>
      <c r="DB548" s="83"/>
      <c r="DC548" s="83"/>
    </row>
    <row r="549" spans="1:107" x14ac:dyDescent="0.3">
      <c r="A549" s="83"/>
      <c r="B549" s="83"/>
      <c r="C549" s="83"/>
      <c r="D549" s="83"/>
      <c r="E549" s="83"/>
      <c r="F549" s="83"/>
      <c r="G549" s="83"/>
      <c r="H549" s="83"/>
      <c r="I549" s="83"/>
      <c r="J549" s="83"/>
      <c r="K549" s="83"/>
      <c r="L549" s="83"/>
      <c r="M549" s="83"/>
      <c r="N549" s="83"/>
      <c r="O549" s="83"/>
      <c r="P549" s="83"/>
      <c r="Q549" s="83"/>
      <c r="R549" s="83"/>
      <c r="S549" s="83"/>
      <c r="T549" s="83"/>
      <c r="U549" s="83"/>
      <c r="V549" s="83"/>
      <c r="W549" s="83"/>
      <c r="X549" s="83"/>
      <c r="Y549" s="83"/>
      <c r="Z549" s="83"/>
      <c r="AA549" s="83"/>
      <c r="AB549" s="83"/>
      <c r="AC549" s="83"/>
      <c r="AD549" s="83"/>
      <c r="AE549" s="83"/>
      <c r="AF549" s="83"/>
      <c r="AG549" s="83"/>
      <c r="AH549" s="83"/>
      <c r="AI549" s="83"/>
      <c r="AJ549" s="83"/>
      <c r="AK549" s="83"/>
      <c r="AL549" s="83"/>
      <c r="AM549" s="83"/>
      <c r="AN549" s="83"/>
      <c r="AO549" s="83"/>
      <c r="AP549" s="83"/>
      <c r="AQ549" s="83"/>
      <c r="AR549" s="83"/>
      <c r="AS549" s="83"/>
      <c r="AT549" s="83"/>
      <c r="AU549" s="83"/>
      <c r="AV549" s="83"/>
      <c r="AW549" s="83"/>
      <c r="AX549" s="83"/>
      <c r="AY549" s="83"/>
      <c r="AZ549" s="83"/>
      <c r="BA549" s="83"/>
      <c r="BB549" s="83"/>
      <c r="BC549" s="83"/>
      <c r="BD549" s="83"/>
      <c r="BE549" s="83"/>
      <c r="BF549" s="83"/>
      <c r="BG549" s="83"/>
      <c r="BH549" s="83"/>
      <c r="BI549" s="83"/>
      <c r="BJ549" s="83"/>
      <c r="BK549" s="83"/>
      <c r="BL549" s="83"/>
      <c r="BM549" s="83"/>
      <c r="BN549" s="83"/>
      <c r="BO549" s="83"/>
      <c r="BP549" s="83"/>
      <c r="BQ549" s="83"/>
      <c r="BR549" s="83"/>
      <c r="BS549" s="83"/>
      <c r="BT549" s="83"/>
      <c r="BU549" s="83"/>
      <c r="BV549" s="83"/>
      <c r="BW549" s="83"/>
      <c r="BX549" s="83"/>
      <c r="BY549" s="83"/>
      <c r="BZ549" s="83"/>
      <c r="CA549" s="83"/>
      <c r="CB549" s="83"/>
      <c r="CC549" s="83"/>
      <c r="CD549" s="83"/>
      <c r="CE549" s="83"/>
      <c r="CF549" s="83"/>
      <c r="CG549" s="83"/>
      <c r="CH549" s="83"/>
      <c r="CI549" s="83"/>
      <c r="CJ549" s="83"/>
      <c r="CK549" s="83"/>
      <c r="CL549" s="83"/>
      <c r="CM549" s="83"/>
      <c r="CN549" s="83"/>
      <c r="CO549" s="83"/>
      <c r="CP549" s="83"/>
      <c r="CQ549" s="83"/>
      <c r="CR549" s="83"/>
      <c r="CS549" s="83"/>
      <c r="CT549" s="83"/>
      <c r="CU549" s="83"/>
      <c r="CV549" s="83"/>
      <c r="CW549" s="83"/>
      <c r="CX549" s="83"/>
      <c r="CY549" s="83"/>
      <c r="CZ549" s="83"/>
      <c r="DA549" s="83"/>
      <c r="DB549" s="83"/>
      <c r="DC549" s="83"/>
    </row>
    <row r="550" spans="1:107" x14ac:dyDescent="0.3">
      <c r="A550" s="83"/>
      <c r="B550" s="83"/>
      <c r="C550" s="83"/>
      <c r="D550" s="83"/>
      <c r="E550" s="83"/>
      <c r="F550" s="83"/>
      <c r="G550" s="83"/>
      <c r="H550" s="83"/>
      <c r="I550" s="83"/>
      <c r="J550" s="83"/>
      <c r="K550" s="83"/>
      <c r="L550" s="83"/>
      <c r="M550" s="83"/>
      <c r="N550" s="83"/>
      <c r="O550" s="83"/>
      <c r="P550" s="83"/>
      <c r="Q550" s="83"/>
      <c r="R550" s="83"/>
      <c r="S550" s="83"/>
      <c r="T550" s="83"/>
      <c r="U550" s="83"/>
      <c r="V550" s="83"/>
      <c r="W550" s="83"/>
      <c r="X550" s="83"/>
      <c r="Y550" s="83"/>
      <c r="Z550" s="83"/>
      <c r="AA550" s="83"/>
      <c r="AB550" s="83"/>
      <c r="AC550" s="83"/>
      <c r="AD550" s="83"/>
      <c r="AE550" s="83"/>
      <c r="AF550" s="83"/>
      <c r="AG550" s="83"/>
      <c r="AH550" s="83"/>
      <c r="AI550" s="83"/>
      <c r="AJ550" s="83"/>
      <c r="AK550" s="83"/>
      <c r="AL550" s="83"/>
      <c r="AM550" s="83"/>
      <c r="AN550" s="83"/>
      <c r="AO550" s="83"/>
      <c r="AP550" s="83"/>
      <c r="AQ550" s="83"/>
      <c r="AR550" s="83"/>
      <c r="AS550" s="83"/>
      <c r="AT550" s="83"/>
      <c r="AU550" s="83"/>
      <c r="AV550" s="83"/>
      <c r="AW550" s="83"/>
      <c r="AX550" s="83"/>
      <c r="AY550" s="83"/>
      <c r="AZ550" s="83"/>
      <c r="BA550" s="83"/>
      <c r="BB550" s="83"/>
      <c r="BC550" s="83"/>
      <c r="BD550" s="83"/>
      <c r="BE550" s="83"/>
      <c r="BF550" s="83"/>
      <c r="BG550" s="83"/>
      <c r="BH550" s="83"/>
      <c r="BI550" s="83"/>
      <c r="BJ550" s="83"/>
      <c r="BK550" s="83"/>
      <c r="BL550" s="83"/>
      <c r="BM550" s="83"/>
      <c r="BN550" s="83"/>
      <c r="BO550" s="83"/>
      <c r="BP550" s="83"/>
      <c r="BQ550" s="83"/>
      <c r="BR550" s="83"/>
      <c r="BS550" s="83"/>
      <c r="BT550" s="83"/>
      <c r="BU550" s="83"/>
      <c r="BV550" s="83"/>
      <c r="BW550" s="83"/>
      <c r="BX550" s="83"/>
      <c r="BY550" s="83"/>
      <c r="BZ550" s="83"/>
      <c r="CA550" s="83"/>
      <c r="CB550" s="83"/>
      <c r="CC550" s="83"/>
      <c r="CD550" s="83"/>
      <c r="CE550" s="83"/>
      <c r="CF550" s="83"/>
      <c r="CG550" s="83"/>
      <c r="CH550" s="83"/>
      <c r="CI550" s="83"/>
      <c r="CJ550" s="83"/>
      <c r="CK550" s="83"/>
      <c r="CL550" s="83"/>
      <c r="CM550" s="83"/>
      <c r="CN550" s="83"/>
      <c r="CO550" s="83"/>
      <c r="CP550" s="83"/>
      <c r="CQ550" s="83"/>
      <c r="CR550" s="83"/>
      <c r="CS550" s="83"/>
      <c r="CT550" s="83"/>
      <c r="CU550" s="83"/>
      <c r="CV550" s="83"/>
      <c r="CW550" s="83"/>
      <c r="CX550" s="83"/>
      <c r="CY550" s="83"/>
      <c r="CZ550" s="83"/>
      <c r="DA550" s="83"/>
      <c r="DB550" s="83"/>
      <c r="DC550" s="83"/>
    </row>
    <row r="551" spans="1:107" x14ac:dyDescent="0.3">
      <c r="A551" s="83"/>
      <c r="B551" s="83"/>
      <c r="C551" s="83"/>
      <c r="D551" s="83"/>
      <c r="E551" s="83"/>
      <c r="F551" s="83"/>
      <c r="G551" s="83"/>
      <c r="H551" s="83"/>
      <c r="I551" s="83"/>
      <c r="J551" s="83"/>
      <c r="K551" s="83"/>
      <c r="L551" s="83"/>
      <c r="M551" s="83"/>
      <c r="N551" s="83"/>
      <c r="O551" s="83"/>
      <c r="P551" s="83"/>
      <c r="Q551" s="83"/>
      <c r="R551" s="83"/>
      <c r="S551" s="83"/>
      <c r="T551" s="83"/>
      <c r="U551" s="83"/>
      <c r="V551" s="83"/>
      <c r="W551" s="83"/>
      <c r="X551" s="83"/>
      <c r="Y551" s="83"/>
      <c r="Z551" s="83"/>
      <c r="AA551" s="83"/>
      <c r="AB551" s="83"/>
      <c r="AC551" s="83"/>
      <c r="AD551" s="83"/>
      <c r="AE551" s="83"/>
      <c r="AF551" s="83"/>
      <c r="AG551" s="83"/>
      <c r="AH551" s="83"/>
      <c r="AI551" s="83"/>
      <c r="AJ551" s="83"/>
      <c r="AK551" s="83"/>
      <c r="AL551" s="83"/>
      <c r="AM551" s="83"/>
      <c r="AN551" s="83"/>
      <c r="AO551" s="83"/>
      <c r="AP551" s="83"/>
      <c r="AQ551" s="83"/>
      <c r="AR551" s="83"/>
      <c r="AS551" s="83"/>
      <c r="AT551" s="83"/>
      <c r="AU551" s="83"/>
      <c r="AV551" s="83"/>
      <c r="AW551" s="83"/>
      <c r="AX551" s="83"/>
      <c r="AY551" s="83"/>
      <c r="AZ551" s="83"/>
      <c r="BA551" s="83"/>
      <c r="BB551" s="83"/>
      <c r="BC551" s="83"/>
      <c r="BD551" s="83"/>
      <c r="BE551" s="83"/>
      <c r="BF551" s="83"/>
      <c r="BG551" s="83"/>
      <c r="BH551" s="83"/>
      <c r="BI551" s="83"/>
      <c r="BJ551" s="83"/>
      <c r="BK551" s="83"/>
      <c r="BL551" s="83"/>
      <c r="BM551" s="83"/>
      <c r="BN551" s="83"/>
      <c r="BO551" s="83"/>
      <c r="BP551" s="83"/>
      <c r="BQ551" s="83"/>
      <c r="BR551" s="83"/>
      <c r="BS551" s="83"/>
      <c r="BT551" s="83"/>
      <c r="BU551" s="83"/>
      <c r="BV551" s="83"/>
      <c r="BW551" s="83"/>
      <c r="BX551" s="83"/>
      <c r="BY551" s="83"/>
      <c r="BZ551" s="83"/>
      <c r="CA551" s="83"/>
      <c r="CB551" s="83"/>
      <c r="CC551" s="83"/>
      <c r="CD551" s="83"/>
      <c r="CE551" s="83"/>
      <c r="CF551" s="83"/>
      <c r="CG551" s="83"/>
      <c r="CH551" s="83"/>
      <c r="CI551" s="83"/>
      <c r="CJ551" s="83"/>
      <c r="CK551" s="83"/>
      <c r="CL551" s="83"/>
      <c r="CM551" s="83"/>
      <c r="CN551" s="83"/>
      <c r="CO551" s="83"/>
      <c r="CP551" s="83"/>
      <c r="CQ551" s="83"/>
      <c r="CR551" s="83"/>
      <c r="CS551" s="83"/>
      <c r="CT551" s="83"/>
      <c r="CU551" s="83"/>
      <c r="CV551" s="83"/>
      <c r="CW551" s="83"/>
      <c r="CX551" s="83"/>
      <c r="CY551" s="83"/>
      <c r="CZ551" s="83"/>
      <c r="DA551" s="83"/>
      <c r="DB551" s="83"/>
      <c r="DC551" s="83"/>
    </row>
    <row r="552" spans="1:107" x14ac:dyDescent="0.3">
      <c r="A552" s="83"/>
      <c r="B552" s="83"/>
      <c r="C552" s="83"/>
      <c r="D552" s="83"/>
      <c r="E552" s="83"/>
      <c r="F552" s="83"/>
      <c r="G552" s="83"/>
      <c r="H552" s="83"/>
      <c r="I552" s="83"/>
      <c r="J552" s="83"/>
      <c r="K552" s="83"/>
      <c r="L552" s="83"/>
      <c r="M552" s="83"/>
      <c r="N552" s="83"/>
      <c r="O552" s="83"/>
      <c r="P552" s="83"/>
      <c r="Q552" s="83"/>
      <c r="R552" s="83"/>
      <c r="S552" s="83"/>
      <c r="T552" s="83"/>
      <c r="U552" s="83"/>
      <c r="V552" s="83"/>
      <c r="W552" s="83"/>
      <c r="X552" s="83"/>
      <c r="Y552" s="83"/>
      <c r="Z552" s="83"/>
      <c r="AA552" s="83"/>
      <c r="AB552" s="83"/>
      <c r="AC552" s="83"/>
      <c r="AD552" s="83"/>
      <c r="AE552" s="83"/>
      <c r="AF552" s="83"/>
      <c r="AG552" s="83"/>
      <c r="AH552" s="83"/>
      <c r="AI552" s="83"/>
      <c r="AJ552" s="83"/>
      <c r="AK552" s="83"/>
      <c r="AL552" s="83"/>
      <c r="AM552" s="83"/>
      <c r="AN552" s="83"/>
      <c r="AO552" s="83"/>
      <c r="AP552" s="83"/>
      <c r="AQ552" s="83"/>
      <c r="AR552" s="83"/>
      <c r="AS552" s="83"/>
      <c r="AT552" s="83"/>
      <c r="AU552" s="83"/>
      <c r="AV552" s="83"/>
      <c r="AW552" s="83"/>
      <c r="AX552" s="83"/>
      <c r="AY552" s="83"/>
      <c r="AZ552" s="83"/>
      <c r="BA552" s="83"/>
      <c r="BB552" s="83"/>
      <c r="BC552" s="83"/>
      <c r="BD552" s="83"/>
      <c r="BE552" s="83"/>
      <c r="BF552" s="83"/>
      <c r="BG552" s="83"/>
      <c r="BH552" s="83"/>
      <c r="BI552" s="83"/>
      <c r="BJ552" s="83"/>
      <c r="BK552" s="83"/>
      <c r="BL552" s="83"/>
      <c r="BM552" s="83"/>
      <c r="BN552" s="83"/>
      <c r="BO552" s="83"/>
      <c r="BP552" s="83"/>
      <c r="BQ552" s="83"/>
      <c r="BR552" s="83"/>
      <c r="BS552" s="83"/>
      <c r="BT552" s="83"/>
      <c r="BU552" s="83"/>
      <c r="BV552" s="83"/>
      <c r="BW552" s="83"/>
      <c r="BX552" s="83"/>
      <c r="BY552" s="83"/>
      <c r="BZ552" s="83"/>
      <c r="CA552" s="83"/>
      <c r="CB552" s="83"/>
      <c r="CC552" s="83"/>
      <c r="CD552" s="83"/>
      <c r="CE552" s="83"/>
      <c r="CF552" s="83"/>
      <c r="CG552" s="83"/>
      <c r="CH552" s="83"/>
      <c r="CI552" s="83"/>
      <c r="CJ552" s="83"/>
      <c r="CK552" s="83"/>
      <c r="CL552" s="83"/>
      <c r="CM552" s="83"/>
      <c r="CN552" s="83"/>
      <c r="CO552" s="83"/>
      <c r="CP552" s="83"/>
      <c r="CQ552" s="83"/>
      <c r="CR552" s="83"/>
      <c r="CS552" s="83"/>
      <c r="CT552" s="83"/>
      <c r="CU552" s="83"/>
      <c r="CV552" s="83"/>
      <c r="CW552" s="83"/>
      <c r="CX552" s="83"/>
      <c r="CY552" s="83"/>
      <c r="CZ552" s="83"/>
      <c r="DA552" s="83"/>
      <c r="DB552" s="83"/>
      <c r="DC552" s="83"/>
    </row>
    <row r="553" spans="1:107" x14ac:dyDescent="0.3">
      <c r="A553" s="83"/>
      <c r="B553" s="83"/>
      <c r="C553" s="83"/>
      <c r="D553" s="83"/>
      <c r="E553" s="83"/>
      <c r="F553" s="83"/>
      <c r="G553" s="83"/>
      <c r="H553" s="83"/>
      <c r="I553" s="83"/>
      <c r="J553" s="83"/>
      <c r="K553" s="83"/>
      <c r="L553" s="83"/>
      <c r="M553" s="83"/>
      <c r="N553" s="83"/>
      <c r="O553" s="83"/>
      <c r="P553" s="83"/>
      <c r="Q553" s="83"/>
      <c r="R553" s="83"/>
      <c r="S553" s="83"/>
      <c r="T553" s="83"/>
      <c r="U553" s="83"/>
      <c r="V553" s="83"/>
      <c r="W553" s="83"/>
      <c r="X553" s="83"/>
      <c r="Y553" s="83"/>
      <c r="Z553" s="83"/>
      <c r="AA553" s="83"/>
      <c r="AB553" s="83"/>
      <c r="AC553" s="83"/>
      <c r="AD553" s="83"/>
      <c r="AE553" s="83"/>
      <c r="AF553" s="83"/>
      <c r="AG553" s="83"/>
      <c r="AH553" s="83"/>
      <c r="AI553" s="83"/>
      <c r="AJ553" s="83"/>
      <c r="AK553" s="83"/>
      <c r="AL553" s="83"/>
      <c r="AM553" s="83"/>
      <c r="AN553" s="83"/>
      <c r="AO553" s="83"/>
      <c r="AP553" s="83"/>
      <c r="AQ553" s="83"/>
      <c r="AR553" s="83"/>
      <c r="AS553" s="83"/>
      <c r="AT553" s="83"/>
      <c r="AU553" s="83"/>
      <c r="AV553" s="83"/>
      <c r="AW553" s="83"/>
      <c r="AX553" s="83"/>
      <c r="AY553" s="83"/>
      <c r="AZ553" s="83"/>
      <c r="BA553" s="83"/>
      <c r="BB553" s="83"/>
      <c r="BC553" s="83"/>
      <c r="BD553" s="83"/>
      <c r="BE553" s="83"/>
      <c r="BF553" s="83"/>
      <c r="BG553" s="83"/>
      <c r="BH553" s="83"/>
      <c r="BI553" s="83"/>
      <c r="BJ553" s="83"/>
      <c r="BK553" s="83"/>
      <c r="BL553" s="83"/>
      <c r="BM553" s="83"/>
      <c r="BN553" s="83"/>
      <c r="BO553" s="83"/>
      <c r="BP553" s="83"/>
      <c r="BQ553" s="83"/>
      <c r="BR553" s="83"/>
      <c r="BS553" s="83"/>
      <c r="BT553" s="83"/>
      <c r="BU553" s="83"/>
      <c r="BV553" s="83"/>
      <c r="BW553" s="83"/>
      <c r="BX553" s="83"/>
      <c r="BY553" s="83"/>
      <c r="BZ553" s="83"/>
      <c r="CA553" s="83"/>
      <c r="CB553" s="83"/>
      <c r="CC553" s="83"/>
      <c r="CD553" s="83"/>
      <c r="CE553" s="83"/>
      <c r="CF553" s="83"/>
      <c r="CG553" s="83"/>
      <c r="CH553" s="83"/>
      <c r="CI553" s="83"/>
      <c r="CJ553" s="83"/>
      <c r="CK553" s="83"/>
      <c r="CL553" s="83"/>
      <c r="CM553" s="83"/>
      <c r="CN553" s="83"/>
      <c r="CO553" s="83"/>
      <c r="CP553" s="83"/>
      <c r="CQ553" s="83"/>
      <c r="CR553" s="83"/>
      <c r="CS553" s="83"/>
      <c r="CT553" s="83"/>
      <c r="CU553" s="83"/>
      <c r="CV553" s="83"/>
      <c r="CW553" s="83"/>
      <c r="CX553" s="83"/>
      <c r="CY553" s="83"/>
      <c r="CZ553" s="83"/>
      <c r="DA553" s="83"/>
      <c r="DB553" s="83"/>
      <c r="DC553" s="83"/>
    </row>
    <row r="554" spans="1:107" x14ac:dyDescent="0.3">
      <c r="A554" s="83"/>
      <c r="B554" s="83"/>
      <c r="C554" s="83"/>
      <c r="D554" s="83"/>
      <c r="E554" s="83"/>
      <c r="F554" s="83"/>
      <c r="G554" s="83"/>
      <c r="H554" s="83"/>
      <c r="I554" s="83"/>
      <c r="J554" s="83"/>
      <c r="K554" s="83"/>
      <c r="L554" s="83"/>
      <c r="M554" s="83"/>
      <c r="N554" s="83"/>
      <c r="O554" s="83"/>
      <c r="P554" s="83"/>
      <c r="Q554" s="83"/>
      <c r="R554" s="83"/>
      <c r="S554" s="83"/>
      <c r="T554" s="83"/>
      <c r="U554" s="83"/>
      <c r="V554" s="83"/>
      <c r="W554" s="83"/>
      <c r="X554" s="83"/>
      <c r="Y554" s="83"/>
      <c r="Z554" s="83"/>
      <c r="AA554" s="83"/>
      <c r="AB554" s="83"/>
      <c r="AC554" s="83"/>
      <c r="AD554" s="83"/>
      <c r="AE554" s="83"/>
      <c r="AF554" s="83"/>
      <c r="AG554" s="83"/>
      <c r="AH554" s="83"/>
      <c r="AI554" s="83"/>
      <c r="AJ554" s="83"/>
      <c r="AK554" s="83"/>
      <c r="AL554" s="83"/>
      <c r="AM554" s="83"/>
      <c r="AN554" s="83"/>
      <c r="AO554" s="83"/>
      <c r="AP554" s="83"/>
      <c r="AQ554" s="83"/>
      <c r="AR554" s="83"/>
      <c r="AS554" s="83"/>
      <c r="AT554" s="83"/>
      <c r="AU554" s="83"/>
      <c r="AV554" s="83"/>
      <c r="AW554" s="83"/>
      <c r="AX554" s="83"/>
      <c r="AY554" s="83"/>
      <c r="AZ554" s="83"/>
      <c r="BA554" s="83"/>
      <c r="BB554" s="83"/>
      <c r="BC554" s="83"/>
      <c r="BD554" s="83"/>
      <c r="BE554" s="83"/>
      <c r="BF554" s="83"/>
      <c r="BG554" s="83"/>
      <c r="BH554" s="83"/>
      <c r="BI554" s="83"/>
      <c r="BJ554" s="83"/>
      <c r="BK554" s="83"/>
      <c r="BL554" s="83"/>
      <c r="BM554" s="83"/>
      <c r="BN554" s="83"/>
      <c r="BO554" s="83"/>
      <c r="BP554" s="83"/>
      <c r="BQ554" s="83"/>
      <c r="BR554" s="83"/>
      <c r="BS554" s="83"/>
      <c r="BT554" s="83"/>
      <c r="BU554" s="83"/>
      <c r="BV554" s="83"/>
      <c r="BW554" s="83"/>
      <c r="BX554" s="83"/>
      <c r="BY554" s="83"/>
      <c r="BZ554" s="83"/>
      <c r="CA554" s="83"/>
      <c r="CB554" s="83"/>
      <c r="CC554" s="83"/>
      <c r="CD554" s="83"/>
      <c r="CE554" s="83"/>
      <c r="CF554" s="83"/>
      <c r="CG554" s="83"/>
      <c r="CH554" s="83"/>
      <c r="CI554" s="83"/>
      <c r="CJ554" s="83"/>
      <c r="CK554" s="83"/>
      <c r="CL554" s="83"/>
      <c r="CM554" s="83"/>
      <c r="CN554" s="83"/>
      <c r="CO554" s="83"/>
      <c r="CP554" s="83"/>
      <c r="CQ554" s="83"/>
      <c r="CR554" s="83"/>
      <c r="CS554" s="83"/>
      <c r="CT554" s="83"/>
      <c r="CU554" s="83"/>
      <c r="CV554" s="83"/>
      <c r="CW554" s="83"/>
      <c r="CX554" s="83"/>
      <c r="CY554" s="83"/>
      <c r="CZ554" s="83"/>
      <c r="DA554" s="83"/>
      <c r="DB554" s="83"/>
      <c r="DC554" s="83"/>
    </row>
    <row r="555" spans="1:107" x14ac:dyDescent="0.3">
      <c r="A555" s="83"/>
      <c r="B555" s="83"/>
      <c r="C555" s="83"/>
      <c r="D555" s="83"/>
      <c r="E555" s="83"/>
      <c r="F555" s="83"/>
      <c r="G555" s="83"/>
      <c r="H555" s="83"/>
      <c r="I555" s="83"/>
      <c r="J555" s="83"/>
      <c r="K555" s="83"/>
      <c r="L555" s="83"/>
      <c r="M555" s="83"/>
      <c r="N555" s="83"/>
      <c r="O555" s="83"/>
      <c r="P555" s="83"/>
      <c r="Q555" s="83"/>
      <c r="R555" s="83"/>
      <c r="S555" s="83"/>
      <c r="T555" s="83"/>
      <c r="U555" s="83"/>
      <c r="V555" s="83"/>
      <c r="W555" s="83"/>
      <c r="X555" s="83"/>
      <c r="Y555" s="83"/>
      <c r="Z555" s="83"/>
      <c r="AA555" s="83"/>
      <c r="AB555" s="83"/>
      <c r="AC555" s="83"/>
      <c r="AD555" s="83"/>
      <c r="AE555" s="83"/>
      <c r="AF555" s="83"/>
      <c r="AG555" s="83"/>
      <c r="AH555" s="83"/>
      <c r="AI555" s="83"/>
      <c r="AJ555" s="83"/>
      <c r="AK555" s="83"/>
      <c r="AL555" s="83"/>
      <c r="AM555" s="83"/>
      <c r="AN555" s="83"/>
      <c r="AO555" s="83"/>
      <c r="AP555" s="83"/>
      <c r="AQ555" s="83"/>
      <c r="AR555" s="83"/>
      <c r="AS555" s="83"/>
      <c r="AT555" s="83"/>
      <c r="AU555" s="83"/>
      <c r="AV555" s="83"/>
      <c r="AW555" s="83"/>
      <c r="AX555" s="83"/>
      <c r="AY555" s="83"/>
      <c r="AZ555" s="83"/>
      <c r="BA555" s="83"/>
      <c r="BB555" s="83"/>
      <c r="BC555" s="83"/>
      <c r="BD555" s="83"/>
      <c r="BE555" s="83"/>
      <c r="BF555" s="83"/>
      <c r="BG555" s="83"/>
      <c r="BH555" s="83"/>
      <c r="BI555" s="83"/>
      <c r="BJ555" s="83"/>
      <c r="BK555" s="83"/>
      <c r="BL555" s="83"/>
      <c r="BM555" s="83"/>
      <c r="BN555" s="83"/>
      <c r="BO555" s="83"/>
      <c r="BP555" s="83"/>
      <c r="BQ555" s="83"/>
      <c r="BR555" s="83"/>
      <c r="BS555" s="83"/>
      <c r="BT555" s="83"/>
      <c r="BU555" s="83"/>
      <c r="BV555" s="83"/>
      <c r="BW555" s="83"/>
      <c r="BX555" s="83"/>
      <c r="BY555" s="83"/>
      <c r="BZ555" s="83"/>
      <c r="CA555" s="83"/>
      <c r="CB555" s="83"/>
      <c r="CC555" s="83"/>
      <c r="CD555" s="83"/>
      <c r="CE555" s="83"/>
      <c r="CF555" s="83"/>
      <c r="CG555" s="83"/>
      <c r="CH555" s="83"/>
      <c r="CI555" s="83"/>
      <c r="CJ555" s="83"/>
      <c r="CK555" s="83"/>
      <c r="CL555" s="83"/>
      <c r="CM555" s="83"/>
      <c r="CN555" s="83"/>
      <c r="CO555" s="83"/>
      <c r="CP555" s="83"/>
      <c r="CQ555" s="83"/>
      <c r="CR555" s="83"/>
      <c r="CS555" s="83"/>
      <c r="CT555" s="83"/>
      <c r="CU555" s="83"/>
      <c r="CV555" s="83"/>
      <c r="CW555" s="83"/>
      <c r="CX555" s="83"/>
      <c r="CY555" s="83"/>
      <c r="CZ555" s="83"/>
      <c r="DA555" s="83"/>
      <c r="DB555" s="83"/>
      <c r="DC555" s="83"/>
    </row>
    <row r="556" spans="1:107" x14ac:dyDescent="0.3">
      <c r="A556" s="83"/>
      <c r="B556" s="83"/>
      <c r="C556" s="83"/>
      <c r="D556" s="83"/>
      <c r="E556" s="83"/>
      <c r="F556" s="83"/>
      <c r="G556" s="83"/>
      <c r="H556" s="83"/>
      <c r="I556" s="83"/>
      <c r="J556" s="83"/>
      <c r="K556" s="83"/>
      <c r="L556" s="83"/>
      <c r="M556" s="83"/>
      <c r="N556" s="83"/>
      <c r="O556" s="83"/>
      <c r="P556" s="83"/>
      <c r="Q556" s="83"/>
      <c r="R556" s="83"/>
      <c r="S556" s="83"/>
      <c r="T556" s="83"/>
      <c r="U556" s="83"/>
      <c r="V556" s="83"/>
      <c r="W556" s="83"/>
      <c r="X556" s="83"/>
      <c r="Y556" s="83"/>
      <c r="Z556" s="83"/>
      <c r="AA556" s="83"/>
      <c r="AB556" s="83"/>
      <c r="AC556" s="83"/>
      <c r="AD556" s="83"/>
      <c r="AE556" s="83"/>
      <c r="AF556" s="83"/>
      <c r="AG556" s="83"/>
      <c r="AH556" s="83"/>
      <c r="AI556" s="83"/>
      <c r="AJ556" s="83"/>
      <c r="AK556" s="83"/>
      <c r="AL556" s="83"/>
      <c r="AM556" s="83"/>
      <c r="AN556" s="83"/>
      <c r="AO556" s="83"/>
      <c r="AP556" s="83"/>
      <c r="AQ556" s="83"/>
      <c r="AR556" s="83"/>
      <c r="AS556" s="83"/>
      <c r="AT556" s="83"/>
      <c r="AU556" s="83"/>
      <c r="AV556" s="83"/>
      <c r="AW556" s="83"/>
      <c r="AX556" s="83"/>
      <c r="AY556" s="83"/>
      <c r="AZ556" s="83"/>
      <c r="BA556" s="83"/>
      <c r="BB556" s="83"/>
      <c r="BC556" s="83"/>
      <c r="BD556" s="83"/>
      <c r="BE556" s="83"/>
      <c r="BF556" s="83"/>
      <c r="BG556" s="83"/>
      <c r="BH556" s="83"/>
      <c r="BI556" s="83"/>
      <c r="BJ556" s="83"/>
      <c r="BK556" s="83"/>
      <c r="BL556" s="83"/>
      <c r="BM556" s="83"/>
      <c r="BN556" s="83"/>
      <c r="BO556" s="83"/>
      <c r="BP556" s="83"/>
      <c r="BQ556" s="83"/>
      <c r="BR556" s="83"/>
      <c r="BS556" s="83"/>
      <c r="BT556" s="83"/>
      <c r="BU556" s="83"/>
      <c r="BV556" s="83"/>
      <c r="BW556" s="83"/>
      <c r="BX556" s="83"/>
      <c r="BY556" s="83"/>
      <c r="BZ556" s="83"/>
      <c r="CA556" s="83"/>
      <c r="CB556" s="83"/>
      <c r="CC556" s="83"/>
      <c r="CD556" s="83"/>
      <c r="CE556" s="83"/>
      <c r="CF556" s="83"/>
      <c r="CG556" s="83"/>
      <c r="CH556" s="83"/>
      <c r="CI556" s="83"/>
      <c r="CJ556" s="83"/>
      <c r="CK556" s="83"/>
      <c r="CL556" s="83"/>
      <c r="CM556" s="83"/>
      <c r="CN556" s="83"/>
      <c r="CO556" s="83"/>
      <c r="CP556" s="83"/>
      <c r="CQ556" s="83"/>
      <c r="CR556" s="83"/>
      <c r="CS556" s="83"/>
      <c r="CT556" s="83"/>
      <c r="CU556" s="83"/>
      <c r="CV556" s="83"/>
      <c r="CW556" s="83"/>
      <c r="CX556" s="83"/>
      <c r="CY556" s="83"/>
      <c r="CZ556" s="83"/>
      <c r="DA556" s="83"/>
      <c r="DB556" s="83"/>
      <c r="DC556" s="83"/>
    </row>
    <row r="557" spans="1:107" x14ac:dyDescent="0.3">
      <c r="A557" s="83"/>
      <c r="B557" s="83"/>
      <c r="C557" s="83"/>
      <c r="D557" s="83"/>
      <c r="E557" s="83"/>
      <c r="F557" s="83"/>
      <c r="G557" s="83"/>
      <c r="H557" s="83"/>
      <c r="I557" s="83"/>
      <c r="J557" s="83"/>
      <c r="K557" s="83"/>
      <c r="L557" s="83"/>
      <c r="M557" s="83"/>
      <c r="N557" s="83"/>
      <c r="O557" s="83"/>
      <c r="P557" s="83"/>
      <c r="Q557" s="83"/>
      <c r="R557" s="83"/>
      <c r="S557" s="83"/>
      <c r="T557" s="83"/>
      <c r="U557" s="83"/>
      <c r="V557" s="83"/>
      <c r="W557" s="83"/>
      <c r="X557" s="83"/>
      <c r="Y557" s="83"/>
      <c r="Z557" s="83"/>
      <c r="AA557" s="83"/>
      <c r="AB557" s="83"/>
      <c r="AC557" s="83"/>
      <c r="AD557" s="83"/>
      <c r="AE557" s="83"/>
      <c r="AF557" s="83"/>
      <c r="AG557" s="83"/>
      <c r="AH557" s="83"/>
      <c r="AI557" s="83"/>
      <c r="AJ557" s="83"/>
      <c r="AK557" s="83"/>
      <c r="AL557" s="83"/>
      <c r="AM557" s="83"/>
      <c r="AN557" s="83"/>
      <c r="AO557" s="83"/>
      <c r="AP557" s="83"/>
      <c r="AQ557" s="83"/>
      <c r="AR557" s="83"/>
      <c r="AS557" s="83"/>
      <c r="AT557" s="83"/>
      <c r="AU557" s="83"/>
      <c r="AV557" s="83"/>
      <c r="AW557" s="83"/>
      <c r="AX557" s="83"/>
      <c r="AY557" s="83"/>
      <c r="AZ557" s="83"/>
      <c r="BA557" s="83"/>
      <c r="BB557" s="83"/>
      <c r="BC557" s="83"/>
      <c r="BD557" s="83"/>
      <c r="BE557" s="83"/>
      <c r="BF557" s="83"/>
      <c r="BG557" s="83"/>
      <c r="BH557" s="83"/>
      <c r="BI557" s="83"/>
      <c r="BJ557" s="83"/>
      <c r="BK557" s="83"/>
      <c r="BL557" s="83"/>
      <c r="BM557" s="83"/>
      <c r="BN557" s="83"/>
      <c r="BO557" s="83"/>
      <c r="BP557" s="83"/>
      <c r="BQ557" s="83"/>
      <c r="BR557" s="83"/>
      <c r="BS557" s="83"/>
      <c r="BT557" s="83"/>
      <c r="BU557" s="83"/>
      <c r="BV557" s="83"/>
      <c r="BW557" s="83"/>
      <c r="BX557" s="83"/>
      <c r="BY557" s="83"/>
      <c r="BZ557" s="83"/>
      <c r="CA557" s="83"/>
      <c r="CB557" s="83"/>
      <c r="CC557" s="83"/>
      <c r="CD557" s="83"/>
      <c r="CE557" s="83"/>
      <c r="CF557" s="83"/>
      <c r="CG557" s="83"/>
      <c r="CH557" s="83"/>
      <c r="CI557" s="83"/>
      <c r="CJ557" s="83"/>
      <c r="CK557" s="83"/>
      <c r="CL557" s="83"/>
      <c r="CM557" s="83"/>
      <c r="CN557" s="83"/>
      <c r="CO557" s="83"/>
      <c r="CP557" s="83"/>
      <c r="CQ557" s="83"/>
      <c r="CR557" s="83"/>
      <c r="CS557" s="83"/>
      <c r="CT557" s="83"/>
      <c r="CU557" s="83"/>
      <c r="CV557" s="83"/>
      <c r="CW557" s="83"/>
      <c r="CX557" s="83"/>
      <c r="CY557" s="83"/>
      <c r="CZ557" s="83"/>
      <c r="DA557" s="83"/>
      <c r="DB557" s="83"/>
      <c r="DC557" s="83"/>
    </row>
    <row r="558" spans="1:107" x14ac:dyDescent="0.3">
      <c r="A558" s="83"/>
      <c r="B558" s="83"/>
      <c r="C558" s="83"/>
      <c r="D558" s="83"/>
      <c r="E558" s="83"/>
      <c r="F558" s="83"/>
      <c r="G558" s="83"/>
      <c r="H558" s="83"/>
      <c r="I558" s="83"/>
      <c r="J558" s="83"/>
      <c r="K558" s="83"/>
      <c r="L558" s="83"/>
      <c r="M558" s="83"/>
      <c r="N558" s="83"/>
      <c r="O558" s="83"/>
      <c r="P558" s="83"/>
      <c r="Q558" s="83"/>
      <c r="R558" s="83"/>
      <c r="S558" s="83"/>
      <c r="T558" s="83"/>
      <c r="U558" s="83"/>
      <c r="V558" s="83"/>
      <c r="W558" s="83"/>
      <c r="X558" s="83"/>
      <c r="Y558" s="83"/>
      <c r="Z558" s="83"/>
      <c r="AA558" s="83"/>
      <c r="AB558" s="83"/>
      <c r="AC558" s="83"/>
      <c r="AD558" s="83"/>
      <c r="AE558" s="83"/>
      <c r="AF558" s="83"/>
      <c r="AG558" s="83"/>
      <c r="AH558" s="83"/>
      <c r="AI558" s="83"/>
      <c r="AJ558" s="83"/>
      <c r="AK558" s="83"/>
      <c r="AL558" s="83"/>
      <c r="AM558" s="83"/>
      <c r="AN558" s="83"/>
      <c r="AO558" s="83"/>
      <c r="AP558" s="83"/>
      <c r="AQ558" s="83"/>
      <c r="AR558" s="83"/>
      <c r="AS558" s="83"/>
      <c r="AT558" s="83"/>
      <c r="AU558" s="83"/>
      <c r="AV558" s="83"/>
      <c r="AW558" s="83"/>
      <c r="AX558" s="83"/>
      <c r="AY558" s="83"/>
      <c r="AZ558" s="83"/>
      <c r="BA558" s="83"/>
      <c r="BB558" s="83"/>
      <c r="BC558" s="83"/>
      <c r="BD558" s="83"/>
      <c r="BE558" s="83"/>
      <c r="BF558" s="83"/>
      <c r="BG558" s="83"/>
      <c r="BH558" s="83"/>
      <c r="BI558" s="83"/>
      <c r="BJ558" s="83"/>
      <c r="BK558" s="83"/>
      <c r="BL558" s="83"/>
      <c r="BM558" s="83"/>
      <c r="BN558" s="83"/>
      <c r="BO558" s="83"/>
      <c r="BP558" s="83"/>
      <c r="BQ558" s="83"/>
      <c r="BR558" s="83"/>
      <c r="BS558" s="83"/>
      <c r="BT558" s="83"/>
      <c r="BU558" s="83"/>
      <c r="BV558" s="83"/>
      <c r="BW558" s="83"/>
      <c r="BX558" s="83"/>
      <c r="BY558" s="83"/>
      <c r="BZ558" s="83"/>
      <c r="CA558" s="83"/>
      <c r="CB558" s="83"/>
      <c r="CC558" s="83"/>
      <c r="CD558" s="83"/>
      <c r="CE558" s="83"/>
      <c r="CF558" s="83"/>
      <c r="CG558" s="83"/>
      <c r="CH558" s="83"/>
      <c r="CI558" s="83"/>
      <c r="CJ558" s="83"/>
      <c r="CK558" s="83"/>
      <c r="CL558" s="83"/>
      <c r="CM558" s="83"/>
      <c r="CN558" s="83"/>
      <c r="CO558" s="83"/>
      <c r="CP558" s="83"/>
      <c r="CQ558" s="83"/>
      <c r="CR558" s="83"/>
      <c r="CS558" s="83"/>
      <c r="CT558" s="83"/>
      <c r="CU558" s="83"/>
      <c r="CV558" s="83"/>
      <c r="CW558" s="83"/>
      <c r="CX558" s="83"/>
      <c r="CY558" s="83"/>
      <c r="CZ558" s="83"/>
      <c r="DA558" s="83"/>
      <c r="DB558" s="83"/>
      <c r="DC558" s="83"/>
    </row>
    <row r="559" spans="1:107" x14ac:dyDescent="0.3">
      <c r="A559" s="83"/>
      <c r="B559" s="83"/>
      <c r="C559" s="83"/>
      <c r="D559" s="83"/>
      <c r="E559" s="83"/>
      <c r="F559" s="83"/>
      <c r="G559" s="83"/>
      <c r="H559" s="83"/>
      <c r="I559" s="83"/>
      <c r="J559" s="83"/>
      <c r="K559" s="83"/>
      <c r="L559" s="83"/>
      <c r="M559" s="83"/>
      <c r="N559" s="83"/>
      <c r="O559" s="83"/>
      <c r="P559" s="83"/>
      <c r="Q559" s="83"/>
      <c r="R559" s="83"/>
      <c r="S559" s="83"/>
      <c r="T559" s="83"/>
      <c r="U559" s="83"/>
      <c r="V559" s="83"/>
      <c r="W559" s="83"/>
      <c r="X559" s="83"/>
      <c r="Y559" s="83"/>
      <c r="Z559" s="83"/>
      <c r="AA559" s="83"/>
      <c r="AB559" s="83"/>
      <c r="AC559" s="83"/>
      <c r="AD559" s="83"/>
      <c r="AE559" s="83"/>
      <c r="AF559" s="83"/>
      <c r="AG559" s="83"/>
      <c r="AH559" s="83"/>
      <c r="AI559" s="83"/>
      <c r="AJ559" s="83"/>
      <c r="AK559" s="83"/>
      <c r="AL559" s="83"/>
      <c r="AM559" s="83"/>
      <c r="AN559" s="83"/>
      <c r="AO559" s="83"/>
      <c r="AP559" s="83"/>
      <c r="AQ559" s="83"/>
      <c r="AR559" s="83"/>
      <c r="AS559" s="83"/>
      <c r="AT559" s="83"/>
      <c r="AU559" s="83"/>
      <c r="AV559" s="83"/>
      <c r="AW559" s="83"/>
      <c r="AX559" s="83"/>
      <c r="AY559" s="83"/>
      <c r="AZ559" s="83"/>
      <c r="BA559" s="83"/>
      <c r="BB559" s="83"/>
      <c r="BC559" s="83"/>
      <c r="BD559" s="83"/>
      <c r="BE559" s="83"/>
      <c r="BF559" s="83"/>
      <c r="BG559" s="83"/>
      <c r="BH559" s="83"/>
      <c r="BI559" s="83"/>
      <c r="BJ559" s="83"/>
      <c r="BK559" s="83"/>
      <c r="BL559" s="83"/>
      <c r="BM559" s="83"/>
      <c r="BN559" s="83"/>
      <c r="BO559" s="83"/>
      <c r="BP559" s="83"/>
      <c r="BQ559" s="83"/>
      <c r="BR559" s="83"/>
      <c r="BS559" s="83"/>
      <c r="BT559" s="83"/>
      <c r="BU559" s="83"/>
      <c r="BV559" s="83"/>
      <c r="BW559" s="83"/>
      <c r="BX559" s="83"/>
      <c r="BY559" s="83"/>
      <c r="BZ559" s="83"/>
      <c r="CA559" s="83"/>
      <c r="CB559" s="83"/>
      <c r="CC559" s="83"/>
      <c r="CD559" s="83"/>
      <c r="CE559" s="83"/>
      <c r="CF559" s="83"/>
      <c r="CG559" s="83"/>
      <c r="CH559" s="83"/>
      <c r="CI559" s="83"/>
      <c r="CJ559" s="83"/>
      <c r="CK559" s="83"/>
      <c r="CL559" s="83"/>
      <c r="CM559" s="83"/>
      <c r="CN559" s="83"/>
      <c r="CO559" s="83"/>
      <c r="CP559" s="83"/>
      <c r="CQ559" s="83"/>
      <c r="CR559" s="83"/>
      <c r="CS559" s="83"/>
      <c r="CT559" s="83"/>
      <c r="CU559" s="83"/>
      <c r="CV559" s="83"/>
      <c r="CW559" s="83"/>
      <c r="CX559" s="83"/>
      <c r="CY559" s="83"/>
      <c r="CZ559" s="83"/>
      <c r="DA559" s="83"/>
      <c r="DB559" s="83"/>
      <c r="DC559" s="83"/>
    </row>
    <row r="560" spans="1:107" x14ac:dyDescent="0.3">
      <c r="A560" s="83"/>
      <c r="B560" s="83"/>
      <c r="C560" s="83"/>
      <c r="D560" s="83"/>
      <c r="E560" s="83"/>
      <c r="F560" s="83"/>
      <c r="G560" s="83"/>
      <c r="H560" s="83"/>
      <c r="I560" s="83"/>
      <c r="J560" s="83"/>
      <c r="K560" s="83"/>
      <c r="L560" s="83"/>
      <c r="M560" s="83"/>
      <c r="N560" s="83"/>
      <c r="O560" s="83"/>
      <c r="P560" s="83"/>
      <c r="Q560" s="83"/>
      <c r="R560" s="83"/>
      <c r="S560" s="83"/>
      <c r="T560" s="83"/>
      <c r="U560" s="83"/>
      <c r="V560" s="83"/>
      <c r="W560" s="83"/>
      <c r="X560" s="83"/>
      <c r="Y560" s="83"/>
      <c r="Z560" s="83"/>
      <c r="AA560" s="83"/>
      <c r="AB560" s="83"/>
      <c r="AC560" s="83"/>
      <c r="AD560" s="83"/>
      <c r="AE560" s="83"/>
      <c r="AF560" s="83"/>
      <c r="AG560" s="83"/>
      <c r="AH560" s="83"/>
      <c r="AI560" s="83"/>
      <c r="AJ560" s="83"/>
      <c r="AK560" s="83"/>
      <c r="AL560" s="83"/>
      <c r="AM560" s="83"/>
      <c r="AN560" s="83"/>
      <c r="AO560" s="83"/>
      <c r="AP560" s="83"/>
      <c r="AQ560" s="83"/>
      <c r="AR560" s="83"/>
      <c r="AS560" s="83"/>
      <c r="AT560" s="83"/>
      <c r="AU560" s="83"/>
      <c r="AV560" s="83"/>
      <c r="AW560" s="83"/>
      <c r="AX560" s="83"/>
      <c r="AY560" s="83"/>
      <c r="AZ560" s="83"/>
      <c r="BA560" s="83"/>
      <c r="BB560" s="83"/>
      <c r="BC560" s="83"/>
      <c r="BD560" s="83"/>
      <c r="BE560" s="83"/>
      <c r="BF560" s="83"/>
      <c r="BG560" s="83"/>
      <c r="BH560" s="83"/>
      <c r="BI560" s="83"/>
      <c r="BJ560" s="83"/>
      <c r="BK560" s="83"/>
      <c r="BL560" s="83"/>
      <c r="BM560" s="83"/>
      <c r="BN560" s="83"/>
      <c r="BO560" s="83"/>
      <c r="BP560" s="83"/>
      <c r="BQ560" s="83"/>
      <c r="BR560" s="83"/>
      <c r="BS560" s="83"/>
      <c r="BT560" s="83"/>
      <c r="BU560" s="83"/>
      <c r="BV560" s="83"/>
      <c r="BW560" s="83"/>
      <c r="BX560" s="83"/>
      <c r="BY560" s="83"/>
      <c r="BZ560" s="83"/>
      <c r="CA560" s="83"/>
      <c r="CB560" s="83"/>
      <c r="CC560" s="83"/>
      <c r="CD560" s="83"/>
      <c r="CE560" s="83"/>
      <c r="CF560" s="83"/>
      <c r="CG560" s="83"/>
      <c r="CH560" s="83"/>
      <c r="CI560" s="83"/>
      <c r="CJ560" s="83"/>
      <c r="CK560" s="83"/>
      <c r="CL560" s="83"/>
      <c r="CM560" s="83"/>
      <c r="CN560" s="83"/>
      <c r="CO560" s="83"/>
      <c r="CP560" s="83"/>
      <c r="CQ560" s="83"/>
      <c r="CR560" s="83"/>
      <c r="CS560" s="83"/>
      <c r="CT560" s="83"/>
      <c r="CU560" s="83"/>
      <c r="CV560" s="83"/>
      <c r="CW560" s="83"/>
      <c r="CX560" s="83"/>
      <c r="CY560" s="83"/>
      <c r="CZ560" s="83"/>
      <c r="DA560" s="83"/>
      <c r="DB560" s="83"/>
      <c r="DC560" s="83"/>
    </row>
    <row r="561" spans="1:107" x14ac:dyDescent="0.3">
      <c r="A561" s="83"/>
      <c r="B561" s="83"/>
      <c r="C561" s="83"/>
      <c r="D561" s="83"/>
      <c r="E561" s="83"/>
      <c r="F561" s="83"/>
      <c r="G561" s="83"/>
      <c r="H561" s="83"/>
      <c r="I561" s="83"/>
      <c r="J561" s="83"/>
      <c r="K561" s="83"/>
      <c r="L561" s="83"/>
      <c r="M561" s="83"/>
      <c r="N561" s="83"/>
      <c r="O561" s="83"/>
      <c r="P561" s="83"/>
      <c r="Q561" s="83"/>
      <c r="R561" s="83"/>
      <c r="S561" s="83"/>
      <c r="T561" s="83"/>
      <c r="U561" s="83"/>
      <c r="V561" s="83"/>
      <c r="W561" s="83"/>
      <c r="X561" s="83"/>
      <c r="Y561" s="83"/>
      <c r="Z561" s="83"/>
      <c r="AA561" s="83"/>
      <c r="AB561" s="83"/>
      <c r="AC561" s="83"/>
      <c r="AD561" s="83"/>
      <c r="AE561" s="83"/>
      <c r="AF561" s="83"/>
      <c r="AG561" s="83"/>
      <c r="AH561" s="83"/>
      <c r="AI561" s="83"/>
      <c r="AJ561" s="83"/>
      <c r="AK561" s="83"/>
      <c r="AL561" s="83"/>
      <c r="AM561" s="83"/>
      <c r="AN561" s="83"/>
      <c r="AO561" s="83"/>
      <c r="AP561" s="83"/>
      <c r="AQ561" s="83"/>
      <c r="AR561" s="83"/>
      <c r="AS561" s="83"/>
      <c r="AT561" s="83"/>
      <c r="AU561" s="83"/>
      <c r="AV561" s="83"/>
      <c r="AW561" s="83"/>
      <c r="AX561" s="83"/>
      <c r="AY561" s="83"/>
      <c r="AZ561" s="83"/>
      <c r="BA561" s="83"/>
      <c r="BB561" s="83"/>
      <c r="BC561" s="83"/>
      <c r="BD561" s="83"/>
      <c r="BE561" s="83"/>
      <c r="BF561" s="83"/>
      <c r="BG561" s="83"/>
      <c r="BH561" s="83"/>
      <c r="BI561" s="83"/>
      <c r="BJ561" s="83"/>
      <c r="BK561" s="83"/>
      <c r="BL561" s="83"/>
      <c r="BM561" s="83"/>
      <c r="BN561" s="83"/>
      <c r="BO561" s="83"/>
      <c r="BP561" s="83"/>
      <c r="BQ561" s="83"/>
      <c r="BR561" s="83"/>
      <c r="BS561" s="83"/>
      <c r="BT561" s="83"/>
      <c r="BU561" s="83"/>
      <c r="BV561" s="83"/>
      <c r="BW561" s="83"/>
      <c r="BX561" s="83"/>
      <c r="BY561" s="83"/>
      <c r="BZ561" s="83"/>
      <c r="CA561" s="83"/>
      <c r="CB561" s="83"/>
      <c r="CC561" s="83"/>
      <c r="CD561" s="83"/>
      <c r="CE561" s="83"/>
      <c r="CF561" s="83"/>
      <c r="CG561" s="83"/>
      <c r="CH561" s="83"/>
      <c r="CI561" s="83"/>
      <c r="CJ561" s="83"/>
      <c r="CK561" s="83"/>
      <c r="CL561" s="83"/>
      <c r="CM561" s="83"/>
      <c r="CN561" s="83"/>
      <c r="CO561" s="83"/>
      <c r="CP561" s="83"/>
      <c r="CQ561" s="83"/>
      <c r="CR561" s="83"/>
      <c r="CS561" s="83"/>
      <c r="CT561" s="83"/>
      <c r="CU561" s="83"/>
      <c r="CV561" s="83"/>
      <c r="CW561" s="83"/>
      <c r="CX561" s="83"/>
      <c r="CY561" s="83"/>
      <c r="CZ561" s="83"/>
      <c r="DA561" s="83"/>
      <c r="DB561" s="83"/>
      <c r="DC561" s="83"/>
    </row>
    <row r="562" spans="1:107" x14ac:dyDescent="0.3">
      <c r="A562" s="83"/>
      <c r="B562" s="83"/>
      <c r="C562" s="83"/>
      <c r="D562" s="83"/>
      <c r="E562" s="83"/>
      <c r="F562" s="83"/>
      <c r="G562" s="83"/>
      <c r="H562" s="83"/>
      <c r="I562" s="83"/>
      <c r="J562" s="83"/>
      <c r="K562" s="83"/>
      <c r="L562" s="83"/>
      <c r="M562" s="83"/>
      <c r="N562" s="83"/>
      <c r="O562" s="83"/>
      <c r="P562" s="83"/>
      <c r="Q562" s="83"/>
      <c r="R562" s="83"/>
      <c r="S562" s="83"/>
      <c r="T562" s="83"/>
      <c r="U562" s="83"/>
      <c r="V562" s="83"/>
      <c r="W562" s="83"/>
      <c r="X562" s="83"/>
      <c r="Y562" s="83"/>
      <c r="Z562" s="83"/>
      <c r="AA562" s="83"/>
      <c r="AB562" s="83"/>
      <c r="AC562" s="83"/>
      <c r="AD562" s="83"/>
      <c r="AE562" s="83"/>
      <c r="AF562" s="83"/>
      <c r="AG562" s="83"/>
      <c r="AH562" s="83"/>
      <c r="AI562" s="83"/>
      <c r="AJ562" s="83"/>
      <c r="AK562" s="83"/>
      <c r="AL562" s="83"/>
      <c r="AM562" s="83"/>
      <c r="AN562" s="83"/>
      <c r="AO562" s="83"/>
      <c r="AP562" s="83"/>
      <c r="AQ562" s="83"/>
      <c r="AR562" s="83"/>
      <c r="AS562" s="83"/>
      <c r="AT562" s="83"/>
      <c r="AU562" s="83"/>
      <c r="AV562" s="83"/>
      <c r="AW562" s="83"/>
      <c r="AX562" s="83"/>
      <c r="AY562" s="83"/>
      <c r="AZ562" s="83"/>
      <c r="BA562" s="83"/>
      <c r="BB562" s="83"/>
      <c r="BC562" s="83"/>
      <c r="BD562" s="83"/>
      <c r="BE562" s="83"/>
      <c r="BF562" s="83"/>
      <c r="BG562" s="83"/>
      <c r="BH562" s="83"/>
      <c r="BI562" s="83"/>
      <c r="BJ562" s="83"/>
      <c r="BK562" s="83"/>
      <c r="BL562" s="83"/>
      <c r="BM562" s="83"/>
      <c r="BN562" s="83"/>
      <c r="BO562" s="83"/>
      <c r="BP562" s="83"/>
      <c r="BQ562" s="83"/>
      <c r="BR562" s="83"/>
      <c r="BS562" s="83"/>
      <c r="BT562" s="83"/>
      <c r="BU562" s="83"/>
      <c r="BV562" s="83"/>
      <c r="BW562" s="83"/>
      <c r="BX562" s="83"/>
      <c r="BY562" s="83"/>
      <c r="BZ562" s="83"/>
      <c r="CA562" s="83"/>
      <c r="CB562" s="83"/>
      <c r="CC562" s="83"/>
      <c r="CD562" s="83"/>
      <c r="CE562" s="83"/>
      <c r="CF562" s="83"/>
      <c r="CG562" s="83"/>
      <c r="CH562" s="83"/>
      <c r="CI562" s="83"/>
      <c r="CJ562" s="83"/>
      <c r="CK562" s="83"/>
      <c r="CL562" s="83"/>
      <c r="CM562" s="83"/>
      <c r="CN562" s="83"/>
      <c r="CO562" s="83"/>
      <c r="CP562" s="83"/>
      <c r="CQ562" s="83"/>
      <c r="CR562" s="83"/>
      <c r="CS562" s="83"/>
      <c r="CT562" s="83"/>
      <c r="CU562" s="83"/>
      <c r="CV562" s="83"/>
      <c r="CW562" s="83"/>
      <c r="CX562" s="83"/>
      <c r="CY562" s="83"/>
      <c r="CZ562" s="83"/>
      <c r="DA562" s="83"/>
      <c r="DB562" s="83"/>
      <c r="DC562" s="83"/>
    </row>
    <row r="563" spans="1:107" x14ac:dyDescent="0.3">
      <c r="A563" s="83"/>
      <c r="B563" s="83"/>
      <c r="C563" s="83"/>
      <c r="D563" s="83"/>
      <c r="E563" s="83"/>
      <c r="F563" s="83"/>
      <c r="G563" s="83"/>
      <c r="H563" s="83"/>
      <c r="I563" s="83"/>
      <c r="J563" s="83"/>
      <c r="K563" s="83"/>
      <c r="L563" s="83"/>
      <c r="M563" s="83"/>
      <c r="N563" s="83"/>
      <c r="O563" s="83"/>
      <c r="P563" s="83"/>
      <c r="Q563" s="83"/>
      <c r="R563" s="83"/>
      <c r="S563" s="83"/>
      <c r="T563" s="83"/>
      <c r="U563" s="83"/>
      <c r="V563" s="83"/>
      <c r="W563" s="83"/>
      <c r="X563" s="83"/>
      <c r="Y563" s="83"/>
      <c r="Z563" s="83"/>
      <c r="AA563" s="83"/>
      <c r="AB563" s="83"/>
      <c r="AC563" s="83"/>
      <c r="AD563" s="83"/>
      <c r="AE563" s="83"/>
      <c r="AF563" s="83"/>
      <c r="AG563" s="83"/>
      <c r="AH563" s="83"/>
      <c r="AI563" s="83"/>
      <c r="AJ563" s="83"/>
      <c r="AK563" s="83"/>
      <c r="AL563" s="83"/>
      <c r="AM563" s="83"/>
      <c r="AN563" s="83"/>
      <c r="AO563" s="83"/>
      <c r="AP563" s="83"/>
      <c r="AQ563" s="83"/>
      <c r="AR563" s="83"/>
      <c r="AS563" s="83"/>
      <c r="AT563" s="83"/>
      <c r="AU563" s="83"/>
      <c r="AV563" s="83"/>
      <c r="AW563" s="83"/>
      <c r="AX563" s="83"/>
      <c r="AY563" s="83"/>
      <c r="AZ563" s="83"/>
      <c r="BA563" s="83"/>
      <c r="BB563" s="83"/>
      <c r="BC563" s="83"/>
      <c r="BD563" s="83"/>
      <c r="BE563" s="83"/>
      <c r="BF563" s="83"/>
      <c r="BG563" s="83"/>
      <c r="BH563" s="83"/>
      <c r="BI563" s="83"/>
      <c r="BJ563" s="83"/>
      <c r="BK563" s="83"/>
      <c r="BL563" s="83"/>
      <c r="BM563" s="83"/>
      <c r="BN563" s="83"/>
      <c r="BO563" s="83"/>
      <c r="BP563" s="83"/>
      <c r="BQ563" s="83"/>
      <c r="BR563" s="83"/>
      <c r="BS563" s="83"/>
      <c r="BT563" s="83"/>
      <c r="BU563" s="83"/>
      <c r="BV563" s="83"/>
      <c r="BW563" s="83"/>
      <c r="BX563" s="83"/>
      <c r="BY563" s="83"/>
      <c r="BZ563" s="83"/>
      <c r="CA563" s="83"/>
      <c r="CB563" s="83"/>
      <c r="CC563" s="83"/>
      <c r="CD563" s="83"/>
      <c r="CE563" s="83"/>
      <c r="CF563" s="83"/>
      <c r="CG563" s="83"/>
      <c r="CH563" s="83"/>
      <c r="CI563" s="83"/>
      <c r="CJ563" s="83"/>
      <c r="CK563" s="83"/>
      <c r="CL563" s="83"/>
      <c r="CM563" s="83"/>
      <c r="CN563" s="83"/>
      <c r="CO563" s="83"/>
      <c r="CP563" s="83"/>
      <c r="CQ563" s="83"/>
      <c r="CR563" s="83"/>
      <c r="CS563" s="83"/>
      <c r="CT563" s="83"/>
      <c r="CU563" s="83"/>
      <c r="CV563" s="83"/>
      <c r="CW563" s="83"/>
      <c r="CX563" s="83"/>
      <c r="CY563" s="83"/>
      <c r="CZ563" s="83"/>
      <c r="DA563" s="83"/>
      <c r="DB563" s="83"/>
      <c r="DC563" s="83"/>
    </row>
    <row r="564" spans="1:107" x14ac:dyDescent="0.3">
      <c r="A564" s="83"/>
      <c r="B564" s="83"/>
      <c r="C564" s="83"/>
      <c r="D564" s="83"/>
      <c r="E564" s="83"/>
      <c r="F564" s="83"/>
      <c r="G564" s="83"/>
      <c r="H564" s="83"/>
      <c r="I564" s="83"/>
      <c r="J564" s="83"/>
      <c r="K564" s="83"/>
      <c r="L564" s="83"/>
      <c r="M564" s="83"/>
      <c r="N564" s="83"/>
      <c r="O564" s="83"/>
      <c r="P564" s="83"/>
      <c r="Q564" s="83"/>
      <c r="R564" s="83"/>
      <c r="S564" s="83"/>
      <c r="T564" s="83"/>
      <c r="U564" s="83"/>
      <c r="V564" s="83"/>
      <c r="W564" s="83"/>
      <c r="X564" s="83"/>
      <c r="Y564" s="83"/>
      <c r="Z564" s="83"/>
      <c r="AA564" s="83"/>
      <c r="AB564" s="83"/>
      <c r="AC564" s="83"/>
      <c r="AD564" s="83"/>
      <c r="AE564" s="83"/>
      <c r="AF564" s="83"/>
      <c r="AG564" s="83"/>
      <c r="AH564" s="83"/>
      <c r="AI564" s="83"/>
      <c r="AJ564" s="83"/>
      <c r="AK564" s="83"/>
      <c r="AL564" s="83"/>
      <c r="AM564" s="83"/>
      <c r="AN564" s="83"/>
      <c r="AO564" s="83"/>
      <c r="AP564" s="83"/>
      <c r="AQ564" s="83"/>
      <c r="AR564" s="83"/>
      <c r="AS564" s="83"/>
      <c r="AT564" s="83"/>
      <c r="AU564" s="83"/>
      <c r="AV564" s="83"/>
      <c r="AW564" s="83"/>
      <c r="AX564" s="83"/>
      <c r="AY564" s="83"/>
      <c r="AZ564" s="83"/>
      <c r="BA564" s="83"/>
      <c r="BB564" s="83"/>
      <c r="BC564" s="83"/>
      <c r="BD564" s="83"/>
      <c r="BE564" s="83"/>
      <c r="BF564" s="83"/>
      <c r="BG564" s="83"/>
      <c r="BH564" s="83"/>
      <c r="BI564" s="83"/>
      <c r="BJ564" s="83"/>
      <c r="BK564" s="83"/>
      <c r="BL564" s="83"/>
      <c r="BM564" s="83"/>
      <c r="BN564" s="83"/>
      <c r="BO564" s="83"/>
      <c r="BP564" s="83"/>
      <c r="BQ564" s="83"/>
      <c r="BR564" s="83"/>
      <c r="BS564" s="83"/>
      <c r="BT564" s="83"/>
      <c r="BU564" s="83"/>
      <c r="BV564" s="83"/>
      <c r="BW564" s="83"/>
      <c r="BX564" s="83"/>
      <c r="BY564" s="83"/>
      <c r="BZ564" s="83"/>
      <c r="CA564" s="83"/>
      <c r="CB564" s="83"/>
      <c r="CC564" s="83"/>
      <c r="CD564" s="83"/>
      <c r="CE564" s="83"/>
      <c r="CF564" s="83"/>
      <c r="CG564" s="83"/>
      <c r="CH564" s="83"/>
      <c r="CI564" s="83"/>
      <c r="CJ564" s="83"/>
      <c r="CK564" s="83"/>
      <c r="CL564" s="83"/>
      <c r="CM564" s="83"/>
      <c r="CN564" s="83"/>
      <c r="CO564" s="83"/>
      <c r="CP564" s="83"/>
      <c r="CQ564" s="83"/>
      <c r="CR564" s="83"/>
      <c r="CS564" s="83"/>
      <c r="CT564" s="83"/>
      <c r="CU564" s="83"/>
      <c r="CV564" s="83"/>
      <c r="CW564" s="83"/>
      <c r="CX564" s="83"/>
      <c r="CY564" s="83"/>
      <c r="CZ564" s="83"/>
      <c r="DA564" s="83"/>
      <c r="DB564" s="83"/>
      <c r="DC564" s="83"/>
    </row>
    <row r="565" spans="1:107" x14ac:dyDescent="0.3">
      <c r="A565" s="83"/>
      <c r="B565" s="83"/>
      <c r="C565" s="83"/>
      <c r="D565" s="83"/>
      <c r="E565" s="83"/>
      <c r="F565" s="83"/>
      <c r="G565" s="83"/>
      <c r="H565" s="83"/>
      <c r="I565" s="83"/>
      <c r="J565" s="83"/>
      <c r="K565" s="83"/>
      <c r="L565" s="83"/>
      <c r="M565" s="83"/>
      <c r="N565" s="83"/>
      <c r="O565" s="83"/>
      <c r="P565" s="83"/>
      <c r="Q565" s="83"/>
      <c r="R565" s="83"/>
      <c r="S565" s="83"/>
      <c r="T565" s="83"/>
      <c r="U565" s="83"/>
      <c r="V565" s="83"/>
      <c r="W565" s="83"/>
      <c r="X565" s="83"/>
      <c r="Y565" s="83"/>
      <c r="Z565" s="83"/>
      <c r="AA565" s="83"/>
      <c r="AB565" s="83"/>
      <c r="AC565" s="83"/>
      <c r="AD565" s="83"/>
      <c r="AE565" s="83"/>
      <c r="AF565" s="83"/>
      <c r="AG565" s="83"/>
      <c r="AH565" s="83"/>
      <c r="AI565" s="83"/>
      <c r="AJ565" s="83"/>
      <c r="AK565" s="83"/>
      <c r="AL565" s="83"/>
      <c r="AM565" s="83"/>
      <c r="AN565" s="83"/>
      <c r="AO565" s="83"/>
      <c r="AP565" s="83"/>
      <c r="AQ565" s="83"/>
      <c r="AR565" s="83"/>
      <c r="AS565" s="83"/>
      <c r="AT565" s="83"/>
      <c r="AU565" s="83"/>
      <c r="AV565" s="83"/>
      <c r="AW565" s="83"/>
      <c r="AX565" s="83"/>
      <c r="AY565" s="83"/>
      <c r="AZ565" s="83"/>
      <c r="BA565" s="83"/>
      <c r="BB565" s="83"/>
      <c r="BC565" s="83"/>
      <c r="BD565" s="83"/>
      <c r="BE565" s="83"/>
      <c r="BF565" s="83"/>
      <c r="BG565" s="83"/>
      <c r="BH565" s="83"/>
      <c r="BI565" s="83"/>
      <c r="BJ565" s="83"/>
      <c r="BK565" s="83"/>
      <c r="BL565" s="83"/>
      <c r="BM565" s="83"/>
      <c r="BN565" s="83"/>
      <c r="BO565" s="83"/>
      <c r="BP565" s="83"/>
      <c r="BQ565" s="83"/>
      <c r="BR565" s="83"/>
      <c r="BS565" s="83"/>
      <c r="BT565" s="83"/>
      <c r="BU565" s="83"/>
      <c r="BV565" s="83"/>
      <c r="BW565" s="83"/>
      <c r="BX565" s="83"/>
      <c r="BY565" s="83"/>
      <c r="BZ565" s="83"/>
      <c r="CA565" s="83"/>
      <c r="CB565" s="83"/>
      <c r="CC565" s="83"/>
      <c r="CD565" s="83"/>
      <c r="CE565" s="83"/>
      <c r="CF565" s="83"/>
      <c r="CG565" s="83"/>
      <c r="CH565" s="83"/>
      <c r="CI565" s="83"/>
      <c r="CJ565" s="83"/>
      <c r="CK565" s="83"/>
      <c r="CL565" s="83"/>
      <c r="CM565" s="83"/>
      <c r="CN565" s="83"/>
      <c r="CO565" s="83"/>
      <c r="CP565" s="83"/>
      <c r="CQ565" s="83"/>
      <c r="CR565" s="83"/>
      <c r="CS565" s="83"/>
      <c r="CT565" s="83"/>
      <c r="CU565" s="83"/>
      <c r="CV565" s="83"/>
      <c r="CW565" s="83"/>
      <c r="CX565" s="83"/>
      <c r="CY565" s="83"/>
      <c r="CZ565" s="83"/>
      <c r="DA565" s="83"/>
      <c r="DB565" s="83"/>
      <c r="DC565" s="83"/>
    </row>
    <row r="566" spans="1:107" x14ac:dyDescent="0.3">
      <c r="A566" s="83"/>
      <c r="B566" s="83"/>
      <c r="C566" s="83"/>
      <c r="D566" s="83"/>
      <c r="E566" s="83"/>
      <c r="F566" s="83"/>
      <c r="G566" s="83"/>
      <c r="H566" s="83"/>
      <c r="I566" s="83"/>
      <c r="J566" s="83"/>
      <c r="K566" s="83"/>
      <c r="L566" s="83"/>
      <c r="M566" s="83"/>
      <c r="N566" s="83"/>
      <c r="O566" s="83"/>
      <c r="P566" s="83"/>
      <c r="Q566" s="83"/>
      <c r="R566" s="83"/>
      <c r="S566" s="83"/>
      <c r="T566" s="83"/>
      <c r="U566" s="83"/>
      <c r="V566" s="83"/>
      <c r="W566" s="83"/>
      <c r="X566" s="83"/>
      <c r="Y566" s="83"/>
      <c r="Z566" s="83"/>
      <c r="AA566" s="83"/>
      <c r="AB566" s="83"/>
      <c r="AC566" s="83"/>
      <c r="AD566" s="83"/>
      <c r="AE566" s="83"/>
      <c r="AF566" s="83"/>
      <c r="AG566" s="83"/>
      <c r="AH566" s="83"/>
      <c r="AI566" s="83"/>
      <c r="AJ566" s="83"/>
      <c r="AK566" s="83"/>
      <c r="AL566" s="83"/>
      <c r="AM566" s="83"/>
      <c r="AN566" s="83"/>
      <c r="AO566" s="83"/>
      <c r="AP566" s="83"/>
      <c r="AQ566" s="83"/>
      <c r="AR566" s="83"/>
      <c r="AS566" s="83"/>
      <c r="AT566" s="83"/>
      <c r="AU566" s="83"/>
      <c r="AV566" s="83"/>
      <c r="AW566" s="83"/>
      <c r="AX566" s="83"/>
      <c r="AY566" s="83"/>
      <c r="AZ566" s="83"/>
      <c r="BA566" s="83"/>
      <c r="BB566" s="83"/>
      <c r="BC566" s="83"/>
      <c r="BD566" s="83"/>
      <c r="BE566" s="83"/>
      <c r="BF566" s="83"/>
      <c r="BG566" s="83"/>
      <c r="BH566" s="83"/>
      <c r="BI566" s="83"/>
      <c r="BJ566" s="83"/>
      <c r="BK566" s="83"/>
      <c r="BL566" s="83"/>
      <c r="BM566" s="83"/>
      <c r="BN566" s="83"/>
      <c r="BO566" s="83"/>
      <c r="BP566" s="83"/>
      <c r="BQ566" s="83"/>
      <c r="BR566" s="83"/>
      <c r="BS566" s="83"/>
      <c r="BT566" s="83"/>
      <c r="BU566" s="83"/>
      <c r="BV566" s="83"/>
      <c r="BW566" s="83"/>
      <c r="BX566" s="83"/>
      <c r="BY566" s="83"/>
      <c r="BZ566" s="83"/>
      <c r="CA566" s="83"/>
      <c r="CB566" s="83"/>
      <c r="CC566" s="83"/>
      <c r="CD566" s="83"/>
      <c r="CE566" s="83"/>
      <c r="CF566" s="83"/>
      <c r="CG566" s="83"/>
      <c r="CH566" s="83"/>
      <c r="CI566" s="83"/>
      <c r="CJ566" s="83"/>
      <c r="CK566" s="83"/>
      <c r="CL566" s="83"/>
      <c r="CM566" s="83"/>
      <c r="CN566" s="83"/>
      <c r="CO566" s="83"/>
      <c r="CP566" s="83"/>
      <c r="CQ566" s="83"/>
      <c r="CR566" s="83"/>
      <c r="CS566" s="83"/>
      <c r="CT566" s="83"/>
      <c r="CU566" s="83"/>
      <c r="CV566" s="83"/>
      <c r="CW566" s="83"/>
      <c r="CX566" s="83"/>
      <c r="CY566" s="83"/>
      <c r="CZ566" s="83"/>
      <c r="DA566" s="83"/>
      <c r="DB566" s="83"/>
      <c r="DC566" s="83"/>
    </row>
    <row r="567" spans="1:107" x14ac:dyDescent="0.3">
      <c r="A567" s="83"/>
      <c r="B567" s="83"/>
      <c r="C567" s="83"/>
      <c r="D567" s="83"/>
      <c r="E567" s="83"/>
      <c r="F567" s="83"/>
      <c r="G567" s="83"/>
      <c r="H567" s="83"/>
      <c r="I567" s="83"/>
      <c r="J567" s="83"/>
      <c r="K567" s="83"/>
      <c r="L567" s="83"/>
      <c r="M567" s="83"/>
      <c r="N567" s="83"/>
      <c r="O567" s="83"/>
      <c r="P567" s="83"/>
      <c r="Q567" s="83"/>
      <c r="R567" s="83"/>
      <c r="S567" s="83"/>
      <c r="T567" s="83"/>
      <c r="U567" s="83"/>
      <c r="V567" s="83"/>
      <c r="W567" s="83"/>
      <c r="X567" s="83"/>
      <c r="Y567" s="83"/>
      <c r="Z567" s="83"/>
      <c r="AA567" s="83"/>
      <c r="AB567" s="83"/>
      <c r="AC567" s="83"/>
      <c r="AD567" s="83"/>
      <c r="AE567" s="83"/>
      <c r="AF567" s="83"/>
      <c r="AG567" s="83"/>
      <c r="AH567" s="83"/>
      <c r="AI567" s="83"/>
      <c r="AJ567" s="83"/>
      <c r="AK567" s="83"/>
      <c r="AL567" s="83"/>
      <c r="AM567" s="83"/>
      <c r="AN567" s="83"/>
      <c r="AO567" s="83"/>
      <c r="AP567" s="83"/>
      <c r="AQ567" s="83"/>
      <c r="AR567" s="83"/>
      <c r="AS567" s="83"/>
      <c r="AT567" s="83"/>
      <c r="AU567" s="83"/>
      <c r="AV567" s="83"/>
      <c r="AW567" s="83"/>
      <c r="AX567" s="83"/>
      <c r="AY567" s="83"/>
      <c r="AZ567" s="83"/>
      <c r="BA567" s="83"/>
      <c r="BB567" s="83"/>
      <c r="BC567" s="83"/>
      <c r="BD567" s="83"/>
      <c r="BE567" s="83"/>
      <c r="BF567" s="83"/>
      <c r="BG567" s="83"/>
      <c r="BH567" s="83"/>
      <c r="BI567" s="83"/>
      <c r="BJ567" s="83"/>
      <c r="BK567" s="83"/>
      <c r="BL567" s="83"/>
      <c r="BM567" s="83"/>
      <c r="BN567" s="83"/>
      <c r="BO567" s="83"/>
      <c r="BP567" s="83"/>
      <c r="BQ567" s="83"/>
      <c r="BR567" s="83"/>
      <c r="BS567" s="83"/>
      <c r="BT567" s="83"/>
      <c r="BU567" s="83"/>
      <c r="BV567" s="83"/>
      <c r="BW567" s="83"/>
      <c r="BX567" s="83"/>
      <c r="BY567" s="83"/>
      <c r="BZ567" s="83"/>
      <c r="CA567" s="83"/>
      <c r="CB567" s="83"/>
      <c r="CC567" s="83"/>
      <c r="CD567" s="83"/>
      <c r="CE567" s="83"/>
      <c r="CF567" s="83"/>
      <c r="CG567" s="83"/>
      <c r="CH567" s="83"/>
      <c r="CI567" s="83"/>
      <c r="CJ567" s="83"/>
      <c r="CK567" s="83"/>
      <c r="CL567" s="83"/>
      <c r="CM567" s="83"/>
      <c r="CN567" s="83"/>
      <c r="CO567" s="83"/>
      <c r="CP567" s="83"/>
      <c r="CQ567" s="83"/>
      <c r="CR567" s="83"/>
      <c r="CS567" s="83"/>
      <c r="CT567" s="83"/>
      <c r="CU567" s="83"/>
      <c r="CV567" s="83"/>
      <c r="CW567" s="83"/>
      <c r="CX567" s="83"/>
      <c r="CY567" s="83"/>
      <c r="CZ567" s="83"/>
      <c r="DA567" s="83"/>
      <c r="DB567" s="83"/>
      <c r="DC567" s="83"/>
    </row>
    <row r="568" spans="1:107" x14ac:dyDescent="0.3">
      <c r="A568" s="83"/>
      <c r="B568" s="83"/>
      <c r="C568" s="83"/>
      <c r="D568" s="83"/>
      <c r="E568" s="83"/>
      <c r="F568" s="83"/>
      <c r="G568" s="83"/>
      <c r="H568" s="83"/>
      <c r="I568" s="83"/>
      <c r="J568" s="83"/>
      <c r="K568" s="83"/>
      <c r="L568" s="83"/>
      <c r="M568" s="83"/>
      <c r="N568" s="83"/>
      <c r="O568" s="83"/>
      <c r="P568" s="83"/>
      <c r="Q568" s="83"/>
      <c r="R568" s="83"/>
      <c r="S568" s="83"/>
      <c r="T568" s="83"/>
      <c r="U568" s="83"/>
      <c r="V568" s="83"/>
      <c r="W568" s="83"/>
      <c r="X568" s="83"/>
      <c r="Y568" s="83"/>
      <c r="Z568" s="83"/>
      <c r="AA568" s="83"/>
      <c r="AB568" s="83"/>
      <c r="AC568" s="83"/>
      <c r="AD568" s="83"/>
      <c r="AE568" s="83"/>
      <c r="AF568" s="83"/>
      <c r="AG568" s="83"/>
      <c r="AH568" s="83"/>
      <c r="AI568" s="83"/>
      <c r="AJ568" s="83"/>
      <c r="AK568" s="83"/>
      <c r="AL568" s="83"/>
      <c r="AM568" s="83"/>
      <c r="AN568" s="83"/>
      <c r="AO568" s="83"/>
      <c r="AP568" s="83"/>
      <c r="AQ568" s="83"/>
      <c r="AR568" s="83"/>
      <c r="AS568" s="83"/>
      <c r="AT568" s="83"/>
      <c r="AU568" s="83"/>
      <c r="AV568" s="83"/>
      <c r="AW568" s="83"/>
      <c r="AX568" s="83"/>
      <c r="AY568" s="83"/>
      <c r="AZ568" s="83"/>
      <c r="BA568" s="83"/>
      <c r="BB568" s="83"/>
      <c r="BC568" s="83"/>
      <c r="BD568" s="83"/>
      <c r="BE568" s="83"/>
      <c r="BF568" s="83"/>
      <c r="BG568" s="83"/>
      <c r="BH568" s="83"/>
      <c r="BI568" s="83"/>
      <c r="BJ568" s="83"/>
      <c r="BK568" s="83"/>
      <c r="BL568" s="83"/>
      <c r="BM568" s="83"/>
      <c r="BN568" s="83"/>
      <c r="BO568" s="83"/>
      <c r="BP568" s="83"/>
      <c r="BQ568" s="83"/>
      <c r="BR568" s="83"/>
      <c r="BS568" s="83"/>
      <c r="BT568" s="83"/>
      <c r="BU568" s="83"/>
      <c r="BV568" s="83"/>
      <c r="BW568" s="83"/>
      <c r="BX568" s="83"/>
      <c r="BY568" s="83"/>
      <c r="BZ568" s="83"/>
      <c r="CA568" s="83"/>
      <c r="CB568" s="83"/>
      <c r="CC568" s="83"/>
      <c r="CD568" s="83"/>
      <c r="CE568" s="83"/>
      <c r="CF568" s="83"/>
      <c r="CG568" s="83"/>
      <c r="CH568" s="83"/>
      <c r="CI568" s="83"/>
      <c r="CJ568" s="83"/>
      <c r="CK568" s="83"/>
      <c r="CL568" s="83"/>
      <c r="CM568" s="83"/>
      <c r="CN568" s="83"/>
      <c r="CO568" s="83"/>
      <c r="CP568" s="83"/>
      <c r="CQ568" s="83"/>
      <c r="CR568" s="83"/>
      <c r="CS568" s="83"/>
      <c r="CT568" s="83"/>
      <c r="CU568" s="83"/>
      <c r="CV568" s="83"/>
      <c r="CW568" s="83"/>
      <c r="CX568" s="83"/>
      <c r="CY568" s="83"/>
      <c r="CZ568" s="83"/>
      <c r="DA568" s="83"/>
      <c r="DB568" s="83"/>
      <c r="DC568" s="83"/>
    </row>
    <row r="569" spans="1:107" x14ac:dyDescent="0.3">
      <c r="A569" s="83"/>
      <c r="B569" s="83"/>
      <c r="C569" s="83"/>
      <c r="D569" s="83"/>
      <c r="E569" s="83"/>
      <c r="F569" s="83"/>
      <c r="G569" s="83"/>
      <c r="H569" s="83"/>
      <c r="I569" s="83"/>
      <c r="J569" s="83"/>
      <c r="K569" s="83"/>
      <c r="L569" s="83"/>
      <c r="M569" s="83"/>
      <c r="N569" s="83"/>
      <c r="O569" s="83"/>
      <c r="P569" s="83"/>
      <c r="Q569" s="83"/>
      <c r="R569" s="83"/>
      <c r="S569" s="83"/>
      <c r="T569" s="83"/>
      <c r="U569" s="83"/>
      <c r="V569" s="83"/>
      <c r="W569" s="83"/>
      <c r="X569" s="83"/>
      <c r="Y569" s="83"/>
      <c r="Z569" s="83"/>
      <c r="AA569" s="83"/>
      <c r="AB569" s="83"/>
      <c r="AC569" s="83"/>
      <c r="AD569" s="83"/>
      <c r="AE569" s="83"/>
      <c r="AF569" s="83"/>
      <c r="AG569" s="83"/>
      <c r="AH569" s="83"/>
      <c r="AI569" s="83"/>
      <c r="AJ569" s="83"/>
      <c r="AK569" s="83"/>
      <c r="AL569" s="83"/>
      <c r="AM569" s="83"/>
      <c r="AN569" s="83"/>
      <c r="AO569" s="83"/>
      <c r="AP569" s="83"/>
      <c r="AQ569" s="83"/>
      <c r="AR569" s="83"/>
      <c r="AS569" s="83"/>
      <c r="AT569" s="83"/>
      <c r="AU569" s="83"/>
      <c r="AV569" s="83"/>
      <c r="AW569" s="83"/>
      <c r="AX569" s="83"/>
      <c r="AY569" s="83"/>
      <c r="AZ569" s="83"/>
      <c r="BA569" s="83"/>
      <c r="BB569" s="83"/>
      <c r="BC569" s="83"/>
      <c r="BD569" s="83"/>
      <c r="BE569" s="83"/>
      <c r="BF569" s="83"/>
      <c r="BG569" s="83"/>
      <c r="BH569" s="83"/>
      <c r="BI569" s="83"/>
      <c r="BJ569" s="83"/>
      <c r="BK569" s="83"/>
      <c r="BL569" s="83"/>
      <c r="BM569" s="83"/>
      <c r="BN569" s="83"/>
      <c r="BO569" s="83"/>
      <c r="BP569" s="83"/>
      <c r="BQ569" s="83"/>
      <c r="BR569" s="83"/>
      <c r="BS569" s="83"/>
      <c r="BT569" s="83"/>
      <c r="BU569" s="83"/>
      <c r="BV569" s="83"/>
      <c r="BW569" s="83"/>
      <c r="BX569" s="83"/>
      <c r="BY569" s="83"/>
      <c r="BZ569" s="83"/>
      <c r="CA569" s="83"/>
      <c r="CB569" s="83"/>
      <c r="CC569" s="83"/>
      <c r="CD569" s="83"/>
      <c r="CE569" s="83"/>
      <c r="CF569" s="83"/>
      <c r="CG569" s="83"/>
      <c r="CH569" s="83"/>
      <c r="CI569" s="83"/>
      <c r="CJ569" s="83"/>
      <c r="CK569" s="83"/>
      <c r="CL569" s="83"/>
      <c r="CM569" s="83"/>
      <c r="CN569" s="83"/>
      <c r="CO569" s="83"/>
      <c r="CP569" s="83"/>
      <c r="CQ569" s="83"/>
      <c r="CR569" s="83"/>
      <c r="CS569" s="83"/>
      <c r="CT569" s="83"/>
      <c r="CU569" s="83"/>
      <c r="CV569" s="83"/>
      <c r="CW569" s="83"/>
      <c r="CX569" s="83"/>
      <c r="CY569" s="83"/>
      <c r="CZ569" s="83"/>
      <c r="DA569" s="83"/>
      <c r="DB569" s="83"/>
      <c r="DC569" s="83"/>
    </row>
    <row r="570" spans="1:107" x14ac:dyDescent="0.3">
      <c r="A570" s="83"/>
      <c r="B570" s="83"/>
      <c r="C570" s="83"/>
      <c r="D570" s="83"/>
      <c r="E570" s="83"/>
      <c r="F570" s="83"/>
      <c r="G570" s="83"/>
      <c r="H570" s="83"/>
      <c r="I570" s="83"/>
      <c r="J570" s="83"/>
      <c r="K570" s="83"/>
      <c r="L570" s="83"/>
      <c r="M570" s="83"/>
      <c r="N570" s="83"/>
      <c r="O570" s="83"/>
      <c r="P570" s="83"/>
      <c r="Q570" s="83"/>
      <c r="R570" s="83"/>
      <c r="S570" s="83"/>
      <c r="T570" s="83"/>
      <c r="U570" s="83"/>
      <c r="V570" s="83"/>
      <c r="W570" s="83"/>
      <c r="X570" s="83"/>
      <c r="Y570" s="83"/>
      <c r="Z570" s="83"/>
      <c r="AA570" s="83"/>
      <c r="AB570" s="83"/>
      <c r="AC570" s="83"/>
      <c r="AD570" s="83"/>
      <c r="AE570" s="83"/>
      <c r="AF570" s="83"/>
      <c r="AG570" s="83"/>
      <c r="AH570" s="83"/>
      <c r="AI570" s="83"/>
      <c r="AJ570" s="83"/>
      <c r="AK570" s="83"/>
      <c r="AL570" s="83"/>
      <c r="AM570" s="83"/>
      <c r="AN570" s="83"/>
      <c r="AO570" s="83"/>
      <c r="AP570" s="83"/>
      <c r="AQ570" s="83"/>
      <c r="AR570" s="83"/>
      <c r="AS570" s="83"/>
      <c r="AT570" s="83"/>
      <c r="AU570" s="83"/>
      <c r="AV570" s="83"/>
      <c r="AW570" s="83"/>
      <c r="AX570" s="83"/>
      <c r="AY570" s="83"/>
      <c r="AZ570" s="83"/>
      <c r="BA570" s="83"/>
      <c r="BB570" s="83"/>
      <c r="BC570" s="83"/>
      <c r="BD570" s="83"/>
      <c r="BE570" s="83"/>
      <c r="BF570" s="83"/>
      <c r="BG570" s="83"/>
      <c r="BH570" s="83"/>
      <c r="BI570" s="83"/>
      <c r="BJ570" s="83"/>
      <c r="BK570" s="83"/>
      <c r="BL570" s="83"/>
      <c r="BM570" s="83"/>
      <c r="BN570" s="83"/>
      <c r="BO570" s="83"/>
      <c r="BP570" s="83"/>
      <c r="BQ570" s="83"/>
      <c r="BR570" s="83"/>
      <c r="BS570" s="83"/>
      <c r="BT570" s="83"/>
      <c r="BU570" s="83"/>
      <c r="BV570" s="83"/>
      <c r="BW570" s="83"/>
      <c r="BX570" s="83"/>
      <c r="BY570" s="83"/>
      <c r="BZ570" s="83"/>
      <c r="CA570" s="83"/>
      <c r="CB570" s="83"/>
      <c r="CC570" s="83"/>
      <c r="CD570" s="83"/>
      <c r="CE570" s="83"/>
      <c r="CF570" s="83"/>
      <c r="CG570" s="83"/>
      <c r="CH570" s="83"/>
      <c r="CI570" s="83"/>
      <c r="CJ570" s="83"/>
      <c r="CK570" s="83"/>
      <c r="CL570" s="83"/>
      <c r="CM570" s="83"/>
      <c r="CN570" s="83"/>
      <c r="CO570" s="83"/>
      <c r="CP570" s="83"/>
      <c r="CQ570" s="83"/>
      <c r="CR570" s="83"/>
      <c r="CS570" s="83"/>
      <c r="CT570" s="83"/>
      <c r="CU570" s="83"/>
      <c r="CV570" s="83"/>
      <c r="CW570" s="83"/>
      <c r="CX570" s="83"/>
      <c r="CY570" s="83"/>
      <c r="CZ570" s="83"/>
      <c r="DA570" s="83"/>
      <c r="DB570" s="83"/>
      <c r="DC570" s="83"/>
    </row>
    <row r="571" spans="1:107" x14ac:dyDescent="0.3">
      <c r="A571" s="83"/>
      <c r="B571" s="83"/>
      <c r="C571" s="83"/>
      <c r="D571" s="83"/>
      <c r="E571" s="83"/>
      <c r="F571" s="83"/>
      <c r="G571" s="83"/>
      <c r="H571" s="83"/>
      <c r="I571" s="83"/>
      <c r="J571" s="83"/>
      <c r="K571" s="83"/>
      <c r="L571" s="83"/>
      <c r="M571" s="83"/>
      <c r="N571" s="83"/>
      <c r="O571" s="83"/>
      <c r="P571" s="83"/>
      <c r="Q571" s="83"/>
      <c r="R571" s="83"/>
      <c r="S571" s="83"/>
      <c r="T571" s="83"/>
      <c r="U571" s="83"/>
      <c r="V571" s="83"/>
      <c r="W571" s="83"/>
      <c r="X571" s="83"/>
      <c r="Y571" s="83"/>
      <c r="Z571" s="83"/>
      <c r="AA571" s="83"/>
      <c r="AB571" s="83"/>
      <c r="AC571" s="83"/>
      <c r="AD571" s="83"/>
      <c r="AE571" s="83"/>
      <c r="AF571" s="83"/>
      <c r="AG571" s="83"/>
      <c r="AH571" s="83"/>
      <c r="AI571" s="83"/>
      <c r="AJ571" s="83"/>
      <c r="AK571" s="83"/>
      <c r="AL571" s="83"/>
      <c r="AM571" s="83"/>
      <c r="AN571" s="83"/>
      <c r="AO571" s="83"/>
      <c r="AP571" s="83"/>
      <c r="AQ571" s="83"/>
      <c r="AR571" s="83"/>
      <c r="AS571" s="83"/>
      <c r="AT571" s="83"/>
      <c r="AU571" s="83"/>
      <c r="AV571" s="83"/>
      <c r="AW571" s="83"/>
      <c r="AX571" s="83"/>
      <c r="AY571" s="83"/>
      <c r="AZ571" s="83"/>
      <c r="BA571" s="83"/>
      <c r="BB571" s="83"/>
      <c r="BC571" s="83"/>
      <c r="BD571" s="83"/>
      <c r="BE571" s="83"/>
      <c r="BF571" s="83"/>
      <c r="BG571" s="83"/>
      <c r="BH571" s="83"/>
      <c r="BI571" s="83"/>
      <c r="BJ571" s="83"/>
      <c r="BK571" s="83"/>
      <c r="BL571" s="83"/>
      <c r="BM571" s="83"/>
      <c r="BN571" s="83"/>
      <c r="BO571" s="83"/>
      <c r="BP571" s="83"/>
      <c r="BQ571" s="83"/>
      <c r="BR571" s="83"/>
      <c r="BS571" s="83"/>
      <c r="BT571" s="83"/>
      <c r="BU571" s="83"/>
      <c r="BV571" s="83"/>
      <c r="BW571" s="83"/>
      <c r="BX571" s="83"/>
      <c r="BY571" s="83"/>
      <c r="BZ571" s="83"/>
      <c r="CA571" s="83"/>
      <c r="CB571" s="83"/>
      <c r="CC571" s="83"/>
      <c r="CD571" s="83"/>
      <c r="CE571" s="83"/>
      <c r="CF571" s="83"/>
      <c r="CG571" s="83"/>
      <c r="CH571" s="83"/>
      <c r="CI571" s="83"/>
      <c r="CJ571" s="83"/>
      <c r="CK571" s="83"/>
      <c r="CL571" s="83"/>
      <c r="CM571" s="83"/>
      <c r="CN571" s="83"/>
      <c r="CO571" s="83"/>
      <c r="CP571" s="83"/>
      <c r="CQ571" s="83"/>
      <c r="CR571" s="83"/>
      <c r="CS571" s="83"/>
      <c r="CT571" s="83"/>
      <c r="CU571" s="83"/>
      <c r="CV571" s="83"/>
      <c r="CW571" s="83"/>
      <c r="CX571" s="83"/>
      <c r="CY571" s="83"/>
      <c r="CZ571" s="83"/>
      <c r="DA571" s="83"/>
      <c r="DB571" s="83"/>
      <c r="DC571" s="83"/>
    </row>
    <row r="572" spans="1:107" x14ac:dyDescent="0.3">
      <c r="A572" s="83"/>
      <c r="B572" s="83"/>
      <c r="C572" s="83"/>
      <c r="D572" s="83"/>
      <c r="E572" s="83"/>
      <c r="F572" s="83"/>
      <c r="G572" s="83"/>
      <c r="H572" s="83"/>
      <c r="I572" s="83"/>
      <c r="J572" s="83"/>
      <c r="K572" s="83"/>
      <c r="L572" s="83"/>
      <c r="M572" s="83"/>
      <c r="N572" s="83"/>
      <c r="O572" s="83"/>
      <c r="P572" s="83"/>
      <c r="Q572" s="83"/>
      <c r="R572" s="83"/>
      <c r="S572" s="83"/>
      <c r="T572" s="83"/>
      <c r="U572" s="83"/>
      <c r="V572" s="83"/>
      <c r="W572" s="83"/>
      <c r="X572" s="83"/>
      <c r="Y572" s="83"/>
      <c r="Z572" s="83"/>
      <c r="AA572" s="83"/>
      <c r="AB572" s="83"/>
      <c r="AC572" s="83"/>
      <c r="AD572" s="83"/>
      <c r="AE572" s="83"/>
      <c r="AF572" s="83"/>
      <c r="AG572" s="83"/>
      <c r="AH572" s="83"/>
      <c r="AI572" s="83"/>
      <c r="AJ572" s="83"/>
      <c r="AK572" s="83"/>
      <c r="AL572" s="83"/>
      <c r="AM572" s="83"/>
      <c r="AN572" s="83"/>
      <c r="AO572" s="83"/>
      <c r="AP572" s="83"/>
      <c r="AQ572" s="83"/>
      <c r="AR572" s="83"/>
      <c r="AS572" s="83"/>
      <c r="AT572" s="83"/>
      <c r="AU572" s="83"/>
      <c r="AV572" s="83"/>
      <c r="AW572" s="83"/>
      <c r="AX572" s="83"/>
      <c r="AY572" s="83"/>
      <c r="AZ572" s="83"/>
      <c r="BA572" s="83"/>
      <c r="BB572" s="83"/>
      <c r="BC572" s="83"/>
      <c r="BD572" s="83"/>
      <c r="BE572" s="83"/>
      <c r="BF572" s="83"/>
      <c r="BG572" s="83"/>
      <c r="BH572" s="83"/>
      <c r="BI572" s="83"/>
      <c r="BJ572" s="83"/>
      <c r="BK572" s="83"/>
      <c r="BL572" s="83"/>
      <c r="BM572" s="83"/>
      <c r="BN572" s="83"/>
      <c r="BO572" s="83"/>
      <c r="BP572" s="83"/>
      <c r="BQ572" s="83"/>
      <c r="BR572" s="83"/>
      <c r="BS572" s="83"/>
      <c r="BT572" s="83"/>
      <c r="BU572" s="83"/>
      <c r="BV572" s="83"/>
      <c r="BW572" s="83"/>
      <c r="BX572" s="83"/>
      <c r="BY572" s="83"/>
      <c r="BZ572" s="83"/>
      <c r="CA572" s="83"/>
      <c r="CB572" s="83"/>
      <c r="CC572" s="83"/>
      <c r="CD572" s="83"/>
      <c r="CE572" s="83"/>
      <c r="CF572" s="83"/>
      <c r="CG572" s="83"/>
      <c r="CH572" s="83"/>
      <c r="CI572" s="83"/>
      <c r="CJ572" s="83"/>
      <c r="CK572" s="83"/>
      <c r="CL572" s="83"/>
      <c r="CM572" s="83"/>
      <c r="CN572" s="83"/>
      <c r="CO572" s="83"/>
      <c r="CP572" s="83"/>
      <c r="CQ572" s="83"/>
      <c r="CR572" s="83"/>
      <c r="CS572" s="83"/>
      <c r="CT572" s="83"/>
      <c r="CU572" s="83"/>
      <c r="CV572" s="83"/>
      <c r="CW572" s="83"/>
      <c r="CX572" s="83"/>
      <c r="CY572" s="83"/>
      <c r="CZ572" s="83"/>
      <c r="DA572" s="83"/>
      <c r="DB572" s="83"/>
      <c r="DC572" s="83"/>
    </row>
    <row r="573" spans="1:107" x14ac:dyDescent="0.3">
      <c r="A573" s="83"/>
      <c r="B573" s="83"/>
      <c r="C573" s="83"/>
      <c r="D573" s="83"/>
      <c r="E573" s="83"/>
      <c r="F573" s="83"/>
      <c r="G573" s="83"/>
      <c r="H573" s="83"/>
      <c r="I573" s="83"/>
      <c r="J573" s="83"/>
      <c r="K573" s="83"/>
      <c r="L573" s="83"/>
      <c r="M573" s="83"/>
      <c r="N573" s="83"/>
      <c r="O573" s="83"/>
      <c r="P573" s="83"/>
      <c r="Q573" s="83"/>
      <c r="R573" s="83"/>
      <c r="S573" s="83"/>
      <c r="T573" s="83"/>
      <c r="U573" s="83"/>
      <c r="V573" s="83"/>
      <c r="W573" s="83"/>
      <c r="X573" s="83"/>
      <c r="Y573" s="83"/>
      <c r="Z573" s="83"/>
      <c r="AA573" s="83"/>
      <c r="AB573" s="83"/>
      <c r="AC573" s="83"/>
      <c r="AD573" s="83"/>
      <c r="AE573" s="83"/>
      <c r="AF573" s="83"/>
      <c r="AG573" s="83"/>
      <c r="AH573" s="83"/>
      <c r="AI573" s="83"/>
      <c r="AJ573" s="83"/>
      <c r="AK573" s="83"/>
      <c r="AL573" s="83"/>
      <c r="AM573" s="83"/>
      <c r="AN573" s="83"/>
      <c r="AO573" s="83"/>
      <c r="AP573" s="83"/>
      <c r="AQ573" s="83"/>
      <c r="AR573" s="83"/>
      <c r="AS573" s="83"/>
      <c r="AT573" s="83"/>
      <c r="AU573" s="83"/>
      <c r="AV573" s="83"/>
      <c r="AW573" s="83"/>
      <c r="AX573" s="83"/>
      <c r="AY573" s="83"/>
      <c r="AZ573" s="83"/>
      <c r="BA573" s="83"/>
      <c r="BB573" s="83"/>
      <c r="BC573" s="83"/>
      <c r="BD573" s="83"/>
      <c r="BE573" s="83"/>
      <c r="BF573" s="83"/>
      <c r="BG573" s="83"/>
      <c r="BH573" s="83"/>
      <c r="BI573" s="83"/>
      <c r="BJ573" s="83"/>
      <c r="BK573" s="83"/>
      <c r="BL573" s="83"/>
      <c r="BM573" s="83"/>
      <c r="BN573" s="83"/>
      <c r="BO573" s="83"/>
      <c r="BP573" s="83"/>
      <c r="BQ573" s="83"/>
      <c r="BR573" s="83"/>
      <c r="BS573" s="83"/>
      <c r="BT573" s="83"/>
      <c r="BU573" s="83"/>
      <c r="BV573" s="83"/>
      <c r="BW573" s="83"/>
      <c r="BX573" s="83"/>
      <c r="BY573" s="83"/>
      <c r="BZ573" s="83"/>
      <c r="CA573" s="83"/>
      <c r="CB573" s="83"/>
      <c r="CC573" s="83"/>
      <c r="CD573" s="83"/>
      <c r="CE573" s="83"/>
      <c r="CF573" s="83"/>
      <c r="CG573" s="83"/>
      <c r="CH573" s="83"/>
      <c r="CI573" s="83"/>
      <c r="CJ573" s="83"/>
      <c r="CK573" s="83"/>
      <c r="CL573" s="83"/>
      <c r="CM573" s="83"/>
      <c r="CN573" s="83"/>
      <c r="CO573" s="83"/>
      <c r="CP573" s="83"/>
      <c r="CQ573" s="83"/>
      <c r="CR573" s="83"/>
      <c r="CS573" s="83"/>
      <c r="CT573" s="83"/>
      <c r="CU573" s="83"/>
      <c r="CV573" s="83"/>
      <c r="CW573" s="83"/>
      <c r="CX573" s="83"/>
      <c r="CY573" s="83"/>
      <c r="CZ573" s="83"/>
      <c r="DA573" s="83"/>
      <c r="DB573" s="83"/>
      <c r="DC573" s="83"/>
    </row>
    <row r="574" spans="1:107" x14ac:dyDescent="0.3">
      <c r="A574" s="83"/>
      <c r="B574" s="83"/>
      <c r="C574" s="83"/>
      <c r="D574" s="83"/>
      <c r="E574" s="83"/>
      <c r="F574" s="83"/>
      <c r="G574" s="83"/>
      <c r="H574" s="83"/>
      <c r="I574" s="83"/>
      <c r="J574" s="83"/>
      <c r="K574" s="83"/>
      <c r="L574" s="83"/>
      <c r="M574" s="83"/>
      <c r="N574" s="83"/>
      <c r="O574" s="83"/>
      <c r="P574" s="83"/>
      <c r="Q574" s="83"/>
      <c r="R574" s="83"/>
      <c r="S574" s="83"/>
      <c r="T574" s="83"/>
      <c r="U574" s="83"/>
      <c r="V574" s="83"/>
      <c r="W574" s="83"/>
      <c r="X574" s="83"/>
      <c r="Y574" s="83"/>
      <c r="Z574" s="83"/>
      <c r="AA574" s="83"/>
      <c r="AB574" s="83"/>
      <c r="AC574" s="83"/>
      <c r="AD574" s="83"/>
      <c r="AE574" s="83"/>
      <c r="AF574" s="83"/>
      <c r="AG574" s="83"/>
      <c r="AH574" s="83"/>
      <c r="AI574" s="83"/>
      <c r="AJ574" s="83"/>
      <c r="AK574" s="83"/>
      <c r="AL574" s="83"/>
      <c r="AM574" s="83"/>
      <c r="AN574" s="83"/>
      <c r="AO574" s="83"/>
      <c r="AP574" s="83"/>
      <c r="AQ574" s="83"/>
      <c r="AR574" s="83"/>
      <c r="AS574" s="83"/>
      <c r="AT574" s="83"/>
      <c r="AU574" s="83"/>
      <c r="AV574" s="83"/>
      <c r="AW574" s="83"/>
      <c r="AX574" s="83"/>
      <c r="AY574" s="83"/>
      <c r="AZ574" s="83"/>
      <c r="BA574" s="83"/>
      <c r="BB574" s="83"/>
      <c r="BC574" s="83"/>
      <c r="BD574" s="83"/>
      <c r="BE574" s="83"/>
      <c r="BF574" s="83"/>
      <c r="BG574" s="83"/>
      <c r="BH574" s="83"/>
      <c r="BI574" s="83"/>
      <c r="BJ574" s="83"/>
      <c r="BK574" s="83"/>
      <c r="BL574" s="83"/>
      <c r="BM574" s="83"/>
      <c r="BN574" s="83"/>
      <c r="BO574" s="83"/>
      <c r="BP574" s="83"/>
      <c r="BQ574" s="83"/>
      <c r="BR574" s="83"/>
      <c r="BS574" s="83"/>
      <c r="BT574" s="83"/>
      <c r="BU574" s="83"/>
      <c r="BV574" s="83"/>
      <c r="BW574" s="83"/>
      <c r="BX574" s="83"/>
      <c r="BY574" s="83"/>
      <c r="BZ574" s="83"/>
      <c r="CA574" s="83"/>
      <c r="CB574" s="83"/>
      <c r="CC574" s="83"/>
      <c r="CD574" s="83"/>
      <c r="CE574" s="83"/>
      <c r="CF574" s="83"/>
      <c r="CG574" s="83"/>
      <c r="CH574" s="83"/>
      <c r="CI574" s="83"/>
      <c r="CJ574" s="83"/>
      <c r="CK574" s="83"/>
      <c r="CL574" s="83"/>
      <c r="CM574" s="83"/>
      <c r="CN574" s="83"/>
      <c r="CO574" s="83"/>
      <c r="CP574" s="83"/>
      <c r="CQ574" s="83"/>
      <c r="CR574" s="83"/>
      <c r="CS574" s="83"/>
      <c r="CT574" s="83"/>
      <c r="CU574" s="83"/>
      <c r="CV574" s="83"/>
      <c r="CW574" s="83"/>
      <c r="CX574" s="83"/>
      <c r="CY574" s="83"/>
      <c r="CZ574" s="83"/>
      <c r="DA574" s="83"/>
      <c r="DB574" s="83"/>
      <c r="DC574" s="83"/>
    </row>
    <row r="575" spans="1:107" x14ac:dyDescent="0.3">
      <c r="A575" s="83"/>
      <c r="B575" s="83"/>
      <c r="C575" s="83"/>
      <c r="D575" s="83"/>
      <c r="E575" s="83"/>
      <c r="F575" s="83"/>
      <c r="G575" s="83"/>
      <c r="H575" s="83"/>
      <c r="I575" s="83"/>
      <c r="J575" s="83"/>
      <c r="K575" s="83"/>
      <c r="L575" s="83"/>
      <c r="M575" s="83"/>
      <c r="N575" s="83"/>
      <c r="O575" s="83"/>
      <c r="P575" s="83"/>
      <c r="Q575" s="83"/>
      <c r="R575" s="83"/>
      <c r="S575" s="83"/>
      <c r="T575" s="83"/>
      <c r="U575" s="83"/>
      <c r="V575" s="83"/>
      <c r="W575" s="83"/>
      <c r="X575" s="83"/>
      <c r="Y575" s="83"/>
      <c r="Z575" s="83"/>
      <c r="AA575" s="83"/>
      <c r="AB575" s="83"/>
      <c r="AC575" s="83"/>
      <c r="AD575" s="83"/>
      <c r="AE575" s="83"/>
      <c r="AF575" s="83"/>
      <c r="AG575" s="83"/>
      <c r="AH575" s="83"/>
      <c r="AI575" s="83"/>
      <c r="AJ575" s="83"/>
      <c r="AK575" s="83"/>
      <c r="AL575" s="83"/>
      <c r="AM575" s="83"/>
      <c r="AN575" s="83"/>
      <c r="AO575" s="83"/>
      <c r="AP575" s="83"/>
      <c r="AQ575" s="83"/>
      <c r="AR575" s="83"/>
      <c r="AS575" s="83"/>
      <c r="AT575" s="83"/>
      <c r="AU575" s="83"/>
      <c r="AV575" s="83"/>
      <c r="AW575" s="83"/>
      <c r="AX575" s="83"/>
      <c r="AY575" s="83"/>
      <c r="AZ575" s="83"/>
      <c r="BA575" s="83"/>
      <c r="BB575" s="83"/>
      <c r="BC575" s="83"/>
      <c r="BD575" s="83"/>
      <c r="BE575" s="83"/>
      <c r="BF575" s="83"/>
      <c r="BG575" s="83"/>
      <c r="BH575" s="83"/>
      <c r="BI575" s="83"/>
      <c r="BJ575" s="83"/>
      <c r="BK575" s="83"/>
      <c r="BL575" s="83"/>
      <c r="BM575" s="83"/>
      <c r="BN575" s="83"/>
      <c r="BO575" s="83"/>
      <c r="BP575" s="83"/>
      <c r="BQ575" s="83"/>
      <c r="BR575" s="83"/>
      <c r="BS575" s="83"/>
      <c r="BT575" s="83"/>
      <c r="BU575" s="83"/>
      <c r="BV575" s="83"/>
      <c r="BW575" s="83"/>
      <c r="BX575" s="83"/>
      <c r="BY575" s="83"/>
      <c r="BZ575" s="83"/>
      <c r="CA575" s="83"/>
      <c r="CB575" s="83"/>
      <c r="CC575" s="83"/>
      <c r="CD575" s="83"/>
      <c r="CE575" s="83"/>
      <c r="CF575" s="83"/>
      <c r="CG575" s="83"/>
      <c r="CH575" s="83"/>
      <c r="CI575" s="83"/>
      <c r="CJ575" s="83"/>
      <c r="CK575" s="83"/>
      <c r="CL575" s="83"/>
      <c r="CM575" s="83"/>
      <c r="CN575" s="83"/>
      <c r="CO575" s="83"/>
      <c r="CP575" s="83"/>
      <c r="CQ575" s="83"/>
      <c r="CR575" s="83"/>
      <c r="CS575" s="83"/>
      <c r="CT575" s="83"/>
      <c r="CU575" s="83"/>
      <c r="CV575" s="83"/>
      <c r="CW575" s="83"/>
      <c r="CX575" s="83"/>
      <c r="CY575" s="83"/>
      <c r="CZ575" s="83"/>
      <c r="DA575" s="83"/>
      <c r="DB575" s="83"/>
      <c r="DC575" s="83"/>
    </row>
    <row r="576" spans="1:107" x14ac:dyDescent="0.3">
      <c r="A576" s="83"/>
      <c r="B576" s="83"/>
      <c r="C576" s="83"/>
      <c r="D576" s="83"/>
      <c r="E576" s="83"/>
      <c r="F576" s="83"/>
      <c r="G576" s="83"/>
      <c r="H576" s="83"/>
      <c r="I576" s="83"/>
      <c r="J576" s="83"/>
      <c r="K576" s="83"/>
      <c r="L576" s="83"/>
      <c r="M576" s="83"/>
      <c r="N576" s="83"/>
      <c r="O576" s="83"/>
      <c r="P576" s="83"/>
      <c r="Q576" s="83"/>
      <c r="R576" s="83"/>
      <c r="S576" s="83"/>
      <c r="T576" s="83"/>
      <c r="U576" s="83"/>
      <c r="V576" s="83"/>
      <c r="W576" s="83"/>
      <c r="X576" s="83"/>
      <c r="Y576" s="83"/>
      <c r="Z576" s="83"/>
      <c r="AA576" s="83"/>
      <c r="AB576" s="83"/>
      <c r="AC576" s="83"/>
      <c r="AD576" s="83"/>
      <c r="AE576" s="83"/>
      <c r="AF576" s="83"/>
      <c r="AG576" s="83"/>
      <c r="AH576" s="83"/>
      <c r="AI576" s="83"/>
      <c r="AJ576" s="83"/>
      <c r="AK576" s="83"/>
      <c r="AL576" s="83"/>
      <c r="AM576" s="83"/>
      <c r="AN576" s="83"/>
      <c r="AO576" s="83"/>
      <c r="AP576" s="83"/>
      <c r="AQ576" s="83"/>
      <c r="AR576" s="83"/>
      <c r="AS576" s="83"/>
      <c r="AT576" s="83"/>
      <c r="AU576" s="83"/>
      <c r="AV576" s="83"/>
      <c r="AW576" s="83"/>
      <c r="AX576" s="83"/>
      <c r="AY576" s="83"/>
      <c r="AZ576" s="83"/>
      <c r="BA576" s="83"/>
      <c r="BB576" s="83"/>
      <c r="BC576" s="83"/>
      <c r="BD576" s="83"/>
      <c r="BE576" s="83"/>
      <c r="BF576" s="83"/>
      <c r="BG576" s="83"/>
      <c r="BH576" s="83"/>
      <c r="BI576" s="83"/>
      <c r="BJ576" s="83"/>
      <c r="BK576" s="83"/>
      <c r="BL576" s="83"/>
      <c r="BM576" s="83"/>
      <c r="BN576" s="83"/>
      <c r="BO576" s="83"/>
      <c r="BP576" s="83"/>
      <c r="BQ576" s="83"/>
      <c r="BR576" s="83"/>
      <c r="BS576" s="83"/>
      <c r="BT576" s="83"/>
      <c r="BU576" s="83"/>
      <c r="BV576" s="83"/>
      <c r="BW576" s="83"/>
      <c r="BX576" s="83"/>
      <c r="BY576" s="83"/>
      <c r="BZ576" s="83"/>
      <c r="CA576" s="83"/>
      <c r="CB576" s="83"/>
      <c r="CC576" s="83"/>
      <c r="CD576" s="83"/>
      <c r="CE576" s="83"/>
      <c r="CF576" s="83"/>
      <c r="CG576" s="83"/>
      <c r="CH576" s="83"/>
      <c r="CI576" s="83"/>
      <c r="CJ576" s="83"/>
      <c r="CK576" s="83"/>
      <c r="CL576" s="83"/>
      <c r="CM576" s="83"/>
      <c r="CN576" s="83"/>
      <c r="CO576" s="83"/>
      <c r="CP576" s="83"/>
      <c r="CQ576" s="83"/>
      <c r="CR576" s="83"/>
      <c r="CS576" s="83"/>
      <c r="CT576" s="83"/>
      <c r="CU576" s="83"/>
      <c r="CV576" s="83"/>
      <c r="CW576" s="83"/>
      <c r="CX576" s="83"/>
      <c r="CY576" s="83"/>
      <c r="CZ576" s="83"/>
      <c r="DA576" s="83"/>
      <c r="DB576" s="83"/>
      <c r="DC576" s="83"/>
    </row>
    <row r="577" spans="1:107" x14ac:dyDescent="0.3">
      <c r="A577" s="83"/>
      <c r="B577" s="83"/>
      <c r="C577" s="83"/>
      <c r="D577" s="83"/>
      <c r="E577" s="83"/>
      <c r="F577" s="83"/>
      <c r="G577" s="83"/>
      <c r="H577" s="83"/>
      <c r="I577" s="83"/>
      <c r="J577" s="83"/>
      <c r="K577" s="83"/>
      <c r="L577" s="83"/>
      <c r="M577" s="83"/>
      <c r="N577" s="83"/>
      <c r="O577" s="83"/>
      <c r="P577" s="83"/>
      <c r="Q577" s="83"/>
      <c r="R577" s="83"/>
      <c r="S577" s="83"/>
      <c r="T577" s="83"/>
      <c r="U577" s="83"/>
      <c r="V577" s="83"/>
      <c r="W577" s="83"/>
      <c r="X577" s="83"/>
      <c r="Y577" s="83"/>
      <c r="Z577" s="83"/>
      <c r="AA577" s="83"/>
      <c r="AB577" s="83"/>
      <c r="AC577" s="83"/>
      <c r="AD577" s="83"/>
      <c r="AE577" s="83"/>
      <c r="AF577" s="83"/>
      <c r="AG577" s="83"/>
      <c r="AH577" s="83"/>
      <c r="AI577" s="83"/>
      <c r="AJ577" s="83"/>
      <c r="AK577" s="83"/>
      <c r="AL577" s="83"/>
      <c r="AM577" s="83"/>
      <c r="AN577" s="83"/>
      <c r="AO577" s="83"/>
      <c r="AP577" s="83"/>
      <c r="AQ577" s="83"/>
      <c r="AR577" s="83"/>
      <c r="AS577" s="83"/>
      <c r="AT577" s="83"/>
      <c r="AU577" s="83"/>
      <c r="AV577" s="83"/>
      <c r="AW577" s="83"/>
      <c r="AX577" s="83"/>
      <c r="AY577" s="83"/>
      <c r="AZ577" s="83"/>
      <c r="BA577" s="83"/>
      <c r="BB577" s="83"/>
      <c r="BC577" s="83"/>
      <c r="BD577" s="83"/>
      <c r="BE577" s="83"/>
      <c r="BF577" s="83"/>
      <c r="BG577" s="83"/>
      <c r="BH577" s="83"/>
      <c r="BI577" s="83"/>
      <c r="BJ577" s="83"/>
      <c r="BK577" s="83"/>
      <c r="BL577" s="83"/>
      <c r="BM577" s="83"/>
      <c r="BN577" s="83"/>
      <c r="BO577" s="83"/>
      <c r="BP577" s="83"/>
      <c r="BQ577" s="83"/>
      <c r="BR577" s="83"/>
      <c r="BS577" s="83"/>
      <c r="BT577" s="83"/>
      <c r="BU577" s="83"/>
      <c r="BV577" s="83"/>
      <c r="BW577" s="83"/>
      <c r="BX577" s="83"/>
      <c r="BY577" s="83"/>
      <c r="BZ577" s="83"/>
      <c r="CA577" s="83"/>
      <c r="CB577" s="83"/>
      <c r="CC577" s="83"/>
      <c r="CD577" s="83"/>
      <c r="CE577" s="83"/>
      <c r="CF577" s="83"/>
      <c r="CG577" s="83"/>
      <c r="CH577" s="83"/>
      <c r="CI577" s="83"/>
      <c r="CJ577" s="83"/>
      <c r="CK577" s="83"/>
      <c r="CL577" s="83"/>
      <c r="CM577" s="83"/>
      <c r="CN577" s="83"/>
      <c r="CO577" s="83"/>
      <c r="CP577" s="83"/>
      <c r="CQ577" s="83"/>
      <c r="CR577" s="83"/>
      <c r="CS577" s="83"/>
      <c r="CT577" s="83"/>
      <c r="CU577" s="83"/>
      <c r="CV577" s="83"/>
      <c r="CW577" s="83"/>
      <c r="CX577" s="83"/>
      <c r="CY577" s="83"/>
      <c r="CZ577" s="83"/>
      <c r="DA577" s="83"/>
      <c r="DB577" s="83"/>
      <c r="DC577" s="83"/>
    </row>
    <row r="578" spans="1:107" x14ac:dyDescent="0.3">
      <c r="A578" s="83"/>
      <c r="B578" s="83"/>
      <c r="C578" s="83"/>
      <c r="D578" s="83"/>
      <c r="E578" s="83"/>
      <c r="F578" s="83"/>
      <c r="G578" s="83"/>
      <c r="H578" s="83"/>
      <c r="I578" s="83"/>
      <c r="J578" s="83"/>
      <c r="K578" s="83"/>
      <c r="L578" s="83"/>
      <c r="M578" s="83"/>
      <c r="N578" s="83"/>
      <c r="O578" s="83"/>
      <c r="P578" s="83"/>
      <c r="Q578" s="83"/>
      <c r="R578" s="83"/>
      <c r="S578" s="83"/>
      <c r="T578" s="83"/>
      <c r="U578" s="83"/>
      <c r="V578" s="83"/>
      <c r="W578" s="83"/>
      <c r="X578" s="83"/>
      <c r="Y578" s="83"/>
      <c r="Z578" s="83"/>
      <c r="AA578" s="83"/>
      <c r="AB578" s="83"/>
      <c r="AC578" s="83"/>
      <c r="AD578" s="83"/>
      <c r="AE578" s="83"/>
      <c r="AF578" s="83"/>
      <c r="AG578" s="83"/>
      <c r="AH578" s="83"/>
      <c r="AI578" s="83"/>
      <c r="AJ578" s="83"/>
      <c r="AK578" s="83"/>
      <c r="AL578" s="83"/>
      <c r="AM578" s="83"/>
      <c r="AN578" s="83"/>
      <c r="AO578" s="83"/>
      <c r="AP578" s="83"/>
      <c r="AQ578" s="83"/>
      <c r="AR578" s="83"/>
      <c r="AS578" s="83"/>
      <c r="AT578" s="83"/>
      <c r="AU578" s="83"/>
      <c r="AV578" s="83"/>
      <c r="AW578" s="83"/>
      <c r="AX578" s="83"/>
      <c r="AY578" s="83"/>
      <c r="AZ578" s="83"/>
      <c r="BA578" s="83"/>
      <c r="BB578" s="83"/>
      <c r="BC578" s="83"/>
      <c r="BD578" s="83"/>
      <c r="BE578" s="83"/>
      <c r="BF578" s="83"/>
      <c r="BG578" s="83"/>
      <c r="BH578" s="83"/>
      <c r="BI578" s="83"/>
      <c r="BJ578" s="83"/>
      <c r="BK578" s="83"/>
      <c r="BL578" s="83"/>
      <c r="BM578" s="83"/>
      <c r="BN578" s="83"/>
      <c r="BO578" s="83"/>
      <c r="BP578" s="83"/>
      <c r="BQ578" s="83"/>
      <c r="BR578" s="83"/>
      <c r="BS578" s="83"/>
      <c r="BT578" s="83"/>
      <c r="BU578" s="83"/>
      <c r="BV578" s="83"/>
      <c r="BW578" s="83"/>
      <c r="BX578" s="83"/>
      <c r="BY578" s="83"/>
      <c r="BZ578" s="83"/>
      <c r="CA578" s="83"/>
      <c r="CB578" s="83"/>
      <c r="CC578" s="83"/>
      <c r="CD578" s="83"/>
      <c r="CE578" s="83"/>
      <c r="CF578" s="83"/>
      <c r="CG578" s="83"/>
      <c r="CH578" s="83"/>
      <c r="CI578" s="83"/>
      <c r="CJ578" s="83"/>
      <c r="CK578" s="83"/>
      <c r="CL578" s="83"/>
      <c r="CM578" s="83"/>
      <c r="CN578" s="83"/>
      <c r="CO578" s="83"/>
      <c r="CP578" s="83"/>
      <c r="CQ578" s="83"/>
      <c r="CR578" s="83"/>
      <c r="CS578" s="83"/>
      <c r="CT578" s="83"/>
      <c r="CU578" s="83"/>
      <c r="CV578" s="83"/>
      <c r="CW578" s="83"/>
      <c r="CX578" s="83"/>
      <c r="CY578" s="83"/>
      <c r="CZ578" s="83"/>
      <c r="DA578" s="83"/>
      <c r="DB578" s="83"/>
      <c r="DC578" s="83"/>
    </row>
    <row r="579" spans="1:107" x14ac:dyDescent="0.3">
      <c r="A579" s="83"/>
      <c r="B579" s="83"/>
      <c r="C579" s="83"/>
      <c r="D579" s="83"/>
      <c r="E579" s="83"/>
      <c r="F579" s="83"/>
      <c r="G579" s="83"/>
      <c r="H579" s="83"/>
      <c r="I579" s="83"/>
      <c r="J579" s="83"/>
      <c r="K579" s="83"/>
      <c r="L579" s="83"/>
      <c r="M579" s="83"/>
      <c r="N579" s="83"/>
      <c r="O579" s="83"/>
      <c r="P579" s="83"/>
      <c r="Q579" s="83"/>
      <c r="R579" s="83"/>
      <c r="S579" s="83"/>
      <c r="T579" s="83"/>
      <c r="U579" s="83"/>
      <c r="V579" s="83"/>
      <c r="W579" s="83"/>
      <c r="X579" s="83"/>
      <c r="Y579" s="83"/>
      <c r="Z579" s="83"/>
      <c r="AA579" s="83"/>
      <c r="AB579" s="83"/>
      <c r="AC579" s="83"/>
      <c r="AD579" s="83"/>
      <c r="AE579" s="83"/>
      <c r="AF579" s="83"/>
      <c r="AG579" s="83"/>
      <c r="AH579" s="83"/>
      <c r="AI579" s="83"/>
      <c r="AJ579" s="83"/>
      <c r="AK579" s="83"/>
      <c r="AL579" s="83"/>
      <c r="AM579" s="83"/>
      <c r="AN579" s="83"/>
      <c r="AO579" s="83"/>
      <c r="AP579" s="83"/>
      <c r="AQ579" s="83"/>
      <c r="AR579" s="83"/>
      <c r="AS579" s="83"/>
      <c r="AT579" s="83"/>
      <c r="AU579" s="83"/>
      <c r="AV579" s="83"/>
      <c r="AW579" s="83"/>
      <c r="AX579" s="83"/>
      <c r="AY579" s="83"/>
      <c r="AZ579" s="83"/>
      <c r="BA579" s="83"/>
      <c r="BB579" s="83"/>
      <c r="BC579" s="83"/>
      <c r="BD579" s="83"/>
      <c r="BE579" s="83"/>
      <c r="BF579" s="83"/>
      <c r="BG579" s="83"/>
      <c r="BH579" s="83"/>
      <c r="BI579" s="83"/>
      <c r="BJ579" s="83"/>
      <c r="BK579" s="83"/>
      <c r="BL579" s="83"/>
      <c r="BM579" s="83"/>
      <c r="BN579" s="83"/>
      <c r="BO579" s="83"/>
      <c r="BP579" s="83"/>
      <c r="BQ579" s="83"/>
      <c r="BR579" s="83"/>
      <c r="BS579" s="83"/>
      <c r="BT579" s="83"/>
      <c r="BU579" s="83"/>
      <c r="BV579" s="83"/>
      <c r="BW579" s="83"/>
      <c r="BX579" s="83"/>
      <c r="BY579" s="83"/>
      <c r="BZ579" s="83"/>
      <c r="CA579" s="83"/>
      <c r="CB579" s="83"/>
      <c r="CC579" s="83"/>
      <c r="CD579" s="83"/>
      <c r="CE579" s="83"/>
      <c r="CF579" s="83"/>
      <c r="CG579" s="83"/>
      <c r="CH579" s="83"/>
      <c r="CI579" s="83"/>
      <c r="CJ579" s="83"/>
      <c r="CK579" s="83"/>
      <c r="CL579" s="83"/>
      <c r="CM579" s="83"/>
      <c r="CN579" s="83"/>
      <c r="CO579" s="83"/>
      <c r="CP579" s="83"/>
      <c r="CQ579" s="83"/>
      <c r="CR579" s="83"/>
      <c r="CS579" s="83"/>
      <c r="CT579" s="83"/>
      <c r="CU579" s="83"/>
      <c r="CV579" s="83"/>
      <c r="CW579" s="83"/>
      <c r="CX579" s="83"/>
      <c r="CY579" s="83"/>
      <c r="CZ579" s="83"/>
      <c r="DA579" s="83"/>
      <c r="DB579" s="83"/>
      <c r="DC579" s="83"/>
    </row>
    <row r="580" spans="1:107" x14ac:dyDescent="0.3">
      <c r="A580" s="83"/>
      <c r="B580" s="83"/>
      <c r="C580" s="83"/>
      <c r="D580" s="83"/>
      <c r="E580" s="83"/>
      <c r="F580" s="83"/>
      <c r="G580" s="83"/>
      <c r="H580" s="83"/>
      <c r="I580" s="83"/>
      <c r="J580" s="83"/>
      <c r="K580" s="83"/>
      <c r="L580" s="83"/>
      <c r="M580" s="83"/>
      <c r="N580" s="83"/>
      <c r="O580" s="83"/>
      <c r="P580" s="83"/>
      <c r="Q580" s="83"/>
      <c r="R580" s="83"/>
      <c r="S580" s="83"/>
      <c r="T580" s="83"/>
      <c r="U580" s="83"/>
      <c r="V580" s="83"/>
      <c r="W580" s="83"/>
      <c r="X580" s="83"/>
      <c r="Y580" s="83"/>
      <c r="Z580" s="83"/>
      <c r="AA580" s="83"/>
      <c r="AB580" s="83"/>
      <c r="AC580" s="83"/>
      <c r="AD580" s="83"/>
      <c r="AE580" s="83"/>
      <c r="AF580" s="83"/>
      <c r="AG580" s="83"/>
      <c r="AH580" s="83"/>
      <c r="AI580" s="83"/>
      <c r="AJ580" s="83"/>
      <c r="AK580" s="83"/>
      <c r="AL580" s="83"/>
      <c r="AM580" s="83"/>
      <c r="AN580" s="83"/>
      <c r="AO580" s="83"/>
      <c r="AP580" s="83"/>
      <c r="AQ580" s="83"/>
      <c r="AR580" s="83"/>
      <c r="AS580" s="83"/>
      <c r="AT580" s="83"/>
      <c r="AU580" s="83"/>
      <c r="AV580" s="83"/>
      <c r="AW580" s="83"/>
      <c r="AX580" s="83"/>
      <c r="AY580" s="83"/>
      <c r="AZ580" s="83"/>
      <c r="BA580" s="83"/>
      <c r="BB580" s="83"/>
      <c r="BC580" s="83"/>
      <c r="BD580" s="83"/>
      <c r="BE580" s="83"/>
      <c r="BF580" s="83"/>
      <c r="BG580" s="83"/>
      <c r="BH580" s="83"/>
      <c r="BI580" s="83"/>
      <c r="BJ580" s="83"/>
      <c r="BK580" s="83"/>
      <c r="BL580" s="83"/>
      <c r="BM580" s="83"/>
      <c r="BN580" s="83"/>
      <c r="BO580" s="83"/>
      <c r="BP580" s="83"/>
      <c r="BQ580" s="83"/>
      <c r="BR580" s="83"/>
      <c r="BS580" s="83"/>
      <c r="BT580" s="83"/>
      <c r="BU580" s="83"/>
      <c r="BV580" s="83"/>
      <c r="BW580" s="83"/>
      <c r="BX580" s="83"/>
      <c r="BY580" s="83"/>
      <c r="BZ580" s="83"/>
      <c r="CA580" s="83"/>
      <c r="CB580" s="83"/>
      <c r="CC580" s="83"/>
      <c r="CD580" s="83"/>
      <c r="CE580" s="83"/>
      <c r="CF580" s="83"/>
      <c r="CG580" s="83"/>
      <c r="CH580" s="83"/>
      <c r="CI580" s="83"/>
      <c r="CJ580" s="83"/>
      <c r="CK580" s="83"/>
      <c r="CL580" s="83"/>
      <c r="CM580" s="83"/>
      <c r="CN580" s="83"/>
      <c r="CO580" s="83"/>
      <c r="CP580" s="83"/>
      <c r="CQ580" s="83"/>
      <c r="CR580" s="83"/>
      <c r="CS580" s="83"/>
      <c r="CT580" s="83"/>
      <c r="CU580" s="83"/>
      <c r="CV580" s="83"/>
      <c r="CW580" s="83"/>
      <c r="CX580" s="83"/>
      <c r="CY580" s="83"/>
      <c r="CZ580" s="83"/>
      <c r="DA580" s="83"/>
      <c r="DB580" s="83"/>
      <c r="DC580" s="83"/>
    </row>
    <row r="581" spans="1:107" x14ac:dyDescent="0.3">
      <c r="A581" s="83"/>
      <c r="B581" s="83"/>
      <c r="C581" s="83"/>
      <c r="D581" s="83"/>
      <c r="E581" s="83"/>
      <c r="F581" s="83"/>
      <c r="G581" s="83"/>
      <c r="H581" s="83"/>
      <c r="I581" s="83"/>
      <c r="J581" s="83"/>
      <c r="K581" s="83"/>
      <c r="L581" s="83"/>
      <c r="M581" s="83"/>
      <c r="N581" s="83"/>
      <c r="O581" s="83"/>
      <c r="P581" s="83"/>
      <c r="Q581" s="83"/>
      <c r="R581" s="83"/>
      <c r="S581" s="83"/>
      <c r="T581" s="83"/>
      <c r="U581" s="83"/>
      <c r="V581" s="83"/>
      <c r="W581" s="83"/>
      <c r="X581" s="83"/>
      <c r="Y581" s="83"/>
      <c r="Z581" s="83"/>
      <c r="AA581" s="83"/>
      <c r="AB581" s="83"/>
      <c r="AC581" s="83"/>
      <c r="AD581" s="83"/>
      <c r="AE581" s="83"/>
      <c r="AF581" s="83"/>
      <c r="AG581" s="83"/>
      <c r="AH581" s="83"/>
      <c r="AI581" s="83"/>
      <c r="AJ581" s="83"/>
      <c r="AK581" s="83"/>
      <c r="AL581" s="83"/>
      <c r="AM581" s="83"/>
      <c r="AN581" s="83"/>
      <c r="AO581" s="83"/>
      <c r="AP581" s="83"/>
      <c r="AQ581" s="83"/>
      <c r="AR581" s="83"/>
      <c r="AS581" s="83"/>
      <c r="AT581" s="83"/>
      <c r="AU581" s="83"/>
      <c r="AV581" s="83"/>
      <c r="AW581" s="83"/>
      <c r="AX581" s="83"/>
      <c r="AY581" s="83"/>
      <c r="AZ581" s="83"/>
      <c r="BA581" s="83"/>
      <c r="BB581" s="83"/>
      <c r="BC581" s="83"/>
      <c r="BD581" s="83"/>
      <c r="BE581" s="83"/>
      <c r="BF581" s="83"/>
      <c r="BG581" s="83"/>
      <c r="BH581" s="83"/>
      <c r="BI581" s="83"/>
      <c r="BJ581" s="83"/>
      <c r="BK581" s="83"/>
      <c r="BL581" s="83"/>
      <c r="BM581" s="83"/>
      <c r="BN581" s="83"/>
      <c r="BO581" s="83"/>
      <c r="BP581" s="83"/>
      <c r="BQ581" s="83"/>
      <c r="BR581" s="83"/>
      <c r="BS581" s="83"/>
      <c r="BT581" s="83"/>
      <c r="BU581" s="83"/>
      <c r="BV581" s="83"/>
      <c r="BW581" s="83"/>
      <c r="BX581" s="83"/>
      <c r="BY581" s="83"/>
      <c r="BZ581" s="83"/>
      <c r="CA581" s="83"/>
      <c r="CB581" s="83"/>
      <c r="CC581" s="83"/>
      <c r="CD581" s="83"/>
      <c r="CE581" s="83"/>
      <c r="CF581" s="83"/>
      <c r="CG581" s="83"/>
      <c r="CH581" s="83"/>
      <c r="CI581" s="83"/>
      <c r="CJ581" s="83"/>
      <c r="CK581" s="83"/>
      <c r="CL581" s="83"/>
      <c r="CM581" s="83"/>
      <c r="CN581" s="83"/>
      <c r="CO581" s="83"/>
      <c r="CP581" s="83"/>
      <c r="CQ581" s="83"/>
      <c r="CR581" s="83"/>
      <c r="CS581" s="83"/>
      <c r="CT581" s="83"/>
      <c r="CU581" s="83"/>
      <c r="CV581" s="83"/>
      <c r="CW581" s="83"/>
      <c r="CX581" s="83"/>
      <c r="CY581" s="83"/>
      <c r="CZ581" s="83"/>
      <c r="DA581" s="83"/>
      <c r="DB581" s="83"/>
      <c r="DC581" s="83"/>
    </row>
    <row r="582" spans="1:107" x14ac:dyDescent="0.3">
      <c r="A582" s="83"/>
      <c r="B582" s="83"/>
      <c r="C582" s="83"/>
      <c r="D582" s="83"/>
      <c r="E582" s="83"/>
      <c r="F582" s="83"/>
      <c r="G582" s="83"/>
      <c r="H582" s="83"/>
      <c r="I582" s="83"/>
      <c r="J582" s="83"/>
      <c r="K582" s="83"/>
      <c r="L582" s="83"/>
      <c r="M582" s="83"/>
      <c r="N582" s="83"/>
      <c r="O582" s="83"/>
      <c r="P582" s="83"/>
      <c r="Q582" s="83"/>
      <c r="R582" s="83"/>
      <c r="S582" s="83"/>
      <c r="T582" s="83"/>
      <c r="U582" s="83"/>
      <c r="V582" s="83"/>
      <c r="W582" s="83"/>
      <c r="X582" s="83"/>
      <c r="Y582" s="83"/>
      <c r="Z582" s="83"/>
      <c r="AA582" s="83"/>
      <c r="AB582" s="83"/>
      <c r="AC582" s="83"/>
      <c r="AD582" s="83"/>
      <c r="AE582" s="83"/>
      <c r="AF582" s="83"/>
      <c r="AG582" s="83"/>
      <c r="AH582" s="83"/>
      <c r="AI582" s="83"/>
      <c r="AJ582" s="83"/>
      <c r="AK582" s="83"/>
      <c r="AL582" s="83"/>
      <c r="AM582" s="83"/>
      <c r="AN582" s="83"/>
      <c r="AO582" s="83"/>
      <c r="AP582" s="83"/>
      <c r="AQ582" s="83"/>
      <c r="AR582" s="83"/>
      <c r="AS582" s="83"/>
      <c r="AT582" s="83"/>
      <c r="AU582" s="83"/>
      <c r="AV582" s="83"/>
      <c r="AW582" s="83"/>
      <c r="AX582" s="83"/>
      <c r="AY582" s="83"/>
      <c r="AZ582" s="83"/>
      <c r="BA582" s="83"/>
      <c r="BB582" s="83"/>
      <c r="BC582" s="83"/>
      <c r="BD582" s="83"/>
      <c r="BE582" s="83"/>
      <c r="BF582" s="83"/>
      <c r="BG582" s="83"/>
      <c r="BH582" s="83"/>
      <c r="BI582" s="83"/>
      <c r="BJ582" s="83"/>
      <c r="BK582" s="83"/>
      <c r="BL582" s="83"/>
      <c r="BM582" s="83"/>
      <c r="BN582" s="83"/>
      <c r="BO582" s="83"/>
      <c r="BP582" s="83"/>
      <c r="BQ582" s="83"/>
      <c r="BR582" s="83"/>
      <c r="BS582" s="83"/>
      <c r="BT582" s="83"/>
      <c r="BU582" s="83"/>
      <c r="BV582" s="83"/>
      <c r="BW582" s="83"/>
      <c r="BX582" s="83"/>
      <c r="BY582" s="83"/>
      <c r="BZ582" s="83"/>
      <c r="CA582" s="83"/>
      <c r="CB582" s="83"/>
      <c r="CC582" s="83"/>
      <c r="CD582" s="83"/>
      <c r="CE582" s="83"/>
      <c r="CF582" s="83"/>
      <c r="CG582" s="83"/>
      <c r="CH582" s="83"/>
      <c r="CI582" s="83"/>
      <c r="CJ582" s="83"/>
      <c r="CK582" s="83"/>
      <c r="CL582" s="83"/>
      <c r="CM582" s="83"/>
      <c r="CN582" s="83"/>
      <c r="CO582" s="83"/>
      <c r="CP582" s="83"/>
      <c r="CQ582" s="83"/>
      <c r="CR582" s="83"/>
      <c r="CS582" s="83"/>
      <c r="CT582" s="83"/>
      <c r="CU582" s="83"/>
      <c r="CV582" s="83"/>
      <c r="CW582" s="83"/>
      <c r="CX582" s="83"/>
      <c r="CY582" s="83"/>
      <c r="CZ582" s="83"/>
      <c r="DA582" s="83"/>
      <c r="DB582" s="83"/>
      <c r="DC582" s="83"/>
    </row>
    <row r="583" spans="1:107" x14ac:dyDescent="0.3">
      <c r="A583" s="83"/>
      <c r="B583" s="83"/>
      <c r="C583" s="83"/>
      <c r="D583" s="83"/>
      <c r="E583" s="83"/>
      <c r="F583" s="83"/>
      <c r="G583" s="83"/>
      <c r="H583" s="83"/>
      <c r="I583" s="83"/>
      <c r="J583" s="83"/>
      <c r="K583" s="83"/>
      <c r="L583" s="83"/>
      <c r="M583" s="83"/>
      <c r="N583" s="83"/>
      <c r="O583" s="83"/>
      <c r="P583" s="83"/>
      <c r="Q583" s="83"/>
      <c r="R583" s="83"/>
      <c r="S583" s="83"/>
      <c r="T583" s="83"/>
      <c r="U583" s="83"/>
      <c r="V583" s="83"/>
      <c r="W583" s="83"/>
      <c r="X583" s="83"/>
      <c r="Y583" s="83"/>
      <c r="Z583" s="83"/>
      <c r="AA583" s="83"/>
      <c r="AB583" s="83"/>
      <c r="AC583" s="83"/>
      <c r="AD583" s="83"/>
      <c r="AE583" s="83"/>
      <c r="AF583" s="83"/>
      <c r="AG583" s="83"/>
      <c r="AH583" s="83"/>
      <c r="AI583" s="83"/>
      <c r="AJ583" s="83"/>
      <c r="AK583" s="83"/>
      <c r="AL583" s="83"/>
      <c r="AM583" s="83"/>
      <c r="AN583" s="83"/>
      <c r="AO583" s="83"/>
      <c r="AP583" s="83"/>
      <c r="AQ583" s="83"/>
      <c r="AR583" s="83"/>
      <c r="AS583" s="83"/>
      <c r="AT583" s="83"/>
      <c r="AU583" s="83"/>
      <c r="AV583" s="83"/>
      <c r="AW583" s="83"/>
      <c r="AX583" s="83"/>
      <c r="AY583" s="83"/>
      <c r="AZ583" s="83"/>
      <c r="BA583" s="83"/>
      <c r="BB583" s="83"/>
      <c r="BC583" s="83"/>
      <c r="BD583" s="83"/>
      <c r="BE583" s="83"/>
      <c r="BF583" s="83"/>
      <c r="BG583" s="83"/>
      <c r="BH583" s="83"/>
      <c r="BI583" s="83"/>
      <c r="BJ583" s="83"/>
      <c r="BK583" s="83"/>
      <c r="BL583" s="83"/>
      <c r="BM583" s="83"/>
      <c r="BN583" s="83"/>
      <c r="BO583" s="83"/>
      <c r="BP583" s="83"/>
      <c r="BQ583" s="83"/>
      <c r="BR583" s="83"/>
      <c r="BS583" s="83"/>
      <c r="BT583" s="83"/>
      <c r="BU583" s="83"/>
      <c r="BV583" s="83"/>
      <c r="BW583" s="83"/>
      <c r="BX583" s="83"/>
      <c r="BY583" s="83"/>
      <c r="BZ583" s="83"/>
      <c r="CA583" s="83"/>
      <c r="CB583" s="83"/>
      <c r="CC583" s="83"/>
      <c r="CD583" s="83"/>
      <c r="CE583" s="83"/>
      <c r="CF583" s="83"/>
      <c r="CG583" s="83"/>
      <c r="CH583" s="83"/>
      <c r="CI583" s="83"/>
      <c r="CJ583" s="83"/>
      <c r="CK583" s="83"/>
      <c r="CL583" s="83"/>
      <c r="CM583" s="83"/>
      <c r="CN583" s="83"/>
      <c r="CO583" s="83"/>
      <c r="CP583" s="83"/>
      <c r="CQ583" s="83"/>
      <c r="CR583" s="83"/>
      <c r="CS583" s="83"/>
      <c r="CT583" s="83"/>
      <c r="CU583" s="83"/>
      <c r="CV583" s="83"/>
      <c r="CW583" s="83"/>
      <c r="CX583" s="83"/>
      <c r="CY583" s="83"/>
      <c r="CZ583" s="83"/>
      <c r="DA583" s="83"/>
      <c r="DB583" s="83"/>
      <c r="DC583" s="83"/>
    </row>
    <row r="584" spans="1:107" x14ac:dyDescent="0.3">
      <c r="A584" s="83"/>
      <c r="B584" s="83"/>
      <c r="C584" s="83"/>
      <c r="D584" s="83"/>
      <c r="E584" s="83"/>
      <c r="F584" s="83"/>
      <c r="G584" s="83"/>
      <c r="H584" s="83"/>
      <c r="I584" s="83"/>
      <c r="J584" s="83"/>
      <c r="K584" s="83"/>
      <c r="L584" s="83"/>
      <c r="M584" s="83"/>
      <c r="N584" s="83"/>
      <c r="O584" s="83"/>
      <c r="P584" s="83"/>
      <c r="Q584" s="83"/>
      <c r="R584" s="83"/>
      <c r="S584" s="83"/>
      <c r="T584" s="83"/>
      <c r="U584" s="83"/>
      <c r="V584" s="83"/>
      <c r="W584" s="83"/>
      <c r="X584" s="83"/>
      <c r="Y584" s="83"/>
      <c r="Z584" s="83"/>
      <c r="AA584" s="83"/>
      <c r="AB584" s="83"/>
      <c r="AC584" s="83"/>
      <c r="AD584" s="83"/>
      <c r="AE584" s="83"/>
      <c r="AF584" s="83"/>
      <c r="AG584" s="83"/>
      <c r="AH584" s="83"/>
      <c r="AI584" s="83"/>
      <c r="AJ584" s="83"/>
      <c r="AK584" s="83"/>
      <c r="AL584" s="83"/>
      <c r="AM584" s="83"/>
      <c r="AN584" s="83"/>
      <c r="AO584" s="83"/>
      <c r="AP584" s="83"/>
      <c r="AQ584" s="83"/>
      <c r="AR584" s="83"/>
      <c r="AS584" s="83"/>
      <c r="AT584" s="83"/>
      <c r="AU584" s="83"/>
      <c r="AV584" s="83"/>
      <c r="AW584" s="83"/>
      <c r="AX584" s="83"/>
      <c r="AY584" s="83"/>
      <c r="AZ584" s="83"/>
      <c r="BA584" s="83"/>
      <c r="BB584" s="83"/>
      <c r="BC584" s="83"/>
      <c r="BD584" s="83"/>
      <c r="BE584" s="83"/>
      <c r="BF584" s="83"/>
      <c r="BG584" s="83"/>
      <c r="BH584" s="83"/>
      <c r="BI584" s="83"/>
      <c r="BJ584" s="83"/>
      <c r="BK584" s="83"/>
      <c r="BL584" s="83"/>
      <c r="BM584" s="83"/>
      <c r="BN584" s="83"/>
      <c r="BO584" s="83"/>
      <c r="BP584" s="83"/>
      <c r="BQ584" s="83"/>
      <c r="BR584" s="83"/>
      <c r="BS584" s="83"/>
      <c r="BT584" s="83"/>
      <c r="BU584" s="83"/>
      <c r="BV584" s="83"/>
      <c r="BW584" s="83"/>
      <c r="BX584" s="83"/>
      <c r="BY584" s="83"/>
      <c r="BZ584" s="83"/>
      <c r="CA584" s="83"/>
      <c r="CB584" s="83"/>
      <c r="CC584" s="83"/>
      <c r="CD584" s="83"/>
      <c r="CE584" s="83"/>
      <c r="CF584" s="83"/>
      <c r="CG584" s="83"/>
      <c r="CH584" s="83"/>
      <c r="CI584" s="83"/>
      <c r="CJ584" s="83"/>
      <c r="CK584" s="83"/>
      <c r="CL584" s="83"/>
      <c r="CM584" s="83"/>
      <c r="CN584" s="83"/>
      <c r="CO584" s="83"/>
      <c r="CP584" s="83"/>
      <c r="CQ584" s="83"/>
      <c r="CR584" s="83"/>
      <c r="CS584" s="83"/>
      <c r="CT584" s="83"/>
      <c r="CU584" s="83"/>
      <c r="CV584" s="83"/>
      <c r="CW584" s="83"/>
      <c r="CX584" s="83"/>
      <c r="CY584" s="83"/>
      <c r="CZ584" s="83"/>
      <c r="DA584" s="83"/>
      <c r="DB584" s="83"/>
      <c r="DC584" s="83"/>
    </row>
    <row r="585" spans="1:107" x14ac:dyDescent="0.3">
      <c r="A585" s="83"/>
      <c r="B585" s="83"/>
      <c r="C585" s="83"/>
      <c r="D585" s="83"/>
      <c r="E585" s="83"/>
      <c r="F585" s="83"/>
      <c r="G585" s="83"/>
      <c r="H585" s="83"/>
      <c r="I585" s="83"/>
      <c r="J585" s="83"/>
      <c r="K585" s="83"/>
      <c r="L585" s="83"/>
      <c r="M585" s="83"/>
      <c r="N585" s="83"/>
      <c r="O585" s="83"/>
      <c r="P585" s="83"/>
      <c r="Q585" s="83"/>
      <c r="R585" s="83"/>
      <c r="S585" s="83"/>
      <c r="T585" s="83"/>
      <c r="U585" s="83"/>
      <c r="V585" s="83"/>
      <c r="W585" s="83"/>
      <c r="X585" s="83"/>
      <c r="Y585" s="83"/>
      <c r="Z585" s="83"/>
      <c r="AA585" s="83"/>
      <c r="AB585" s="83"/>
      <c r="AC585" s="83"/>
      <c r="AD585" s="83"/>
      <c r="AE585" s="83"/>
      <c r="AF585" s="83"/>
      <c r="AG585" s="83"/>
      <c r="AH585" s="83"/>
      <c r="AI585" s="83"/>
      <c r="AJ585" s="83"/>
      <c r="AK585" s="83"/>
      <c r="AL585" s="83"/>
      <c r="AM585" s="83"/>
      <c r="AN585" s="83"/>
      <c r="AO585" s="83"/>
      <c r="AP585" s="83"/>
      <c r="AQ585" s="83"/>
      <c r="AR585" s="83"/>
      <c r="AS585" s="83"/>
      <c r="AT585" s="83"/>
      <c r="AU585" s="83"/>
      <c r="AV585" s="83"/>
      <c r="AW585" s="83"/>
      <c r="AX585" s="83"/>
      <c r="AY585" s="83"/>
      <c r="AZ585" s="83"/>
      <c r="BA585" s="83"/>
      <c r="BB585" s="83"/>
      <c r="BC585" s="83"/>
      <c r="BD585" s="83"/>
      <c r="BE585" s="83"/>
      <c r="BF585" s="83"/>
      <c r="BG585" s="83"/>
      <c r="BH585" s="83"/>
      <c r="BI585" s="83"/>
      <c r="BJ585" s="83"/>
      <c r="BK585" s="83"/>
      <c r="BL585" s="83"/>
      <c r="BM585" s="83"/>
      <c r="BN585" s="83"/>
      <c r="BO585" s="83"/>
      <c r="BP585" s="83"/>
      <c r="BQ585" s="83"/>
      <c r="BR585" s="83"/>
      <c r="BS585" s="83"/>
      <c r="BT585" s="83"/>
      <c r="BU585" s="83"/>
      <c r="BV585" s="83"/>
      <c r="BW585" s="83"/>
      <c r="BX585" s="83"/>
      <c r="BY585" s="83"/>
      <c r="BZ585" s="83"/>
      <c r="CA585" s="83"/>
      <c r="CB585" s="83"/>
      <c r="CC585" s="83"/>
      <c r="CD585" s="83"/>
      <c r="CE585" s="83"/>
      <c r="CF585" s="83"/>
      <c r="CG585" s="83"/>
      <c r="CH585" s="83"/>
      <c r="CI585" s="83"/>
      <c r="CJ585" s="83"/>
      <c r="CK585" s="83"/>
      <c r="CL585" s="83"/>
      <c r="CM585" s="83"/>
      <c r="CN585" s="83"/>
      <c r="CO585" s="83"/>
      <c r="CP585" s="83"/>
      <c r="CQ585" s="83"/>
      <c r="CR585" s="83"/>
      <c r="CS585" s="83"/>
      <c r="CT585" s="83"/>
      <c r="CU585" s="83"/>
      <c r="CV585" s="83"/>
      <c r="CW585" s="83"/>
      <c r="CX585" s="83"/>
      <c r="CY585" s="83"/>
      <c r="CZ585" s="83"/>
      <c r="DA585" s="83"/>
      <c r="DB585" s="83"/>
      <c r="DC585" s="83"/>
    </row>
    <row r="586" spans="1:107" x14ac:dyDescent="0.3">
      <c r="A586" s="83"/>
      <c r="B586" s="83"/>
      <c r="C586" s="83"/>
      <c r="D586" s="83"/>
      <c r="E586" s="83"/>
      <c r="F586" s="83"/>
      <c r="G586" s="83"/>
      <c r="H586" s="83"/>
      <c r="I586" s="83"/>
      <c r="J586" s="83"/>
      <c r="K586" s="83"/>
      <c r="L586" s="83"/>
      <c r="M586" s="83"/>
      <c r="N586" s="83"/>
      <c r="O586" s="83"/>
      <c r="P586" s="83"/>
      <c r="Q586" s="83"/>
      <c r="R586" s="83"/>
      <c r="S586" s="83"/>
      <c r="T586" s="83"/>
      <c r="U586" s="83"/>
      <c r="V586" s="83"/>
      <c r="W586" s="83"/>
      <c r="X586" s="83"/>
      <c r="Y586" s="83"/>
      <c r="Z586" s="83"/>
      <c r="AA586" s="83"/>
      <c r="AB586" s="83"/>
      <c r="AC586" s="83"/>
      <c r="AD586" s="83"/>
      <c r="AE586" s="83"/>
      <c r="AF586" s="83"/>
      <c r="AG586" s="83"/>
      <c r="AH586" s="83"/>
      <c r="AI586" s="83"/>
      <c r="AJ586" s="83"/>
      <c r="AK586" s="83"/>
      <c r="AL586" s="83"/>
      <c r="AM586" s="83"/>
      <c r="AN586" s="83"/>
      <c r="AO586" s="83"/>
      <c r="AP586" s="83"/>
      <c r="AQ586" s="83"/>
      <c r="AR586" s="83"/>
      <c r="AS586" s="83"/>
      <c r="AT586" s="83"/>
      <c r="AU586" s="83"/>
      <c r="AV586" s="83"/>
      <c r="AW586" s="83"/>
      <c r="AX586" s="83"/>
      <c r="AY586" s="83"/>
      <c r="AZ586" s="83"/>
      <c r="BA586" s="83"/>
      <c r="BB586" s="83"/>
      <c r="BC586" s="83"/>
      <c r="BD586" s="83"/>
      <c r="BE586" s="83"/>
      <c r="BF586" s="83"/>
      <c r="BG586" s="83"/>
      <c r="BH586" s="83"/>
      <c r="BI586" s="83"/>
      <c r="BJ586" s="83"/>
      <c r="BK586" s="83"/>
      <c r="BL586" s="83"/>
      <c r="BM586" s="83"/>
      <c r="BN586" s="83"/>
      <c r="BO586" s="83"/>
      <c r="BP586" s="83"/>
      <c r="BQ586" s="83"/>
      <c r="BR586" s="83"/>
      <c r="BS586" s="83"/>
      <c r="BT586" s="83"/>
      <c r="BU586" s="83"/>
      <c r="BV586" s="83"/>
      <c r="BW586" s="83"/>
      <c r="BX586" s="83"/>
      <c r="BY586" s="83"/>
      <c r="BZ586" s="83"/>
      <c r="CA586" s="83"/>
      <c r="CB586" s="83"/>
      <c r="CC586" s="83"/>
      <c r="CD586" s="83"/>
      <c r="CE586" s="83"/>
      <c r="CF586" s="83"/>
      <c r="CG586" s="83"/>
      <c r="CH586" s="83"/>
      <c r="CI586" s="83"/>
      <c r="CJ586" s="83"/>
      <c r="CK586" s="83"/>
      <c r="CL586" s="83"/>
      <c r="CM586" s="83"/>
      <c r="CN586" s="83"/>
      <c r="CO586" s="83"/>
      <c r="CP586" s="83"/>
      <c r="CQ586" s="83"/>
      <c r="CR586" s="83"/>
      <c r="CS586" s="83"/>
      <c r="CT586" s="83"/>
      <c r="CU586" s="83"/>
      <c r="CV586" s="83"/>
      <c r="CW586" s="83"/>
      <c r="CX586" s="83"/>
      <c r="CY586" s="83"/>
      <c r="CZ586" s="83"/>
      <c r="DA586" s="83"/>
      <c r="DB586" s="83"/>
      <c r="DC586" s="83"/>
    </row>
    <row r="587" spans="1:107" x14ac:dyDescent="0.3">
      <c r="A587" s="83"/>
      <c r="B587" s="83"/>
      <c r="C587" s="83"/>
      <c r="D587" s="83"/>
      <c r="E587" s="83"/>
      <c r="F587" s="83"/>
      <c r="G587" s="83"/>
      <c r="H587" s="83"/>
      <c r="I587" s="83"/>
      <c r="J587" s="83"/>
      <c r="K587" s="83"/>
      <c r="L587" s="83"/>
      <c r="M587" s="83"/>
      <c r="N587" s="83"/>
      <c r="O587" s="83"/>
      <c r="P587" s="83"/>
      <c r="Q587" s="83"/>
      <c r="R587" s="83"/>
      <c r="S587" s="83"/>
      <c r="T587" s="83"/>
      <c r="U587" s="83"/>
      <c r="V587" s="83"/>
      <c r="W587" s="83"/>
      <c r="X587" s="83"/>
      <c r="Y587" s="83"/>
      <c r="Z587" s="83"/>
      <c r="AA587" s="83"/>
      <c r="AB587" s="83"/>
      <c r="AC587" s="83"/>
      <c r="AD587" s="83"/>
      <c r="AE587" s="83"/>
      <c r="AF587" s="83"/>
      <c r="AG587" s="83"/>
      <c r="AH587" s="83"/>
      <c r="AI587" s="83"/>
      <c r="AJ587" s="83"/>
      <c r="AK587" s="83"/>
      <c r="AL587" s="83"/>
      <c r="AM587" s="83"/>
      <c r="AN587" s="83"/>
      <c r="AO587" s="83"/>
      <c r="AP587" s="83"/>
      <c r="AQ587" s="83"/>
      <c r="AR587" s="83"/>
      <c r="AS587" s="83"/>
      <c r="AT587" s="83"/>
      <c r="AU587" s="83"/>
      <c r="AV587" s="83"/>
      <c r="AW587" s="83"/>
      <c r="AX587" s="83"/>
      <c r="AY587" s="83"/>
      <c r="AZ587" s="83"/>
      <c r="BA587" s="83"/>
      <c r="BB587" s="83"/>
      <c r="BC587" s="83"/>
      <c r="BD587" s="83"/>
      <c r="BE587" s="83"/>
      <c r="BF587" s="83"/>
      <c r="BG587" s="83"/>
      <c r="BH587" s="83"/>
      <c r="BI587" s="83"/>
      <c r="BJ587" s="83"/>
      <c r="BK587" s="83"/>
      <c r="BL587" s="83"/>
      <c r="BM587" s="83"/>
      <c r="BN587" s="83"/>
      <c r="BO587" s="83"/>
      <c r="BP587" s="83"/>
      <c r="BQ587" s="83"/>
      <c r="BR587" s="83"/>
      <c r="BS587" s="83"/>
      <c r="BT587" s="83"/>
      <c r="BU587" s="83"/>
      <c r="BV587" s="83"/>
      <c r="BW587" s="83"/>
      <c r="BX587" s="83"/>
      <c r="BY587" s="83"/>
      <c r="BZ587" s="83"/>
      <c r="CA587" s="83"/>
      <c r="CB587" s="83"/>
      <c r="CC587" s="83"/>
      <c r="CD587" s="83"/>
      <c r="CE587" s="83"/>
      <c r="CF587" s="83"/>
      <c r="CG587" s="83"/>
      <c r="CH587" s="83"/>
      <c r="CI587" s="83"/>
      <c r="CJ587" s="83"/>
      <c r="CK587" s="83"/>
      <c r="CL587" s="83"/>
      <c r="CM587" s="83"/>
      <c r="CN587" s="83"/>
      <c r="CO587" s="83"/>
      <c r="CP587" s="83"/>
      <c r="CQ587" s="83"/>
      <c r="CR587" s="83"/>
      <c r="CS587" s="83"/>
      <c r="CT587" s="83"/>
      <c r="CU587" s="83"/>
      <c r="CV587" s="83"/>
      <c r="CW587" s="83"/>
      <c r="CX587" s="83"/>
      <c r="CY587" s="83"/>
      <c r="CZ587" s="83"/>
      <c r="DA587" s="83"/>
      <c r="DB587" s="83"/>
      <c r="DC587" s="83"/>
    </row>
    <row r="588" spans="1:107" x14ac:dyDescent="0.3">
      <c r="A588" s="83"/>
      <c r="B588" s="83"/>
      <c r="C588" s="83"/>
      <c r="D588" s="83"/>
      <c r="E588" s="83"/>
      <c r="F588" s="83"/>
      <c r="G588" s="83"/>
      <c r="H588" s="83"/>
      <c r="I588" s="83"/>
      <c r="J588" s="83"/>
      <c r="K588" s="83"/>
      <c r="L588" s="83"/>
      <c r="M588" s="83"/>
      <c r="N588" s="83"/>
      <c r="O588" s="83"/>
      <c r="P588" s="83"/>
      <c r="Q588" s="83"/>
      <c r="R588" s="83"/>
      <c r="S588" s="83"/>
      <c r="T588" s="83"/>
      <c r="U588" s="83"/>
      <c r="V588" s="83"/>
      <c r="W588" s="83"/>
      <c r="X588" s="83"/>
      <c r="Y588" s="83"/>
      <c r="Z588" s="83"/>
      <c r="AA588" s="83"/>
      <c r="AB588" s="83"/>
      <c r="AC588" s="83"/>
      <c r="AD588" s="83"/>
      <c r="AE588" s="83"/>
      <c r="AF588" s="83"/>
      <c r="AG588" s="83"/>
      <c r="AH588" s="83"/>
      <c r="AI588" s="83"/>
      <c r="AJ588" s="83"/>
      <c r="AK588" s="83"/>
      <c r="AL588" s="83"/>
      <c r="AM588" s="83"/>
      <c r="AN588" s="83"/>
      <c r="AO588" s="83"/>
      <c r="AP588" s="83"/>
      <c r="AQ588" s="83"/>
      <c r="AR588" s="83"/>
      <c r="AS588" s="83"/>
      <c r="AT588" s="83"/>
      <c r="AU588" s="83"/>
      <c r="AV588" s="83"/>
      <c r="AW588" s="83"/>
      <c r="AX588" s="83"/>
      <c r="AY588" s="83"/>
      <c r="AZ588" s="83"/>
      <c r="BA588" s="83"/>
      <c r="BB588" s="83"/>
      <c r="BC588" s="83"/>
      <c r="BD588" s="83"/>
      <c r="BE588" s="83"/>
      <c r="BF588" s="83"/>
      <c r="BG588" s="83"/>
      <c r="BH588" s="83"/>
      <c r="BI588" s="83"/>
      <c r="BJ588" s="83"/>
      <c r="BK588" s="83"/>
      <c r="BL588" s="83"/>
      <c r="BM588" s="83"/>
      <c r="BN588" s="83"/>
      <c r="BO588" s="83"/>
      <c r="BP588" s="83"/>
      <c r="BQ588" s="83"/>
      <c r="BR588" s="83"/>
      <c r="BS588" s="83"/>
      <c r="BT588" s="83"/>
      <c r="BU588" s="83"/>
      <c r="BV588" s="83"/>
      <c r="BW588" s="83"/>
      <c r="BX588" s="83"/>
      <c r="BY588" s="83"/>
      <c r="BZ588" s="83"/>
      <c r="CA588" s="83"/>
      <c r="CB588" s="83"/>
      <c r="CC588" s="83"/>
      <c r="CD588" s="83"/>
      <c r="CE588" s="83"/>
      <c r="CF588" s="83"/>
      <c r="CG588" s="83"/>
      <c r="CH588" s="83"/>
      <c r="CI588" s="83"/>
      <c r="CJ588" s="83"/>
      <c r="CK588" s="83"/>
      <c r="CL588" s="83"/>
      <c r="CM588" s="83"/>
      <c r="CN588" s="83"/>
      <c r="CO588" s="83"/>
      <c r="CP588" s="83"/>
      <c r="CQ588" s="83"/>
      <c r="CR588" s="83"/>
      <c r="CS588" s="83"/>
      <c r="CT588" s="83"/>
      <c r="CU588" s="83"/>
      <c r="CV588" s="83"/>
      <c r="CW588" s="83"/>
      <c r="CX588" s="83"/>
      <c r="CY588" s="83"/>
      <c r="CZ588" s="83"/>
      <c r="DA588" s="83"/>
      <c r="DB588" s="83"/>
      <c r="DC588" s="83"/>
    </row>
    <row r="589" spans="1:107" x14ac:dyDescent="0.3">
      <c r="A589" s="83"/>
      <c r="B589" s="83"/>
      <c r="C589" s="83"/>
      <c r="D589" s="83"/>
      <c r="E589" s="83"/>
      <c r="F589" s="83"/>
      <c r="G589" s="83"/>
      <c r="H589" s="83"/>
      <c r="I589" s="83"/>
      <c r="J589" s="83"/>
      <c r="K589" s="83"/>
      <c r="L589" s="83"/>
      <c r="M589" s="83"/>
      <c r="N589" s="83"/>
      <c r="O589" s="83"/>
      <c r="P589" s="83"/>
      <c r="Q589" s="83"/>
      <c r="R589" s="83"/>
      <c r="S589" s="83"/>
      <c r="T589" s="83"/>
      <c r="U589" s="83"/>
      <c r="V589" s="83"/>
      <c r="W589" s="83"/>
      <c r="X589" s="83"/>
      <c r="Y589" s="83"/>
      <c r="Z589" s="83"/>
      <c r="AA589" s="83"/>
      <c r="AB589" s="83"/>
      <c r="AC589" s="83"/>
      <c r="AD589" s="83"/>
      <c r="AE589" s="83"/>
      <c r="AF589" s="83"/>
      <c r="AG589" s="83"/>
      <c r="AH589" s="83"/>
      <c r="AI589" s="83"/>
      <c r="AJ589" s="83"/>
      <c r="AK589" s="83"/>
      <c r="AL589" s="83"/>
      <c r="AM589" s="83"/>
      <c r="AN589" s="83"/>
      <c r="AO589" s="83"/>
      <c r="AP589" s="83"/>
      <c r="AQ589" s="83"/>
      <c r="AR589" s="83"/>
      <c r="AS589" s="83"/>
      <c r="AT589" s="83"/>
      <c r="AU589" s="83"/>
      <c r="AV589" s="83"/>
      <c r="AW589" s="83"/>
      <c r="AX589" s="83"/>
      <c r="AY589" s="83"/>
      <c r="AZ589" s="83"/>
      <c r="BA589" s="83"/>
      <c r="BB589" s="83"/>
      <c r="BC589" s="83"/>
      <c r="BD589" s="83"/>
      <c r="BE589" s="83"/>
      <c r="BF589" s="83"/>
      <c r="BG589" s="83"/>
      <c r="BH589" s="83"/>
      <c r="BI589" s="83"/>
      <c r="BJ589" s="83"/>
      <c r="BK589" s="83"/>
      <c r="BL589" s="83"/>
      <c r="BM589" s="83"/>
      <c r="BN589" s="83"/>
      <c r="BO589" s="83"/>
      <c r="BP589" s="83"/>
      <c r="BQ589" s="83"/>
      <c r="BR589" s="83"/>
      <c r="BS589" s="83"/>
      <c r="BT589" s="83"/>
      <c r="BU589" s="83"/>
      <c r="BV589" s="83"/>
      <c r="BW589" s="83"/>
      <c r="BX589" s="83"/>
      <c r="BY589" s="83"/>
      <c r="BZ589" s="83"/>
      <c r="CA589" s="83"/>
      <c r="CB589" s="83"/>
      <c r="CC589" s="83"/>
      <c r="CD589" s="83"/>
      <c r="CE589" s="83"/>
      <c r="CF589" s="83"/>
      <c r="CG589" s="83"/>
      <c r="CH589" s="83"/>
      <c r="CI589" s="83"/>
      <c r="CJ589" s="83"/>
      <c r="CK589" s="83"/>
      <c r="CL589" s="83"/>
      <c r="CM589" s="83"/>
      <c r="CN589" s="83"/>
      <c r="CO589" s="83"/>
      <c r="CP589" s="83"/>
      <c r="CQ589" s="83"/>
      <c r="CR589" s="83"/>
      <c r="CS589" s="83"/>
      <c r="CT589" s="83"/>
      <c r="CU589" s="83"/>
      <c r="CV589" s="83"/>
      <c r="CW589" s="83"/>
      <c r="CX589" s="83"/>
      <c r="CY589" s="83"/>
      <c r="CZ589" s="83"/>
      <c r="DA589" s="83"/>
      <c r="DB589" s="83"/>
      <c r="DC589" s="83"/>
    </row>
    <row r="590" spans="1:107" x14ac:dyDescent="0.3">
      <c r="A590" s="83"/>
      <c r="B590" s="83"/>
      <c r="C590" s="83"/>
      <c r="D590" s="83"/>
      <c r="E590" s="83"/>
      <c r="F590" s="83"/>
      <c r="G590" s="83"/>
      <c r="H590" s="83"/>
      <c r="I590" s="83"/>
      <c r="J590" s="83"/>
      <c r="K590" s="83"/>
      <c r="L590" s="83"/>
      <c r="M590" s="83"/>
      <c r="N590" s="83"/>
      <c r="O590" s="83"/>
      <c r="P590" s="83"/>
      <c r="Q590" s="83"/>
      <c r="R590" s="83"/>
      <c r="S590" s="83"/>
      <c r="T590" s="83"/>
      <c r="U590" s="83"/>
      <c r="V590" s="83"/>
      <c r="W590" s="83"/>
      <c r="X590" s="83"/>
      <c r="Y590" s="83"/>
      <c r="Z590" s="83"/>
      <c r="AA590" s="83"/>
      <c r="AB590" s="83"/>
      <c r="AC590" s="83"/>
      <c r="AD590" s="83"/>
      <c r="AE590" s="83"/>
      <c r="AF590" s="83"/>
      <c r="AG590" s="83"/>
      <c r="AH590" s="83"/>
      <c r="AI590" s="83"/>
      <c r="AJ590" s="83"/>
      <c r="AK590" s="83"/>
      <c r="AL590" s="83"/>
      <c r="AM590" s="83"/>
      <c r="AN590" s="83"/>
      <c r="AO590" s="83"/>
      <c r="AP590" s="83"/>
      <c r="AQ590" s="83"/>
      <c r="AR590" s="83"/>
      <c r="AS590" s="83"/>
      <c r="AT590" s="83"/>
      <c r="AU590" s="83"/>
      <c r="AV590" s="83"/>
      <c r="AW590" s="83"/>
      <c r="AX590" s="83"/>
      <c r="AY590" s="83"/>
      <c r="AZ590" s="83"/>
      <c r="BA590" s="83"/>
      <c r="BB590" s="83"/>
      <c r="BC590" s="83"/>
      <c r="BD590" s="83"/>
      <c r="BE590" s="83"/>
      <c r="BF590" s="83"/>
      <c r="BG590" s="83"/>
      <c r="BH590" s="83"/>
      <c r="BI590" s="83"/>
      <c r="BJ590" s="83"/>
      <c r="BK590" s="83"/>
      <c r="BL590" s="83"/>
      <c r="BM590" s="83"/>
      <c r="BN590" s="83"/>
      <c r="BO590" s="83"/>
      <c r="BP590" s="83"/>
      <c r="BQ590" s="83"/>
      <c r="BR590" s="83"/>
      <c r="BS590" s="83"/>
      <c r="BT590" s="83"/>
      <c r="BU590" s="83"/>
      <c r="BV590" s="83"/>
      <c r="BW590" s="83"/>
      <c r="BX590" s="83"/>
      <c r="BY590" s="83"/>
      <c r="BZ590" s="83"/>
      <c r="CA590" s="83"/>
      <c r="CB590" s="83"/>
      <c r="CC590" s="83"/>
      <c r="CD590" s="83"/>
      <c r="CE590" s="83"/>
      <c r="CF590" s="83"/>
      <c r="CG590" s="83"/>
      <c r="CH590" s="83"/>
      <c r="CI590" s="83"/>
      <c r="CJ590" s="83"/>
      <c r="CK590" s="83"/>
      <c r="CL590" s="83"/>
      <c r="CM590" s="83"/>
      <c r="CN590" s="83"/>
      <c r="CO590" s="83"/>
      <c r="CP590" s="83"/>
      <c r="CQ590" s="83"/>
      <c r="CR590" s="83"/>
      <c r="CS590" s="83"/>
      <c r="CT590" s="83"/>
      <c r="CU590" s="83"/>
      <c r="CV590" s="83"/>
      <c r="CW590" s="83"/>
      <c r="CX590" s="83"/>
      <c r="CY590" s="83"/>
      <c r="CZ590" s="83"/>
      <c r="DA590" s="83"/>
      <c r="DB590" s="83"/>
      <c r="DC590" s="83"/>
    </row>
    <row r="591" spans="1:107" x14ac:dyDescent="0.3">
      <c r="A591" s="83"/>
      <c r="B591" s="83"/>
      <c r="C591" s="83"/>
      <c r="D591" s="83"/>
      <c r="E591" s="83"/>
      <c r="F591" s="83"/>
      <c r="G591" s="83"/>
      <c r="H591" s="83"/>
      <c r="I591" s="83"/>
      <c r="J591" s="83"/>
      <c r="K591" s="83"/>
      <c r="L591" s="83"/>
      <c r="M591" s="83"/>
      <c r="N591" s="83"/>
      <c r="O591" s="83"/>
      <c r="P591" s="83"/>
      <c r="Q591" s="83"/>
      <c r="R591" s="83"/>
      <c r="S591" s="83"/>
      <c r="T591" s="83"/>
      <c r="U591" s="83"/>
      <c r="V591" s="83"/>
      <c r="W591" s="83"/>
      <c r="X591" s="83"/>
      <c r="Y591" s="83"/>
      <c r="Z591" s="83"/>
      <c r="AA591" s="83"/>
      <c r="AB591" s="83"/>
      <c r="AC591" s="83"/>
      <c r="AD591" s="83"/>
      <c r="AE591" s="83"/>
      <c r="AF591" s="83"/>
      <c r="AG591" s="83"/>
      <c r="AH591" s="83"/>
      <c r="AI591" s="83"/>
      <c r="AJ591" s="83"/>
      <c r="AK591" s="83"/>
      <c r="AL591" s="83"/>
      <c r="AM591" s="83"/>
      <c r="AN591" s="83"/>
      <c r="AO591" s="83"/>
      <c r="AP591" s="83"/>
      <c r="AQ591" s="83"/>
      <c r="AR591" s="83"/>
      <c r="AS591" s="83"/>
      <c r="AT591" s="83"/>
      <c r="AU591" s="83"/>
      <c r="AV591" s="83"/>
      <c r="AW591" s="83"/>
      <c r="AX591" s="83"/>
      <c r="AY591" s="83"/>
      <c r="AZ591" s="83"/>
      <c r="BA591" s="83"/>
      <c r="BB591" s="83"/>
      <c r="BC591" s="83"/>
      <c r="BD591" s="83"/>
      <c r="BE591" s="83"/>
      <c r="BF591" s="83"/>
      <c r="BG591" s="83"/>
      <c r="BH591" s="83"/>
      <c r="BI591" s="83"/>
      <c r="BJ591" s="83"/>
      <c r="BK591" s="83"/>
      <c r="BL591" s="83"/>
      <c r="BM591" s="83"/>
      <c r="BN591" s="83"/>
      <c r="BO591" s="83"/>
      <c r="BP591" s="83"/>
      <c r="BQ591" s="83"/>
      <c r="BR591" s="83"/>
      <c r="BS591" s="83"/>
      <c r="BT591" s="83"/>
      <c r="BU591" s="83"/>
      <c r="BV591" s="83"/>
      <c r="BW591" s="83"/>
      <c r="BX591" s="83"/>
      <c r="BY591" s="83"/>
      <c r="BZ591" s="83"/>
      <c r="CA591" s="83"/>
      <c r="CB591" s="83"/>
      <c r="CC591" s="83"/>
      <c r="CD591" s="83"/>
      <c r="CE591" s="83"/>
      <c r="CF591" s="83"/>
      <c r="CG591" s="83"/>
      <c r="CH591" s="83"/>
      <c r="CI591" s="83"/>
      <c r="CJ591" s="83"/>
      <c r="CK591" s="83"/>
      <c r="CL591" s="83"/>
      <c r="CM591" s="83"/>
      <c r="CN591" s="83"/>
      <c r="CO591" s="83"/>
      <c r="CP591" s="83"/>
      <c r="CQ591" s="83"/>
      <c r="CR591" s="83"/>
      <c r="CS591" s="83"/>
      <c r="CT591" s="83"/>
      <c r="CU591" s="83"/>
      <c r="CV591" s="83"/>
      <c r="CW591" s="83"/>
      <c r="CX591" s="83"/>
      <c r="CY591" s="83"/>
      <c r="CZ591" s="83"/>
      <c r="DA591" s="83"/>
      <c r="DB591" s="83"/>
      <c r="DC591" s="83"/>
    </row>
    <row r="592" spans="1:107" x14ac:dyDescent="0.3">
      <c r="A592" s="83"/>
      <c r="B592" s="83"/>
      <c r="C592" s="83"/>
      <c r="D592" s="83"/>
      <c r="E592" s="83"/>
      <c r="F592" s="83"/>
      <c r="G592" s="83"/>
      <c r="H592" s="83"/>
      <c r="I592" s="83"/>
      <c r="J592" s="83"/>
      <c r="K592" s="83"/>
      <c r="L592" s="83"/>
      <c r="M592" s="83"/>
      <c r="N592" s="83"/>
      <c r="O592" s="83"/>
      <c r="P592" s="83"/>
      <c r="Q592" s="83"/>
      <c r="R592" s="83"/>
      <c r="S592" s="83"/>
      <c r="T592" s="83"/>
      <c r="U592" s="83"/>
      <c r="V592" s="83"/>
      <c r="W592" s="83"/>
      <c r="X592" s="83"/>
      <c r="Y592" s="83"/>
      <c r="Z592" s="83"/>
      <c r="AA592" s="83"/>
      <c r="AB592" s="83"/>
      <c r="AC592" s="83"/>
      <c r="AD592" s="83"/>
      <c r="AE592" s="83"/>
      <c r="AF592" s="83"/>
      <c r="AG592" s="83"/>
      <c r="AH592" s="83"/>
      <c r="AI592" s="83"/>
      <c r="AJ592" s="83"/>
      <c r="AK592" s="83"/>
      <c r="AL592" s="83"/>
      <c r="AM592" s="83"/>
      <c r="AN592" s="83"/>
      <c r="AO592" s="83"/>
      <c r="AP592" s="83"/>
      <c r="AQ592" s="83"/>
      <c r="AR592" s="83"/>
      <c r="AS592" s="83"/>
      <c r="AT592" s="83"/>
      <c r="AU592" s="83"/>
      <c r="AV592" s="83"/>
      <c r="AW592" s="83"/>
      <c r="AX592" s="83"/>
      <c r="AY592" s="83"/>
      <c r="AZ592" s="83"/>
      <c r="BA592" s="83"/>
      <c r="BB592" s="83"/>
      <c r="BC592" s="83"/>
      <c r="BD592" s="83"/>
      <c r="BE592" s="83"/>
      <c r="BF592" s="83"/>
      <c r="BG592" s="83"/>
      <c r="BH592" s="83"/>
      <c r="BI592" s="83"/>
      <c r="BJ592" s="83"/>
      <c r="BK592" s="83"/>
      <c r="BL592" s="83"/>
      <c r="BM592" s="83"/>
      <c r="BN592" s="83"/>
      <c r="BO592" s="83"/>
      <c r="BP592" s="83"/>
      <c r="BQ592" s="83"/>
      <c r="BR592" s="83"/>
      <c r="BS592" s="83"/>
      <c r="BT592" s="83"/>
      <c r="BU592" s="83"/>
      <c r="BV592" s="83"/>
      <c r="BW592" s="83"/>
      <c r="BX592" s="83"/>
      <c r="BY592" s="83"/>
      <c r="BZ592" s="83"/>
      <c r="CA592" s="83"/>
      <c r="CB592" s="83"/>
      <c r="CC592" s="83"/>
      <c r="CD592" s="83"/>
      <c r="CE592" s="83"/>
      <c r="CF592" s="83"/>
      <c r="CG592" s="83"/>
      <c r="CH592" s="83"/>
      <c r="CI592" s="83"/>
      <c r="CJ592" s="83"/>
      <c r="CK592" s="83"/>
      <c r="CL592" s="83"/>
      <c r="CM592" s="83"/>
      <c r="CN592" s="83"/>
      <c r="CO592" s="83"/>
      <c r="CP592" s="83"/>
      <c r="CQ592" s="83"/>
      <c r="CR592" s="83"/>
      <c r="CS592" s="83"/>
      <c r="CT592" s="83"/>
      <c r="CU592" s="83"/>
      <c r="CV592" s="83"/>
      <c r="CW592" s="83"/>
      <c r="CX592" s="83"/>
      <c r="CY592" s="83"/>
      <c r="CZ592" s="83"/>
      <c r="DA592" s="83"/>
      <c r="DB592" s="83"/>
      <c r="DC592" s="83"/>
    </row>
    <row r="593" spans="1:107" x14ac:dyDescent="0.3">
      <c r="A593" s="83"/>
      <c r="B593" s="83"/>
      <c r="C593" s="83"/>
      <c r="D593" s="83"/>
      <c r="E593" s="83"/>
      <c r="F593" s="83"/>
      <c r="G593" s="83"/>
      <c r="H593" s="83"/>
      <c r="I593" s="83"/>
      <c r="J593" s="83"/>
      <c r="K593" s="83"/>
      <c r="L593" s="83"/>
      <c r="M593" s="83"/>
      <c r="N593" s="83"/>
      <c r="O593" s="83"/>
      <c r="P593" s="83"/>
      <c r="Q593" s="83"/>
      <c r="R593" s="83"/>
      <c r="S593" s="83"/>
      <c r="T593" s="83"/>
      <c r="U593" s="83"/>
      <c r="V593" s="83"/>
      <c r="W593" s="83"/>
      <c r="X593" s="83"/>
      <c r="Y593" s="83"/>
      <c r="Z593" s="83"/>
      <c r="AA593" s="83"/>
      <c r="AB593" s="83"/>
      <c r="AC593" s="83"/>
      <c r="AD593" s="83"/>
      <c r="AE593" s="83"/>
      <c r="AF593" s="83"/>
      <c r="AG593" s="83"/>
      <c r="AH593" s="83"/>
      <c r="AI593" s="83"/>
      <c r="AJ593" s="83"/>
      <c r="AK593" s="83"/>
      <c r="AL593" s="83"/>
      <c r="AM593" s="83"/>
      <c r="AN593" s="83"/>
      <c r="AO593" s="83"/>
      <c r="AP593" s="83"/>
      <c r="AQ593" s="83"/>
      <c r="AR593" s="83"/>
      <c r="AS593" s="83"/>
      <c r="AT593" s="83"/>
      <c r="AU593" s="83"/>
      <c r="AV593" s="83"/>
      <c r="AW593" s="83"/>
      <c r="AX593" s="83"/>
      <c r="AY593" s="83"/>
      <c r="AZ593" s="83"/>
      <c r="BA593" s="83"/>
      <c r="BB593" s="83"/>
      <c r="BC593" s="83"/>
      <c r="BD593" s="83"/>
      <c r="BE593" s="83"/>
      <c r="BF593" s="83"/>
      <c r="BG593" s="83"/>
      <c r="BH593" s="83"/>
      <c r="BI593" s="83"/>
      <c r="BJ593" s="83"/>
      <c r="BK593" s="83"/>
      <c r="BL593" s="83"/>
      <c r="BM593" s="83"/>
      <c r="BN593" s="83"/>
      <c r="BO593" s="83"/>
      <c r="BP593" s="83"/>
      <c r="BQ593" s="83"/>
      <c r="BR593" s="83"/>
      <c r="BS593" s="83"/>
      <c r="BT593" s="83"/>
      <c r="BU593" s="83"/>
      <c r="BV593" s="83"/>
      <c r="BW593" s="83"/>
      <c r="BX593" s="83"/>
      <c r="BY593" s="83"/>
      <c r="BZ593" s="83"/>
      <c r="CA593" s="83"/>
      <c r="CB593" s="83"/>
      <c r="CC593" s="83"/>
      <c r="CD593" s="83"/>
      <c r="CE593" s="83"/>
      <c r="CF593" s="83"/>
      <c r="CG593" s="83"/>
      <c r="CH593" s="83"/>
      <c r="CI593" s="83"/>
      <c r="CJ593" s="83"/>
      <c r="CK593" s="83"/>
      <c r="CL593" s="83"/>
      <c r="CM593" s="83"/>
      <c r="CN593" s="83"/>
      <c r="CO593" s="83"/>
      <c r="CP593" s="83"/>
      <c r="CQ593" s="83"/>
      <c r="CR593" s="83"/>
      <c r="CS593" s="83"/>
      <c r="CT593" s="83"/>
      <c r="CU593" s="83"/>
      <c r="CV593" s="83"/>
      <c r="CW593" s="83"/>
      <c r="CX593" s="83"/>
      <c r="CY593" s="83"/>
      <c r="CZ593" s="83"/>
      <c r="DA593" s="83"/>
      <c r="DB593" s="83"/>
      <c r="DC593" s="83"/>
    </row>
    <row r="594" spans="1:107" x14ac:dyDescent="0.3">
      <c r="A594" s="83"/>
      <c r="B594" s="83"/>
      <c r="C594" s="83"/>
      <c r="D594" s="83"/>
      <c r="E594" s="83"/>
      <c r="F594" s="83"/>
      <c r="G594" s="83"/>
      <c r="H594" s="83"/>
      <c r="I594" s="83"/>
      <c r="J594" s="83"/>
      <c r="K594" s="83"/>
      <c r="L594" s="83"/>
      <c r="M594" s="83"/>
      <c r="N594" s="83"/>
      <c r="O594" s="83"/>
      <c r="P594" s="83"/>
      <c r="Q594" s="83"/>
      <c r="R594" s="83"/>
      <c r="S594" s="83"/>
      <c r="T594" s="83"/>
      <c r="U594" s="83"/>
      <c r="V594" s="83"/>
      <c r="W594" s="83"/>
      <c r="X594" s="83"/>
      <c r="Y594" s="83"/>
      <c r="Z594" s="83"/>
      <c r="AA594" s="83"/>
      <c r="AB594" s="83"/>
      <c r="AC594" s="83"/>
      <c r="AD594" s="83"/>
      <c r="AE594" s="83"/>
      <c r="AF594" s="83"/>
      <c r="AG594" s="83"/>
      <c r="AH594" s="83"/>
      <c r="AI594" s="83"/>
      <c r="AJ594" s="83"/>
      <c r="AK594" s="83"/>
      <c r="AL594" s="83"/>
      <c r="AM594" s="83"/>
      <c r="AN594" s="83"/>
      <c r="AO594" s="83"/>
      <c r="AP594" s="83"/>
      <c r="AQ594" s="83"/>
      <c r="AR594" s="83"/>
      <c r="AS594" s="83"/>
      <c r="AT594" s="83"/>
      <c r="AU594" s="83"/>
      <c r="AV594" s="83"/>
      <c r="AW594" s="83"/>
      <c r="AX594" s="83"/>
      <c r="AY594" s="83"/>
      <c r="AZ594" s="83"/>
      <c r="BA594" s="83"/>
      <c r="BB594" s="83"/>
      <c r="BC594" s="83"/>
      <c r="BD594" s="83"/>
      <c r="BE594" s="83"/>
      <c r="BF594" s="83"/>
      <c r="BG594" s="83"/>
      <c r="BH594" s="83"/>
      <c r="BI594" s="83"/>
      <c r="BJ594" s="83"/>
      <c r="BK594" s="83"/>
      <c r="BL594" s="83"/>
      <c r="BM594" s="83"/>
      <c r="BN594" s="83"/>
      <c r="BO594" s="83"/>
      <c r="BP594" s="83"/>
      <c r="BQ594" s="83"/>
      <c r="BR594" s="83"/>
      <c r="BS594" s="83"/>
      <c r="BT594" s="83"/>
      <c r="BU594" s="83"/>
      <c r="BV594" s="83"/>
      <c r="BW594" s="83"/>
      <c r="BX594" s="83"/>
      <c r="BY594" s="83"/>
      <c r="BZ594" s="83"/>
      <c r="CA594" s="83"/>
      <c r="CB594" s="83"/>
      <c r="CC594" s="83"/>
      <c r="CD594" s="83"/>
      <c r="CE594" s="83"/>
      <c r="CF594" s="83"/>
      <c r="CG594" s="83"/>
      <c r="CH594" s="83"/>
      <c r="CI594" s="83"/>
      <c r="CJ594" s="83"/>
      <c r="CK594" s="83"/>
      <c r="CL594" s="83"/>
      <c r="CM594" s="83"/>
      <c r="CN594" s="83"/>
      <c r="CO594" s="83"/>
      <c r="CP594" s="83"/>
      <c r="CQ594" s="83"/>
      <c r="CR594" s="83"/>
      <c r="CS594" s="83"/>
      <c r="CT594" s="83"/>
      <c r="CU594" s="83"/>
      <c r="CV594" s="83"/>
      <c r="CW594" s="83"/>
      <c r="CX594" s="83"/>
      <c r="CY594" s="83"/>
      <c r="CZ594" s="83"/>
      <c r="DA594" s="83"/>
      <c r="DB594" s="83"/>
      <c r="DC594" s="83"/>
    </row>
    <row r="595" spans="1:107" x14ac:dyDescent="0.3">
      <c r="A595" s="83"/>
      <c r="B595" s="83"/>
      <c r="C595" s="83"/>
      <c r="D595" s="83"/>
      <c r="E595" s="83"/>
      <c r="F595" s="83"/>
      <c r="G595" s="83"/>
      <c r="H595" s="83"/>
      <c r="I595" s="83"/>
      <c r="J595" s="83"/>
      <c r="K595" s="83"/>
      <c r="L595" s="83"/>
      <c r="M595" s="83"/>
      <c r="N595" s="83"/>
      <c r="O595" s="83"/>
      <c r="P595" s="83"/>
      <c r="Q595" s="83"/>
      <c r="R595" s="83"/>
      <c r="S595" s="83"/>
      <c r="T595" s="83"/>
      <c r="U595" s="83"/>
      <c r="V595" s="83"/>
      <c r="W595" s="83"/>
      <c r="X595" s="83"/>
      <c r="Y595" s="83"/>
      <c r="Z595" s="83"/>
      <c r="AA595" s="83"/>
      <c r="AB595" s="83"/>
      <c r="AC595" s="83"/>
      <c r="AD595" s="83"/>
      <c r="AE595" s="83"/>
      <c r="AF595" s="83"/>
      <c r="AG595" s="83"/>
      <c r="AH595" s="83"/>
      <c r="AI595" s="83"/>
      <c r="AJ595" s="83"/>
      <c r="AK595" s="83"/>
      <c r="AL595" s="83"/>
      <c r="AM595" s="83"/>
      <c r="AN595" s="83"/>
      <c r="AO595" s="83"/>
      <c r="AP595" s="83"/>
      <c r="AQ595" s="83"/>
      <c r="AR595" s="83"/>
      <c r="AS595" s="83"/>
      <c r="AT595" s="83"/>
      <c r="AU595" s="83"/>
      <c r="AV595" s="83"/>
      <c r="AW595" s="83"/>
      <c r="AX595" s="83"/>
      <c r="AY595" s="83"/>
      <c r="AZ595" s="83"/>
      <c r="BA595" s="83"/>
      <c r="BB595" s="83"/>
      <c r="BC595" s="83"/>
      <c r="BD595" s="83"/>
      <c r="BE595" s="83"/>
      <c r="BF595" s="83"/>
      <c r="BG595" s="83"/>
      <c r="BH595" s="83"/>
      <c r="BI595" s="83"/>
      <c r="BJ595" s="83"/>
      <c r="BK595" s="83"/>
      <c r="BL595" s="83"/>
      <c r="BM595" s="83"/>
      <c r="BN595" s="83"/>
      <c r="BO595" s="83"/>
      <c r="BP595" s="83"/>
      <c r="BQ595" s="83"/>
      <c r="BR595" s="83"/>
      <c r="BS595" s="83"/>
      <c r="BT595" s="83"/>
      <c r="BU595" s="83"/>
      <c r="BV595" s="83"/>
      <c r="BW595" s="83"/>
      <c r="BX595" s="83"/>
      <c r="BY595" s="83"/>
      <c r="BZ595" s="83"/>
      <c r="CA595" s="83"/>
      <c r="CB595" s="83"/>
      <c r="CC595" s="83"/>
      <c r="CD595" s="83"/>
      <c r="CE595" s="83"/>
      <c r="CF595" s="83"/>
      <c r="CG595" s="83"/>
      <c r="CH595" s="83"/>
      <c r="CI595" s="83"/>
      <c r="CJ595" s="83"/>
      <c r="CK595" s="83"/>
      <c r="CL595" s="83"/>
      <c r="CM595" s="83"/>
      <c r="CN595" s="83"/>
      <c r="CO595" s="83"/>
      <c r="CP595" s="83"/>
      <c r="CQ595" s="83"/>
      <c r="CR595" s="83"/>
      <c r="CS595" s="83"/>
      <c r="CT595" s="83"/>
      <c r="CU595" s="83"/>
      <c r="CV595" s="83"/>
      <c r="CW595" s="83"/>
      <c r="CX595" s="83"/>
      <c r="CY595" s="83"/>
      <c r="CZ595" s="83"/>
      <c r="DA595" s="83"/>
      <c r="DB595" s="83"/>
      <c r="DC595" s="83"/>
    </row>
    <row r="596" spans="1:107" x14ac:dyDescent="0.3">
      <c r="A596" s="83"/>
      <c r="B596" s="83"/>
      <c r="C596" s="83"/>
      <c r="D596" s="83"/>
      <c r="E596" s="83"/>
      <c r="F596" s="83"/>
      <c r="G596" s="83"/>
      <c r="H596" s="83"/>
      <c r="I596" s="83"/>
      <c r="J596" s="83"/>
      <c r="K596" s="83"/>
      <c r="L596" s="83"/>
      <c r="M596" s="83"/>
      <c r="N596" s="83"/>
      <c r="O596" s="83"/>
      <c r="P596" s="83"/>
      <c r="Q596" s="83"/>
      <c r="R596" s="83"/>
      <c r="S596" s="83"/>
      <c r="T596" s="83"/>
      <c r="U596" s="83"/>
      <c r="V596" s="83"/>
      <c r="W596" s="83"/>
      <c r="X596" s="83"/>
      <c r="Y596" s="83"/>
      <c r="Z596" s="83"/>
      <c r="AA596" s="83"/>
      <c r="AB596" s="83"/>
      <c r="AC596" s="83"/>
      <c r="AD596" s="83"/>
      <c r="AE596" s="83"/>
      <c r="AF596" s="83"/>
      <c r="AG596" s="83"/>
      <c r="AH596" s="83"/>
      <c r="AI596" s="83"/>
      <c r="AJ596" s="83"/>
      <c r="AK596" s="83"/>
      <c r="AL596" s="83"/>
      <c r="AM596" s="83"/>
      <c r="AN596" s="83"/>
      <c r="AO596" s="83"/>
      <c r="AP596" s="83"/>
      <c r="AQ596" s="83"/>
      <c r="AR596" s="83"/>
      <c r="AS596" s="83"/>
      <c r="AT596" s="83"/>
      <c r="AU596" s="83"/>
      <c r="AV596" s="83"/>
      <c r="AW596" s="83"/>
      <c r="AX596" s="83"/>
      <c r="AY596" s="83"/>
      <c r="AZ596" s="83"/>
      <c r="BA596" s="83"/>
      <c r="BB596" s="83"/>
      <c r="BC596" s="83"/>
      <c r="BD596" s="83"/>
      <c r="BE596" s="83"/>
      <c r="BF596" s="83"/>
      <c r="BG596" s="83"/>
      <c r="BH596" s="83"/>
      <c r="BI596" s="83"/>
      <c r="BJ596" s="83"/>
      <c r="BK596" s="83"/>
      <c r="BL596" s="83"/>
      <c r="BM596" s="83"/>
      <c r="BN596" s="83"/>
      <c r="BO596" s="83"/>
      <c r="BP596" s="83"/>
      <c r="BQ596" s="83"/>
      <c r="BR596" s="83"/>
      <c r="BS596" s="83"/>
      <c r="BT596" s="83"/>
      <c r="BU596" s="83"/>
      <c r="BV596" s="83"/>
      <c r="BW596" s="83"/>
      <c r="BX596" s="83"/>
      <c r="BY596" s="83"/>
      <c r="BZ596" s="83"/>
      <c r="CA596" s="83"/>
      <c r="CB596" s="83"/>
      <c r="CC596" s="83"/>
      <c r="CD596" s="83"/>
      <c r="CE596" s="83"/>
      <c r="CF596" s="83"/>
      <c r="CG596" s="83"/>
      <c r="CH596" s="83"/>
      <c r="CI596" s="83"/>
      <c r="CJ596" s="83"/>
      <c r="CK596" s="83"/>
      <c r="CL596" s="83"/>
      <c r="CM596" s="83"/>
      <c r="CN596" s="83"/>
      <c r="CO596" s="83"/>
      <c r="CP596" s="83"/>
      <c r="CQ596" s="83"/>
      <c r="CR596" s="83"/>
      <c r="CS596" s="83"/>
      <c r="CT596" s="83"/>
      <c r="CU596" s="83"/>
      <c r="CV596" s="83"/>
      <c r="CW596" s="83"/>
      <c r="CX596" s="83"/>
      <c r="CY596" s="83"/>
      <c r="CZ596" s="83"/>
      <c r="DA596" s="83"/>
      <c r="DB596" s="83"/>
      <c r="DC596" s="83"/>
    </row>
    <row r="597" spans="1:107" x14ac:dyDescent="0.3">
      <c r="A597" s="83"/>
      <c r="B597" s="83"/>
      <c r="C597" s="83"/>
      <c r="D597" s="83"/>
      <c r="E597" s="83"/>
      <c r="F597" s="83"/>
      <c r="G597" s="83"/>
      <c r="H597" s="83"/>
      <c r="I597" s="83"/>
      <c r="J597" s="83"/>
      <c r="K597" s="83"/>
      <c r="L597" s="83"/>
      <c r="M597" s="83"/>
      <c r="N597" s="83"/>
      <c r="O597" s="83"/>
      <c r="P597" s="83"/>
      <c r="Q597" s="83"/>
      <c r="R597" s="83"/>
      <c r="S597" s="83"/>
      <c r="T597" s="83"/>
      <c r="U597" s="83"/>
      <c r="V597" s="83"/>
      <c r="W597" s="83"/>
      <c r="X597" s="83"/>
      <c r="Y597" s="83"/>
      <c r="Z597" s="83"/>
      <c r="AA597" s="83"/>
      <c r="AB597" s="83"/>
      <c r="AC597" s="83"/>
      <c r="AD597" s="83"/>
      <c r="AE597" s="83"/>
      <c r="AF597" s="83"/>
      <c r="AG597" s="83"/>
      <c r="AH597" s="83"/>
      <c r="AI597" s="83"/>
      <c r="AJ597" s="83"/>
      <c r="AK597" s="83"/>
      <c r="AL597" s="83"/>
      <c r="AM597" s="83"/>
      <c r="AN597" s="83"/>
      <c r="AO597" s="83"/>
      <c r="AP597" s="83"/>
      <c r="AQ597" s="83"/>
      <c r="AR597" s="83"/>
      <c r="AS597" s="83"/>
      <c r="AT597" s="83"/>
      <c r="AU597" s="83"/>
      <c r="AV597" s="83"/>
      <c r="AW597" s="83"/>
      <c r="AX597" s="83"/>
      <c r="AY597" s="83"/>
      <c r="AZ597" s="83"/>
      <c r="BA597" s="83"/>
      <c r="BB597" s="83"/>
      <c r="BC597" s="83"/>
      <c r="BD597" s="83"/>
      <c r="BE597" s="83"/>
      <c r="BF597" s="83"/>
      <c r="BG597" s="83"/>
      <c r="BH597" s="83"/>
      <c r="BI597" s="83"/>
      <c r="BJ597" s="83"/>
      <c r="BK597" s="83"/>
      <c r="BL597" s="83"/>
      <c r="BM597" s="83"/>
      <c r="BN597" s="83"/>
      <c r="BO597" s="83"/>
      <c r="BP597" s="83"/>
      <c r="BQ597" s="83"/>
      <c r="BR597" s="83"/>
      <c r="BS597" s="83"/>
      <c r="BT597" s="83"/>
      <c r="BU597" s="83"/>
      <c r="BV597" s="83"/>
      <c r="BW597" s="83"/>
      <c r="BX597" s="83"/>
      <c r="BY597" s="83"/>
      <c r="BZ597" s="83"/>
      <c r="CA597" s="83"/>
      <c r="CB597" s="83"/>
      <c r="CC597" s="83"/>
      <c r="CD597" s="83"/>
      <c r="CE597" s="83"/>
      <c r="CF597" s="83"/>
      <c r="CG597" s="83"/>
      <c r="CH597" s="83"/>
      <c r="CI597" s="83"/>
      <c r="CJ597" s="83"/>
      <c r="CK597" s="83"/>
      <c r="CL597" s="83"/>
      <c r="CM597" s="83"/>
      <c r="CN597" s="83"/>
      <c r="CO597" s="83"/>
      <c r="CP597" s="83"/>
      <c r="CQ597" s="83"/>
      <c r="CR597" s="83"/>
      <c r="CS597" s="83"/>
      <c r="CT597" s="83"/>
      <c r="CU597" s="83"/>
      <c r="CV597" s="83"/>
      <c r="CW597" s="83"/>
      <c r="CX597" s="83"/>
      <c r="CY597" s="83"/>
      <c r="CZ597" s="83"/>
      <c r="DA597" s="83"/>
      <c r="DB597" s="83"/>
      <c r="DC597" s="83"/>
    </row>
    <row r="598" spans="1:107" x14ac:dyDescent="0.3">
      <c r="A598" s="83"/>
      <c r="B598" s="83"/>
      <c r="C598" s="83"/>
      <c r="D598" s="83"/>
      <c r="E598" s="83"/>
      <c r="F598" s="83"/>
      <c r="G598" s="83"/>
      <c r="H598" s="83"/>
      <c r="I598" s="83"/>
      <c r="J598" s="83"/>
      <c r="K598" s="83"/>
      <c r="L598" s="83"/>
      <c r="M598" s="83"/>
      <c r="N598" s="83"/>
      <c r="O598" s="83"/>
      <c r="P598" s="83"/>
      <c r="Q598" s="83"/>
      <c r="R598" s="83"/>
      <c r="S598" s="83"/>
      <c r="T598" s="83"/>
      <c r="U598" s="83"/>
      <c r="V598" s="83"/>
      <c r="W598" s="83"/>
      <c r="X598" s="83"/>
      <c r="Y598" s="83"/>
      <c r="Z598" s="83"/>
      <c r="AA598" s="83"/>
      <c r="AB598" s="83"/>
      <c r="AC598" s="83"/>
      <c r="AD598" s="83"/>
      <c r="AE598" s="83"/>
      <c r="AF598" s="83"/>
      <c r="AG598" s="83"/>
      <c r="AH598" s="83"/>
      <c r="AI598" s="83"/>
      <c r="AJ598" s="83"/>
      <c r="AK598" s="83"/>
      <c r="AL598" s="83"/>
      <c r="AM598" s="83"/>
      <c r="AN598" s="83"/>
      <c r="AO598" s="83"/>
      <c r="AP598" s="83"/>
      <c r="AQ598" s="83"/>
      <c r="AR598" s="83"/>
      <c r="AS598" s="83"/>
      <c r="AT598" s="83"/>
      <c r="AU598" s="83"/>
      <c r="AV598" s="83"/>
      <c r="AW598" s="83"/>
      <c r="AX598" s="83"/>
      <c r="AY598" s="83"/>
      <c r="AZ598" s="83"/>
      <c r="BA598" s="83"/>
      <c r="BB598" s="83"/>
      <c r="BC598" s="83"/>
      <c r="BD598" s="83"/>
      <c r="BE598" s="83"/>
      <c r="BF598" s="83"/>
      <c r="BG598" s="83"/>
      <c r="BH598" s="83"/>
      <c r="BI598" s="83"/>
      <c r="BJ598" s="83"/>
      <c r="BK598" s="83"/>
      <c r="BL598" s="83"/>
      <c r="BM598" s="83"/>
      <c r="BN598" s="83"/>
      <c r="BO598" s="83"/>
      <c r="BP598" s="83"/>
      <c r="BQ598" s="83"/>
      <c r="BR598" s="83"/>
      <c r="BS598" s="83"/>
      <c r="BT598" s="83"/>
      <c r="BU598" s="83"/>
      <c r="BV598" s="83"/>
      <c r="BW598" s="83"/>
      <c r="BX598" s="83"/>
      <c r="BY598" s="83"/>
      <c r="BZ598" s="83"/>
      <c r="CA598" s="83"/>
      <c r="CB598" s="83"/>
      <c r="CC598" s="83"/>
      <c r="CD598" s="83"/>
      <c r="CE598" s="83"/>
      <c r="CF598" s="83"/>
      <c r="CG598" s="83"/>
      <c r="CH598" s="83"/>
      <c r="CI598" s="83"/>
      <c r="CJ598" s="83"/>
      <c r="CK598" s="83"/>
      <c r="CL598" s="83"/>
      <c r="CM598" s="83"/>
      <c r="CN598" s="83"/>
      <c r="CO598" s="83"/>
      <c r="CP598" s="83"/>
      <c r="CQ598" s="83"/>
      <c r="CR598" s="83"/>
      <c r="CS598" s="83"/>
      <c r="CT598" s="83"/>
      <c r="CU598" s="83"/>
      <c r="CV598" s="83"/>
      <c r="CW598" s="83"/>
      <c r="CX598" s="83"/>
      <c r="CY598" s="83"/>
      <c r="CZ598" s="83"/>
      <c r="DA598" s="83"/>
      <c r="DB598" s="83"/>
      <c r="DC598" s="83"/>
    </row>
    <row r="599" spans="1:107" x14ac:dyDescent="0.3">
      <c r="A599" s="83"/>
      <c r="B599" s="83"/>
      <c r="C599" s="83"/>
      <c r="D599" s="83"/>
      <c r="E599" s="83"/>
      <c r="F599" s="83"/>
      <c r="G599" s="83"/>
      <c r="H599" s="83"/>
      <c r="I599" s="83"/>
      <c r="J599" s="83"/>
      <c r="K599" s="83"/>
      <c r="L599" s="83"/>
      <c r="M599" s="83"/>
      <c r="N599" s="83"/>
      <c r="O599" s="83"/>
      <c r="P599" s="83"/>
      <c r="Q599" s="83"/>
      <c r="R599" s="83"/>
      <c r="S599" s="83"/>
      <c r="T599" s="83"/>
      <c r="U599" s="83"/>
      <c r="V599" s="83"/>
      <c r="W599" s="83"/>
      <c r="X599" s="83"/>
      <c r="Y599" s="83"/>
      <c r="Z599" s="83"/>
      <c r="AA599" s="83"/>
      <c r="AB599" s="83"/>
      <c r="AC599" s="83"/>
      <c r="AD599" s="83"/>
      <c r="AE599" s="83"/>
      <c r="AF599" s="83"/>
      <c r="AG599" s="83"/>
      <c r="AH599" s="83"/>
      <c r="AI599" s="83"/>
      <c r="AJ599" s="83"/>
      <c r="AK599" s="83"/>
      <c r="AL599" s="83"/>
      <c r="AM599" s="83"/>
      <c r="AN599" s="83"/>
      <c r="AO599" s="83"/>
      <c r="AP599" s="83"/>
      <c r="AQ599" s="83"/>
      <c r="AR599" s="83"/>
      <c r="AS599" s="83"/>
      <c r="AT599" s="83"/>
      <c r="AU599" s="83"/>
      <c r="AV599" s="83"/>
      <c r="AW599" s="83"/>
      <c r="AX599" s="83"/>
      <c r="AY599" s="83"/>
      <c r="AZ599" s="83"/>
      <c r="BA599" s="83"/>
      <c r="BB599" s="83"/>
      <c r="BC599" s="83"/>
      <c r="BD599" s="83"/>
      <c r="BE599" s="83"/>
      <c r="BF599" s="83"/>
      <c r="BG599" s="83"/>
      <c r="BH599" s="83"/>
      <c r="BI599" s="83"/>
      <c r="BJ599" s="83"/>
      <c r="BK599" s="83"/>
      <c r="BL599" s="83"/>
      <c r="BM599" s="83"/>
      <c r="BN599" s="83"/>
      <c r="BO599" s="83"/>
      <c r="BP599" s="83"/>
      <c r="BQ599" s="83"/>
      <c r="BR599" s="83"/>
      <c r="BS599" s="83"/>
      <c r="BT599" s="83"/>
      <c r="BU599" s="83"/>
      <c r="BV599" s="83"/>
      <c r="BW599" s="83"/>
      <c r="BX599" s="83"/>
      <c r="BY599" s="83"/>
      <c r="BZ599" s="83"/>
      <c r="CA599" s="83"/>
      <c r="CB599" s="83"/>
      <c r="CC599" s="83"/>
      <c r="CD599" s="83"/>
      <c r="CE599" s="83"/>
      <c r="CF599" s="83"/>
      <c r="CG599" s="83"/>
      <c r="CH599" s="83"/>
      <c r="CI599" s="83"/>
      <c r="CJ599" s="83"/>
      <c r="CK599" s="83"/>
      <c r="CL599" s="83"/>
      <c r="CM599" s="83"/>
      <c r="CN599" s="83"/>
      <c r="CO599" s="83"/>
      <c r="CP599" s="83"/>
      <c r="CQ599" s="83"/>
      <c r="CR599" s="83"/>
      <c r="CS599" s="83"/>
      <c r="CT599" s="83"/>
      <c r="CU599" s="83"/>
      <c r="CV599" s="83"/>
      <c r="CW599" s="83"/>
      <c r="CX599" s="83"/>
      <c r="CY599" s="83"/>
      <c r="CZ599" s="83"/>
      <c r="DA599" s="83"/>
      <c r="DB599" s="83"/>
      <c r="DC599" s="83"/>
    </row>
    <row r="600" spans="1:107" x14ac:dyDescent="0.3">
      <c r="A600" s="83"/>
      <c r="B600" s="83"/>
      <c r="C600" s="83"/>
      <c r="D600" s="83"/>
      <c r="E600" s="83"/>
      <c r="F600" s="83"/>
      <c r="G600" s="83"/>
      <c r="H600" s="83"/>
      <c r="I600" s="83"/>
      <c r="J600" s="83"/>
      <c r="K600" s="83"/>
      <c r="L600" s="83"/>
      <c r="M600" s="83"/>
      <c r="N600" s="83"/>
      <c r="O600" s="83"/>
      <c r="P600" s="83"/>
      <c r="Q600" s="83"/>
      <c r="R600" s="83"/>
      <c r="S600" s="83"/>
      <c r="T600" s="83"/>
      <c r="U600" s="83"/>
      <c r="V600" s="83"/>
      <c r="W600" s="83"/>
      <c r="X600" s="83"/>
      <c r="Y600" s="83"/>
      <c r="Z600" s="83"/>
      <c r="AA600" s="83"/>
      <c r="AB600" s="83"/>
      <c r="AC600" s="83"/>
      <c r="AD600" s="83"/>
      <c r="AE600" s="83"/>
      <c r="AF600" s="83"/>
      <c r="AG600" s="83"/>
      <c r="AH600" s="83"/>
      <c r="AI600" s="83"/>
      <c r="AJ600" s="83"/>
      <c r="AK600" s="83"/>
      <c r="AL600" s="83"/>
      <c r="AM600" s="83"/>
      <c r="AN600" s="83"/>
      <c r="AO600" s="83"/>
      <c r="AP600" s="83"/>
      <c r="AQ600" s="83"/>
      <c r="AR600" s="83"/>
      <c r="AS600" s="83"/>
      <c r="AT600" s="83"/>
      <c r="AU600" s="83"/>
      <c r="AV600" s="83"/>
      <c r="AW600" s="83"/>
      <c r="AX600" s="83"/>
      <c r="AY600" s="83"/>
      <c r="AZ600" s="83"/>
      <c r="BA600" s="83"/>
      <c r="BB600" s="83"/>
      <c r="BC600" s="83"/>
      <c r="BD600" s="83"/>
      <c r="BE600" s="83"/>
      <c r="BF600" s="83"/>
      <c r="BG600" s="83"/>
      <c r="BH600" s="83"/>
      <c r="BI600" s="83"/>
      <c r="BJ600" s="83"/>
      <c r="BK600" s="83"/>
      <c r="BL600" s="83"/>
      <c r="BM600" s="83"/>
      <c r="BN600" s="83"/>
      <c r="BO600" s="83"/>
      <c r="BP600" s="83"/>
      <c r="BQ600" s="83"/>
      <c r="BR600" s="83"/>
      <c r="BS600" s="83"/>
      <c r="BT600" s="83"/>
      <c r="BU600" s="83"/>
      <c r="BV600" s="83"/>
      <c r="BW600" s="83"/>
      <c r="BX600" s="83"/>
      <c r="BY600" s="83"/>
      <c r="BZ600" s="83"/>
      <c r="CA600" s="83"/>
      <c r="CB600" s="83"/>
      <c r="CC600" s="83"/>
      <c r="CD600" s="83"/>
      <c r="CE600" s="83"/>
      <c r="CF600" s="83"/>
      <c r="CG600" s="83"/>
      <c r="CH600" s="83"/>
      <c r="CI600" s="83"/>
      <c r="CJ600" s="83"/>
      <c r="CK600" s="83"/>
      <c r="CL600" s="83"/>
      <c r="CM600" s="83"/>
      <c r="CN600" s="83"/>
      <c r="CO600" s="83"/>
      <c r="CP600" s="83"/>
      <c r="CQ600" s="83"/>
      <c r="CR600" s="83"/>
      <c r="CS600" s="83"/>
      <c r="CT600" s="83"/>
      <c r="CU600" s="83"/>
      <c r="CV600" s="83"/>
      <c r="CW600" s="83"/>
      <c r="CX600" s="83"/>
      <c r="CY600" s="83"/>
      <c r="CZ600" s="83"/>
      <c r="DA600" s="83"/>
      <c r="DB600" s="83"/>
      <c r="DC600" s="83"/>
    </row>
    <row r="601" spans="1:107" x14ac:dyDescent="0.3">
      <c r="A601" s="83"/>
      <c r="B601" s="83"/>
      <c r="C601" s="83"/>
      <c r="D601" s="83"/>
      <c r="E601" s="83"/>
      <c r="F601" s="83"/>
      <c r="G601" s="83"/>
      <c r="H601" s="83"/>
      <c r="I601" s="83"/>
      <c r="J601" s="83"/>
      <c r="K601" s="83"/>
      <c r="L601" s="83"/>
      <c r="M601" s="83"/>
      <c r="N601" s="83"/>
      <c r="O601" s="83"/>
      <c r="P601" s="83"/>
      <c r="Q601" s="83"/>
      <c r="R601" s="83"/>
      <c r="S601" s="83"/>
      <c r="T601" s="83"/>
      <c r="U601" s="83"/>
      <c r="V601" s="83"/>
      <c r="W601" s="83"/>
      <c r="X601" s="83"/>
      <c r="Y601" s="83"/>
      <c r="Z601" s="83"/>
      <c r="AA601" s="83"/>
      <c r="AB601" s="83"/>
      <c r="AC601" s="83"/>
      <c r="AD601" s="83"/>
      <c r="AE601" s="83"/>
      <c r="AF601" s="83"/>
      <c r="AG601" s="83"/>
      <c r="AH601" s="83"/>
      <c r="AI601" s="83"/>
      <c r="AJ601" s="83"/>
      <c r="AK601" s="83"/>
      <c r="AL601" s="83"/>
      <c r="AM601" s="83"/>
      <c r="AN601" s="83"/>
      <c r="AO601" s="83"/>
      <c r="AP601" s="83"/>
      <c r="AQ601" s="83"/>
      <c r="AR601" s="83"/>
      <c r="AS601" s="83"/>
      <c r="AT601" s="83"/>
      <c r="AU601" s="83"/>
      <c r="AV601" s="83"/>
      <c r="AW601" s="83"/>
      <c r="AX601" s="83"/>
      <c r="AY601" s="83"/>
      <c r="AZ601" s="83"/>
      <c r="BA601" s="83"/>
      <c r="BB601" s="83"/>
      <c r="BC601" s="83"/>
      <c r="BD601" s="83"/>
      <c r="BE601" s="83"/>
      <c r="BF601" s="83"/>
      <c r="BG601" s="83"/>
      <c r="BH601" s="83"/>
      <c r="BI601" s="83"/>
      <c r="BJ601" s="83"/>
      <c r="BK601" s="83"/>
      <c r="BL601" s="83"/>
      <c r="BM601" s="83"/>
      <c r="BN601" s="83"/>
      <c r="BO601" s="83"/>
      <c r="BP601" s="83"/>
      <c r="BQ601" s="83"/>
      <c r="BR601" s="83"/>
      <c r="BS601" s="83"/>
      <c r="BT601" s="83"/>
      <c r="BU601" s="83"/>
      <c r="BV601" s="83"/>
      <c r="BW601" s="83"/>
      <c r="BX601" s="83"/>
      <c r="BY601" s="83"/>
      <c r="BZ601" s="83"/>
      <c r="CA601" s="83"/>
      <c r="CB601" s="83"/>
      <c r="CC601" s="83"/>
      <c r="CD601" s="83"/>
      <c r="CE601" s="83"/>
      <c r="CF601" s="83"/>
      <c r="CG601" s="83"/>
      <c r="CH601" s="83"/>
      <c r="CI601" s="83"/>
      <c r="CJ601" s="83"/>
      <c r="CK601" s="83"/>
      <c r="CL601" s="83"/>
      <c r="CM601" s="83"/>
      <c r="CN601" s="83"/>
      <c r="CO601" s="83"/>
      <c r="CP601" s="83"/>
      <c r="CQ601" s="83"/>
      <c r="CR601" s="83"/>
      <c r="CS601" s="83"/>
      <c r="CT601" s="83"/>
      <c r="CU601" s="83"/>
      <c r="CV601" s="83"/>
      <c r="CW601" s="83"/>
      <c r="CX601" s="83"/>
      <c r="CY601" s="83"/>
      <c r="CZ601" s="83"/>
      <c r="DA601" s="83"/>
      <c r="DB601" s="83"/>
      <c r="DC601" s="83"/>
    </row>
    <row r="602" spans="1:107" x14ac:dyDescent="0.3">
      <c r="A602" s="83"/>
      <c r="B602" s="83"/>
      <c r="C602" s="83"/>
      <c r="D602" s="83"/>
      <c r="E602" s="83"/>
      <c r="F602" s="83"/>
      <c r="G602" s="83"/>
      <c r="H602" s="83"/>
      <c r="I602" s="83"/>
      <c r="J602" s="83"/>
      <c r="K602" s="83"/>
      <c r="L602" s="83"/>
      <c r="M602" s="83"/>
      <c r="N602" s="83"/>
      <c r="O602" s="83"/>
      <c r="P602" s="83"/>
      <c r="Q602" s="83"/>
      <c r="R602" s="83"/>
      <c r="S602" s="83"/>
      <c r="T602" s="83"/>
      <c r="U602" s="83"/>
      <c r="V602" s="83"/>
      <c r="W602" s="83"/>
      <c r="X602" s="83"/>
      <c r="Y602" s="83"/>
      <c r="Z602" s="83"/>
      <c r="AA602" s="83"/>
      <c r="AB602" s="83"/>
      <c r="AC602" s="83"/>
      <c r="AD602" s="83"/>
      <c r="AE602" s="83"/>
      <c r="AF602" s="83"/>
      <c r="AG602" s="83"/>
      <c r="AH602" s="83"/>
      <c r="AI602" s="83"/>
      <c r="AJ602" s="83"/>
      <c r="AK602" s="83"/>
      <c r="AL602" s="83"/>
      <c r="AM602" s="83"/>
      <c r="AN602" s="83"/>
      <c r="AO602" s="83"/>
      <c r="AP602" s="83"/>
      <c r="AQ602" s="83"/>
      <c r="AR602" s="83"/>
      <c r="AS602" s="83"/>
      <c r="AT602" s="83"/>
      <c r="AU602" s="83"/>
      <c r="AV602" s="83"/>
      <c r="AW602" s="83"/>
      <c r="AX602" s="83"/>
      <c r="AY602" s="83"/>
      <c r="AZ602" s="83"/>
      <c r="BA602" s="83"/>
      <c r="BB602" s="83"/>
      <c r="BC602" s="83"/>
      <c r="BD602" s="83"/>
      <c r="BE602" s="83"/>
      <c r="BF602" s="83"/>
      <c r="BG602" s="83"/>
      <c r="BH602" s="83"/>
      <c r="BI602" s="83"/>
      <c r="BJ602" s="83"/>
      <c r="BK602" s="83"/>
      <c r="BL602" s="83"/>
      <c r="BM602" s="83"/>
      <c r="BN602" s="83"/>
      <c r="BO602" s="83"/>
      <c r="BP602" s="83"/>
      <c r="BQ602" s="83"/>
      <c r="BR602" s="83"/>
      <c r="BS602" s="83"/>
      <c r="BT602" s="83"/>
      <c r="BU602" s="83"/>
      <c r="BV602" s="83"/>
      <c r="BW602" s="83"/>
      <c r="BX602" s="83"/>
      <c r="BY602" s="83"/>
      <c r="BZ602" s="83"/>
      <c r="CA602" s="83"/>
      <c r="CB602" s="83"/>
      <c r="CC602" s="83"/>
      <c r="CD602" s="83"/>
      <c r="CE602" s="83"/>
      <c r="CF602" s="83"/>
      <c r="CG602" s="83"/>
      <c r="CH602" s="83"/>
      <c r="CI602" s="83"/>
      <c r="CJ602" s="83"/>
      <c r="CK602" s="83"/>
      <c r="CL602" s="83"/>
      <c r="CM602" s="83"/>
      <c r="CN602" s="83"/>
      <c r="CO602" s="83"/>
      <c r="CP602" s="83"/>
      <c r="CQ602" s="83"/>
      <c r="CR602" s="83"/>
      <c r="CS602" s="83"/>
      <c r="CT602" s="83"/>
      <c r="CU602" s="83"/>
      <c r="CV602" s="83"/>
      <c r="CW602" s="83"/>
      <c r="CX602" s="83"/>
      <c r="CY602" s="83"/>
      <c r="CZ602" s="83"/>
      <c r="DA602" s="83"/>
      <c r="DB602" s="83"/>
      <c r="DC602" s="83"/>
    </row>
    <row r="603" spans="1:107" x14ac:dyDescent="0.3">
      <c r="A603" s="83"/>
      <c r="B603" s="83"/>
      <c r="C603" s="83"/>
      <c r="D603" s="83"/>
      <c r="E603" s="83"/>
      <c r="F603" s="83"/>
      <c r="G603" s="83"/>
      <c r="H603" s="83"/>
      <c r="I603" s="83"/>
      <c r="J603" s="83"/>
      <c r="K603" s="83"/>
      <c r="L603" s="83"/>
      <c r="M603" s="83"/>
      <c r="N603" s="83"/>
      <c r="O603" s="83"/>
      <c r="P603" s="83"/>
      <c r="Q603" s="83"/>
      <c r="R603" s="83"/>
      <c r="S603" s="83"/>
      <c r="T603" s="83"/>
      <c r="U603" s="83"/>
      <c r="V603" s="83"/>
      <c r="W603" s="83"/>
      <c r="X603" s="83"/>
      <c r="Y603" s="83"/>
      <c r="Z603" s="83"/>
      <c r="AA603" s="83"/>
      <c r="AB603" s="83"/>
      <c r="AC603" s="83"/>
      <c r="AD603" s="83"/>
      <c r="AE603" s="83"/>
      <c r="AF603" s="83"/>
      <c r="AG603" s="83"/>
      <c r="AH603" s="83"/>
      <c r="AI603" s="83"/>
      <c r="AJ603" s="83"/>
      <c r="AK603" s="83"/>
      <c r="AL603" s="83"/>
      <c r="AM603" s="83"/>
      <c r="AN603" s="83"/>
      <c r="AO603" s="83"/>
      <c r="AP603" s="83"/>
      <c r="AQ603" s="83"/>
      <c r="AR603" s="83"/>
      <c r="AS603" s="83"/>
      <c r="AT603" s="83"/>
      <c r="AU603" s="83"/>
      <c r="AV603" s="83"/>
      <c r="AW603" s="83"/>
      <c r="AX603" s="83"/>
      <c r="AY603" s="83"/>
      <c r="AZ603" s="83"/>
      <c r="BA603" s="83"/>
      <c r="BB603" s="83"/>
      <c r="BC603" s="83"/>
      <c r="BD603" s="83"/>
      <c r="BE603" s="83"/>
      <c r="BF603" s="83"/>
      <c r="BG603" s="83"/>
      <c r="BH603" s="83"/>
      <c r="BI603" s="83"/>
      <c r="BJ603" s="83"/>
      <c r="BK603" s="83"/>
      <c r="BL603" s="83"/>
      <c r="BM603" s="83"/>
      <c r="BN603" s="83"/>
      <c r="BO603" s="83"/>
      <c r="BP603" s="83"/>
      <c r="BQ603" s="83"/>
      <c r="BR603" s="83"/>
      <c r="BS603" s="83"/>
      <c r="BT603" s="83"/>
      <c r="BU603" s="83"/>
      <c r="BV603" s="83"/>
      <c r="BW603" s="83"/>
      <c r="BX603" s="83"/>
      <c r="BY603" s="83"/>
      <c r="BZ603" s="83"/>
      <c r="CA603" s="83"/>
      <c r="CB603" s="83"/>
      <c r="CC603" s="83"/>
      <c r="CD603" s="83"/>
      <c r="CE603" s="83"/>
      <c r="CF603" s="83"/>
      <c r="CG603" s="83"/>
      <c r="CH603" s="83"/>
      <c r="CI603" s="83"/>
      <c r="CJ603" s="83"/>
      <c r="CK603" s="83"/>
      <c r="CL603" s="83"/>
      <c r="CM603" s="83"/>
      <c r="CN603" s="83"/>
      <c r="CO603" s="83"/>
      <c r="CP603" s="83"/>
      <c r="CQ603" s="83"/>
      <c r="CR603" s="83"/>
      <c r="CS603" s="83"/>
      <c r="CT603" s="83"/>
      <c r="CU603" s="83"/>
      <c r="CV603" s="83"/>
      <c r="CW603" s="83"/>
      <c r="CX603" s="83"/>
      <c r="CY603" s="83"/>
      <c r="CZ603" s="83"/>
      <c r="DA603" s="83"/>
      <c r="DB603" s="83"/>
      <c r="DC603" s="83"/>
    </row>
    <row r="604" spans="1:107" x14ac:dyDescent="0.3">
      <c r="A604" s="83"/>
      <c r="B604" s="83"/>
      <c r="C604" s="83"/>
      <c r="D604" s="83"/>
      <c r="E604" s="83"/>
      <c r="F604" s="83"/>
      <c r="G604" s="83"/>
      <c r="H604" s="83"/>
      <c r="I604" s="83"/>
      <c r="J604" s="83"/>
      <c r="K604" s="83"/>
      <c r="L604" s="83"/>
      <c r="M604" s="83"/>
      <c r="N604" s="83"/>
      <c r="O604" s="83"/>
      <c r="P604" s="83"/>
      <c r="Q604" s="83"/>
      <c r="R604" s="83"/>
      <c r="S604" s="83"/>
      <c r="T604" s="83"/>
      <c r="U604" s="83"/>
      <c r="V604" s="83"/>
      <c r="W604" s="83"/>
      <c r="X604" s="83"/>
      <c r="Y604" s="83"/>
      <c r="Z604" s="83"/>
      <c r="AA604" s="83"/>
      <c r="AB604" s="83"/>
      <c r="AC604" s="83"/>
      <c r="AD604" s="83"/>
      <c r="AE604" s="83"/>
      <c r="AF604" s="83"/>
      <c r="AG604" s="83"/>
      <c r="AH604" s="83"/>
      <c r="AI604" s="83"/>
      <c r="AJ604" s="83"/>
      <c r="AK604" s="83"/>
      <c r="AL604" s="83"/>
      <c r="AM604" s="83"/>
      <c r="AN604" s="83"/>
      <c r="AO604" s="83"/>
      <c r="AP604" s="83"/>
      <c r="AQ604" s="83"/>
      <c r="AR604" s="83"/>
      <c r="AS604" s="83"/>
      <c r="AT604" s="83"/>
      <c r="AU604" s="83"/>
      <c r="AV604" s="83"/>
      <c r="AW604" s="83"/>
      <c r="AX604" s="83"/>
      <c r="AY604" s="83"/>
      <c r="AZ604" s="83"/>
      <c r="BA604" s="83"/>
      <c r="BB604" s="83"/>
      <c r="BC604" s="83"/>
      <c r="BD604" s="83"/>
      <c r="BE604" s="83"/>
      <c r="BF604" s="83"/>
      <c r="BG604" s="83"/>
      <c r="BH604" s="83"/>
      <c r="BI604" s="83"/>
      <c r="BJ604" s="83"/>
      <c r="BK604" s="83"/>
      <c r="BL604" s="83"/>
      <c r="BM604" s="83"/>
      <c r="BN604" s="83"/>
      <c r="BO604" s="83"/>
      <c r="BP604" s="83"/>
      <c r="BQ604" s="83"/>
      <c r="BR604" s="83"/>
      <c r="BS604" s="83"/>
      <c r="BT604" s="83"/>
      <c r="BU604" s="83"/>
      <c r="BV604" s="83"/>
      <c r="BW604" s="83"/>
      <c r="BX604" s="83"/>
      <c r="BY604" s="83"/>
      <c r="BZ604" s="83"/>
      <c r="CA604" s="83"/>
      <c r="CB604" s="83"/>
      <c r="CC604" s="83"/>
      <c r="CD604" s="83"/>
      <c r="CE604" s="83"/>
      <c r="CF604" s="83"/>
      <c r="CG604" s="83"/>
      <c r="CH604" s="83"/>
      <c r="CI604" s="83"/>
      <c r="CJ604" s="83"/>
      <c r="CK604" s="83"/>
      <c r="CL604" s="83"/>
      <c r="CM604" s="83"/>
      <c r="CN604" s="83"/>
      <c r="CO604" s="83"/>
      <c r="CP604" s="83"/>
      <c r="CQ604" s="83"/>
      <c r="CR604" s="83"/>
      <c r="CS604" s="83"/>
      <c r="CT604" s="83"/>
      <c r="CU604" s="83"/>
      <c r="CV604" s="83"/>
      <c r="CW604" s="83"/>
      <c r="CX604" s="83"/>
      <c r="CY604" s="83"/>
      <c r="CZ604" s="83"/>
      <c r="DA604" s="83"/>
      <c r="DB604" s="83"/>
      <c r="DC604" s="83"/>
    </row>
    <row r="605" spans="1:107" x14ac:dyDescent="0.3">
      <c r="A605" s="83"/>
      <c r="B605" s="83"/>
      <c r="C605" s="83"/>
      <c r="D605" s="83"/>
      <c r="E605" s="83"/>
      <c r="F605" s="83"/>
      <c r="G605" s="83"/>
      <c r="H605" s="83"/>
      <c r="I605" s="83"/>
      <c r="J605" s="83"/>
      <c r="K605" s="83"/>
      <c r="L605" s="83"/>
      <c r="M605" s="83"/>
      <c r="N605" s="83"/>
      <c r="O605" s="83"/>
      <c r="P605" s="83"/>
      <c r="Q605" s="83"/>
      <c r="R605" s="83"/>
      <c r="S605" s="83"/>
      <c r="T605" s="83"/>
      <c r="U605" s="83"/>
      <c r="V605" s="83"/>
      <c r="W605" s="83"/>
      <c r="X605" s="83"/>
      <c r="Y605" s="83"/>
      <c r="Z605" s="83"/>
      <c r="AA605" s="83"/>
      <c r="AB605" s="83"/>
      <c r="AC605" s="83"/>
      <c r="AD605" s="83"/>
      <c r="AE605" s="83"/>
      <c r="AF605" s="83"/>
      <c r="AG605" s="83"/>
      <c r="AH605" s="83"/>
      <c r="AI605" s="83"/>
      <c r="AJ605" s="83"/>
      <c r="AK605" s="83"/>
      <c r="AL605" s="83"/>
      <c r="AM605" s="83"/>
      <c r="AN605" s="83"/>
      <c r="AO605" s="83"/>
      <c r="AP605" s="83"/>
      <c r="AQ605" s="83"/>
      <c r="AR605" s="83"/>
      <c r="AS605" s="83"/>
      <c r="AT605" s="83"/>
      <c r="AU605" s="83"/>
      <c r="AV605" s="83"/>
      <c r="AW605" s="83"/>
      <c r="AX605" s="83"/>
      <c r="AY605" s="83"/>
      <c r="AZ605" s="83"/>
      <c r="BA605" s="83"/>
      <c r="BB605" s="83"/>
      <c r="BC605" s="83"/>
      <c r="BD605" s="83"/>
      <c r="BE605" s="83"/>
      <c r="BF605" s="83"/>
      <c r="BG605" s="83"/>
      <c r="BH605" s="83"/>
      <c r="BI605" s="83"/>
      <c r="BJ605" s="83"/>
      <c r="BK605" s="83"/>
      <c r="BL605" s="83"/>
      <c r="BM605" s="83"/>
      <c r="BN605" s="83"/>
      <c r="BO605" s="83"/>
      <c r="BP605" s="83"/>
      <c r="BQ605" s="83"/>
      <c r="BR605" s="83"/>
      <c r="BS605" s="83"/>
      <c r="BT605" s="83"/>
      <c r="BU605" s="83"/>
      <c r="BV605" s="83"/>
      <c r="BW605" s="83"/>
      <c r="BX605" s="83"/>
      <c r="BY605" s="83"/>
      <c r="BZ605" s="83"/>
      <c r="CA605" s="83"/>
      <c r="CB605" s="83"/>
      <c r="CC605" s="83"/>
      <c r="CD605" s="83"/>
      <c r="CE605" s="83"/>
      <c r="CF605" s="83"/>
      <c r="CG605" s="83"/>
      <c r="CH605" s="83"/>
      <c r="CI605" s="83"/>
      <c r="CJ605" s="83"/>
      <c r="CK605" s="83"/>
      <c r="CL605" s="83"/>
      <c r="CM605" s="83"/>
      <c r="CN605" s="83"/>
      <c r="CO605" s="83"/>
      <c r="CP605" s="83"/>
      <c r="CQ605" s="83"/>
      <c r="CR605" s="83"/>
      <c r="CS605" s="83"/>
      <c r="CT605" s="83"/>
      <c r="CU605" s="83"/>
      <c r="CV605" s="83"/>
      <c r="CW605" s="83"/>
      <c r="CX605" s="83"/>
      <c r="CY605" s="83"/>
      <c r="CZ605" s="83"/>
      <c r="DA605" s="83"/>
      <c r="DB605" s="83"/>
      <c r="DC605" s="83"/>
    </row>
    <row r="606" spans="1:107" x14ac:dyDescent="0.3">
      <c r="A606" s="83"/>
      <c r="B606" s="83"/>
      <c r="C606" s="83"/>
      <c r="D606" s="83"/>
      <c r="E606" s="83"/>
      <c r="F606" s="83"/>
      <c r="G606" s="83"/>
      <c r="H606" s="83"/>
      <c r="I606" s="83"/>
      <c r="J606" s="83"/>
      <c r="K606" s="83"/>
      <c r="L606" s="83"/>
      <c r="M606" s="83"/>
      <c r="N606" s="83"/>
      <c r="O606" s="83"/>
      <c r="P606" s="83"/>
      <c r="Q606" s="83"/>
      <c r="R606" s="83"/>
      <c r="S606" s="83"/>
      <c r="T606" s="83"/>
      <c r="U606" s="83"/>
      <c r="V606" s="83"/>
      <c r="W606" s="83"/>
      <c r="X606" s="83"/>
      <c r="Y606" s="83"/>
      <c r="Z606" s="83"/>
      <c r="AA606" s="83"/>
      <c r="AB606" s="83"/>
      <c r="AC606" s="83"/>
      <c r="AD606" s="83"/>
      <c r="AE606" s="83"/>
      <c r="AF606" s="83"/>
      <c r="AG606" s="83"/>
      <c r="AH606" s="83"/>
      <c r="AI606" s="83"/>
      <c r="AJ606" s="83"/>
      <c r="AK606" s="83"/>
      <c r="AL606" s="83"/>
      <c r="AM606" s="83"/>
      <c r="AN606" s="83"/>
      <c r="AO606" s="83"/>
      <c r="AP606" s="83"/>
      <c r="AQ606" s="83"/>
      <c r="AR606" s="83"/>
      <c r="AS606" s="83"/>
      <c r="AT606" s="83"/>
      <c r="AU606" s="83"/>
      <c r="AV606" s="83"/>
      <c r="AW606" s="83"/>
      <c r="AX606" s="83"/>
      <c r="AY606" s="83"/>
      <c r="AZ606" s="83"/>
      <c r="BA606" s="83"/>
      <c r="BB606" s="83"/>
      <c r="BC606" s="83"/>
      <c r="BD606" s="83"/>
      <c r="BE606" s="83"/>
      <c r="BF606" s="83"/>
      <c r="BG606" s="83"/>
      <c r="BH606" s="83"/>
      <c r="BI606" s="83"/>
      <c r="BJ606" s="83"/>
      <c r="BK606" s="83"/>
      <c r="BL606" s="83"/>
      <c r="BM606" s="83"/>
      <c r="BN606" s="83"/>
      <c r="BO606" s="83"/>
      <c r="BP606" s="83"/>
      <c r="BQ606" s="83"/>
      <c r="BR606" s="83"/>
      <c r="BS606" s="83"/>
      <c r="BT606" s="83"/>
      <c r="BU606" s="83"/>
      <c r="BV606" s="83"/>
      <c r="BW606" s="83"/>
      <c r="BX606" s="83"/>
      <c r="BY606" s="83"/>
      <c r="BZ606" s="83"/>
      <c r="CA606" s="83"/>
      <c r="CB606" s="83"/>
      <c r="CC606" s="83"/>
      <c r="CD606" s="83"/>
      <c r="CE606" s="83"/>
      <c r="CF606" s="83"/>
      <c r="CG606" s="83"/>
      <c r="CH606" s="83"/>
      <c r="CI606" s="83"/>
      <c r="CJ606" s="83"/>
      <c r="CK606" s="83"/>
      <c r="CL606" s="83"/>
      <c r="CM606" s="83"/>
      <c r="CN606" s="83"/>
      <c r="CO606" s="83"/>
      <c r="CP606" s="83"/>
      <c r="CQ606" s="83"/>
      <c r="CR606" s="83"/>
      <c r="CS606" s="83"/>
      <c r="CT606" s="83"/>
      <c r="CU606" s="83"/>
      <c r="CV606" s="83"/>
      <c r="CW606" s="83"/>
      <c r="CX606" s="83"/>
      <c r="CY606" s="83"/>
      <c r="CZ606" s="83"/>
      <c r="DA606" s="83"/>
      <c r="DB606" s="83"/>
      <c r="DC606" s="83"/>
    </row>
    <row r="607" spans="1:107" x14ac:dyDescent="0.3">
      <c r="A607" s="83"/>
      <c r="B607" s="83"/>
      <c r="C607" s="83"/>
      <c r="D607" s="83"/>
      <c r="E607" s="83"/>
      <c r="F607" s="83"/>
      <c r="G607" s="83"/>
      <c r="H607" s="83"/>
      <c r="I607" s="83"/>
      <c r="J607" s="83"/>
      <c r="K607" s="83"/>
      <c r="L607" s="83"/>
      <c r="M607" s="83"/>
      <c r="N607" s="83"/>
      <c r="O607" s="83"/>
      <c r="P607" s="83"/>
      <c r="Q607" s="83"/>
      <c r="R607" s="83"/>
      <c r="S607" s="83"/>
      <c r="T607" s="83"/>
      <c r="U607" s="83"/>
      <c r="V607" s="83"/>
      <c r="W607" s="83"/>
      <c r="X607" s="83"/>
      <c r="Y607" s="83"/>
      <c r="Z607" s="83"/>
      <c r="AA607" s="83"/>
      <c r="AB607" s="83"/>
      <c r="AC607" s="83"/>
      <c r="AD607" s="83"/>
      <c r="AE607" s="83"/>
      <c r="AF607" s="83"/>
      <c r="AG607" s="83"/>
      <c r="AH607" s="83"/>
      <c r="AI607" s="83"/>
      <c r="AJ607" s="83"/>
      <c r="AK607" s="83"/>
      <c r="AL607" s="83"/>
      <c r="AM607" s="83"/>
      <c r="AN607" s="83"/>
      <c r="AO607" s="83"/>
      <c r="AP607" s="83"/>
      <c r="AQ607" s="83"/>
      <c r="AR607" s="83"/>
      <c r="AS607" s="83"/>
      <c r="AT607" s="83"/>
      <c r="AU607" s="83"/>
      <c r="AV607" s="83"/>
      <c r="AW607" s="83"/>
      <c r="AX607" s="83"/>
      <c r="AY607" s="83"/>
      <c r="AZ607" s="83"/>
      <c r="BA607" s="83"/>
      <c r="BB607" s="83"/>
      <c r="BC607" s="83"/>
      <c r="BD607" s="83"/>
      <c r="BE607" s="83"/>
      <c r="BF607" s="83"/>
      <c r="BG607" s="83"/>
      <c r="BH607" s="83"/>
      <c r="BI607" s="83"/>
      <c r="BJ607" s="83"/>
      <c r="BK607" s="83"/>
      <c r="BL607" s="83"/>
      <c r="BM607" s="83"/>
      <c r="BN607" s="83"/>
      <c r="BO607" s="83"/>
      <c r="BP607" s="83"/>
      <c r="BQ607" s="83"/>
      <c r="BR607" s="83"/>
      <c r="BS607" s="83"/>
      <c r="BT607" s="83"/>
      <c r="BU607" s="83"/>
      <c r="BV607" s="83"/>
      <c r="BW607" s="83"/>
      <c r="BX607" s="83"/>
      <c r="BY607" s="83"/>
      <c r="BZ607" s="83"/>
      <c r="CA607" s="83"/>
      <c r="CB607" s="83"/>
      <c r="CC607" s="83"/>
      <c r="CD607" s="83"/>
      <c r="CE607" s="83"/>
      <c r="CF607" s="83"/>
      <c r="CG607" s="83"/>
      <c r="CH607" s="83"/>
      <c r="CI607" s="83"/>
      <c r="CJ607" s="83"/>
      <c r="CK607" s="83"/>
      <c r="CL607" s="83"/>
      <c r="CM607" s="83"/>
      <c r="CN607" s="83"/>
      <c r="CO607" s="83"/>
      <c r="CP607" s="83"/>
      <c r="CQ607" s="83"/>
      <c r="CR607" s="83"/>
      <c r="CS607" s="83"/>
      <c r="CT607" s="83"/>
      <c r="CU607" s="83"/>
      <c r="CV607" s="83"/>
      <c r="CW607" s="83"/>
      <c r="CX607" s="83"/>
      <c r="CY607" s="83"/>
      <c r="CZ607" s="83"/>
      <c r="DA607" s="83"/>
      <c r="DB607" s="83"/>
      <c r="DC607" s="83"/>
    </row>
    <row r="608" spans="1:107" x14ac:dyDescent="0.3">
      <c r="A608" s="83"/>
      <c r="B608" s="83"/>
      <c r="C608" s="83"/>
      <c r="D608" s="83"/>
      <c r="E608" s="83"/>
      <c r="F608" s="83"/>
      <c r="G608" s="83"/>
      <c r="H608" s="83"/>
      <c r="I608" s="83"/>
      <c r="J608" s="83"/>
      <c r="K608" s="83"/>
      <c r="L608" s="83"/>
      <c r="M608" s="83"/>
      <c r="N608" s="83"/>
      <c r="O608" s="83"/>
      <c r="P608" s="83"/>
      <c r="Q608" s="83"/>
      <c r="R608" s="83"/>
      <c r="S608" s="83"/>
      <c r="T608" s="83"/>
      <c r="U608" s="83"/>
      <c r="V608" s="83"/>
      <c r="W608" s="83"/>
      <c r="X608" s="83"/>
      <c r="Y608" s="83"/>
      <c r="Z608" s="83"/>
      <c r="AA608" s="83"/>
      <c r="AB608" s="83"/>
      <c r="AC608" s="83"/>
      <c r="AD608" s="83"/>
      <c r="AE608" s="83"/>
      <c r="AF608" s="83"/>
      <c r="AG608" s="83"/>
      <c r="AH608" s="83"/>
      <c r="AI608" s="83"/>
      <c r="AJ608" s="83"/>
      <c r="AK608" s="83"/>
      <c r="AL608" s="83"/>
      <c r="AM608" s="83"/>
      <c r="AN608" s="83"/>
      <c r="AO608" s="83"/>
      <c r="AP608" s="83"/>
      <c r="AQ608" s="83"/>
      <c r="AR608" s="83"/>
      <c r="AS608" s="83"/>
      <c r="AT608" s="83"/>
      <c r="AU608" s="83"/>
      <c r="AV608" s="83"/>
      <c r="AW608" s="83"/>
      <c r="AX608" s="83"/>
      <c r="AY608" s="83"/>
      <c r="AZ608" s="83"/>
      <c r="BA608" s="83"/>
      <c r="BB608" s="83"/>
      <c r="BC608" s="83"/>
      <c r="BD608" s="83"/>
      <c r="BE608" s="83"/>
      <c r="BF608" s="83"/>
      <c r="BG608" s="83"/>
      <c r="BH608" s="83"/>
      <c r="BI608" s="83"/>
      <c r="BJ608" s="83"/>
      <c r="BK608" s="83"/>
      <c r="BL608" s="83"/>
      <c r="BM608" s="83"/>
      <c r="BN608" s="83"/>
      <c r="BO608" s="83"/>
      <c r="BP608" s="83"/>
      <c r="BQ608" s="83"/>
      <c r="BR608" s="83"/>
      <c r="BS608" s="83"/>
      <c r="BT608" s="83"/>
      <c r="BU608" s="83"/>
      <c r="BV608" s="83"/>
      <c r="BW608" s="83"/>
      <c r="BX608" s="83"/>
      <c r="BY608" s="83"/>
      <c r="BZ608" s="83"/>
      <c r="CA608" s="83"/>
      <c r="CB608" s="83"/>
      <c r="CC608" s="83"/>
      <c r="CD608" s="83"/>
      <c r="CE608" s="83"/>
      <c r="CF608" s="83"/>
      <c r="CG608" s="83"/>
      <c r="CH608" s="83"/>
      <c r="CI608" s="83"/>
      <c r="CJ608" s="83"/>
      <c r="CK608" s="83"/>
      <c r="CL608" s="83"/>
      <c r="CM608" s="83"/>
      <c r="CN608" s="83"/>
      <c r="CO608" s="83"/>
      <c r="CP608" s="83"/>
      <c r="CQ608" s="83"/>
      <c r="CR608" s="83"/>
      <c r="CS608" s="83"/>
      <c r="CT608" s="83"/>
      <c r="CU608" s="83"/>
      <c r="CV608" s="83"/>
      <c r="CW608" s="83"/>
      <c r="CX608" s="83"/>
      <c r="CY608" s="83"/>
      <c r="CZ608" s="83"/>
      <c r="DA608" s="83"/>
      <c r="DB608" s="83"/>
      <c r="DC608" s="83"/>
    </row>
    <row r="609" spans="1:107" x14ac:dyDescent="0.3">
      <c r="A609" s="83"/>
      <c r="B609" s="83"/>
      <c r="C609" s="83"/>
      <c r="D609" s="83"/>
      <c r="E609" s="83"/>
      <c r="F609" s="83"/>
      <c r="G609" s="83"/>
      <c r="H609" s="83"/>
      <c r="I609" s="83"/>
      <c r="J609" s="83"/>
      <c r="K609" s="83"/>
      <c r="L609" s="83"/>
      <c r="M609" s="83"/>
      <c r="N609" s="83"/>
      <c r="O609" s="83"/>
      <c r="P609" s="83"/>
      <c r="Q609" s="83"/>
      <c r="R609" s="83"/>
      <c r="S609" s="83"/>
      <c r="T609" s="83"/>
      <c r="U609" s="83"/>
      <c r="V609" s="83"/>
      <c r="W609" s="83"/>
      <c r="X609" s="83"/>
      <c r="Y609" s="83"/>
      <c r="Z609" s="83"/>
      <c r="AA609" s="83"/>
      <c r="AB609" s="83"/>
      <c r="AC609" s="83"/>
      <c r="AD609" s="83"/>
      <c r="AE609" s="83"/>
      <c r="AF609" s="83"/>
      <c r="AG609" s="83"/>
      <c r="AH609" s="83"/>
      <c r="AI609" s="83"/>
      <c r="AJ609" s="83"/>
      <c r="AK609" s="83"/>
      <c r="AL609" s="83"/>
      <c r="AM609" s="83"/>
      <c r="AN609" s="83"/>
      <c r="AO609" s="83"/>
      <c r="AP609" s="83"/>
      <c r="AQ609" s="83"/>
      <c r="AR609" s="83"/>
      <c r="AS609" s="83"/>
      <c r="AT609" s="83"/>
      <c r="AU609" s="83"/>
      <c r="AV609" s="83"/>
      <c r="AW609" s="83"/>
      <c r="AX609" s="83"/>
      <c r="AY609" s="83"/>
      <c r="AZ609" s="83"/>
      <c r="BA609" s="83"/>
      <c r="BB609" s="83"/>
      <c r="BC609" s="83"/>
      <c r="BD609" s="83"/>
      <c r="BE609" s="83"/>
      <c r="BF609" s="83"/>
      <c r="BG609" s="83"/>
      <c r="BH609" s="83"/>
      <c r="BI609" s="83"/>
      <c r="BJ609" s="83"/>
      <c r="BK609" s="83"/>
      <c r="BL609" s="83"/>
      <c r="BM609" s="83"/>
      <c r="BN609" s="83"/>
      <c r="BO609" s="83"/>
      <c r="BP609" s="83"/>
      <c r="BQ609" s="83"/>
      <c r="BR609" s="83"/>
      <c r="BS609" s="83"/>
      <c r="BT609" s="83"/>
      <c r="BU609" s="83"/>
      <c r="BV609" s="83"/>
      <c r="BW609" s="83"/>
      <c r="BX609" s="83"/>
      <c r="BY609" s="83"/>
      <c r="BZ609" s="83"/>
      <c r="CA609" s="83"/>
      <c r="CB609" s="83"/>
      <c r="CC609" s="83"/>
      <c r="CD609" s="83"/>
      <c r="CE609" s="83"/>
      <c r="CF609" s="83"/>
      <c r="CG609" s="83"/>
      <c r="CH609" s="83"/>
      <c r="CI609" s="83"/>
      <c r="CJ609" s="83"/>
      <c r="CK609" s="83"/>
      <c r="CL609" s="83"/>
      <c r="CM609" s="83"/>
      <c r="CN609" s="83"/>
      <c r="CO609" s="83"/>
      <c r="CP609" s="83"/>
      <c r="CQ609" s="83"/>
      <c r="CR609" s="83"/>
      <c r="CS609" s="83"/>
      <c r="CT609" s="83"/>
      <c r="CU609" s="83"/>
      <c r="CV609" s="83"/>
      <c r="CW609" s="83"/>
      <c r="CX609" s="83"/>
      <c r="CY609" s="83"/>
      <c r="CZ609" s="83"/>
      <c r="DA609" s="83"/>
      <c r="DB609" s="83"/>
      <c r="DC609" s="83"/>
    </row>
    <row r="610" spans="1:107" x14ac:dyDescent="0.3">
      <c r="A610" s="83"/>
      <c r="B610" s="83"/>
      <c r="C610" s="83"/>
      <c r="D610" s="83"/>
      <c r="E610" s="83"/>
      <c r="F610" s="83"/>
      <c r="G610" s="83"/>
      <c r="H610" s="83"/>
      <c r="I610" s="83"/>
      <c r="J610" s="83"/>
      <c r="K610" s="83"/>
      <c r="L610" s="83"/>
      <c r="M610" s="83"/>
      <c r="N610" s="83"/>
      <c r="O610" s="83"/>
      <c r="P610" s="83"/>
      <c r="Q610" s="83"/>
      <c r="R610" s="83"/>
      <c r="S610" s="83"/>
      <c r="T610" s="83"/>
      <c r="U610" s="83"/>
      <c r="V610" s="83"/>
      <c r="W610" s="83"/>
      <c r="X610" s="83"/>
      <c r="Y610" s="83"/>
      <c r="Z610" s="83"/>
      <c r="AA610" s="83"/>
      <c r="AB610" s="83"/>
      <c r="AC610" s="83"/>
      <c r="AD610" s="83"/>
      <c r="AE610" s="83"/>
      <c r="AF610" s="83"/>
      <c r="AG610" s="83"/>
      <c r="AH610" s="83"/>
      <c r="AI610" s="83"/>
      <c r="AJ610" s="83"/>
      <c r="AK610" s="83"/>
      <c r="AL610" s="83"/>
      <c r="AM610" s="83"/>
      <c r="AN610" s="83"/>
      <c r="AO610" s="83"/>
      <c r="AP610" s="83"/>
      <c r="AQ610" s="83"/>
      <c r="AR610" s="83"/>
      <c r="AS610" s="83"/>
      <c r="AT610" s="83"/>
      <c r="AU610" s="83"/>
      <c r="AV610" s="83"/>
      <c r="AW610" s="83"/>
      <c r="AX610" s="83"/>
      <c r="AY610" s="83"/>
      <c r="AZ610" s="83"/>
      <c r="BA610" s="83"/>
      <c r="BB610" s="83"/>
      <c r="BC610" s="83"/>
      <c r="BD610" s="83"/>
      <c r="BE610" s="83"/>
      <c r="BF610" s="83"/>
      <c r="BG610" s="83"/>
      <c r="BH610" s="83"/>
      <c r="BI610" s="83"/>
      <c r="BJ610" s="83"/>
      <c r="BK610" s="83"/>
      <c r="BL610" s="83"/>
      <c r="BM610" s="83"/>
      <c r="BN610" s="83"/>
      <c r="BO610" s="83"/>
      <c r="BP610" s="83"/>
      <c r="BQ610" s="83"/>
      <c r="BR610" s="83"/>
      <c r="BS610" s="83"/>
      <c r="BT610" s="83"/>
      <c r="BU610" s="83"/>
      <c r="BV610" s="83"/>
      <c r="BW610" s="83"/>
      <c r="BX610" s="83"/>
      <c r="BY610" s="83"/>
      <c r="BZ610" s="83"/>
      <c r="CA610" s="83"/>
      <c r="CB610" s="83"/>
      <c r="CC610" s="83"/>
      <c r="CD610" s="83"/>
      <c r="CE610" s="83"/>
      <c r="CF610" s="83"/>
      <c r="CG610" s="83"/>
      <c r="CH610" s="83"/>
      <c r="CI610" s="83"/>
      <c r="CJ610" s="83"/>
      <c r="CK610" s="83"/>
      <c r="CL610" s="83"/>
      <c r="CM610" s="83"/>
      <c r="CN610" s="83"/>
      <c r="CO610" s="83"/>
      <c r="CP610" s="83"/>
      <c r="CQ610" s="83"/>
      <c r="CR610" s="83"/>
      <c r="CS610" s="83"/>
      <c r="CT610" s="83"/>
      <c r="CU610" s="83"/>
      <c r="CV610" s="83"/>
      <c r="CW610" s="83"/>
      <c r="CX610" s="83"/>
      <c r="CY610" s="83"/>
      <c r="CZ610" s="83"/>
      <c r="DA610" s="83"/>
      <c r="DB610" s="83"/>
      <c r="DC610" s="83"/>
    </row>
    <row r="611" spans="1:107" x14ac:dyDescent="0.3">
      <c r="A611" s="83"/>
      <c r="B611" s="83"/>
      <c r="C611" s="83"/>
      <c r="D611" s="83"/>
      <c r="E611" s="83"/>
      <c r="F611" s="83"/>
      <c r="G611" s="83"/>
      <c r="H611" s="83"/>
      <c r="I611" s="83"/>
      <c r="J611" s="83"/>
      <c r="K611" s="83"/>
      <c r="L611" s="83"/>
      <c r="M611" s="83"/>
      <c r="N611" s="83"/>
      <c r="O611" s="83"/>
      <c r="P611" s="83"/>
      <c r="Q611" s="83"/>
      <c r="R611" s="83"/>
      <c r="S611" s="83"/>
      <c r="T611" s="83"/>
      <c r="U611" s="83"/>
      <c r="V611" s="83"/>
      <c r="W611" s="83"/>
      <c r="X611" s="83"/>
      <c r="Y611" s="83"/>
      <c r="Z611" s="83"/>
      <c r="AA611" s="83"/>
      <c r="AB611" s="83"/>
      <c r="AC611" s="83"/>
      <c r="AD611" s="83"/>
      <c r="AE611" s="83"/>
      <c r="AF611" s="83"/>
      <c r="AG611" s="83"/>
      <c r="AH611" s="83"/>
      <c r="AI611" s="83"/>
      <c r="AJ611" s="83"/>
      <c r="AK611" s="83"/>
      <c r="AL611" s="83"/>
      <c r="AM611" s="83"/>
      <c r="AN611" s="83"/>
      <c r="AO611" s="83"/>
      <c r="AP611" s="83"/>
      <c r="AQ611" s="83"/>
      <c r="AR611" s="83"/>
      <c r="AS611" s="83"/>
      <c r="AT611" s="83"/>
      <c r="AU611" s="83"/>
      <c r="AV611" s="83"/>
      <c r="AW611" s="83"/>
      <c r="AX611" s="83"/>
      <c r="AY611" s="83"/>
      <c r="AZ611" s="83"/>
      <c r="BA611" s="83"/>
      <c r="BB611" s="83"/>
      <c r="BC611" s="83"/>
      <c r="BD611" s="83"/>
      <c r="BE611" s="83"/>
      <c r="BF611" s="83"/>
      <c r="BG611" s="83"/>
      <c r="BH611" s="83"/>
      <c r="BI611" s="83"/>
      <c r="BJ611" s="83"/>
      <c r="BK611" s="83"/>
      <c r="BL611" s="83"/>
      <c r="BM611" s="83"/>
      <c r="BN611" s="83"/>
      <c r="BO611" s="83"/>
      <c r="BP611" s="83"/>
      <c r="BQ611" s="83"/>
      <c r="BR611" s="83"/>
      <c r="BS611" s="83"/>
      <c r="BT611" s="83"/>
      <c r="BU611" s="83"/>
      <c r="BV611" s="83"/>
      <c r="BW611" s="83"/>
      <c r="BX611" s="83"/>
      <c r="BY611" s="83"/>
      <c r="BZ611" s="83"/>
      <c r="CA611" s="83"/>
      <c r="CB611" s="83"/>
      <c r="CC611" s="83"/>
      <c r="CD611" s="83"/>
      <c r="CE611" s="83"/>
      <c r="CF611" s="83"/>
      <c r="CG611" s="83"/>
      <c r="CH611" s="83"/>
      <c r="CI611" s="83"/>
      <c r="CJ611" s="83"/>
      <c r="CK611" s="83"/>
      <c r="CL611" s="83"/>
      <c r="CM611" s="83"/>
      <c r="CN611" s="83"/>
      <c r="CO611" s="83"/>
      <c r="CP611" s="83"/>
      <c r="CQ611" s="83"/>
      <c r="CR611" s="83"/>
      <c r="CS611" s="83"/>
      <c r="CT611" s="83"/>
      <c r="CU611" s="83"/>
      <c r="CV611" s="83"/>
      <c r="CW611" s="83"/>
      <c r="CX611" s="83"/>
      <c r="CY611" s="83"/>
      <c r="CZ611" s="83"/>
      <c r="DA611" s="83"/>
      <c r="DB611" s="83"/>
      <c r="DC611" s="83"/>
    </row>
    <row r="612" spans="1:107" x14ac:dyDescent="0.3">
      <c r="A612" s="83"/>
      <c r="B612" s="83"/>
      <c r="C612" s="83"/>
      <c r="D612" s="83"/>
      <c r="E612" s="83"/>
      <c r="F612" s="83"/>
      <c r="G612" s="83"/>
      <c r="H612" s="83"/>
      <c r="I612" s="83"/>
      <c r="J612" s="83"/>
      <c r="K612" s="83"/>
      <c r="L612" s="83"/>
      <c r="M612" s="83"/>
      <c r="N612" s="83"/>
      <c r="O612" s="83"/>
      <c r="P612" s="83"/>
      <c r="Q612" s="83"/>
      <c r="R612" s="83"/>
      <c r="S612" s="83"/>
      <c r="T612" s="83"/>
      <c r="U612" s="83"/>
      <c r="V612" s="83"/>
      <c r="W612" s="83"/>
      <c r="X612" s="83"/>
      <c r="Y612" s="83"/>
      <c r="Z612" s="83"/>
      <c r="AA612" s="83"/>
      <c r="AB612" s="83"/>
      <c r="AC612" s="83"/>
      <c r="AD612" s="83"/>
      <c r="AE612" s="83"/>
      <c r="AF612" s="83"/>
      <c r="AG612" s="83"/>
      <c r="AH612" s="83"/>
      <c r="AI612" s="83"/>
      <c r="AJ612" s="83"/>
      <c r="AK612" s="83"/>
      <c r="AL612" s="83"/>
      <c r="AM612" s="83"/>
      <c r="AN612" s="83"/>
      <c r="AO612" s="83"/>
      <c r="AP612" s="83"/>
      <c r="AQ612" s="83"/>
      <c r="AR612" s="83"/>
      <c r="AS612" s="83"/>
      <c r="AT612" s="83"/>
      <c r="AU612" s="83"/>
      <c r="AV612" s="83"/>
      <c r="AW612" s="83"/>
      <c r="AX612" s="83"/>
      <c r="AY612" s="83"/>
      <c r="AZ612" s="83"/>
      <c r="BA612" s="83"/>
      <c r="BB612" s="83"/>
      <c r="BC612" s="83"/>
      <c r="BD612" s="83"/>
      <c r="BE612" s="83"/>
      <c r="BF612" s="83"/>
      <c r="BG612" s="83"/>
      <c r="BH612" s="83"/>
      <c r="BI612" s="83"/>
      <c r="BJ612" s="83"/>
      <c r="BK612" s="83"/>
      <c r="BL612" s="83"/>
      <c r="BM612" s="83"/>
      <c r="BN612" s="83"/>
      <c r="BO612" s="83"/>
      <c r="BP612" s="83"/>
      <c r="BQ612" s="83"/>
      <c r="BR612" s="83"/>
      <c r="BS612" s="83"/>
      <c r="BT612" s="83"/>
      <c r="BU612" s="83"/>
      <c r="BV612" s="83"/>
      <c r="BW612" s="83"/>
      <c r="BX612" s="83"/>
      <c r="BY612" s="83"/>
      <c r="BZ612" s="83"/>
      <c r="CA612" s="83"/>
      <c r="CB612" s="83"/>
      <c r="CC612" s="83"/>
      <c r="CD612" s="83"/>
      <c r="CE612" s="83"/>
      <c r="CF612" s="83"/>
      <c r="CG612" s="83"/>
      <c r="CH612" s="83"/>
      <c r="CI612" s="83"/>
      <c r="CJ612" s="83"/>
      <c r="CK612" s="83"/>
      <c r="CL612" s="83"/>
      <c r="CM612" s="83"/>
      <c r="CN612" s="83"/>
      <c r="CO612" s="83"/>
      <c r="CP612" s="83"/>
      <c r="CQ612" s="83"/>
      <c r="CR612" s="83"/>
      <c r="CS612" s="83"/>
      <c r="CT612" s="83"/>
      <c r="CU612" s="83"/>
      <c r="CV612" s="83"/>
      <c r="CW612" s="83"/>
      <c r="CX612" s="83"/>
      <c r="CY612" s="83"/>
      <c r="CZ612" s="83"/>
      <c r="DA612" s="83"/>
      <c r="DB612" s="83"/>
      <c r="DC612" s="83"/>
    </row>
    <row r="613" spans="1:107" x14ac:dyDescent="0.3">
      <c r="A613" s="83"/>
      <c r="B613" s="83"/>
      <c r="C613" s="83"/>
      <c r="D613" s="83"/>
      <c r="E613" s="83"/>
      <c r="F613" s="83"/>
      <c r="G613" s="83"/>
      <c r="H613" s="83"/>
      <c r="I613" s="83"/>
      <c r="J613" s="83"/>
      <c r="K613" s="83"/>
      <c r="L613" s="83"/>
      <c r="M613" s="83"/>
      <c r="N613" s="83"/>
      <c r="O613" s="83"/>
      <c r="P613" s="83"/>
      <c r="Q613" s="83"/>
      <c r="R613" s="83"/>
      <c r="S613" s="83"/>
      <c r="T613" s="83"/>
      <c r="U613" s="83"/>
      <c r="V613" s="83"/>
      <c r="W613" s="83"/>
      <c r="X613" s="83"/>
      <c r="Y613" s="83"/>
      <c r="Z613" s="83"/>
      <c r="AA613" s="83"/>
      <c r="AB613" s="83"/>
      <c r="AC613" s="83"/>
      <c r="AD613" s="83"/>
      <c r="AE613" s="83"/>
      <c r="AF613" s="83"/>
      <c r="AG613" s="83"/>
      <c r="AH613" s="83"/>
      <c r="AI613" s="83"/>
      <c r="AJ613" s="83"/>
      <c r="AK613" s="83"/>
      <c r="AL613" s="83"/>
      <c r="AM613" s="83"/>
      <c r="AN613" s="83"/>
      <c r="AO613" s="83"/>
      <c r="AP613" s="83"/>
      <c r="AQ613" s="83"/>
      <c r="AR613" s="83"/>
      <c r="AS613" s="83"/>
      <c r="AT613" s="83"/>
      <c r="AU613" s="83"/>
      <c r="AV613" s="83"/>
      <c r="AW613" s="83"/>
      <c r="AX613" s="83"/>
      <c r="AY613" s="83"/>
      <c r="AZ613" s="83"/>
      <c r="BA613" s="83"/>
      <c r="BB613" s="83"/>
      <c r="BC613" s="83"/>
      <c r="BD613" s="83"/>
      <c r="BE613" s="83"/>
      <c r="BF613" s="83"/>
      <c r="BG613" s="83"/>
      <c r="BH613" s="83"/>
      <c r="BI613" s="83"/>
      <c r="BJ613" s="83"/>
      <c r="BK613" s="83"/>
      <c r="BL613" s="83"/>
      <c r="BM613" s="83"/>
      <c r="BN613" s="83"/>
      <c r="BO613" s="83"/>
      <c r="BP613" s="83"/>
      <c r="BQ613" s="83"/>
      <c r="BR613" s="83"/>
      <c r="BS613" s="83"/>
      <c r="BT613" s="83"/>
      <c r="BU613" s="83"/>
      <c r="BV613" s="83"/>
      <c r="BW613" s="83"/>
      <c r="BX613" s="83"/>
      <c r="BY613" s="83"/>
      <c r="BZ613" s="83"/>
      <c r="CA613" s="83"/>
      <c r="CB613" s="83"/>
      <c r="CC613" s="83"/>
      <c r="CD613" s="83"/>
      <c r="CE613" s="83"/>
      <c r="CF613" s="83"/>
      <c r="CG613" s="83"/>
      <c r="CH613" s="83"/>
      <c r="CI613" s="83"/>
      <c r="CJ613" s="83"/>
      <c r="CK613" s="83"/>
      <c r="CL613" s="83"/>
      <c r="CM613" s="83"/>
      <c r="CN613" s="83"/>
      <c r="CO613" s="83"/>
      <c r="CP613" s="83"/>
      <c r="CQ613" s="83"/>
      <c r="CR613" s="83"/>
      <c r="CS613" s="83"/>
      <c r="CT613" s="83"/>
      <c r="CU613" s="83"/>
      <c r="CV613" s="83"/>
      <c r="CW613" s="83"/>
      <c r="CX613" s="83"/>
      <c r="CY613" s="83"/>
      <c r="CZ613" s="83"/>
      <c r="DA613" s="83"/>
      <c r="DB613" s="83"/>
      <c r="DC613" s="83"/>
    </row>
    <row r="614" spans="1:107" x14ac:dyDescent="0.3">
      <c r="A614" s="83"/>
      <c r="B614" s="83"/>
      <c r="C614" s="83"/>
      <c r="D614" s="83"/>
      <c r="E614" s="83"/>
      <c r="F614" s="83"/>
      <c r="G614" s="83"/>
      <c r="H614" s="83"/>
      <c r="I614" s="83"/>
      <c r="J614" s="83"/>
      <c r="K614" s="83"/>
      <c r="L614" s="83"/>
      <c r="M614" s="83"/>
      <c r="N614" s="83"/>
      <c r="O614" s="83"/>
      <c r="P614" s="83"/>
      <c r="Q614" s="83"/>
      <c r="R614" s="83"/>
      <c r="S614" s="83"/>
      <c r="T614" s="83"/>
      <c r="U614" s="83"/>
      <c r="V614" s="83"/>
      <c r="W614" s="83"/>
      <c r="X614" s="83"/>
      <c r="Y614" s="83"/>
      <c r="Z614" s="83"/>
      <c r="AA614" s="83"/>
      <c r="AB614" s="83"/>
      <c r="AC614" s="83"/>
      <c r="AD614" s="83"/>
      <c r="AE614" s="83"/>
      <c r="AF614" s="83"/>
      <c r="AG614" s="83"/>
      <c r="AH614" s="83"/>
      <c r="AI614" s="83"/>
      <c r="AJ614" s="83"/>
      <c r="AK614" s="83"/>
      <c r="AL614" s="83"/>
      <c r="AM614" s="83"/>
      <c r="AN614" s="83"/>
      <c r="AO614" s="83"/>
      <c r="AP614" s="83"/>
      <c r="AQ614" s="83"/>
      <c r="AR614" s="83"/>
      <c r="AS614" s="83"/>
      <c r="AT614" s="83"/>
      <c r="AU614" s="83"/>
      <c r="AV614" s="83"/>
      <c r="AW614" s="83"/>
      <c r="AX614" s="83"/>
      <c r="AY614" s="83"/>
      <c r="AZ614" s="83"/>
      <c r="BA614" s="83"/>
      <c r="BB614" s="83"/>
      <c r="BC614" s="83"/>
      <c r="BD614" s="83"/>
      <c r="BE614" s="83"/>
      <c r="BF614" s="83"/>
      <c r="BG614" s="83"/>
      <c r="BH614" s="83"/>
      <c r="BI614" s="83"/>
      <c r="BJ614" s="83"/>
      <c r="BK614" s="83"/>
      <c r="BL614" s="83"/>
      <c r="BM614" s="83"/>
      <c r="BN614" s="83"/>
      <c r="BO614" s="83"/>
      <c r="BP614" s="83"/>
      <c r="BQ614" s="83"/>
      <c r="BR614" s="83"/>
      <c r="BS614" s="83"/>
      <c r="BT614" s="83"/>
      <c r="BU614" s="83"/>
      <c r="BV614" s="83"/>
      <c r="BW614" s="83"/>
      <c r="BX614" s="83"/>
      <c r="BY614" s="83"/>
      <c r="BZ614" s="83"/>
      <c r="CA614" s="83"/>
      <c r="CB614" s="83"/>
      <c r="CC614" s="83"/>
      <c r="CD614" s="83"/>
      <c r="CE614" s="83"/>
      <c r="CF614" s="83"/>
      <c r="CG614" s="83"/>
      <c r="CH614" s="83"/>
      <c r="CI614" s="83"/>
      <c r="CJ614" s="83"/>
      <c r="CK614" s="83"/>
      <c r="CL614" s="83"/>
      <c r="CM614" s="83"/>
      <c r="CN614" s="83"/>
      <c r="CO614" s="83"/>
      <c r="CP614" s="83"/>
      <c r="CQ614" s="83"/>
      <c r="CR614" s="83"/>
      <c r="CS614" s="83"/>
      <c r="CT614" s="83"/>
      <c r="CU614" s="83"/>
      <c r="CV614" s="83"/>
      <c r="CW614" s="83"/>
      <c r="CX614" s="83"/>
      <c r="CY614" s="83"/>
      <c r="CZ614" s="83"/>
      <c r="DA614" s="83"/>
      <c r="DB614" s="83"/>
      <c r="DC614" s="83"/>
    </row>
    <row r="615" spans="1:107" x14ac:dyDescent="0.3">
      <c r="A615" s="83"/>
      <c r="B615" s="83"/>
      <c r="C615" s="83"/>
      <c r="D615" s="83"/>
      <c r="E615" s="83"/>
      <c r="F615" s="83"/>
      <c r="G615" s="83"/>
      <c r="H615" s="83"/>
      <c r="I615" s="83"/>
      <c r="J615" s="83"/>
      <c r="K615" s="83"/>
      <c r="L615" s="83"/>
      <c r="M615" s="83"/>
      <c r="N615" s="83"/>
      <c r="O615" s="83"/>
      <c r="P615" s="83"/>
      <c r="Q615" s="83"/>
      <c r="R615" s="83"/>
      <c r="S615" s="83"/>
      <c r="T615" s="83"/>
      <c r="U615" s="83"/>
      <c r="V615" s="83"/>
      <c r="W615" s="83"/>
      <c r="X615" s="83"/>
      <c r="Y615" s="83"/>
      <c r="Z615" s="83"/>
      <c r="AA615" s="83"/>
      <c r="AB615" s="83"/>
      <c r="AC615" s="83"/>
      <c r="AD615" s="83"/>
      <c r="AE615" s="83"/>
      <c r="AF615" s="83"/>
      <c r="AG615" s="83"/>
      <c r="AH615" s="83"/>
      <c r="AI615" s="83"/>
      <c r="AJ615" s="83"/>
      <c r="AK615" s="83"/>
      <c r="AL615" s="83"/>
      <c r="AM615" s="83"/>
      <c r="AN615" s="83"/>
      <c r="AO615" s="83"/>
      <c r="AP615" s="83"/>
      <c r="AQ615" s="83"/>
      <c r="AR615" s="83"/>
      <c r="AS615" s="83"/>
      <c r="AT615" s="83"/>
      <c r="AU615" s="83"/>
      <c r="AV615" s="83"/>
      <c r="AW615" s="83"/>
      <c r="AX615" s="83"/>
      <c r="AY615" s="83"/>
      <c r="AZ615" s="83"/>
      <c r="BA615" s="83"/>
      <c r="BB615" s="83"/>
      <c r="BC615" s="83"/>
      <c r="BD615" s="83"/>
      <c r="BE615" s="83"/>
      <c r="BF615" s="83"/>
      <c r="BG615" s="83"/>
      <c r="BH615" s="83"/>
      <c r="BI615" s="83"/>
      <c r="BJ615" s="83"/>
      <c r="BK615" s="83"/>
      <c r="BL615" s="83"/>
      <c r="BM615" s="83"/>
      <c r="BN615" s="83"/>
      <c r="BO615" s="83"/>
      <c r="BP615" s="83"/>
      <c r="BQ615" s="83"/>
      <c r="BR615" s="83"/>
      <c r="BS615" s="83"/>
      <c r="BT615" s="83"/>
      <c r="BU615" s="83"/>
      <c r="BV615" s="83"/>
      <c r="BW615" s="83"/>
      <c r="BX615" s="83"/>
      <c r="BY615" s="83"/>
      <c r="BZ615" s="83"/>
      <c r="CA615" s="83"/>
      <c r="CB615" s="83"/>
      <c r="CC615" s="83"/>
      <c r="CD615" s="83"/>
      <c r="CE615" s="83"/>
      <c r="CF615" s="83"/>
      <c r="CG615" s="83"/>
      <c r="CH615" s="83"/>
      <c r="CI615" s="83"/>
      <c r="CJ615" s="83"/>
      <c r="CK615" s="83"/>
      <c r="CL615" s="83"/>
      <c r="CM615" s="83"/>
      <c r="CN615" s="83"/>
      <c r="CO615" s="83"/>
      <c r="CP615" s="83"/>
      <c r="CQ615" s="83"/>
      <c r="CR615" s="83"/>
      <c r="CS615" s="83"/>
      <c r="CT615" s="83"/>
      <c r="CU615" s="83"/>
      <c r="CV615" s="83"/>
      <c r="CW615" s="83"/>
      <c r="CX615" s="83"/>
      <c r="CY615" s="83"/>
      <c r="CZ615" s="83"/>
      <c r="DA615" s="83"/>
      <c r="DB615" s="83"/>
      <c r="DC615" s="83"/>
    </row>
    <row r="616" spans="1:107" x14ac:dyDescent="0.3">
      <c r="A616" s="83"/>
      <c r="B616" s="83"/>
      <c r="C616" s="83"/>
      <c r="D616" s="83"/>
      <c r="E616" s="83"/>
      <c r="F616" s="83"/>
      <c r="G616" s="83"/>
      <c r="H616" s="83"/>
      <c r="I616" s="83"/>
      <c r="J616" s="83"/>
      <c r="K616" s="83"/>
      <c r="L616" s="83"/>
      <c r="M616" s="83"/>
      <c r="N616" s="83"/>
      <c r="O616" s="83"/>
      <c r="P616" s="83"/>
      <c r="Q616" s="83"/>
      <c r="R616" s="83"/>
      <c r="S616" s="83"/>
      <c r="T616" s="83"/>
      <c r="U616" s="83"/>
      <c r="V616" s="83"/>
      <c r="W616" s="83"/>
      <c r="X616" s="83"/>
      <c r="Y616" s="83"/>
      <c r="Z616" s="83"/>
      <c r="AA616" s="83"/>
      <c r="AB616" s="83"/>
      <c r="AC616" s="83"/>
      <c r="AD616" s="83"/>
      <c r="AE616" s="83"/>
      <c r="AF616" s="83"/>
      <c r="AG616" s="83"/>
      <c r="AH616" s="83"/>
      <c r="AI616" s="83"/>
      <c r="AJ616" s="83"/>
      <c r="AK616" s="83"/>
      <c r="AL616" s="83"/>
      <c r="AM616" s="83"/>
      <c r="AN616" s="83"/>
      <c r="AO616" s="83"/>
      <c r="AP616" s="83"/>
      <c r="AQ616" s="83"/>
      <c r="AR616" s="83"/>
      <c r="AS616" s="83"/>
      <c r="AT616" s="83"/>
      <c r="AU616" s="83"/>
      <c r="AV616" s="83"/>
      <c r="AW616" s="83"/>
      <c r="AX616" s="83"/>
      <c r="AY616" s="83"/>
      <c r="AZ616" s="83"/>
      <c r="BA616" s="83"/>
      <c r="BB616" s="83"/>
      <c r="BC616" s="83"/>
      <c r="BD616" s="83"/>
      <c r="BE616" s="83"/>
      <c r="BF616" s="83"/>
      <c r="BG616" s="83"/>
      <c r="BH616" s="83"/>
      <c r="BI616" s="83"/>
      <c r="BJ616" s="83"/>
      <c r="BK616" s="83"/>
      <c r="BL616" s="83"/>
      <c r="BM616" s="83"/>
      <c r="BN616" s="83"/>
      <c r="BO616" s="83"/>
      <c r="BP616" s="83"/>
      <c r="BQ616" s="83"/>
      <c r="BR616" s="83"/>
      <c r="BS616" s="83"/>
      <c r="BT616" s="83"/>
      <c r="BU616" s="83"/>
      <c r="BV616" s="83"/>
      <c r="BW616" s="83"/>
      <c r="BX616" s="83"/>
      <c r="BY616" s="83"/>
      <c r="BZ616" s="83"/>
      <c r="CA616" s="83"/>
      <c r="CB616" s="83"/>
      <c r="CC616" s="83"/>
      <c r="CD616" s="83"/>
      <c r="CE616" s="83"/>
      <c r="CF616" s="83"/>
      <c r="CG616" s="83"/>
      <c r="CH616" s="83"/>
      <c r="CI616" s="83"/>
      <c r="CJ616" s="83"/>
      <c r="CK616" s="83"/>
      <c r="CL616" s="83"/>
      <c r="CM616" s="83"/>
      <c r="CN616" s="83"/>
      <c r="CO616" s="83"/>
      <c r="CP616" s="83"/>
      <c r="CQ616" s="83"/>
      <c r="CR616" s="83"/>
      <c r="CS616" s="83"/>
      <c r="CT616" s="83"/>
      <c r="CU616" s="83"/>
      <c r="CV616" s="83"/>
      <c r="CW616" s="83"/>
      <c r="CX616" s="83"/>
      <c r="CY616" s="83"/>
      <c r="CZ616" s="83"/>
      <c r="DA616" s="83"/>
      <c r="DB616" s="83"/>
      <c r="DC616" s="83"/>
    </row>
    <row r="617" spans="1:107" x14ac:dyDescent="0.3">
      <c r="A617" s="83"/>
      <c r="B617" s="83"/>
      <c r="C617" s="83"/>
      <c r="D617" s="83"/>
      <c r="E617" s="83"/>
      <c r="F617" s="83"/>
      <c r="G617" s="83"/>
      <c r="H617" s="83"/>
      <c r="I617" s="83"/>
      <c r="J617" s="83"/>
      <c r="K617" s="83"/>
      <c r="L617" s="83"/>
      <c r="M617" s="83"/>
      <c r="N617" s="83"/>
      <c r="O617" s="83"/>
      <c r="P617" s="83"/>
      <c r="Q617" s="83"/>
      <c r="R617" s="83"/>
      <c r="S617" s="83"/>
      <c r="T617" s="83"/>
      <c r="U617" s="83"/>
      <c r="V617" s="83"/>
      <c r="W617" s="83"/>
      <c r="X617" s="83"/>
      <c r="Y617" s="83"/>
      <c r="Z617" s="83"/>
      <c r="AA617" s="83"/>
      <c r="AB617" s="83"/>
      <c r="AC617" s="83"/>
      <c r="AD617" s="83"/>
      <c r="AE617" s="83"/>
      <c r="AF617" s="83"/>
      <c r="AG617" s="83"/>
      <c r="AH617" s="83"/>
      <c r="AI617" s="83"/>
      <c r="AJ617" s="83"/>
      <c r="AK617" s="83"/>
      <c r="AL617" s="83"/>
      <c r="AM617" s="83"/>
      <c r="AN617" s="83"/>
      <c r="AO617" s="83"/>
      <c r="AP617" s="83"/>
      <c r="AQ617" s="83"/>
      <c r="AR617" s="83"/>
      <c r="AS617" s="83"/>
      <c r="AT617" s="83"/>
      <c r="AU617" s="83"/>
      <c r="AV617" s="83"/>
      <c r="AW617" s="83"/>
      <c r="AX617" s="83"/>
      <c r="AY617" s="83"/>
      <c r="AZ617" s="83"/>
      <c r="BA617" s="83"/>
      <c r="BB617" s="83"/>
      <c r="BC617" s="83"/>
      <c r="BD617" s="83"/>
      <c r="BE617" s="83"/>
      <c r="BF617" s="83"/>
      <c r="BG617" s="83"/>
      <c r="BH617" s="83"/>
      <c r="BI617" s="83"/>
      <c r="BJ617" s="83"/>
      <c r="BK617" s="83"/>
      <c r="BL617" s="83"/>
      <c r="BM617" s="83"/>
      <c r="BN617" s="83"/>
      <c r="BO617" s="83"/>
      <c r="BP617" s="83"/>
      <c r="BQ617" s="83"/>
      <c r="BR617" s="83"/>
      <c r="BS617" s="83"/>
      <c r="BT617" s="83"/>
      <c r="BU617" s="83"/>
      <c r="BV617" s="83"/>
      <c r="BW617" s="83"/>
      <c r="BX617" s="83"/>
      <c r="BY617" s="83"/>
      <c r="BZ617" s="83"/>
      <c r="CA617" s="83"/>
      <c r="CB617" s="83"/>
      <c r="CC617" s="83"/>
      <c r="CD617" s="83"/>
      <c r="CE617" s="83"/>
      <c r="CF617" s="83"/>
      <c r="CG617" s="83"/>
      <c r="CH617" s="83"/>
      <c r="CI617" s="83"/>
      <c r="CJ617" s="83"/>
      <c r="CK617" s="83"/>
      <c r="CL617" s="83"/>
      <c r="CM617" s="83"/>
      <c r="CN617" s="83"/>
      <c r="CO617" s="83"/>
      <c r="CP617" s="83"/>
      <c r="CQ617" s="83"/>
      <c r="CR617" s="83"/>
      <c r="CS617" s="83"/>
      <c r="CT617" s="83"/>
      <c r="CU617" s="83"/>
      <c r="CV617" s="83"/>
      <c r="CW617" s="83"/>
      <c r="CX617" s="83"/>
      <c r="CY617" s="83"/>
      <c r="CZ617" s="83"/>
      <c r="DA617" s="83"/>
      <c r="DB617" s="83"/>
      <c r="DC617" s="83"/>
    </row>
    <row r="618" spans="1:107" x14ac:dyDescent="0.3">
      <c r="A618" s="83"/>
      <c r="B618" s="83"/>
      <c r="C618" s="83"/>
      <c r="D618" s="83"/>
      <c r="E618" s="83"/>
      <c r="F618" s="83"/>
      <c r="G618" s="83"/>
      <c r="H618" s="83"/>
      <c r="I618" s="83"/>
      <c r="J618" s="83"/>
      <c r="K618" s="83"/>
      <c r="L618" s="83"/>
      <c r="M618" s="83"/>
      <c r="N618" s="83"/>
      <c r="O618" s="83"/>
      <c r="P618" s="83"/>
      <c r="Q618" s="83"/>
      <c r="R618" s="83"/>
      <c r="S618" s="83"/>
      <c r="T618" s="83"/>
      <c r="U618" s="83"/>
      <c r="V618" s="83"/>
      <c r="W618" s="83"/>
      <c r="X618" s="83"/>
      <c r="Y618" s="83"/>
      <c r="Z618" s="83"/>
      <c r="AA618" s="83"/>
      <c r="AB618" s="83"/>
      <c r="AC618" s="83"/>
      <c r="AD618" s="83"/>
      <c r="AE618" s="83"/>
      <c r="AF618" s="83"/>
      <c r="AG618" s="83"/>
      <c r="AH618" s="83"/>
      <c r="AI618" s="83"/>
      <c r="AJ618" s="83"/>
      <c r="AK618" s="83"/>
      <c r="AL618" s="83"/>
      <c r="AM618" s="83"/>
      <c r="AN618" s="83"/>
      <c r="AO618" s="83"/>
      <c r="AP618" s="83"/>
      <c r="AQ618" s="83"/>
      <c r="AR618" s="83"/>
      <c r="AS618" s="83"/>
      <c r="AT618" s="83"/>
      <c r="AU618" s="83"/>
      <c r="AV618" s="83"/>
      <c r="AW618" s="83"/>
      <c r="AX618" s="83"/>
      <c r="AY618" s="83"/>
      <c r="AZ618" s="83"/>
      <c r="BA618" s="83"/>
      <c r="BB618" s="83"/>
      <c r="BC618" s="83"/>
      <c r="BD618" s="83"/>
      <c r="BE618" s="83"/>
      <c r="BF618" s="83"/>
      <c r="BG618" s="83"/>
      <c r="BH618" s="83"/>
      <c r="BI618" s="83"/>
      <c r="BJ618" s="83"/>
      <c r="BK618" s="83"/>
      <c r="BL618" s="83"/>
      <c r="BM618" s="83"/>
      <c r="BN618" s="83"/>
      <c r="BO618" s="83"/>
      <c r="BP618" s="83"/>
      <c r="BQ618" s="83"/>
      <c r="BR618" s="83"/>
      <c r="BS618" s="83"/>
      <c r="BT618" s="83"/>
      <c r="BU618" s="83"/>
      <c r="BV618" s="83"/>
      <c r="BW618" s="83"/>
      <c r="BX618" s="83"/>
      <c r="BY618" s="83"/>
      <c r="BZ618" s="83"/>
      <c r="CA618" s="83"/>
      <c r="CB618" s="83"/>
      <c r="CC618" s="83"/>
      <c r="CD618" s="83"/>
      <c r="CE618" s="83"/>
      <c r="CF618" s="83"/>
      <c r="CG618" s="83"/>
      <c r="CH618" s="83"/>
      <c r="CI618" s="83"/>
      <c r="CJ618" s="83"/>
      <c r="CK618" s="83"/>
      <c r="CL618" s="83"/>
      <c r="CM618" s="83"/>
      <c r="CN618" s="83"/>
      <c r="CO618" s="83"/>
      <c r="CP618" s="83"/>
      <c r="CQ618" s="83"/>
      <c r="CR618" s="83"/>
      <c r="CS618" s="83"/>
      <c r="CT618" s="83"/>
      <c r="CU618" s="83"/>
      <c r="CV618" s="83"/>
      <c r="CW618" s="83"/>
      <c r="CX618" s="83"/>
      <c r="CY618" s="83"/>
      <c r="CZ618" s="83"/>
      <c r="DA618" s="83"/>
      <c r="DB618" s="83"/>
      <c r="DC618" s="83"/>
    </row>
    <row r="619" spans="1:107" x14ac:dyDescent="0.3">
      <c r="A619" s="83"/>
      <c r="B619" s="83"/>
      <c r="C619" s="83"/>
      <c r="D619" s="83"/>
      <c r="E619" s="83"/>
      <c r="F619" s="83"/>
      <c r="G619" s="83"/>
      <c r="H619" s="83"/>
      <c r="I619" s="83"/>
      <c r="J619" s="83"/>
      <c r="K619" s="83"/>
      <c r="L619" s="83"/>
      <c r="M619" s="83"/>
      <c r="N619" s="83"/>
      <c r="O619" s="83"/>
      <c r="P619" s="83"/>
      <c r="Q619" s="83"/>
      <c r="R619" s="83"/>
      <c r="S619" s="83"/>
      <c r="T619" s="83"/>
      <c r="U619" s="83"/>
      <c r="V619" s="83"/>
      <c r="W619" s="83"/>
      <c r="X619" s="83"/>
      <c r="Y619" s="83"/>
      <c r="Z619" s="83"/>
      <c r="AA619" s="83"/>
      <c r="AB619" s="83"/>
      <c r="AC619" s="83"/>
      <c r="AD619" s="83"/>
      <c r="AE619" s="83"/>
      <c r="AF619" s="83"/>
      <c r="AG619" s="83"/>
      <c r="AH619" s="83"/>
      <c r="AI619" s="83"/>
      <c r="AJ619" s="83"/>
      <c r="AK619" s="83"/>
      <c r="AL619" s="83"/>
      <c r="AM619" s="83"/>
      <c r="AN619" s="83"/>
      <c r="AO619" s="83"/>
      <c r="AP619" s="83"/>
      <c r="AQ619" s="83"/>
      <c r="AR619" s="83"/>
      <c r="AS619" s="83"/>
      <c r="AT619" s="83"/>
      <c r="AU619" s="83"/>
      <c r="AV619" s="83"/>
      <c r="AW619" s="83"/>
      <c r="AX619" s="83"/>
      <c r="AY619" s="83"/>
      <c r="AZ619" s="83"/>
      <c r="BA619" s="83"/>
      <c r="BB619" s="83"/>
      <c r="BC619" s="83"/>
      <c r="BD619" s="83"/>
      <c r="BE619" s="83"/>
      <c r="BF619" s="83"/>
      <c r="BG619" s="83"/>
      <c r="BH619" s="83"/>
      <c r="BI619" s="83"/>
      <c r="BJ619" s="83"/>
      <c r="BK619" s="83"/>
      <c r="BL619" s="83"/>
      <c r="BM619" s="83"/>
      <c r="BN619" s="83"/>
      <c r="BO619" s="83"/>
      <c r="BP619" s="83"/>
      <c r="BQ619" s="83"/>
      <c r="BR619" s="83"/>
      <c r="BS619" s="83"/>
      <c r="BT619" s="83"/>
      <c r="BU619" s="83"/>
      <c r="BV619" s="83"/>
      <c r="BW619" s="83"/>
      <c r="BX619" s="83"/>
      <c r="BY619" s="83"/>
      <c r="BZ619" s="83"/>
      <c r="CA619" s="83"/>
      <c r="CB619" s="83"/>
      <c r="CC619" s="83"/>
      <c r="CD619" s="83"/>
      <c r="CE619" s="83"/>
      <c r="CF619" s="83"/>
      <c r="CG619" s="83"/>
      <c r="CH619" s="83"/>
      <c r="CI619" s="83"/>
      <c r="CJ619" s="83"/>
      <c r="CK619" s="83"/>
      <c r="CL619" s="83"/>
      <c r="CM619" s="83"/>
      <c r="CN619" s="83"/>
      <c r="CO619" s="83"/>
      <c r="CP619" s="83"/>
      <c r="CQ619" s="83"/>
      <c r="CR619" s="83"/>
      <c r="CS619" s="83"/>
      <c r="CT619" s="83"/>
      <c r="CU619" s="83"/>
      <c r="CV619" s="83"/>
      <c r="CW619" s="83"/>
      <c r="CX619" s="83"/>
      <c r="CY619" s="83"/>
      <c r="CZ619" s="83"/>
      <c r="DA619" s="83"/>
      <c r="DB619" s="83"/>
      <c r="DC619" s="83"/>
    </row>
    <row r="620" spans="1:107" x14ac:dyDescent="0.3">
      <c r="A620" s="83"/>
      <c r="B620" s="83"/>
      <c r="C620" s="83"/>
      <c r="D620" s="83"/>
      <c r="E620" s="83"/>
      <c r="F620" s="83"/>
      <c r="G620" s="83"/>
      <c r="H620" s="83"/>
      <c r="I620" s="83"/>
      <c r="J620" s="83"/>
      <c r="K620" s="83"/>
      <c r="L620" s="83"/>
      <c r="M620" s="83"/>
      <c r="N620" s="83"/>
      <c r="O620" s="83"/>
      <c r="P620" s="83"/>
      <c r="Q620" s="83"/>
      <c r="R620" s="83"/>
      <c r="S620" s="83"/>
      <c r="T620" s="83"/>
      <c r="U620" s="83"/>
      <c r="V620" s="83"/>
      <c r="W620" s="83"/>
      <c r="X620" s="83"/>
      <c r="Y620" s="83"/>
      <c r="Z620" s="83"/>
      <c r="AA620" s="83"/>
      <c r="AB620" s="83"/>
      <c r="AC620" s="83"/>
      <c r="AD620" s="83"/>
      <c r="AE620" s="83"/>
      <c r="AF620" s="83"/>
      <c r="AG620" s="83"/>
      <c r="AH620" s="83"/>
      <c r="AI620" s="83"/>
      <c r="AJ620" s="83"/>
      <c r="AK620" s="83"/>
      <c r="AL620" s="83"/>
      <c r="AM620" s="83"/>
      <c r="AN620" s="83"/>
      <c r="AO620" s="83"/>
      <c r="AP620" s="83"/>
      <c r="AQ620" s="83"/>
      <c r="AR620" s="83"/>
      <c r="AS620" s="83"/>
      <c r="AT620" s="83"/>
      <c r="AU620" s="83"/>
      <c r="AV620" s="83"/>
      <c r="AW620" s="83"/>
      <c r="AX620" s="83"/>
      <c r="AY620" s="83"/>
      <c r="AZ620" s="83"/>
      <c r="BA620" s="83"/>
      <c r="BB620" s="83"/>
      <c r="BC620" s="83"/>
      <c r="BD620" s="83"/>
      <c r="BE620" s="83"/>
      <c r="BF620" s="83"/>
      <c r="BG620" s="83"/>
      <c r="BH620" s="83"/>
      <c r="BI620" s="83"/>
      <c r="BJ620" s="83"/>
      <c r="BK620" s="83"/>
      <c r="BL620" s="83"/>
      <c r="BM620" s="83"/>
      <c r="BN620" s="83"/>
      <c r="BO620" s="83"/>
      <c r="BP620" s="83"/>
      <c r="BQ620" s="83"/>
      <c r="BR620" s="83"/>
      <c r="BS620" s="83"/>
      <c r="BT620" s="83"/>
      <c r="BU620" s="83"/>
      <c r="BV620" s="83"/>
      <c r="BW620" s="83"/>
      <c r="BX620" s="83"/>
      <c r="BY620" s="83"/>
      <c r="BZ620" s="83"/>
      <c r="CA620" s="83"/>
      <c r="CB620" s="83"/>
      <c r="CC620" s="83"/>
      <c r="CD620" s="83"/>
      <c r="CE620" s="83"/>
      <c r="CF620" s="83"/>
      <c r="CG620" s="83"/>
      <c r="CH620" s="83"/>
      <c r="CI620" s="83"/>
      <c r="CJ620" s="83"/>
      <c r="CK620" s="83"/>
      <c r="CL620" s="83"/>
      <c r="CM620" s="83"/>
      <c r="CN620" s="83"/>
      <c r="CO620" s="83"/>
      <c r="CP620" s="83"/>
      <c r="CQ620" s="83"/>
      <c r="CR620" s="83"/>
      <c r="CS620" s="83"/>
      <c r="CT620" s="83"/>
      <c r="CU620" s="83"/>
      <c r="CV620" s="83"/>
      <c r="CW620" s="83"/>
      <c r="CX620" s="83"/>
      <c r="CY620" s="83"/>
      <c r="CZ620" s="83"/>
      <c r="DA620" s="83"/>
      <c r="DB620" s="83"/>
      <c r="DC620" s="83"/>
    </row>
    <row r="621" spans="1:107" x14ac:dyDescent="0.3">
      <c r="A621" s="83"/>
      <c r="B621" s="83"/>
      <c r="C621" s="83"/>
      <c r="D621" s="83"/>
      <c r="E621" s="83"/>
      <c r="F621" s="83"/>
      <c r="G621" s="83"/>
      <c r="H621" s="83"/>
      <c r="I621" s="83"/>
      <c r="J621" s="83"/>
      <c r="K621" s="83"/>
      <c r="L621" s="83"/>
      <c r="M621" s="83"/>
      <c r="N621" s="83"/>
      <c r="O621" s="83"/>
      <c r="P621" s="83"/>
      <c r="Q621" s="83"/>
      <c r="R621" s="83"/>
      <c r="S621" s="83"/>
      <c r="T621" s="83"/>
      <c r="U621" s="83"/>
      <c r="V621" s="83"/>
      <c r="W621" s="83"/>
      <c r="X621" s="83"/>
      <c r="Y621" s="83"/>
      <c r="Z621" s="83"/>
      <c r="AA621" s="83"/>
      <c r="AB621" s="83"/>
      <c r="AC621" s="83"/>
      <c r="AD621" s="83"/>
      <c r="AE621" s="83"/>
      <c r="AF621" s="83"/>
      <c r="AG621" s="83"/>
      <c r="AH621" s="83"/>
      <c r="AI621" s="83"/>
      <c r="AJ621" s="83"/>
      <c r="AK621" s="83"/>
      <c r="AL621" s="83"/>
      <c r="AM621" s="83"/>
      <c r="AN621" s="83"/>
      <c r="AO621" s="83"/>
      <c r="AP621" s="83"/>
      <c r="AQ621" s="83"/>
      <c r="AR621" s="83"/>
      <c r="AS621" s="83"/>
      <c r="AT621" s="83"/>
      <c r="AU621" s="83"/>
      <c r="AV621" s="83"/>
      <c r="AW621" s="83"/>
      <c r="AX621" s="83"/>
      <c r="AY621" s="83"/>
      <c r="AZ621" s="83"/>
      <c r="BA621" s="83"/>
      <c r="BB621" s="83"/>
      <c r="BC621" s="83"/>
      <c r="BD621" s="83"/>
      <c r="BE621" s="83"/>
      <c r="BF621" s="83"/>
      <c r="BG621" s="83"/>
      <c r="BH621" s="83"/>
      <c r="BI621" s="83"/>
      <c r="BJ621" s="83"/>
      <c r="BK621" s="83"/>
      <c r="BL621" s="83"/>
      <c r="BM621" s="83"/>
      <c r="BN621" s="83"/>
      <c r="BO621" s="83"/>
      <c r="BP621" s="83"/>
      <c r="BQ621" s="83"/>
      <c r="BR621" s="83"/>
      <c r="BS621" s="83"/>
      <c r="BT621" s="83"/>
      <c r="BU621" s="83"/>
      <c r="BV621" s="83"/>
      <c r="BW621" s="83"/>
      <c r="BX621" s="83"/>
      <c r="BY621" s="83"/>
      <c r="BZ621" s="83"/>
      <c r="CA621" s="83"/>
      <c r="CB621" s="83"/>
      <c r="CC621" s="83"/>
      <c r="CD621" s="83"/>
      <c r="CE621" s="83"/>
      <c r="CF621" s="83"/>
      <c r="CG621" s="83"/>
      <c r="CH621" s="83"/>
      <c r="CI621" s="83"/>
      <c r="CJ621" s="83"/>
      <c r="CK621" s="83"/>
      <c r="CL621" s="83"/>
      <c r="CM621" s="83"/>
      <c r="CN621" s="83"/>
      <c r="CO621" s="83"/>
      <c r="CP621" s="83"/>
      <c r="CQ621" s="83"/>
      <c r="CR621" s="83"/>
      <c r="CS621" s="83"/>
      <c r="CT621" s="83"/>
      <c r="CU621" s="83"/>
      <c r="CV621" s="83"/>
      <c r="CW621" s="83"/>
      <c r="CX621" s="83"/>
      <c r="CY621" s="83"/>
      <c r="CZ621" s="83"/>
      <c r="DA621" s="83"/>
      <c r="DB621" s="83"/>
      <c r="DC621" s="83"/>
    </row>
    <row r="622" spans="1:107" x14ac:dyDescent="0.3">
      <c r="A622" s="83"/>
      <c r="B622" s="83"/>
      <c r="C622" s="83"/>
      <c r="D622" s="83"/>
      <c r="E622" s="83"/>
      <c r="F622" s="83"/>
      <c r="G622" s="83"/>
      <c r="H622" s="83"/>
      <c r="I622" s="83"/>
      <c r="J622" s="83"/>
      <c r="K622" s="83"/>
      <c r="L622" s="83"/>
      <c r="M622" s="83"/>
      <c r="N622" s="83"/>
      <c r="O622" s="83"/>
      <c r="P622" s="83"/>
      <c r="Q622" s="83"/>
      <c r="R622" s="83"/>
      <c r="S622" s="83"/>
      <c r="T622" s="83"/>
      <c r="U622" s="83"/>
      <c r="V622" s="83"/>
      <c r="W622" s="83"/>
      <c r="X622" s="83"/>
      <c r="Y622" s="83"/>
      <c r="Z622" s="83"/>
      <c r="AA622" s="83"/>
      <c r="AB622" s="83"/>
      <c r="AC622" s="83"/>
      <c r="AD622" s="83"/>
      <c r="AE622" s="83"/>
      <c r="AF622" s="83"/>
      <c r="AG622" s="83"/>
      <c r="AH622" s="83"/>
      <c r="AI622" s="83"/>
      <c r="AJ622" s="83"/>
      <c r="AK622" s="83"/>
      <c r="AL622" s="83"/>
      <c r="AM622" s="83"/>
      <c r="AN622" s="83"/>
      <c r="AO622" s="83"/>
      <c r="AP622" s="83"/>
      <c r="AQ622" s="83"/>
      <c r="AR622" s="83"/>
      <c r="AS622" s="83"/>
      <c r="AT622" s="83"/>
      <c r="AU622" s="83"/>
      <c r="AV622" s="83"/>
      <c r="AW622" s="83"/>
      <c r="AX622" s="83"/>
      <c r="AY622" s="83"/>
      <c r="AZ622" s="83"/>
      <c r="BA622" s="83"/>
      <c r="BB622" s="83"/>
      <c r="BC622" s="83"/>
      <c r="BD622" s="83"/>
      <c r="BE622" s="83"/>
      <c r="BF622" s="83"/>
      <c r="BG622" s="83"/>
      <c r="BH622" s="83"/>
      <c r="BI622" s="83"/>
      <c r="BJ622" s="83"/>
      <c r="BK622" s="83"/>
      <c r="BL622" s="83"/>
      <c r="BM622" s="83"/>
      <c r="BN622" s="83"/>
      <c r="BO622" s="83"/>
      <c r="BP622" s="83"/>
      <c r="BQ622" s="83"/>
      <c r="BR622" s="83"/>
      <c r="BS622" s="83"/>
      <c r="BT622" s="83"/>
      <c r="BU622" s="83"/>
      <c r="BV622" s="83"/>
      <c r="BW622" s="83"/>
      <c r="BX622" s="83"/>
      <c r="BY622" s="83"/>
      <c r="BZ622" s="83"/>
      <c r="CA622" s="83"/>
      <c r="CB622" s="83"/>
      <c r="CC622" s="83"/>
      <c r="CD622" s="83"/>
      <c r="CE622" s="83"/>
      <c r="CF622" s="83"/>
      <c r="CG622" s="83"/>
      <c r="CH622" s="83"/>
      <c r="CI622" s="83"/>
      <c r="CJ622" s="83"/>
      <c r="CK622" s="83"/>
      <c r="CL622" s="83"/>
      <c r="CM622" s="83"/>
      <c r="CN622" s="83"/>
      <c r="CO622" s="83"/>
      <c r="CP622" s="83"/>
      <c r="CQ622" s="83"/>
      <c r="CR622" s="83"/>
      <c r="CS622" s="83"/>
      <c r="CT622" s="83"/>
      <c r="CU622" s="83"/>
      <c r="CV622" s="83"/>
      <c r="CW622" s="83"/>
      <c r="CX622" s="83"/>
      <c r="CY622" s="83"/>
      <c r="CZ622" s="83"/>
      <c r="DA622" s="83"/>
      <c r="DB622" s="83"/>
      <c r="DC622" s="83"/>
    </row>
    <row r="623" spans="1:107" x14ac:dyDescent="0.3">
      <c r="A623" s="83"/>
      <c r="B623" s="83"/>
      <c r="C623" s="83"/>
      <c r="D623" s="83"/>
      <c r="E623" s="83"/>
      <c r="F623" s="83"/>
      <c r="G623" s="83"/>
      <c r="H623" s="83"/>
      <c r="I623" s="83"/>
      <c r="J623" s="83"/>
      <c r="K623" s="83"/>
      <c r="L623" s="83"/>
      <c r="M623" s="83"/>
      <c r="N623" s="83"/>
      <c r="O623" s="83"/>
      <c r="P623" s="83"/>
      <c r="Q623" s="83"/>
      <c r="R623" s="83"/>
      <c r="S623" s="83"/>
      <c r="T623" s="83"/>
      <c r="U623" s="83"/>
      <c r="V623" s="83"/>
      <c r="W623" s="83"/>
      <c r="X623" s="83"/>
      <c r="Y623" s="83"/>
      <c r="Z623" s="83"/>
      <c r="AA623" s="83"/>
      <c r="AB623" s="83"/>
      <c r="AC623" s="83"/>
      <c r="AD623" s="83"/>
      <c r="AE623" s="83"/>
      <c r="AF623" s="83"/>
      <c r="AG623" s="83"/>
      <c r="AH623" s="83"/>
      <c r="AI623" s="83"/>
      <c r="AJ623" s="83"/>
      <c r="AK623" s="83"/>
      <c r="AL623" s="83"/>
      <c r="AM623" s="83"/>
      <c r="AN623" s="83"/>
      <c r="AO623" s="83"/>
      <c r="AP623" s="83"/>
      <c r="AQ623" s="83"/>
      <c r="AR623" s="83"/>
      <c r="AS623" s="83"/>
      <c r="AT623" s="83"/>
      <c r="AU623" s="83"/>
      <c r="AV623" s="83"/>
      <c r="AW623" s="83"/>
      <c r="AX623" s="83"/>
      <c r="AY623" s="83"/>
      <c r="AZ623" s="83"/>
      <c r="BA623" s="83"/>
      <c r="BB623" s="83"/>
      <c r="BC623" s="83"/>
      <c r="BD623" s="83"/>
      <c r="BE623" s="83"/>
      <c r="BF623" s="83"/>
      <c r="BG623" s="83"/>
      <c r="BH623" s="83"/>
      <c r="BI623" s="83"/>
      <c r="BJ623" s="83"/>
      <c r="BK623" s="83"/>
      <c r="BL623" s="83"/>
      <c r="BM623" s="83"/>
      <c r="BN623" s="83"/>
      <c r="BO623" s="83"/>
      <c r="BP623" s="83"/>
      <c r="BQ623" s="83"/>
      <c r="BR623" s="83"/>
      <c r="BS623" s="83"/>
      <c r="BT623" s="83"/>
      <c r="BU623" s="83"/>
      <c r="BV623" s="83"/>
      <c r="BW623" s="83"/>
      <c r="BX623" s="83"/>
      <c r="BY623" s="83"/>
      <c r="BZ623" s="83"/>
      <c r="CA623" s="83"/>
      <c r="CB623" s="83"/>
      <c r="CC623" s="83"/>
      <c r="CD623" s="83"/>
      <c r="CE623" s="83"/>
      <c r="CF623" s="83"/>
      <c r="CG623" s="83"/>
      <c r="CH623" s="83"/>
      <c r="CI623" s="83"/>
      <c r="CJ623" s="83"/>
      <c r="CK623" s="83"/>
      <c r="CL623" s="83"/>
      <c r="CM623" s="83"/>
      <c r="CN623" s="83"/>
      <c r="CO623" s="83"/>
      <c r="CP623" s="83"/>
      <c r="CQ623" s="83"/>
      <c r="CR623" s="83"/>
      <c r="CS623" s="83"/>
      <c r="CT623" s="83"/>
      <c r="CU623" s="83"/>
      <c r="CV623" s="83"/>
      <c r="CW623" s="83"/>
      <c r="CX623" s="83"/>
      <c r="CY623" s="83"/>
      <c r="CZ623" s="83"/>
      <c r="DA623" s="83"/>
      <c r="DB623" s="83"/>
      <c r="DC623" s="83"/>
    </row>
    <row r="624" spans="1:107" x14ac:dyDescent="0.3">
      <c r="A624" s="83"/>
      <c r="B624" s="83"/>
      <c r="C624" s="83"/>
      <c r="D624" s="83"/>
      <c r="E624" s="83"/>
      <c r="F624" s="83"/>
      <c r="G624" s="83"/>
      <c r="H624" s="83"/>
      <c r="I624" s="83"/>
      <c r="J624" s="83"/>
      <c r="K624" s="83"/>
      <c r="L624" s="83"/>
      <c r="M624" s="83"/>
      <c r="N624" s="83"/>
      <c r="O624" s="83"/>
      <c r="P624" s="83"/>
      <c r="Q624" s="83"/>
      <c r="R624" s="83"/>
      <c r="S624" s="83"/>
      <c r="T624" s="83"/>
      <c r="U624" s="83"/>
      <c r="V624" s="83"/>
      <c r="W624" s="83"/>
      <c r="X624" s="83"/>
      <c r="Y624" s="83"/>
      <c r="Z624" s="83"/>
      <c r="AA624" s="83"/>
      <c r="AB624" s="83"/>
      <c r="AC624" s="83"/>
      <c r="AD624" s="83"/>
      <c r="AE624" s="83"/>
      <c r="AF624" s="83"/>
      <c r="AG624" s="83"/>
      <c r="AH624" s="83"/>
      <c r="AI624" s="83"/>
      <c r="AJ624" s="83"/>
      <c r="AK624" s="83"/>
      <c r="AL624" s="83"/>
      <c r="AM624" s="83"/>
      <c r="AN624" s="83"/>
      <c r="AO624" s="83"/>
      <c r="AP624" s="83"/>
      <c r="AQ624" s="83"/>
      <c r="AR624" s="83"/>
      <c r="AS624" s="83"/>
      <c r="AT624" s="83"/>
      <c r="AU624" s="83"/>
      <c r="AV624" s="83"/>
      <c r="AW624" s="83"/>
      <c r="AX624" s="83"/>
      <c r="AY624" s="83"/>
      <c r="AZ624" s="83"/>
      <c r="BA624" s="83"/>
      <c r="BB624" s="83"/>
      <c r="BC624" s="83"/>
      <c r="BD624" s="83"/>
      <c r="BE624" s="83"/>
      <c r="BF624" s="83"/>
      <c r="BG624" s="83"/>
      <c r="BH624" s="83"/>
      <c r="BI624" s="83"/>
      <c r="BJ624" s="83"/>
      <c r="BK624" s="83"/>
      <c r="BL624" s="83"/>
      <c r="BM624" s="83"/>
      <c r="BN624" s="83"/>
      <c r="BO624" s="83"/>
      <c r="BP624" s="83"/>
      <c r="BQ624" s="83"/>
      <c r="BR624" s="83"/>
      <c r="BS624" s="83"/>
      <c r="BT624" s="83"/>
      <c r="BU624" s="83"/>
      <c r="BV624" s="83"/>
      <c r="BW624" s="83"/>
      <c r="BX624" s="83"/>
      <c r="BY624" s="83"/>
      <c r="BZ624" s="83"/>
      <c r="CA624" s="83"/>
      <c r="CB624" s="83"/>
      <c r="CC624" s="83"/>
      <c r="CD624" s="83"/>
      <c r="CE624" s="83"/>
      <c r="CF624" s="83"/>
      <c r="CG624" s="83"/>
      <c r="CH624" s="83"/>
      <c r="CI624" s="83"/>
      <c r="CJ624" s="83"/>
      <c r="CK624" s="83"/>
      <c r="CL624" s="83"/>
      <c r="CM624" s="83"/>
      <c r="CN624" s="83"/>
      <c r="CO624" s="83"/>
      <c r="CP624" s="83"/>
      <c r="CQ624" s="83"/>
      <c r="CR624" s="83"/>
      <c r="CS624" s="83"/>
      <c r="CT624" s="83"/>
      <c r="CU624" s="83"/>
      <c r="CV624" s="83"/>
      <c r="CW624" s="83"/>
      <c r="CX624" s="83"/>
      <c r="CY624" s="83"/>
      <c r="CZ624" s="83"/>
      <c r="DA624" s="83"/>
      <c r="DB624" s="83"/>
      <c r="DC624" s="83"/>
    </row>
    <row r="625" spans="1:107" x14ac:dyDescent="0.3">
      <c r="A625" s="83"/>
      <c r="B625" s="83"/>
      <c r="C625" s="83"/>
      <c r="D625" s="83"/>
      <c r="E625" s="83"/>
      <c r="F625" s="83"/>
      <c r="G625" s="83"/>
      <c r="H625" s="83"/>
      <c r="I625" s="83"/>
      <c r="J625" s="83"/>
      <c r="K625" s="83"/>
      <c r="L625" s="83"/>
      <c r="M625" s="83"/>
      <c r="N625" s="83"/>
      <c r="O625" s="83"/>
      <c r="P625" s="83"/>
      <c r="Q625" s="83"/>
      <c r="R625" s="83"/>
      <c r="S625" s="83"/>
      <c r="T625" s="83"/>
      <c r="U625" s="83"/>
      <c r="V625" s="83"/>
      <c r="W625" s="83"/>
      <c r="X625" s="83"/>
      <c r="Y625" s="83"/>
      <c r="Z625" s="83"/>
      <c r="AA625" s="83"/>
      <c r="AB625" s="83"/>
      <c r="AC625" s="83"/>
      <c r="AD625" s="83"/>
      <c r="AE625" s="83"/>
      <c r="AF625" s="83"/>
      <c r="AG625" s="83"/>
      <c r="AH625" s="83"/>
      <c r="AI625" s="83"/>
      <c r="AJ625" s="83"/>
      <c r="AK625" s="83"/>
      <c r="AL625" s="83"/>
      <c r="AM625" s="83"/>
      <c r="AN625" s="83"/>
      <c r="AO625" s="83"/>
      <c r="AP625" s="83"/>
      <c r="AQ625" s="83"/>
      <c r="AR625" s="83"/>
      <c r="AS625" s="83"/>
      <c r="AT625" s="83"/>
      <c r="AU625" s="83"/>
      <c r="AV625" s="83"/>
      <c r="AW625" s="83"/>
      <c r="AX625" s="83"/>
      <c r="AY625" s="83"/>
      <c r="AZ625" s="83"/>
      <c r="BA625" s="83"/>
      <c r="BB625" s="83"/>
      <c r="BC625" s="83"/>
      <c r="BD625" s="83"/>
      <c r="BE625" s="83"/>
      <c r="BF625" s="83"/>
      <c r="BG625" s="83"/>
      <c r="BH625" s="83"/>
      <c r="BI625" s="83"/>
      <c r="BJ625" s="83"/>
      <c r="BK625" s="83"/>
      <c r="BL625" s="83"/>
      <c r="BM625" s="83"/>
      <c r="BN625" s="83"/>
      <c r="BO625" s="83"/>
      <c r="BP625" s="83"/>
      <c r="BQ625" s="83"/>
      <c r="BR625" s="83"/>
      <c r="BS625" s="83"/>
      <c r="BT625" s="83"/>
      <c r="BU625" s="83"/>
      <c r="BV625" s="83"/>
      <c r="BW625" s="83"/>
      <c r="BX625" s="83"/>
      <c r="BY625" s="83"/>
      <c r="BZ625" s="83"/>
      <c r="CA625" s="83"/>
      <c r="CB625" s="83"/>
      <c r="CC625" s="83"/>
      <c r="CD625" s="83"/>
      <c r="CE625" s="83"/>
      <c r="CF625" s="83"/>
      <c r="CG625" s="83"/>
      <c r="CH625" s="83"/>
      <c r="CI625" s="83"/>
      <c r="CJ625" s="83"/>
      <c r="CK625" s="83"/>
      <c r="CL625" s="83"/>
      <c r="CM625" s="83"/>
      <c r="CN625" s="83"/>
      <c r="CO625" s="83"/>
      <c r="CP625" s="83"/>
      <c r="CQ625" s="83"/>
      <c r="CR625" s="83"/>
      <c r="CS625" s="83"/>
      <c r="CT625" s="83"/>
      <c r="CU625" s="83"/>
      <c r="CV625" s="83"/>
      <c r="CW625" s="83"/>
      <c r="CX625" s="83"/>
      <c r="CY625" s="83"/>
      <c r="CZ625" s="83"/>
      <c r="DA625" s="83"/>
      <c r="DB625" s="83"/>
      <c r="DC625" s="83"/>
    </row>
    <row r="626" spans="1:107" x14ac:dyDescent="0.3">
      <c r="A626" s="83"/>
      <c r="B626" s="83"/>
      <c r="C626" s="83"/>
      <c r="D626" s="83"/>
      <c r="E626" s="83"/>
      <c r="F626" s="83"/>
      <c r="G626" s="83"/>
      <c r="H626" s="83"/>
      <c r="I626" s="83"/>
      <c r="J626" s="83"/>
      <c r="K626" s="83"/>
      <c r="L626" s="83"/>
      <c r="M626" s="83"/>
      <c r="N626" s="83"/>
      <c r="O626" s="83"/>
      <c r="P626" s="83"/>
      <c r="Q626" s="83"/>
      <c r="R626" s="83"/>
      <c r="S626" s="83"/>
      <c r="T626" s="83"/>
      <c r="U626" s="83"/>
      <c r="V626" s="83"/>
      <c r="W626" s="83"/>
      <c r="X626" s="83"/>
      <c r="Y626" s="83"/>
      <c r="Z626" s="83"/>
      <c r="AA626" s="83"/>
      <c r="AB626" s="83"/>
      <c r="AC626" s="83"/>
      <c r="AD626" s="83"/>
      <c r="AE626" s="83"/>
      <c r="AF626" s="83"/>
      <c r="AG626" s="83"/>
      <c r="AH626" s="83"/>
      <c r="AI626" s="83"/>
      <c r="AJ626" s="83"/>
      <c r="AK626" s="83"/>
      <c r="AL626" s="83"/>
      <c r="AM626" s="83"/>
      <c r="AN626" s="83"/>
      <c r="AO626" s="83"/>
      <c r="AP626" s="83"/>
      <c r="AQ626" s="83"/>
      <c r="AR626" s="83"/>
      <c r="AS626" s="83"/>
      <c r="AT626" s="83"/>
      <c r="AU626" s="83"/>
      <c r="AV626" s="83"/>
      <c r="AW626" s="83"/>
      <c r="AX626" s="83"/>
      <c r="AY626" s="83"/>
      <c r="AZ626" s="83"/>
      <c r="BA626" s="83"/>
      <c r="BB626" s="83"/>
      <c r="BC626" s="83"/>
      <c r="BD626" s="83"/>
      <c r="BE626" s="83"/>
      <c r="BF626" s="83"/>
      <c r="BG626" s="83"/>
      <c r="BH626" s="83"/>
      <c r="BI626" s="83"/>
      <c r="BJ626" s="83"/>
      <c r="BK626" s="83"/>
      <c r="BL626" s="83"/>
      <c r="BM626" s="83"/>
      <c r="BN626" s="83"/>
      <c r="BO626" s="83"/>
      <c r="BP626" s="83"/>
      <c r="BQ626" s="83"/>
      <c r="BR626" s="83"/>
      <c r="BS626" s="83"/>
      <c r="BT626" s="83"/>
      <c r="BU626" s="83"/>
      <c r="BV626" s="83"/>
      <c r="BW626" s="83"/>
      <c r="BX626" s="83"/>
      <c r="BY626" s="83"/>
      <c r="BZ626" s="83"/>
      <c r="CA626" s="83"/>
      <c r="CB626" s="83"/>
      <c r="CC626" s="83"/>
      <c r="CD626" s="83"/>
      <c r="CE626" s="83"/>
      <c r="CF626" s="83"/>
      <c r="CG626" s="83"/>
      <c r="CH626" s="83"/>
      <c r="CI626" s="83"/>
      <c r="CJ626" s="83"/>
      <c r="CK626" s="83"/>
      <c r="CL626" s="83"/>
      <c r="CM626" s="83"/>
      <c r="CN626" s="83"/>
      <c r="CO626" s="83"/>
      <c r="CP626" s="83"/>
      <c r="CQ626" s="83"/>
      <c r="CR626" s="83"/>
      <c r="CS626" s="83"/>
      <c r="CT626" s="83"/>
      <c r="CU626" s="83"/>
      <c r="CV626" s="83"/>
      <c r="CW626" s="83"/>
      <c r="CX626" s="83"/>
      <c r="CY626" s="83"/>
      <c r="CZ626" s="83"/>
      <c r="DA626" s="83"/>
      <c r="DB626" s="83"/>
      <c r="DC626" s="83"/>
    </row>
    <row r="627" spans="1:107" x14ac:dyDescent="0.3">
      <c r="A627" s="83"/>
      <c r="B627" s="83"/>
      <c r="C627" s="83"/>
      <c r="D627" s="83"/>
      <c r="E627" s="83"/>
      <c r="F627" s="83"/>
      <c r="G627" s="83"/>
      <c r="H627" s="83"/>
      <c r="I627" s="83"/>
      <c r="J627" s="83"/>
      <c r="K627" s="83"/>
      <c r="L627" s="83"/>
      <c r="M627" s="83"/>
      <c r="N627" s="83"/>
      <c r="O627" s="83"/>
      <c r="P627" s="83"/>
      <c r="Q627" s="83"/>
      <c r="R627" s="83"/>
      <c r="S627" s="83"/>
      <c r="T627" s="83"/>
      <c r="U627" s="83"/>
      <c r="V627" s="83"/>
      <c r="W627" s="83"/>
      <c r="X627" s="83"/>
      <c r="Y627" s="83"/>
      <c r="Z627" s="83"/>
      <c r="AA627" s="83"/>
      <c r="AB627" s="83"/>
      <c r="AC627" s="83"/>
      <c r="AD627" s="83"/>
      <c r="AE627" s="83"/>
      <c r="AF627" s="83"/>
      <c r="AG627" s="83"/>
      <c r="AH627" s="83"/>
      <c r="AI627" s="83"/>
      <c r="AJ627" s="83"/>
      <c r="AK627" s="83"/>
      <c r="AL627" s="83"/>
      <c r="AM627" s="83"/>
      <c r="AN627" s="83"/>
      <c r="AO627" s="83"/>
      <c r="AP627" s="83"/>
      <c r="AQ627" s="83"/>
      <c r="AR627" s="83"/>
      <c r="AS627" s="83"/>
      <c r="AT627" s="83"/>
      <c r="AU627" s="83"/>
      <c r="AV627" s="83"/>
      <c r="AW627" s="83"/>
      <c r="AX627" s="83"/>
      <c r="AY627" s="83"/>
      <c r="AZ627" s="83"/>
      <c r="BA627" s="83"/>
      <c r="BB627" s="83"/>
      <c r="BC627" s="83"/>
      <c r="BD627" s="83"/>
      <c r="BE627" s="83"/>
      <c r="BF627" s="83"/>
      <c r="BG627" s="83"/>
      <c r="BH627" s="83"/>
      <c r="BI627" s="83"/>
      <c r="BJ627" s="83"/>
      <c r="BK627" s="83"/>
      <c r="BL627" s="83"/>
      <c r="BM627" s="83"/>
      <c r="BN627" s="83"/>
      <c r="BO627" s="83"/>
      <c r="BP627" s="83"/>
      <c r="BQ627" s="83"/>
      <c r="BR627" s="83"/>
      <c r="BS627" s="83"/>
      <c r="BT627" s="83"/>
      <c r="BU627" s="83"/>
      <c r="BV627" s="83"/>
      <c r="BW627" s="83"/>
      <c r="BX627" s="83"/>
      <c r="BY627" s="83"/>
      <c r="BZ627" s="83"/>
      <c r="CA627" s="83"/>
      <c r="CB627" s="83"/>
      <c r="CC627" s="83"/>
      <c r="CD627" s="83"/>
      <c r="CE627" s="83"/>
      <c r="CF627" s="83"/>
      <c r="CG627" s="83"/>
      <c r="CH627" s="83"/>
      <c r="CI627" s="83"/>
      <c r="CJ627" s="83"/>
      <c r="CK627" s="83"/>
      <c r="CL627" s="83"/>
      <c r="CM627" s="83"/>
      <c r="CN627" s="83"/>
      <c r="CO627" s="83"/>
      <c r="CP627" s="83"/>
      <c r="CQ627" s="83"/>
      <c r="CR627" s="83"/>
      <c r="CS627" s="83"/>
      <c r="CT627" s="83"/>
      <c r="CU627" s="83"/>
      <c r="CV627" s="83"/>
      <c r="CW627" s="83"/>
      <c r="CX627" s="83"/>
      <c r="CY627" s="83"/>
      <c r="CZ627" s="83"/>
      <c r="DA627" s="83"/>
      <c r="DB627" s="83"/>
      <c r="DC627" s="83"/>
    </row>
    <row r="628" spans="1:107" x14ac:dyDescent="0.3">
      <c r="A628" s="83"/>
      <c r="B628" s="83"/>
      <c r="C628" s="83"/>
      <c r="D628" s="83"/>
      <c r="E628" s="83"/>
      <c r="F628" s="83"/>
      <c r="G628" s="83"/>
      <c r="H628" s="83"/>
      <c r="I628" s="83"/>
      <c r="J628" s="83"/>
      <c r="K628" s="83"/>
      <c r="L628" s="83"/>
      <c r="M628" s="83"/>
      <c r="N628" s="83"/>
      <c r="O628" s="83"/>
      <c r="P628" s="83"/>
      <c r="Q628" s="83"/>
      <c r="R628" s="83"/>
      <c r="S628" s="83"/>
      <c r="T628" s="83"/>
      <c r="U628" s="83"/>
      <c r="V628" s="83"/>
      <c r="W628" s="83"/>
      <c r="X628" s="83"/>
      <c r="Y628" s="83"/>
      <c r="Z628" s="83"/>
      <c r="AA628" s="83"/>
      <c r="AB628" s="83"/>
      <c r="AC628" s="83"/>
      <c r="AD628" s="83"/>
      <c r="AE628" s="83"/>
      <c r="AF628" s="83"/>
      <c r="AG628" s="83"/>
      <c r="AH628" s="83"/>
      <c r="AI628" s="83"/>
      <c r="AJ628" s="83"/>
      <c r="AK628" s="83"/>
      <c r="AL628" s="83"/>
      <c r="AM628" s="83"/>
      <c r="AN628" s="83"/>
      <c r="AO628" s="83"/>
      <c r="AP628" s="83"/>
      <c r="AQ628" s="83"/>
      <c r="AR628" s="83"/>
      <c r="AS628" s="83"/>
      <c r="AT628" s="83"/>
      <c r="AU628" s="83"/>
      <c r="AV628" s="83"/>
      <c r="AW628" s="83"/>
      <c r="AX628" s="83"/>
      <c r="AY628" s="83"/>
      <c r="AZ628" s="83"/>
      <c r="BA628" s="83"/>
      <c r="BB628" s="83"/>
      <c r="BC628" s="83"/>
      <c r="BD628" s="83"/>
      <c r="BE628" s="83"/>
      <c r="BF628" s="83"/>
      <c r="BG628" s="83"/>
      <c r="BH628" s="83"/>
      <c r="BI628" s="83"/>
      <c r="BJ628" s="83"/>
      <c r="BK628" s="83"/>
      <c r="BL628" s="83"/>
      <c r="BM628" s="83"/>
      <c r="BN628" s="83"/>
      <c r="BO628" s="83"/>
      <c r="BP628" s="83"/>
      <c r="BQ628" s="83"/>
      <c r="BR628" s="83"/>
      <c r="BS628" s="83"/>
      <c r="BT628" s="83"/>
      <c r="BU628" s="83"/>
      <c r="BV628" s="83"/>
      <c r="BW628" s="83"/>
      <c r="BX628" s="83"/>
      <c r="BY628" s="83"/>
      <c r="BZ628" s="83"/>
      <c r="CA628" s="83"/>
      <c r="CB628" s="83"/>
      <c r="CC628" s="83"/>
      <c r="CD628" s="83"/>
      <c r="CE628" s="83"/>
      <c r="CF628" s="83"/>
      <c r="CG628" s="83"/>
      <c r="CH628" s="83"/>
      <c r="CI628" s="83"/>
      <c r="CJ628" s="83"/>
      <c r="CK628" s="83"/>
      <c r="CL628" s="83"/>
      <c r="CM628" s="83"/>
      <c r="CN628" s="83"/>
      <c r="CO628" s="83"/>
      <c r="CP628" s="83"/>
      <c r="CQ628" s="83"/>
      <c r="CR628" s="83"/>
      <c r="CS628" s="83"/>
      <c r="CT628" s="83"/>
      <c r="CU628" s="83"/>
      <c r="CV628" s="83"/>
      <c r="CW628" s="83"/>
      <c r="CX628" s="83"/>
      <c r="CY628" s="83"/>
      <c r="CZ628" s="83"/>
      <c r="DA628" s="83"/>
      <c r="DB628" s="83"/>
      <c r="DC628" s="83"/>
    </row>
    <row r="629" spans="1:107" x14ac:dyDescent="0.3">
      <c r="A629" s="83"/>
      <c r="B629" s="83"/>
      <c r="C629" s="83"/>
      <c r="D629" s="83"/>
      <c r="E629" s="83"/>
      <c r="F629" s="83"/>
      <c r="G629" s="83"/>
      <c r="H629" s="83"/>
      <c r="I629" s="83"/>
      <c r="J629" s="83"/>
      <c r="K629" s="83"/>
      <c r="L629" s="83"/>
      <c r="M629" s="83"/>
      <c r="N629" s="83"/>
      <c r="O629" s="83"/>
      <c r="P629" s="83"/>
      <c r="Q629" s="83"/>
      <c r="R629" s="83"/>
      <c r="S629" s="83"/>
      <c r="T629" s="83"/>
      <c r="U629" s="83"/>
      <c r="V629" s="83"/>
      <c r="W629" s="83"/>
      <c r="X629" s="83"/>
      <c r="Y629" s="83"/>
      <c r="Z629" s="83"/>
      <c r="AA629" s="83"/>
      <c r="AB629" s="83"/>
      <c r="AC629" s="83"/>
      <c r="AD629" s="83"/>
      <c r="AE629" s="83"/>
      <c r="AF629" s="83"/>
      <c r="AG629" s="83"/>
      <c r="AH629" s="83"/>
      <c r="AI629" s="83"/>
      <c r="AJ629" s="83"/>
      <c r="AK629" s="83"/>
      <c r="AL629" s="83"/>
      <c r="AM629" s="83"/>
      <c r="AN629" s="83"/>
      <c r="AO629" s="83"/>
      <c r="AP629" s="83"/>
      <c r="AQ629" s="83"/>
      <c r="AR629" s="83"/>
      <c r="AS629" s="83"/>
      <c r="AT629" s="83"/>
      <c r="AU629" s="83"/>
      <c r="AV629" s="83"/>
      <c r="AW629" s="83"/>
      <c r="AX629" s="83"/>
      <c r="AY629" s="83"/>
      <c r="AZ629" s="83"/>
      <c r="BA629" s="83"/>
      <c r="BB629" s="83"/>
      <c r="BC629" s="83"/>
      <c r="BD629" s="83"/>
      <c r="BE629" s="83"/>
      <c r="BF629" s="83"/>
      <c r="BG629" s="83"/>
      <c r="BH629" s="83"/>
      <c r="BI629" s="83"/>
      <c r="BJ629" s="83"/>
      <c r="BK629" s="83"/>
      <c r="BL629" s="83"/>
      <c r="BM629" s="83"/>
      <c r="BN629" s="83"/>
      <c r="BO629" s="83"/>
      <c r="BP629" s="83"/>
      <c r="BQ629" s="83"/>
      <c r="BR629" s="83"/>
      <c r="BS629" s="83"/>
      <c r="BT629" s="83"/>
      <c r="BU629" s="83"/>
      <c r="BV629" s="83"/>
      <c r="BW629" s="83"/>
      <c r="BX629" s="83"/>
      <c r="BY629" s="83"/>
      <c r="BZ629" s="83"/>
      <c r="CA629" s="83"/>
      <c r="CB629" s="83"/>
      <c r="CC629" s="83"/>
      <c r="CD629" s="83"/>
      <c r="CE629" s="83"/>
      <c r="CF629" s="83"/>
      <c r="CG629" s="83"/>
      <c r="CH629" s="83"/>
      <c r="CI629" s="83"/>
      <c r="CJ629" s="83"/>
      <c r="CK629" s="83"/>
      <c r="CL629" s="83"/>
      <c r="CM629" s="83"/>
      <c r="CN629" s="83"/>
      <c r="CO629" s="83"/>
      <c r="CP629" s="83"/>
      <c r="CQ629" s="83"/>
      <c r="CR629" s="83"/>
      <c r="CS629" s="83"/>
      <c r="CT629" s="83"/>
      <c r="CU629" s="83"/>
      <c r="CV629" s="83"/>
      <c r="CW629" s="83"/>
      <c r="CX629" s="83"/>
      <c r="CY629" s="83"/>
      <c r="CZ629" s="83"/>
      <c r="DA629" s="83"/>
      <c r="DB629" s="83"/>
      <c r="DC629" s="83"/>
    </row>
    <row r="630" spans="1:107" x14ac:dyDescent="0.3">
      <c r="A630" s="83"/>
      <c r="B630" s="83"/>
      <c r="C630" s="83"/>
      <c r="D630" s="83"/>
      <c r="E630" s="83"/>
      <c r="F630" s="83"/>
      <c r="G630" s="83"/>
      <c r="H630" s="83"/>
      <c r="I630" s="83"/>
      <c r="J630" s="83"/>
      <c r="K630" s="83"/>
      <c r="L630" s="83"/>
      <c r="M630" s="83"/>
      <c r="N630" s="83"/>
      <c r="O630" s="83"/>
      <c r="P630" s="83"/>
      <c r="Q630" s="83"/>
      <c r="R630" s="83"/>
      <c r="S630" s="83"/>
      <c r="T630" s="83"/>
      <c r="U630" s="83"/>
      <c r="V630" s="83"/>
      <c r="W630" s="83"/>
      <c r="X630" s="83"/>
      <c r="Y630" s="83"/>
      <c r="Z630" s="83"/>
      <c r="AA630" s="83"/>
      <c r="AB630" s="83"/>
      <c r="AC630" s="83"/>
      <c r="AD630" s="83"/>
      <c r="AE630" s="83"/>
      <c r="AF630" s="83"/>
      <c r="AG630" s="83"/>
      <c r="AH630" s="83"/>
      <c r="AI630" s="83"/>
      <c r="AJ630" s="83"/>
      <c r="AK630" s="83"/>
      <c r="AL630" s="83"/>
      <c r="AM630" s="83"/>
      <c r="AN630" s="83"/>
      <c r="AO630" s="83"/>
      <c r="AP630" s="83"/>
      <c r="AQ630" s="83"/>
      <c r="AR630" s="83"/>
      <c r="AS630" s="83"/>
      <c r="AT630" s="83"/>
      <c r="AU630" s="83"/>
      <c r="AV630" s="83"/>
      <c r="AW630" s="83"/>
      <c r="AX630" s="83"/>
      <c r="AY630" s="83"/>
      <c r="AZ630" s="83"/>
      <c r="BA630" s="83"/>
      <c r="BB630" s="83"/>
      <c r="BC630" s="83"/>
      <c r="BD630" s="83"/>
      <c r="BE630" s="83"/>
      <c r="BF630" s="83"/>
      <c r="BG630" s="83"/>
      <c r="BH630" s="83"/>
      <c r="BI630" s="83"/>
      <c r="BJ630" s="83"/>
      <c r="BK630" s="83"/>
      <c r="BL630" s="83"/>
      <c r="BM630" s="83"/>
      <c r="BN630" s="83"/>
      <c r="BO630" s="83"/>
      <c r="BP630" s="83"/>
      <c r="BQ630" s="83"/>
      <c r="BR630" s="83"/>
      <c r="BS630" s="83"/>
      <c r="BT630" s="83"/>
      <c r="BU630" s="83"/>
      <c r="BV630" s="83"/>
      <c r="BW630" s="83"/>
      <c r="BX630" s="83"/>
      <c r="BY630" s="83"/>
      <c r="BZ630" s="83"/>
      <c r="CA630" s="83"/>
      <c r="CB630" s="83"/>
      <c r="CC630" s="83"/>
      <c r="CD630" s="83"/>
      <c r="CE630" s="83"/>
      <c r="CF630" s="83"/>
      <c r="CG630" s="83"/>
      <c r="CH630" s="83"/>
      <c r="CI630" s="83"/>
      <c r="CJ630" s="83"/>
      <c r="CK630" s="83"/>
      <c r="CL630" s="83"/>
      <c r="CM630" s="83"/>
      <c r="CN630" s="83"/>
      <c r="CO630" s="83"/>
      <c r="CP630" s="83"/>
      <c r="CQ630" s="83"/>
      <c r="CR630" s="83"/>
      <c r="CS630" s="83"/>
      <c r="CT630" s="83"/>
      <c r="CU630" s="83"/>
      <c r="CV630" s="83"/>
      <c r="CW630" s="83"/>
      <c r="CX630" s="83"/>
      <c r="CY630" s="83"/>
      <c r="CZ630" s="83"/>
      <c r="DA630" s="83"/>
      <c r="DB630" s="83"/>
      <c r="DC630" s="83"/>
    </row>
    <row r="631" spans="1:107" x14ac:dyDescent="0.3">
      <c r="A631" s="83"/>
      <c r="B631" s="83"/>
      <c r="C631" s="83"/>
      <c r="D631" s="83"/>
      <c r="E631" s="83"/>
      <c r="F631" s="83"/>
      <c r="G631" s="83"/>
      <c r="H631" s="83"/>
      <c r="I631" s="83"/>
      <c r="J631" s="83"/>
      <c r="K631" s="83"/>
      <c r="L631" s="83"/>
      <c r="M631" s="83"/>
      <c r="N631" s="83"/>
      <c r="O631" s="83"/>
      <c r="P631" s="83"/>
      <c r="Q631" s="83"/>
      <c r="R631" s="83"/>
      <c r="S631" s="83"/>
      <c r="T631" s="83"/>
      <c r="U631" s="83"/>
      <c r="V631" s="83"/>
      <c r="W631" s="83"/>
      <c r="X631" s="83"/>
      <c r="Y631" s="83"/>
      <c r="Z631" s="83"/>
      <c r="AA631" s="83"/>
      <c r="AB631" s="83"/>
      <c r="AC631" s="83"/>
      <c r="AD631" s="83"/>
      <c r="AE631" s="83"/>
      <c r="AF631" s="83"/>
      <c r="AG631" s="83"/>
      <c r="AH631" s="83"/>
      <c r="AI631" s="83"/>
      <c r="AJ631" s="83"/>
      <c r="AK631" s="83"/>
      <c r="AL631" s="83"/>
      <c r="AM631" s="83"/>
      <c r="AN631" s="83"/>
      <c r="AO631" s="83"/>
      <c r="AP631" s="83"/>
      <c r="AQ631" s="83"/>
      <c r="AR631" s="83"/>
      <c r="AS631" s="83"/>
      <c r="AT631" s="83"/>
      <c r="AU631" s="83"/>
      <c r="AV631" s="83"/>
      <c r="AW631" s="83"/>
      <c r="AX631" s="83"/>
      <c r="AY631" s="83"/>
      <c r="AZ631" s="83"/>
      <c r="BA631" s="83"/>
      <c r="BB631" s="83"/>
      <c r="BC631" s="83"/>
      <c r="BD631" s="83"/>
      <c r="BE631" s="83"/>
      <c r="BF631" s="83"/>
      <c r="BG631" s="83"/>
      <c r="BH631" s="83"/>
      <c r="BI631" s="83"/>
      <c r="BJ631" s="83"/>
      <c r="BK631" s="83"/>
      <c r="BL631" s="83"/>
      <c r="BM631" s="83"/>
      <c r="BN631" s="83"/>
      <c r="BO631" s="83"/>
      <c r="BP631" s="83"/>
      <c r="BQ631" s="83"/>
      <c r="BR631" s="83"/>
      <c r="BS631" s="83"/>
      <c r="BT631" s="83"/>
      <c r="BU631" s="83"/>
      <c r="BV631" s="83"/>
      <c r="BW631" s="83"/>
      <c r="BX631" s="83"/>
      <c r="BY631" s="83"/>
      <c r="BZ631" s="83"/>
      <c r="CA631" s="83"/>
      <c r="CB631" s="83"/>
      <c r="CC631" s="83"/>
      <c r="CD631" s="83"/>
      <c r="CE631" s="83"/>
      <c r="CF631" s="83"/>
      <c r="CG631" s="83"/>
      <c r="CH631" s="83"/>
      <c r="CI631" s="83"/>
      <c r="CJ631" s="83"/>
      <c r="CK631" s="83"/>
      <c r="CL631" s="83"/>
      <c r="CM631" s="83"/>
      <c r="CN631" s="83"/>
      <c r="CO631" s="83"/>
      <c r="CP631" s="83"/>
      <c r="CQ631" s="83"/>
      <c r="CR631" s="83"/>
      <c r="CS631" s="83"/>
      <c r="CT631" s="83"/>
      <c r="CU631" s="83"/>
      <c r="CV631" s="83"/>
      <c r="CW631" s="83"/>
      <c r="CX631" s="83"/>
      <c r="CY631" s="83"/>
      <c r="CZ631" s="83"/>
      <c r="DA631" s="83"/>
      <c r="DB631" s="83"/>
      <c r="DC631" s="83"/>
    </row>
    <row r="632" spans="1:107" x14ac:dyDescent="0.3">
      <c r="A632" s="83"/>
      <c r="B632" s="83"/>
      <c r="C632" s="83"/>
      <c r="D632" s="83"/>
      <c r="E632" s="83"/>
      <c r="F632" s="83"/>
      <c r="G632" s="83"/>
      <c r="H632" s="83"/>
      <c r="I632" s="83"/>
      <c r="J632" s="83"/>
      <c r="K632" s="83"/>
      <c r="L632" s="83"/>
      <c r="M632" s="83"/>
      <c r="N632" s="83"/>
      <c r="O632" s="83"/>
      <c r="P632" s="83"/>
      <c r="Q632" s="83"/>
      <c r="R632" s="83"/>
      <c r="S632" s="83"/>
      <c r="T632" s="83"/>
      <c r="U632" s="83"/>
      <c r="V632" s="83"/>
      <c r="W632" s="83"/>
      <c r="X632" s="83"/>
      <c r="Y632" s="83"/>
      <c r="Z632" s="83"/>
      <c r="AA632" s="83"/>
      <c r="AB632" s="83"/>
      <c r="AC632" s="83"/>
      <c r="AD632" s="83"/>
      <c r="AE632" s="83"/>
      <c r="AF632" s="83"/>
      <c r="AG632" s="83"/>
      <c r="AH632" s="83"/>
      <c r="AI632" s="83"/>
      <c r="AJ632" s="83"/>
      <c r="AK632" s="83"/>
      <c r="AL632" s="83"/>
      <c r="AM632" s="83"/>
      <c r="AN632" s="83"/>
      <c r="AO632" s="83"/>
      <c r="AP632" s="83"/>
      <c r="AQ632" s="83"/>
      <c r="AR632" s="83"/>
      <c r="AS632" s="83"/>
      <c r="AT632" s="83"/>
      <c r="AU632" s="83"/>
      <c r="AV632" s="83"/>
      <c r="AW632" s="83"/>
      <c r="AX632" s="83"/>
      <c r="AY632" s="83"/>
      <c r="AZ632" s="83"/>
      <c r="BA632" s="83"/>
      <c r="BB632" s="83"/>
      <c r="BC632" s="83"/>
      <c r="BD632" s="83"/>
      <c r="BE632" s="83"/>
      <c r="BF632" s="83"/>
      <c r="BG632" s="83"/>
      <c r="BH632" s="83"/>
      <c r="BI632" s="83"/>
      <c r="BJ632" s="83"/>
      <c r="BK632" s="83"/>
      <c r="BL632" s="83"/>
      <c r="BM632" s="83"/>
      <c r="BN632" s="83"/>
      <c r="BO632" s="83"/>
      <c r="BP632" s="83"/>
      <c r="BQ632" s="83"/>
      <c r="BR632" s="83"/>
      <c r="BS632" s="83"/>
      <c r="BT632" s="83"/>
      <c r="BU632" s="83"/>
      <c r="BV632" s="83"/>
      <c r="BW632" s="83"/>
      <c r="BX632" s="83"/>
      <c r="BY632" s="83"/>
      <c r="BZ632" s="83"/>
      <c r="CA632" s="83"/>
      <c r="CB632" s="83"/>
      <c r="CC632" s="83"/>
      <c r="CD632" s="83"/>
      <c r="CE632" s="83"/>
      <c r="CF632" s="83"/>
      <c r="CG632" s="83"/>
      <c r="CH632" s="83"/>
      <c r="CI632" s="83"/>
      <c r="CJ632" s="83"/>
      <c r="CK632" s="83"/>
      <c r="CL632" s="83"/>
      <c r="CM632" s="83"/>
      <c r="CN632" s="83"/>
      <c r="CO632" s="83"/>
      <c r="CP632" s="83"/>
      <c r="CQ632" s="83"/>
      <c r="CR632" s="83"/>
      <c r="CS632" s="83"/>
      <c r="CT632" s="83"/>
      <c r="CU632" s="83"/>
      <c r="CV632" s="83"/>
      <c r="CW632" s="83"/>
      <c r="CX632" s="83"/>
      <c r="CY632" s="83"/>
      <c r="CZ632" s="83"/>
      <c r="DA632" s="83"/>
      <c r="DB632" s="83"/>
      <c r="DC632" s="83"/>
    </row>
    <row r="633" spans="1:107" x14ac:dyDescent="0.3">
      <c r="A633" s="83"/>
      <c r="B633" s="83"/>
      <c r="C633" s="83"/>
      <c r="D633" s="83"/>
      <c r="E633" s="83"/>
      <c r="F633" s="83"/>
      <c r="G633" s="83"/>
      <c r="H633" s="83"/>
      <c r="I633" s="83"/>
      <c r="J633" s="83"/>
      <c r="K633" s="83"/>
      <c r="L633" s="83"/>
      <c r="M633" s="83"/>
      <c r="N633" s="83"/>
      <c r="O633" s="83"/>
      <c r="P633" s="83"/>
      <c r="Q633" s="83"/>
      <c r="R633" s="83"/>
      <c r="S633" s="83"/>
      <c r="T633" s="83"/>
      <c r="U633" s="83"/>
      <c r="V633" s="83"/>
      <c r="W633" s="83"/>
      <c r="X633" s="83"/>
      <c r="Y633" s="83"/>
      <c r="Z633" s="83"/>
      <c r="AA633" s="83"/>
      <c r="AB633" s="83"/>
      <c r="AC633" s="83"/>
      <c r="AD633" s="83"/>
      <c r="AE633" s="83"/>
      <c r="AF633" s="83"/>
      <c r="AG633" s="83"/>
      <c r="AH633" s="83"/>
      <c r="AI633" s="83"/>
      <c r="AJ633" s="83"/>
      <c r="AK633" s="83"/>
      <c r="AL633" s="83"/>
      <c r="AM633" s="83"/>
      <c r="AN633" s="83"/>
      <c r="AO633" s="83"/>
      <c r="AP633" s="83"/>
      <c r="AQ633" s="83"/>
      <c r="AR633" s="83"/>
      <c r="AS633" s="83"/>
      <c r="AT633" s="83"/>
      <c r="AU633" s="83"/>
      <c r="AV633" s="83"/>
      <c r="AW633" s="83"/>
      <c r="AX633" s="83"/>
      <c r="AY633" s="83"/>
      <c r="AZ633" s="83"/>
      <c r="BA633" s="83"/>
      <c r="BB633" s="83"/>
      <c r="BC633" s="83"/>
      <c r="BD633" s="83"/>
      <c r="BE633" s="83"/>
      <c r="BF633" s="83"/>
      <c r="BG633" s="83"/>
      <c r="BH633" s="83"/>
      <c r="BI633" s="83"/>
      <c r="BJ633" s="83"/>
      <c r="BK633" s="83"/>
      <c r="BL633" s="83"/>
      <c r="BM633" s="83"/>
      <c r="BN633" s="83"/>
      <c r="BO633" s="83"/>
      <c r="BP633" s="83"/>
      <c r="BQ633" s="83"/>
      <c r="BR633" s="83"/>
      <c r="BS633" s="83"/>
      <c r="BT633" s="83"/>
      <c r="BU633" s="83"/>
      <c r="BV633" s="83"/>
      <c r="BW633" s="83"/>
      <c r="BX633" s="83"/>
      <c r="BY633" s="83"/>
      <c r="BZ633" s="83"/>
      <c r="CA633" s="83"/>
      <c r="CB633" s="83"/>
      <c r="CC633" s="83"/>
      <c r="CD633" s="83"/>
      <c r="CE633" s="83"/>
      <c r="CF633" s="83"/>
      <c r="CG633" s="83"/>
      <c r="CH633" s="83"/>
      <c r="CI633" s="83"/>
      <c r="CJ633" s="83"/>
      <c r="CK633" s="83"/>
      <c r="CL633" s="83"/>
      <c r="CM633" s="83"/>
      <c r="CN633" s="83"/>
      <c r="CO633" s="83"/>
      <c r="CP633" s="83"/>
      <c r="CQ633" s="83"/>
      <c r="CR633" s="83"/>
      <c r="CS633" s="83"/>
      <c r="CT633" s="83"/>
      <c r="CU633" s="83"/>
      <c r="CV633" s="83"/>
      <c r="CW633" s="83"/>
      <c r="CX633" s="83"/>
      <c r="CY633" s="83"/>
      <c r="CZ633" s="83"/>
      <c r="DA633" s="83"/>
      <c r="DB633" s="83"/>
      <c r="DC633" s="83"/>
    </row>
    <row r="634" spans="1:107" x14ac:dyDescent="0.3">
      <c r="A634" s="83"/>
      <c r="B634" s="83"/>
      <c r="C634" s="83"/>
      <c r="D634" s="83"/>
      <c r="E634" s="83"/>
      <c r="F634" s="83"/>
      <c r="G634" s="83"/>
      <c r="H634" s="83"/>
      <c r="I634" s="83"/>
      <c r="J634" s="83"/>
      <c r="K634" s="83"/>
      <c r="L634" s="83"/>
      <c r="M634" s="83"/>
      <c r="N634" s="83"/>
      <c r="O634" s="83"/>
      <c r="P634" s="83"/>
      <c r="Q634" s="83"/>
      <c r="R634" s="83"/>
      <c r="S634" s="83"/>
      <c r="T634" s="83"/>
      <c r="U634" s="83"/>
      <c r="V634" s="83"/>
      <c r="W634" s="83"/>
      <c r="X634" s="83"/>
      <c r="Y634" s="83"/>
      <c r="Z634" s="83"/>
      <c r="AA634" s="83"/>
      <c r="AB634" s="83"/>
      <c r="AC634" s="83"/>
      <c r="AD634" s="83"/>
      <c r="AE634" s="83"/>
      <c r="AF634" s="83"/>
      <c r="AG634" s="83"/>
      <c r="AH634" s="83"/>
      <c r="AI634" s="83"/>
      <c r="AJ634" s="83"/>
      <c r="AK634" s="83"/>
      <c r="AL634" s="83"/>
      <c r="AM634" s="83"/>
      <c r="AN634" s="83"/>
      <c r="AO634" s="83"/>
      <c r="AP634" s="83"/>
      <c r="AQ634" s="83"/>
      <c r="AR634" s="83"/>
      <c r="AS634" s="83"/>
      <c r="AT634" s="83"/>
      <c r="AU634" s="83"/>
      <c r="AV634" s="83"/>
      <c r="AW634" s="83"/>
      <c r="AX634" s="83"/>
      <c r="AY634" s="83"/>
      <c r="AZ634" s="83"/>
      <c r="BA634" s="83"/>
      <c r="BB634" s="83"/>
      <c r="BC634" s="83"/>
      <c r="BD634" s="83"/>
      <c r="BE634" s="83"/>
      <c r="BF634" s="83"/>
      <c r="BG634" s="83"/>
      <c r="BH634" s="83"/>
      <c r="BI634" s="83"/>
      <c r="BJ634" s="83"/>
      <c r="BK634" s="83"/>
      <c r="BL634" s="83"/>
      <c r="BM634" s="83"/>
      <c r="BN634" s="83"/>
      <c r="BO634" s="83"/>
      <c r="BP634" s="83"/>
      <c r="BQ634" s="83"/>
      <c r="BR634" s="83"/>
      <c r="BS634" s="83"/>
      <c r="BT634" s="83"/>
      <c r="BU634" s="83"/>
      <c r="BV634" s="83"/>
      <c r="BW634" s="83"/>
      <c r="BX634" s="83"/>
      <c r="BY634" s="83"/>
      <c r="BZ634" s="83"/>
      <c r="CA634" s="83"/>
      <c r="CB634" s="83"/>
      <c r="CC634" s="83"/>
      <c r="CD634" s="83"/>
      <c r="CE634" s="83"/>
      <c r="CF634" s="83"/>
      <c r="CG634" s="83"/>
      <c r="CH634" s="83"/>
      <c r="CI634" s="83"/>
      <c r="CJ634" s="83"/>
      <c r="CK634" s="83"/>
      <c r="CL634" s="83"/>
      <c r="CM634" s="83"/>
      <c r="CN634" s="83"/>
      <c r="CO634" s="83"/>
      <c r="CP634" s="83"/>
      <c r="CQ634" s="83"/>
      <c r="CR634" s="83"/>
      <c r="CS634" s="83"/>
      <c r="CT634" s="83"/>
      <c r="CU634" s="83"/>
      <c r="CV634" s="83"/>
      <c r="CW634" s="83"/>
      <c r="CX634" s="83"/>
      <c r="CY634" s="83"/>
      <c r="CZ634" s="83"/>
      <c r="DA634" s="83"/>
      <c r="DB634" s="83"/>
      <c r="DC634" s="83"/>
    </row>
    <row r="635" spans="1:107" x14ac:dyDescent="0.3">
      <c r="A635" s="83"/>
      <c r="B635" s="83"/>
      <c r="C635" s="83"/>
      <c r="D635" s="83"/>
      <c r="E635" s="83"/>
      <c r="F635" s="83"/>
      <c r="G635" s="83"/>
      <c r="H635" s="83"/>
      <c r="I635" s="83"/>
      <c r="J635" s="83"/>
      <c r="K635" s="83"/>
      <c r="L635" s="83"/>
      <c r="M635" s="83"/>
      <c r="N635" s="83"/>
      <c r="O635" s="83"/>
      <c r="P635" s="83"/>
      <c r="Q635" s="83"/>
      <c r="R635" s="83"/>
      <c r="S635" s="83"/>
      <c r="T635" s="83"/>
      <c r="U635" s="83"/>
      <c r="V635" s="83"/>
      <c r="W635" s="83"/>
      <c r="X635" s="83"/>
      <c r="Y635" s="83"/>
      <c r="Z635" s="83"/>
      <c r="AA635" s="83"/>
      <c r="AB635" s="83"/>
      <c r="AC635" s="83"/>
      <c r="AD635" s="83"/>
      <c r="AE635" s="83"/>
      <c r="AF635" s="83"/>
      <c r="AG635" s="83"/>
      <c r="AH635" s="83"/>
      <c r="AI635" s="83"/>
      <c r="AJ635" s="83"/>
      <c r="AK635" s="83"/>
      <c r="AL635" s="83"/>
      <c r="AM635" s="83"/>
      <c r="AN635" s="83"/>
      <c r="AO635" s="83"/>
      <c r="AP635" s="83"/>
      <c r="AQ635" s="83"/>
      <c r="AR635" s="83"/>
      <c r="AS635" s="83"/>
      <c r="AT635" s="83"/>
      <c r="AU635" s="83"/>
      <c r="AV635" s="83"/>
      <c r="AW635" s="83"/>
      <c r="AX635" s="83"/>
      <c r="AY635" s="83"/>
      <c r="AZ635" s="83"/>
      <c r="BA635" s="83"/>
      <c r="BB635" s="83"/>
      <c r="BC635" s="83"/>
      <c r="BD635" s="83"/>
      <c r="BE635" s="83"/>
      <c r="BF635" s="83"/>
      <c r="BG635" s="83"/>
      <c r="BH635" s="83"/>
      <c r="BI635" s="83"/>
      <c r="BJ635" s="83"/>
      <c r="BK635" s="83"/>
      <c r="BL635" s="83"/>
      <c r="BM635" s="83"/>
      <c r="BN635" s="83"/>
      <c r="BO635" s="83"/>
      <c r="BP635" s="83"/>
      <c r="BQ635" s="83"/>
      <c r="BR635" s="83"/>
      <c r="BS635" s="83"/>
      <c r="BT635" s="83"/>
      <c r="BU635" s="83"/>
      <c r="BV635" s="83"/>
      <c r="BW635" s="83"/>
      <c r="BX635" s="83"/>
      <c r="BY635" s="83"/>
      <c r="BZ635" s="83"/>
      <c r="CA635" s="83"/>
      <c r="CB635" s="83"/>
      <c r="CC635" s="83"/>
      <c r="CD635" s="83"/>
      <c r="CE635" s="83"/>
      <c r="CF635" s="83"/>
      <c r="CG635" s="83"/>
      <c r="CH635" s="83"/>
      <c r="CI635" s="83"/>
      <c r="CJ635" s="83"/>
      <c r="CK635" s="83"/>
      <c r="CL635" s="83"/>
      <c r="CM635" s="83"/>
      <c r="CN635" s="83"/>
      <c r="CO635" s="83"/>
      <c r="CP635" s="83"/>
      <c r="CQ635" s="83"/>
      <c r="CR635" s="83"/>
      <c r="CS635" s="83"/>
      <c r="CT635" s="83"/>
      <c r="CU635" s="83"/>
      <c r="CV635" s="83"/>
      <c r="CW635" s="83"/>
      <c r="CX635" s="83"/>
      <c r="CY635" s="83"/>
      <c r="CZ635" s="83"/>
      <c r="DA635" s="83"/>
      <c r="DB635" s="83"/>
      <c r="DC635" s="83"/>
    </row>
    <row r="636" spans="1:107" x14ac:dyDescent="0.3">
      <c r="A636" s="83"/>
      <c r="B636" s="83"/>
      <c r="C636" s="83"/>
      <c r="D636" s="83"/>
      <c r="E636" s="83"/>
      <c r="F636" s="83"/>
      <c r="G636" s="83"/>
      <c r="H636" s="83"/>
      <c r="I636" s="83"/>
      <c r="J636" s="83"/>
      <c r="K636" s="83"/>
      <c r="L636" s="83"/>
      <c r="M636" s="83"/>
      <c r="N636" s="83"/>
      <c r="O636" s="83"/>
      <c r="P636" s="83"/>
      <c r="Q636" s="83"/>
      <c r="R636" s="83"/>
      <c r="S636" s="83"/>
      <c r="T636" s="83"/>
      <c r="U636" s="83"/>
      <c r="V636" s="83"/>
      <c r="W636" s="83"/>
      <c r="X636" s="83"/>
      <c r="Y636" s="83"/>
      <c r="Z636" s="83"/>
      <c r="AA636" s="83"/>
      <c r="AB636" s="83"/>
      <c r="AC636" s="83"/>
      <c r="AD636" s="83"/>
      <c r="AE636" s="83"/>
      <c r="AF636" s="83"/>
      <c r="AG636" s="83"/>
      <c r="AH636" s="83"/>
      <c r="AI636" s="83"/>
      <c r="AJ636" s="83"/>
      <c r="AK636" s="83"/>
      <c r="AL636" s="83"/>
      <c r="AM636" s="83"/>
      <c r="AN636" s="83"/>
      <c r="AO636" s="83"/>
      <c r="AP636" s="83"/>
      <c r="AQ636" s="83"/>
      <c r="AR636" s="83"/>
      <c r="AS636" s="83"/>
      <c r="AT636" s="83"/>
      <c r="AU636" s="83"/>
      <c r="AV636" s="83"/>
      <c r="AW636" s="83"/>
      <c r="AX636" s="83"/>
      <c r="AY636" s="83"/>
      <c r="AZ636" s="83"/>
      <c r="BA636" s="83"/>
      <c r="BB636" s="83"/>
      <c r="BC636" s="83"/>
      <c r="BD636" s="83"/>
      <c r="BE636" s="83"/>
      <c r="BF636" s="83"/>
      <c r="BG636" s="83"/>
      <c r="BH636" s="83"/>
      <c r="BI636" s="83"/>
      <c r="BJ636" s="83"/>
      <c r="BK636" s="83"/>
      <c r="BL636" s="83"/>
      <c r="BM636" s="83"/>
      <c r="BN636" s="83"/>
      <c r="BO636" s="83"/>
      <c r="BP636" s="83"/>
      <c r="BQ636" s="83"/>
      <c r="BR636" s="83"/>
      <c r="BS636" s="83"/>
      <c r="BT636" s="83"/>
      <c r="BU636" s="83"/>
      <c r="BV636" s="83"/>
      <c r="BW636" s="83"/>
      <c r="BX636" s="83"/>
      <c r="BY636" s="83"/>
      <c r="BZ636" s="83"/>
      <c r="CA636" s="83"/>
      <c r="CB636" s="83"/>
      <c r="CC636" s="83"/>
      <c r="CD636" s="83"/>
      <c r="CE636" s="83"/>
      <c r="CF636" s="83"/>
      <c r="CG636" s="83"/>
      <c r="CH636" s="83"/>
      <c r="CI636" s="83"/>
      <c r="CJ636" s="83"/>
      <c r="CK636" s="83"/>
      <c r="CL636" s="83"/>
      <c r="CM636" s="83"/>
      <c r="CN636" s="83"/>
      <c r="CO636" s="83"/>
      <c r="CP636" s="83"/>
      <c r="CQ636" s="83"/>
      <c r="CR636" s="83"/>
      <c r="CS636" s="83"/>
      <c r="CT636" s="83"/>
      <c r="CU636" s="83"/>
      <c r="CV636" s="83"/>
      <c r="CW636" s="83"/>
      <c r="CX636" s="83"/>
      <c r="CY636" s="83"/>
      <c r="CZ636" s="83"/>
      <c r="DA636" s="83"/>
      <c r="DB636" s="83"/>
      <c r="DC636" s="83"/>
    </row>
    <row r="637" spans="1:107" x14ac:dyDescent="0.3">
      <c r="A637" s="83"/>
      <c r="B637" s="83"/>
      <c r="C637" s="83"/>
      <c r="D637" s="83"/>
      <c r="E637" s="83"/>
      <c r="F637" s="83"/>
      <c r="G637" s="83"/>
      <c r="H637" s="83"/>
      <c r="I637" s="83"/>
      <c r="J637" s="83"/>
      <c r="K637" s="83"/>
      <c r="L637" s="83"/>
      <c r="M637" s="83"/>
      <c r="N637" s="83"/>
      <c r="O637" s="83"/>
      <c r="P637" s="83"/>
      <c r="Q637" s="83"/>
      <c r="R637" s="83"/>
      <c r="S637" s="83"/>
      <c r="T637" s="83"/>
      <c r="U637" s="83"/>
      <c r="V637" s="83"/>
      <c r="W637" s="83"/>
      <c r="X637" s="83"/>
      <c r="Y637" s="83"/>
      <c r="Z637" s="83"/>
      <c r="AA637" s="83"/>
      <c r="AB637" s="83"/>
      <c r="AC637" s="83"/>
      <c r="AD637" s="83"/>
      <c r="AE637" s="83"/>
      <c r="AF637" s="83"/>
      <c r="AG637" s="83"/>
      <c r="AH637" s="83"/>
      <c r="AI637" s="83"/>
      <c r="AJ637" s="83"/>
      <c r="AK637" s="83"/>
      <c r="AL637" s="83"/>
      <c r="AM637" s="83"/>
      <c r="AN637" s="83"/>
      <c r="AO637" s="83"/>
      <c r="AP637" s="83"/>
      <c r="AQ637" s="83"/>
      <c r="AR637" s="83"/>
      <c r="AS637" s="83"/>
      <c r="AT637" s="83"/>
      <c r="AU637" s="83"/>
      <c r="AV637" s="83"/>
      <c r="AW637" s="83"/>
      <c r="AX637" s="83"/>
      <c r="AY637" s="83"/>
      <c r="AZ637" s="83"/>
      <c r="BA637" s="83"/>
      <c r="BB637" s="83"/>
      <c r="BC637" s="83"/>
      <c r="BD637" s="83"/>
      <c r="BE637" s="83"/>
      <c r="BF637" s="83"/>
      <c r="BG637" s="83"/>
      <c r="BH637" s="83"/>
      <c r="BI637" s="83"/>
      <c r="BJ637" s="83"/>
      <c r="BK637" s="83"/>
      <c r="BL637" s="83"/>
      <c r="BM637" s="83"/>
      <c r="BN637" s="83"/>
      <c r="BO637" s="83"/>
      <c r="BP637" s="83"/>
      <c r="BQ637" s="83"/>
      <c r="BR637" s="83"/>
      <c r="BS637" s="83"/>
      <c r="BT637" s="83"/>
      <c r="BU637" s="83"/>
      <c r="BV637" s="83"/>
      <c r="BW637" s="83"/>
      <c r="BX637" s="83"/>
      <c r="BY637" s="83"/>
      <c r="BZ637" s="83"/>
      <c r="CA637" s="83"/>
      <c r="CB637" s="83"/>
      <c r="CC637" s="83"/>
      <c r="CD637" s="83"/>
      <c r="CE637" s="83"/>
      <c r="CF637" s="83"/>
      <c r="CG637" s="83"/>
      <c r="CH637" s="83"/>
      <c r="CI637" s="83"/>
      <c r="CJ637" s="83"/>
      <c r="CK637" s="83"/>
      <c r="CL637" s="83"/>
      <c r="CM637" s="83"/>
      <c r="CN637" s="83"/>
      <c r="CO637" s="83"/>
      <c r="CP637" s="83"/>
      <c r="CQ637" s="83"/>
      <c r="CR637" s="83"/>
      <c r="CS637" s="83"/>
      <c r="CT637" s="83"/>
      <c r="CU637" s="83"/>
      <c r="CV637" s="83"/>
      <c r="CW637" s="83"/>
      <c r="CX637" s="83"/>
      <c r="CY637" s="83"/>
      <c r="CZ637" s="83"/>
      <c r="DA637" s="83"/>
      <c r="DB637" s="83"/>
      <c r="DC637" s="83"/>
    </row>
    <row r="638" spans="1:107" x14ac:dyDescent="0.3">
      <c r="A638" s="83"/>
      <c r="B638" s="83"/>
      <c r="C638" s="83"/>
      <c r="D638" s="83"/>
      <c r="E638" s="83"/>
      <c r="F638" s="83"/>
      <c r="G638" s="83"/>
      <c r="H638" s="83"/>
      <c r="I638" s="83"/>
      <c r="J638" s="83"/>
      <c r="K638" s="83"/>
      <c r="L638" s="83"/>
      <c r="M638" s="83"/>
      <c r="N638" s="83"/>
      <c r="O638" s="83"/>
      <c r="P638" s="83"/>
      <c r="Q638" s="83"/>
      <c r="R638" s="83"/>
      <c r="S638" s="83"/>
      <c r="T638" s="83"/>
      <c r="U638" s="83"/>
      <c r="V638" s="83"/>
      <c r="W638" s="83"/>
      <c r="X638" s="83"/>
      <c r="Y638" s="83"/>
      <c r="Z638" s="83"/>
      <c r="AA638" s="83"/>
      <c r="AB638" s="83"/>
      <c r="AC638" s="83"/>
      <c r="AD638" s="83"/>
      <c r="AE638" s="83"/>
      <c r="AF638" s="83"/>
      <c r="AG638" s="83"/>
      <c r="AH638" s="83"/>
      <c r="AI638" s="83"/>
      <c r="AJ638" s="83"/>
      <c r="AK638" s="83"/>
      <c r="AL638" s="83"/>
      <c r="AM638" s="83"/>
      <c r="AN638" s="83"/>
      <c r="AO638" s="83"/>
      <c r="AP638" s="83"/>
      <c r="AQ638" s="83"/>
      <c r="AR638" s="83"/>
      <c r="AS638" s="83"/>
      <c r="AT638" s="83"/>
      <c r="AU638" s="83"/>
      <c r="AV638" s="83"/>
      <c r="AW638" s="83"/>
      <c r="AX638" s="83"/>
      <c r="AY638" s="83"/>
      <c r="AZ638" s="83"/>
      <c r="BA638" s="83"/>
      <c r="BB638" s="83"/>
      <c r="BC638" s="83"/>
      <c r="BD638" s="83"/>
      <c r="BE638" s="83"/>
      <c r="BF638" s="83"/>
      <c r="BG638" s="83"/>
      <c r="BH638" s="83"/>
      <c r="BI638" s="83"/>
      <c r="BJ638" s="83"/>
      <c r="BK638" s="83"/>
      <c r="BL638" s="83"/>
      <c r="BM638" s="83"/>
      <c r="BN638" s="83"/>
      <c r="BO638" s="83"/>
      <c r="BP638" s="83"/>
      <c r="BQ638" s="83"/>
      <c r="BR638" s="83"/>
      <c r="BS638" s="83"/>
      <c r="BT638" s="83"/>
      <c r="BU638" s="83"/>
      <c r="BV638" s="83"/>
      <c r="BW638" s="83"/>
      <c r="BX638" s="83"/>
      <c r="BY638" s="83"/>
      <c r="BZ638" s="83"/>
      <c r="CA638" s="83"/>
      <c r="CB638" s="83"/>
      <c r="CC638" s="83"/>
      <c r="CD638" s="83"/>
      <c r="CE638" s="83"/>
      <c r="CF638" s="83"/>
      <c r="CG638" s="83"/>
      <c r="CH638" s="83"/>
      <c r="CI638" s="83"/>
      <c r="CJ638" s="83"/>
      <c r="CK638" s="83"/>
      <c r="CL638" s="83"/>
      <c r="CM638" s="83"/>
      <c r="CN638" s="83"/>
      <c r="CO638" s="83"/>
      <c r="CP638" s="83"/>
      <c r="CQ638" s="83"/>
      <c r="CR638" s="83"/>
      <c r="CS638" s="83"/>
      <c r="CT638" s="83"/>
      <c r="CU638" s="83"/>
      <c r="CV638" s="83"/>
      <c r="CW638" s="83"/>
      <c r="CX638" s="83"/>
      <c r="CY638" s="83"/>
      <c r="CZ638" s="83"/>
      <c r="DA638" s="83"/>
      <c r="DB638" s="83"/>
      <c r="DC638" s="83"/>
    </row>
    <row r="639" spans="1:107" x14ac:dyDescent="0.3">
      <c r="A639" s="83"/>
      <c r="B639" s="83"/>
      <c r="C639" s="83"/>
      <c r="D639" s="83"/>
      <c r="E639" s="83"/>
      <c r="F639" s="83"/>
      <c r="G639" s="83"/>
      <c r="H639" s="83"/>
      <c r="I639" s="83"/>
      <c r="J639" s="83"/>
      <c r="K639" s="83"/>
      <c r="L639" s="83"/>
      <c r="M639" s="83"/>
      <c r="N639" s="83"/>
      <c r="O639" s="83"/>
      <c r="P639" s="83"/>
      <c r="Q639" s="83"/>
      <c r="R639" s="83"/>
      <c r="S639" s="83"/>
      <c r="T639" s="83"/>
      <c r="U639" s="83"/>
      <c r="V639" s="83"/>
      <c r="W639" s="83"/>
      <c r="X639" s="83"/>
      <c r="Y639" s="83"/>
      <c r="Z639" s="83"/>
      <c r="AA639" s="83"/>
      <c r="AB639" s="83"/>
      <c r="AC639" s="83"/>
      <c r="AD639" s="83"/>
      <c r="AE639" s="83"/>
      <c r="AF639" s="83"/>
      <c r="AG639" s="83"/>
      <c r="AH639" s="83"/>
      <c r="AI639" s="83"/>
      <c r="AJ639" s="83"/>
      <c r="AK639" s="83"/>
      <c r="AL639" s="83"/>
      <c r="AM639" s="83"/>
      <c r="AN639" s="83"/>
      <c r="AO639" s="83"/>
      <c r="AP639" s="83"/>
      <c r="AQ639" s="83"/>
      <c r="AR639" s="83"/>
      <c r="AS639" s="83"/>
      <c r="AT639" s="83"/>
      <c r="AU639" s="83"/>
      <c r="AV639" s="83"/>
      <c r="AW639" s="83"/>
      <c r="AX639" s="83"/>
      <c r="AY639" s="83"/>
      <c r="AZ639" s="83"/>
      <c r="BA639" s="83"/>
      <c r="BB639" s="83"/>
      <c r="BC639" s="83"/>
      <c r="BD639" s="83"/>
      <c r="BE639" s="83"/>
      <c r="BF639" s="83"/>
      <c r="BG639" s="83"/>
      <c r="BH639" s="83"/>
      <c r="BI639" s="83"/>
      <c r="BJ639" s="83"/>
      <c r="BK639" s="83"/>
      <c r="BL639" s="83"/>
      <c r="BM639" s="83"/>
      <c r="BN639" s="83"/>
      <c r="BO639" s="83"/>
      <c r="BP639" s="83"/>
      <c r="BQ639" s="83"/>
      <c r="BR639" s="83"/>
      <c r="BS639" s="83"/>
      <c r="BT639" s="83"/>
      <c r="BU639" s="83"/>
      <c r="BV639" s="83"/>
      <c r="BW639" s="83"/>
      <c r="BX639" s="83"/>
      <c r="BY639" s="83"/>
      <c r="BZ639" s="83"/>
      <c r="CA639" s="83"/>
      <c r="CB639" s="83"/>
      <c r="CC639" s="83"/>
      <c r="CD639" s="83"/>
      <c r="CE639" s="83"/>
      <c r="CF639" s="83"/>
      <c r="CG639" s="83"/>
      <c r="CH639" s="83"/>
      <c r="CI639" s="83"/>
      <c r="CJ639" s="83"/>
      <c r="CK639" s="83"/>
      <c r="CL639" s="83"/>
      <c r="CM639" s="83"/>
      <c r="CN639" s="83"/>
      <c r="CO639" s="83"/>
      <c r="CP639" s="83"/>
      <c r="CQ639" s="83"/>
      <c r="CR639" s="83"/>
      <c r="CS639" s="83"/>
      <c r="CT639" s="83"/>
      <c r="CU639" s="83"/>
      <c r="CV639" s="83"/>
      <c r="CW639" s="83"/>
      <c r="CX639" s="83"/>
      <c r="CY639" s="83"/>
      <c r="CZ639" s="83"/>
      <c r="DA639" s="83"/>
      <c r="DB639" s="83"/>
      <c r="DC639" s="83"/>
    </row>
    <row r="640" spans="1:107" x14ac:dyDescent="0.3">
      <c r="A640" s="83"/>
      <c r="B640" s="83"/>
      <c r="C640" s="83"/>
      <c r="D640" s="83"/>
      <c r="E640" s="83"/>
      <c r="F640" s="83"/>
      <c r="G640" s="83"/>
      <c r="H640" s="83"/>
      <c r="I640" s="83"/>
      <c r="J640" s="83"/>
      <c r="K640" s="83"/>
      <c r="L640" s="83"/>
      <c r="M640" s="83"/>
      <c r="N640" s="83"/>
      <c r="O640" s="83"/>
      <c r="P640" s="83"/>
      <c r="Q640" s="83"/>
      <c r="R640" s="83"/>
      <c r="S640" s="83"/>
      <c r="T640" s="83"/>
      <c r="U640" s="83"/>
      <c r="V640" s="83"/>
      <c r="W640" s="83"/>
      <c r="X640" s="83"/>
      <c r="Y640" s="83"/>
      <c r="Z640" s="83"/>
      <c r="AA640" s="83"/>
      <c r="AB640" s="83"/>
      <c r="AC640" s="83"/>
      <c r="AD640" s="83"/>
      <c r="AE640" s="83"/>
      <c r="AF640" s="83"/>
      <c r="AG640" s="83"/>
      <c r="AH640" s="83"/>
      <c r="AI640" s="83"/>
      <c r="AJ640" s="83"/>
      <c r="AK640" s="83"/>
      <c r="AL640" s="83"/>
      <c r="AM640" s="83"/>
      <c r="AN640" s="83"/>
      <c r="AO640" s="83"/>
      <c r="AP640" s="83"/>
      <c r="AQ640" s="83"/>
      <c r="AR640" s="83"/>
      <c r="AS640" s="83"/>
      <c r="AT640" s="83"/>
      <c r="AU640" s="83"/>
      <c r="AV640" s="83"/>
      <c r="AW640" s="83"/>
      <c r="AX640" s="83"/>
      <c r="AY640" s="83"/>
      <c r="AZ640" s="83"/>
      <c r="BA640" s="83"/>
      <c r="BB640" s="83"/>
      <c r="BC640" s="83"/>
      <c r="BD640" s="83"/>
      <c r="BE640" s="83"/>
      <c r="BF640" s="83"/>
      <c r="BG640" s="83"/>
      <c r="BH640" s="83"/>
      <c r="BI640" s="83"/>
      <c r="BJ640" s="83"/>
      <c r="BK640" s="83"/>
      <c r="BL640" s="83"/>
      <c r="BM640" s="83"/>
      <c r="BN640" s="83"/>
      <c r="BO640" s="83"/>
      <c r="BP640" s="83"/>
      <c r="BQ640" s="83"/>
      <c r="BR640" s="83"/>
      <c r="BS640" s="83"/>
      <c r="BT640" s="83"/>
      <c r="BU640" s="83"/>
      <c r="BV640" s="83"/>
      <c r="BW640" s="83"/>
      <c r="BX640" s="83"/>
      <c r="BY640" s="83"/>
      <c r="BZ640" s="83"/>
      <c r="CA640" s="83"/>
      <c r="CB640" s="83"/>
      <c r="CC640" s="83"/>
      <c r="CD640" s="83"/>
      <c r="CE640" s="83"/>
      <c r="CF640" s="83"/>
      <c r="CG640" s="83"/>
      <c r="CH640" s="83"/>
      <c r="CI640" s="83"/>
      <c r="CJ640" s="83"/>
      <c r="CK640" s="83"/>
      <c r="CL640" s="83"/>
      <c r="CM640" s="83"/>
      <c r="CN640" s="83"/>
      <c r="CO640" s="83"/>
      <c r="CP640" s="83"/>
      <c r="CQ640" s="83"/>
      <c r="CR640" s="83"/>
      <c r="CS640" s="83"/>
      <c r="CT640" s="83"/>
      <c r="CU640" s="83"/>
      <c r="CV640" s="83"/>
      <c r="CW640" s="83"/>
      <c r="CX640" s="83"/>
      <c r="CY640" s="83"/>
      <c r="CZ640" s="83"/>
      <c r="DA640" s="83"/>
      <c r="DB640" s="83"/>
      <c r="DC640" s="83"/>
    </row>
    <row r="641" spans="1:107" x14ac:dyDescent="0.3">
      <c r="A641" s="83"/>
      <c r="B641" s="83"/>
      <c r="C641" s="83"/>
      <c r="D641" s="83"/>
      <c r="E641" s="83"/>
      <c r="F641" s="83"/>
      <c r="G641" s="83"/>
      <c r="H641" s="83"/>
      <c r="I641" s="83"/>
      <c r="J641" s="83"/>
      <c r="K641" s="83"/>
      <c r="L641" s="83"/>
      <c r="M641" s="83"/>
      <c r="N641" s="83"/>
      <c r="O641" s="83"/>
      <c r="P641" s="83"/>
      <c r="Q641" s="83"/>
      <c r="R641" s="83"/>
      <c r="S641" s="83"/>
      <c r="T641" s="83"/>
      <c r="U641" s="83"/>
      <c r="V641" s="83"/>
      <c r="W641" s="83"/>
      <c r="X641" s="83"/>
      <c r="Y641" s="83"/>
      <c r="Z641" s="83"/>
      <c r="AA641" s="83"/>
      <c r="AB641" s="83"/>
      <c r="AC641" s="83"/>
      <c r="AD641" s="83"/>
      <c r="AE641" s="83"/>
      <c r="AF641" s="83"/>
      <c r="AG641" s="83"/>
      <c r="AH641" s="83"/>
      <c r="AI641" s="83"/>
      <c r="AJ641" s="83"/>
      <c r="AK641" s="83"/>
      <c r="AL641" s="83"/>
      <c r="AM641" s="83"/>
      <c r="AN641" s="83"/>
      <c r="AO641" s="83"/>
      <c r="AP641" s="83"/>
      <c r="AQ641" s="83"/>
      <c r="AR641" s="83"/>
      <c r="AS641" s="83"/>
      <c r="AT641" s="83"/>
      <c r="AU641" s="83"/>
      <c r="AV641" s="83"/>
      <c r="AW641" s="83"/>
      <c r="AX641" s="83"/>
      <c r="AY641" s="83"/>
      <c r="AZ641" s="83"/>
      <c r="BA641" s="83"/>
      <c r="BB641" s="83"/>
      <c r="BC641" s="83"/>
      <c r="BD641" s="83"/>
      <c r="BE641" s="83"/>
      <c r="BF641" s="83"/>
      <c r="BG641" s="83"/>
      <c r="BH641" s="83"/>
      <c r="BI641" s="83"/>
      <c r="BJ641" s="83"/>
      <c r="BK641" s="83"/>
      <c r="BL641" s="83"/>
      <c r="BM641" s="83"/>
      <c r="BN641" s="83"/>
      <c r="BO641" s="83"/>
      <c r="BP641" s="83"/>
      <c r="BQ641" s="83"/>
      <c r="BR641" s="83"/>
      <c r="BS641" s="83"/>
      <c r="BT641" s="83"/>
      <c r="BU641" s="83"/>
      <c r="BV641" s="83"/>
      <c r="BW641" s="83"/>
      <c r="BX641" s="83"/>
      <c r="BY641" s="83"/>
      <c r="BZ641" s="83"/>
      <c r="CA641" s="83"/>
      <c r="CB641" s="83"/>
      <c r="CC641" s="83"/>
      <c r="CD641" s="83"/>
      <c r="CE641" s="83"/>
      <c r="CF641" s="83"/>
      <c r="CG641" s="83"/>
      <c r="CH641" s="83"/>
      <c r="CI641" s="83"/>
      <c r="CJ641" s="83"/>
      <c r="CK641" s="83"/>
      <c r="CL641" s="83"/>
      <c r="CM641" s="83"/>
      <c r="CN641" s="83"/>
      <c r="CO641" s="83"/>
      <c r="CP641" s="83"/>
      <c r="CQ641" s="83"/>
      <c r="CR641" s="83"/>
      <c r="CS641" s="83"/>
      <c r="CT641" s="83"/>
      <c r="CU641" s="83"/>
      <c r="CV641" s="83"/>
      <c r="CW641" s="83"/>
      <c r="CX641" s="83"/>
      <c r="CY641" s="83"/>
      <c r="CZ641" s="83"/>
      <c r="DA641" s="83"/>
      <c r="DB641" s="83"/>
      <c r="DC641" s="83"/>
    </row>
    <row r="642" spans="1:107" x14ac:dyDescent="0.3">
      <c r="A642" s="83"/>
      <c r="B642" s="83"/>
      <c r="C642" s="83"/>
      <c r="D642" s="83"/>
      <c r="E642" s="83"/>
      <c r="F642" s="83"/>
      <c r="G642" s="83"/>
      <c r="H642" s="83"/>
      <c r="I642" s="83"/>
      <c r="J642" s="83"/>
      <c r="K642" s="83"/>
      <c r="L642" s="83"/>
      <c r="M642" s="83"/>
      <c r="N642" s="83"/>
      <c r="O642" s="83"/>
      <c r="P642" s="83"/>
      <c r="Q642" s="83"/>
      <c r="R642" s="83"/>
      <c r="S642" s="83"/>
      <c r="T642" s="83"/>
      <c r="U642" s="83"/>
      <c r="V642" s="83"/>
      <c r="W642" s="83"/>
      <c r="X642" s="83"/>
      <c r="Y642" s="83"/>
      <c r="Z642" s="83"/>
      <c r="AA642" s="83"/>
      <c r="AB642" s="83"/>
      <c r="AC642" s="83"/>
      <c r="AD642" s="83"/>
      <c r="AE642" s="83"/>
      <c r="AF642" s="83"/>
      <c r="AG642" s="83"/>
      <c r="AH642" s="83"/>
      <c r="AI642" s="83"/>
      <c r="AJ642" s="83"/>
      <c r="AK642" s="83"/>
      <c r="AL642" s="83"/>
      <c r="AM642" s="83"/>
      <c r="AN642" s="83"/>
      <c r="AO642" s="83"/>
      <c r="AP642" s="83"/>
      <c r="AQ642" s="83"/>
      <c r="AR642" s="83"/>
      <c r="AS642" s="83"/>
      <c r="AT642" s="83"/>
      <c r="AU642" s="83"/>
      <c r="AV642" s="83"/>
      <c r="AW642" s="83"/>
      <c r="AX642" s="83"/>
      <c r="AY642" s="83"/>
      <c r="AZ642" s="83"/>
      <c r="BA642" s="83"/>
      <c r="BB642" s="83"/>
      <c r="BC642" s="83"/>
      <c r="BD642" s="83"/>
      <c r="BE642" s="83"/>
      <c r="BF642" s="83"/>
      <c r="BG642" s="83"/>
      <c r="BH642" s="83"/>
      <c r="BI642" s="83"/>
      <c r="BJ642" s="83"/>
      <c r="BK642" s="83"/>
      <c r="BL642" s="83"/>
      <c r="BM642" s="83"/>
      <c r="BN642" s="83"/>
      <c r="BO642" s="83"/>
      <c r="BP642" s="83"/>
      <c r="BQ642" s="83"/>
      <c r="BR642" s="83"/>
      <c r="BS642" s="83"/>
      <c r="BT642" s="83"/>
      <c r="BU642" s="83"/>
      <c r="BV642" s="83"/>
      <c r="BW642" s="83"/>
      <c r="BX642" s="83"/>
      <c r="BY642" s="83"/>
      <c r="BZ642" s="83"/>
      <c r="CA642" s="83"/>
      <c r="CB642" s="83"/>
      <c r="CC642" s="83"/>
      <c r="CD642" s="83"/>
      <c r="CE642" s="83"/>
      <c r="CF642" s="83"/>
      <c r="CG642" s="83"/>
      <c r="CH642" s="83"/>
      <c r="CI642" s="83"/>
      <c r="CJ642" s="83"/>
      <c r="CK642" s="83"/>
      <c r="CL642" s="83"/>
      <c r="CM642" s="83"/>
      <c r="CN642" s="83"/>
      <c r="CO642" s="83"/>
      <c r="CP642" s="83"/>
      <c r="CQ642" s="83"/>
      <c r="CR642" s="83"/>
      <c r="CS642" s="83"/>
      <c r="CT642" s="83"/>
      <c r="CU642" s="83"/>
      <c r="CV642" s="83"/>
      <c r="CW642" s="83"/>
      <c r="CX642" s="83"/>
      <c r="CY642" s="83"/>
      <c r="CZ642" s="83"/>
      <c r="DA642" s="83"/>
      <c r="DB642" s="83"/>
      <c r="DC642" s="83"/>
    </row>
    <row r="643" spans="1:107" x14ac:dyDescent="0.3">
      <c r="A643" s="83"/>
      <c r="B643" s="83"/>
      <c r="C643" s="83"/>
      <c r="D643" s="83"/>
      <c r="E643" s="83"/>
      <c r="F643" s="83"/>
      <c r="G643" s="83"/>
      <c r="H643" s="83"/>
      <c r="I643" s="83"/>
      <c r="J643" s="83"/>
      <c r="K643" s="83"/>
      <c r="L643" s="83"/>
      <c r="M643" s="83"/>
      <c r="N643" s="83"/>
      <c r="O643" s="83"/>
      <c r="P643" s="83"/>
      <c r="Q643" s="83"/>
      <c r="R643" s="83"/>
      <c r="S643" s="83"/>
      <c r="T643" s="83"/>
      <c r="U643" s="83"/>
      <c r="V643" s="83"/>
      <c r="W643" s="83"/>
      <c r="X643" s="83"/>
      <c r="Y643" s="83"/>
      <c r="Z643" s="83"/>
      <c r="AA643" s="83"/>
      <c r="AB643" s="83"/>
      <c r="AC643" s="83"/>
      <c r="AD643" s="83"/>
      <c r="AE643" s="83"/>
      <c r="AF643" s="83"/>
      <c r="AG643" s="83"/>
      <c r="AH643" s="83"/>
      <c r="AI643" s="83"/>
      <c r="AJ643" s="83"/>
      <c r="AK643" s="83"/>
      <c r="AL643" s="83"/>
      <c r="AM643" s="83"/>
      <c r="AN643" s="83"/>
      <c r="AO643" s="83"/>
      <c r="AP643" s="83"/>
      <c r="AQ643" s="83"/>
      <c r="AR643" s="83"/>
      <c r="AS643" s="83"/>
      <c r="AT643" s="83"/>
      <c r="AU643" s="83"/>
      <c r="AV643" s="83"/>
      <c r="AW643" s="83"/>
      <c r="AX643" s="83"/>
      <c r="AY643" s="83"/>
      <c r="AZ643" s="83"/>
      <c r="BA643" s="83"/>
      <c r="BB643" s="83"/>
      <c r="BC643" s="83"/>
      <c r="BD643" s="83"/>
      <c r="BE643" s="83"/>
      <c r="BF643" s="83"/>
      <c r="BG643" s="83"/>
      <c r="BH643" s="83"/>
      <c r="BI643" s="83"/>
      <c r="BJ643" s="83"/>
      <c r="BK643" s="83"/>
      <c r="BL643" s="83"/>
      <c r="BM643" s="83"/>
      <c r="BN643" s="83"/>
      <c r="BO643" s="83"/>
      <c r="BP643" s="83"/>
      <c r="BQ643" s="83"/>
      <c r="BR643" s="83"/>
      <c r="BS643" s="83"/>
      <c r="BT643" s="83"/>
      <c r="BU643" s="83"/>
      <c r="BV643" s="83"/>
      <c r="BW643" s="83"/>
      <c r="BX643" s="83"/>
      <c r="BY643" s="83"/>
      <c r="BZ643" s="83"/>
      <c r="CA643" s="83"/>
      <c r="CB643" s="83"/>
      <c r="CC643" s="83"/>
      <c r="CD643" s="83"/>
      <c r="CE643" s="83"/>
      <c r="CF643" s="83"/>
      <c r="CG643" s="83"/>
      <c r="CH643" s="83"/>
      <c r="CI643" s="83"/>
      <c r="CJ643" s="83"/>
      <c r="CK643" s="83"/>
      <c r="CL643" s="83"/>
      <c r="CM643" s="83"/>
      <c r="CN643" s="83"/>
      <c r="CO643" s="83"/>
      <c r="CP643" s="83"/>
      <c r="CQ643" s="83"/>
      <c r="CR643" s="83"/>
      <c r="CS643" s="83"/>
      <c r="CT643" s="83"/>
      <c r="CU643" s="83"/>
      <c r="CV643" s="83"/>
      <c r="CW643" s="83"/>
      <c r="CX643" s="83"/>
      <c r="CY643" s="83"/>
      <c r="CZ643" s="83"/>
      <c r="DA643" s="83"/>
      <c r="DB643" s="83"/>
      <c r="DC643" s="83"/>
    </row>
    <row r="644" spans="1:107" x14ac:dyDescent="0.3">
      <c r="A644" s="83"/>
      <c r="B644" s="83"/>
      <c r="C644" s="83"/>
      <c r="D644" s="83"/>
      <c r="E644" s="83"/>
      <c r="F644" s="83"/>
      <c r="G644" s="83"/>
      <c r="H644" s="83"/>
      <c r="I644" s="83"/>
      <c r="J644" s="83"/>
      <c r="K644" s="83"/>
      <c r="L644" s="83"/>
      <c r="M644" s="83"/>
      <c r="N644" s="83"/>
      <c r="O644" s="83"/>
      <c r="P644" s="83"/>
      <c r="Q644" s="83"/>
      <c r="R644" s="83"/>
      <c r="S644" s="83"/>
      <c r="T644" s="83"/>
      <c r="U644" s="83"/>
      <c r="V644" s="83"/>
      <c r="W644" s="83"/>
      <c r="X644" s="83"/>
      <c r="Y644" s="83"/>
      <c r="Z644" s="83"/>
      <c r="AA644" s="83"/>
      <c r="AB644" s="83"/>
      <c r="AC644" s="83"/>
      <c r="AD644" s="83"/>
      <c r="AE644" s="83"/>
      <c r="AF644" s="83"/>
      <c r="AG644" s="83"/>
      <c r="AH644" s="83"/>
      <c r="AI644" s="83"/>
      <c r="AJ644" s="83"/>
      <c r="AK644" s="83"/>
      <c r="AL644" s="83"/>
      <c r="AM644" s="83"/>
      <c r="AN644" s="83"/>
      <c r="AO644" s="83"/>
      <c r="AP644" s="83"/>
      <c r="AQ644" s="83"/>
      <c r="AR644" s="83"/>
      <c r="AS644" s="83"/>
      <c r="AT644" s="83"/>
      <c r="AU644" s="83"/>
      <c r="AV644" s="83"/>
      <c r="AW644" s="83"/>
      <c r="AX644" s="83"/>
      <c r="AY644" s="83"/>
      <c r="AZ644" s="83"/>
      <c r="BA644" s="83"/>
      <c r="BB644" s="83"/>
      <c r="BC644" s="83"/>
      <c r="BD644" s="83"/>
      <c r="BE644" s="83"/>
      <c r="BF644" s="83"/>
      <c r="BG644" s="83"/>
      <c r="BH644" s="83"/>
      <c r="BI644" s="83"/>
      <c r="BJ644" s="83"/>
      <c r="BK644" s="83"/>
      <c r="BL644" s="83"/>
      <c r="BM644" s="83"/>
      <c r="BN644" s="83"/>
      <c r="BO644" s="83"/>
      <c r="BP644" s="83"/>
      <c r="BQ644" s="83"/>
      <c r="BR644" s="83"/>
      <c r="BS644" s="83"/>
      <c r="BT644" s="83"/>
      <c r="BU644" s="83"/>
      <c r="BV644" s="83"/>
      <c r="BW644" s="83"/>
      <c r="BX644" s="83"/>
      <c r="BY644" s="83"/>
      <c r="BZ644" s="83"/>
      <c r="CA644" s="83"/>
      <c r="CB644" s="83"/>
      <c r="CC644" s="83"/>
      <c r="CD644" s="83"/>
      <c r="CE644" s="83"/>
      <c r="CF644" s="83"/>
      <c r="CG644" s="83"/>
      <c r="CH644" s="83"/>
      <c r="CI644" s="83"/>
      <c r="CJ644" s="83"/>
      <c r="CK644" s="83"/>
      <c r="CL644" s="83"/>
      <c r="CM644" s="83"/>
      <c r="CN644" s="83"/>
      <c r="CO644" s="83"/>
      <c r="CP644" s="83"/>
      <c r="CQ644" s="83"/>
      <c r="CR644" s="83"/>
      <c r="CS644" s="83"/>
      <c r="CT644" s="83"/>
      <c r="CU644" s="83"/>
      <c r="CV644" s="83"/>
      <c r="CW644" s="83"/>
      <c r="CX644" s="83"/>
      <c r="CY644" s="83"/>
      <c r="CZ644" s="83"/>
      <c r="DA644" s="83"/>
      <c r="DB644" s="83"/>
      <c r="DC644" s="83"/>
    </row>
    <row r="645" spans="1:107" x14ac:dyDescent="0.3">
      <c r="A645" s="83"/>
      <c r="B645" s="83"/>
      <c r="C645" s="83"/>
      <c r="D645" s="83"/>
      <c r="E645" s="83"/>
      <c r="F645" s="83"/>
      <c r="G645" s="83"/>
      <c r="H645" s="83"/>
      <c r="I645" s="83"/>
      <c r="J645" s="83"/>
      <c r="K645" s="83"/>
      <c r="L645" s="83"/>
      <c r="M645" s="83"/>
      <c r="N645" s="83"/>
      <c r="O645" s="83"/>
      <c r="P645" s="83"/>
      <c r="Q645" s="83"/>
      <c r="R645" s="83"/>
      <c r="S645" s="83"/>
      <c r="T645" s="83"/>
      <c r="U645" s="83"/>
      <c r="V645" s="83"/>
      <c r="W645" s="83"/>
      <c r="X645" s="83"/>
      <c r="Y645" s="83"/>
      <c r="Z645" s="83"/>
      <c r="AA645" s="83"/>
      <c r="AB645" s="83"/>
      <c r="AC645" s="83"/>
      <c r="AD645" s="83"/>
      <c r="AE645" s="83"/>
      <c r="AF645" s="83"/>
      <c r="AG645" s="83"/>
      <c r="AH645" s="83"/>
      <c r="AI645" s="83"/>
      <c r="AJ645" s="83"/>
      <c r="AK645" s="83"/>
      <c r="AL645" s="83"/>
      <c r="AM645" s="83"/>
      <c r="AN645" s="83"/>
      <c r="AO645" s="83"/>
      <c r="AP645" s="83"/>
      <c r="AQ645" s="83"/>
      <c r="AR645" s="83"/>
      <c r="AS645" s="83"/>
      <c r="AT645" s="83"/>
      <c r="AU645" s="83"/>
      <c r="AV645" s="83"/>
      <c r="AW645" s="83"/>
      <c r="AX645" s="83"/>
      <c r="AY645" s="83"/>
      <c r="AZ645" s="83"/>
      <c r="BA645" s="83"/>
      <c r="BB645" s="83"/>
      <c r="BC645" s="83"/>
      <c r="BD645" s="83"/>
      <c r="BE645" s="83"/>
      <c r="BF645" s="83"/>
      <c r="BG645" s="83"/>
      <c r="BH645" s="83"/>
      <c r="BI645" s="83"/>
      <c r="BJ645" s="83"/>
      <c r="BK645" s="83"/>
      <c r="BL645" s="83"/>
      <c r="BM645" s="83"/>
      <c r="BN645" s="83"/>
      <c r="BO645" s="83"/>
      <c r="BP645" s="83"/>
      <c r="BQ645" s="83"/>
      <c r="BR645" s="83"/>
      <c r="BS645" s="83"/>
      <c r="BT645" s="83"/>
      <c r="BU645" s="83"/>
      <c r="BV645" s="83"/>
      <c r="BW645" s="83"/>
      <c r="BX645" s="83"/>
      <c r="BY645" s="83"/>
      <c r="BZ645" s="83"/>
      <c r="CA645" s="83"/>
      <c r="CB645" s="83"/>
      <c r="CC645" s="83"/>
      <c r="CD645" s="83"/>
      <c r="CE645" s="83"/>
      <c r="CF645" s="83"/>
      <c r="CG645" s="83"/>
      <c r="CH645" s="83"/>
      <c r="CI645" s="83"/>
      <c r="CJ645" s="83"/>
      <c r="CK645" s="83"/>
      <c r="CL645" s="83"/>
      <c r="CM645" s="83"/>
      <c r="CN645" s="83"/>
      <c r="CO645" s="83"/>
      <c r="CP645" s="83"/>
      <c r="CQ645" s="83"/>
      <c r="CR645" s="83"/>
      <c r="CS645" s="83"/>
      <c r="CT645" s="83"/>
      <c r="CU645" s="83"/>
      <c r="CV645" s="83"/>
      <c r="CW645" s="83"/>
      <c r="CX645" s="83"/>
      <c r="CY645" s="83"/>
      <c r="CZ645" s="83"/>
      <c r="DA645" s="83"/>
      <c r="DB645" s="83"/>
      <c r="DC645" s="83"/>
    </row>
    <row r="646" spans="1:107" x14ac:dyDescent="0.3">
      <c r="A646" s="83"/>
      <c r="B646" s="83"/>
      <c r="C646" s="83"/>
      <c r="D646" s="83"/>
      <c r="E646" s="83"/>
      <c r="F646" s="83"/>
      <c r="G646" s="83"/>
      <c r="H646" s="83"/>
      <c r="I646" s="83"/>
      <c r="J646" s="83"/>
      <c r="K646" s="83"/>
      <c r="L646" s="83"/>
      <c r="M646" s="83"/>
      <c r="N646" s="83"/>
      <c r="O646" s="83"/>
      <c r="P646" s="83"/>
      <c r="Q646" s="83"/>
      <c r="R646" s="83"/>
      <c r="S646" s="83"/>
      <c r="T646" s="83"/>
      <c r="U646" s="83"/>
      <c r="V646" s="83"/>
      <c r="W646" s="83"/>
      <c r="X646" s="83"/>
      <c r="Y646" s="83"/>
      <c r="Z646" s="83"/>
      <c r="AA646" s="83"/>
      <c r="AB646" s="83"/>
      <c r="AC646" s="83"/>
      <c r="AD646" s="83"/>
      <c r="AE646" s="83"/>
      <c r="AF646" s="83"/>
      <c r="AG646" s="83"/>
      <c r="AH646" s="83"/>
      <c r="AI646" s="83"/>
      <c r="AJ646" s="83"/>
      <c r="AK646" s="83"/>
      <c r="AL646" s="83"/>
      <c r="AM646" s="83"/>
      <c r="AN646" s="83"/>
      <c r="AO646" s="83"/>
      <c r="AP646" s="83"/>
      <c r="AQ646" s="83"/>
      <c r="AR646" s="83"/>
      <c r="AS646" s="83"/>
      <c r="AT646" s="83"/>
      <c r="AU646" s="83"/>
      <c r="AV646" s="83"/>
      <c r="AW646" s="83"/>
      <c r="AX646" s="83"/>
      <c r="AY646" s="83"/>
      <c r="AZ646" s="83"/>
      <c r="BA646" s="83"/>
      <c r="BB646" s="83"/>
      <c r="BC646" s="83"/>
      <c r="BD646" s="83"/>
      <c r="BE646" s="83"/>
      <c r="BF646" s="83"/>
      <c r="BG646" s="83"/>
      <c r="BH646" s="83"/>
      <c r="BI646" s="83"/>
      <c r="BJ646" s="83"/>
      <c r="BK646" s="83"/>
      <c r="BL646" s="83"/>
      <c r="BM646" s="83"/>
      <c r="BN646" s="83"/>
      <c r="BO646" s="83"/>
      <c r="BP646" s="83"/>
      <c r="BQ646" s="83"/>
      <c r="BR646" s="83"/>
      <c r="BS646" s="83"/>
      <c r="BT646" s="83"/>
      <c r="BU646" s="83"/>
      <c r="BV646" s="83"/>
      <c r="BW646" s="83"/>
      <c r="BX646" s="83"/>
      <c r="BY646" s="83"/>
      <c r="BZ646" s="83"/>
      <c r="CA646" s="83"/>
      <c r="CB646" s="83"/>
      <c r="CC646" s="83"/>
      <c r="CD646" s="83"/>
      <c r="CE646" s="83"/>
      <c r="CF646" s="83"/>
      <c r="CG646" s="83"/>
      <c r="CH646" s="83"/>
      <c r="CI646" s="83"/>
      <c r="CJ646" s="83"/>
      <c r="CK646" s="83"/>
      <c r="CL646" s="83"/>
      <c r="CM646" s="83"/>
      <c r="CN646" s="83"/>
      <c r="CO646" s="83"/>
      <c r="CP646" s="83"/>
      <c r="CQ646" s="83"/>
      <c r="CR646" s="83"/>
      <c r="CS646" s="83"/>
      <c r="CT646" s="83"/>
      <c r="CU646" s="83"/>
      <c r="CV646" s="83"/>
      <c r="CW646" s="83"/>
      <c r="CX646" s="83"/>
      <c r="CY646" s="83"/>
      <c r="CZ646" s="83"/>
      <c r="DA646" s="83"/>
      <c r="DB646" s="83"/>
      <c r="DC646" s="83"/>
    </row>
    <row r="647" spans="1:107" x14ac:dyDescent="0.3">
      <c r="A647" s="83"/>
      <c r="B647" s="83"/>
      <c r="C647" s="83"/>
      <c r="D647" s="83"/>
      <c r="E647" s="83"/>
      <c r="F647" s="83"/>
      <c r="G647" s="83"/>
      <c r="H647" s="83"/>
      <c r="I647" s="83"/>
      <c r="J647" s="83"/>
      <c r="K647" s="83"/>
      <c r="L647" s="83"/>
      <c r="M647" s="83"/>
      <c r="N647" s="83"/>
      <c r="O647" s="83"/>
      <c r="P647" s="83"/>
      <c r="Q647" s="83"/>
      <c r="R647" s="83"/>
      <c r="S647" s="83"/>
      <c r="T647" s="83"/>
      <c r="U647" s="83"/>
      <c r="V647" s="83"/>
      <c r="W647" s="83"/>
      <c r="X647" s="83"/>
      <c r="Y647" s="83"/>
      <c r="Z647" s="83"/>
      <c r="AA647" s="83"/>
      <c r="AB647" s="83"/>
      <c r="AC647" s="83"/>
      <c r="AD647" s="83"/>
      <c r="AE647" s="83"/>
      <c r="AF647" s="83"/>
      <c r="AG647" s="83"/>
      <c r="AH647" s="83"/>
      <c r="AI647" s="83"/>
      <c r="AJ647" s="83"/>
      <c r="AK647" s="83"/>
      <c r="AL647" s="83"/>
      <c r="AM647" s="83"/>
      <c r="AN647" s="83"/>
      <c r="AO647" s="83"/>
      <c r="AP647" s="83"/>
      <c r="AQ647" s="83"/>
      <c r="AR647" s="83"/>
      <c r="AS647" s="83"/>
      <c r="AT647" s="83"/>
      <c r="AU647" s="83"/>
      <c r="AV647" s="83"/>
      <c r="AW647" s="83"/>
      <c r="AX647" s="83"/>
      <c r="AY647" s="83"/>
      <c r="AZ647" s="83"/>
      <c r="BA647" s="83"/>
      <c r="BB647" s="83"/>
      <c r="BC647" s="83"/>
      <c r="BD647" s="83"/>
      <c r="BE647" s="83"/>
      <c r="BF647" s="83"/>
      <c r="BG647" s="83"/>
      <c r="BH647" s="83"/>
      <c r="BI647" s="83"/>
      <c r="BJ647" s="83"/>
      <c r="BK647" s="83"/>
      <c r="BL647" s="83"/>
      <c r="BM647" s="83"/>
      <c r="BN647" s="83"/>
      <c r="BO647" s="83"/>
      <c r="BP647" s="83"/>
      <c r="BQ647" s="83"/>
      <c r="BR647" s="83"/>
      <c r="BS647" s="83"/>
      <c r="BT647" s="83"/>
      <c r="BU647" s="83"/>
      <c r="BV647" s="83"/>
      <c r="BW647" s="83"/>
      <c r="BX647" s="83"/>
      <c r="BY647" s="83"/>
      <c r="BZ647" s="83"/>
      <c r="CA647" s="83"/>
      <c r="CB647" s="83"/>
      <c r="CC647" s="83"/>
      <c r="CD647" s="83"/>
      <c r="CE647" s="83"/>
      <c r="CF647" s="83"/>
      <c r="CG647" s="83"/>
      <c r="CH647" s="83"/>
      <c r="CI647" s="83"/>
      <c r="CJ647" s="83"/>
      <c r="CK647" s="83"/>
      <c r="CL647" s="83"/>
      <c r="CM647" s="83"/>
      <c r="CN647" s="83"/>
      <c r="CO647" s="83"/>
      <c r="CP647" s="83"/>
      <c r="CQ647" s="83"/>
      <c r="CR647" s="83"/>
      <c r="CS647" s="83"/>
      <c r="CT647" s="83"/>
      <c r="CU647" s="83"/>
      <c r="CV647" s="83"/>
      <c r="CW647" s="83"/>
      <c r="CX647" s="83"/>
      <c r="CY647" s="83"/>
      <c r="CZ647" s="83"/>
      <c r="DA647" s="83"/>
      <c r="DB647" s="83"/>
      <c r="DC647" s="83"/>
    </row>
    <row r="648" spans="1:107" x14ac:dyDescent="0.3">
      <c r="A648" s="83"/>
      <c r="B648" s="83"/>
      <c r="C648" s="83"/>
      <c r="D648" s="83"/>
      <c r="E648" s="83"/>
      <c r="F648" s="83"/>
      <c r="G648" s="83"/>
      <c r="H648" s="83"/>
      <c r="I648" s="83"/>
      <c r="J648" s="83"/>
      <c r="K648" s="83"/>
      <c r="L648" s="83"/>
      <c r="M648" s="83"/>
      <c r="N648" s="83"/>
      <c r="O648" s="83"/>
      <c r="P648" s="83"/>
      <c r="Q648" s="83"/>
      <c r="R648" s="83"/>
      <c r="S648" s="83"/>
      <c r="T648" s="83"/>
      <c r="U648" s="83"/>
      <c r="V648" s="83"/>
      <c r="W648" s="83"/>
      <c r="X648" s="83"/>
      <c r="Y648" s="83"/>
      <c r="Z648" s="83"/>
      <c r="AA648" s="83"/>
      <c r="AB648" s="83"/>
      <c r="AC648" s="83"/>
      <c r="AD648" s="83"/>
      <c r="AE648" s="83"/>
      <c r="AF648" s="83"/>
      <c r="AG648" s="83"/>
      <c r="AH648" s="83"/>
      <c r="AI648" s="83"/>
      <c r="AJ648" s="83"/>
      <c r="AK648" s="83"/>
      <c r="AL648" s="83"/>
      <c r="AM648" s="83"/>
      <c r="AN648" s="83"/>
      <c r="AO648" s="83"/>
      <c r="AP648" s="83"/>
      <c r="AQ648" s="83"/>
      <c r="AR648" s="83"/>
      <c r="AS648" s="83"/>
      <c r="AT648" s="83"/>
      <c r="AU648" s="83"/>
      <c r="AV648" s="83"/>
      <c r="AW648" s="83"/>
      <c r="AX648" s="83"/>
      <c r="AY648" s="83"/>
      <c r="AZ648" s="83"/>
      <c r="BA648" s="83"/>
      <c r="BB648" s="83"/>
      <c r="BC648" s="83"/>
      <c r="BD648" s="83"/>
      <c r="BE648" s="83"/>
      <c r="BF648" s="83"/>
      <c r="BG648" s="83"/>
      <c r="BH648" s="83"/>
      <c r="BI648" s="83"/>
      <c r="BJ648" s="83"/>
      <c r="BK648" s="83"/>
      <c r="BL648" s="83"/>
      <c r="BM648" s="83"/>
      <c r="BN648" s="83"/>
      <c r="BO648" s="83"/>
      <c r="BP648" s="83"/>
      <c r="BQ648" s="83"/>
      <c r="BR648" s="83"/>
      <c r="BS648" s="83"/>
      <c r="BT648" s="83"/>
      <c r="BU648" s="83"/>
      <c r="BV648" s="83"/>
      <c r="BW648" s="83"/>
      <c r="BX648" s="83"/>
      <c r="BY648" s="83"/>
      <c r="BZ648" s="83"/>
      <c r="CA648" s="83"/>
      <c r="CB648" s="83"/>
      <c r="CC648" s="83"/>
      <c r="CD648" s="83"/>
      <c r="CE648" s="83"/>
      <c r="CF648" s="83"/>
      <c r="CG648" s="83"/>
      <c r="CH648" s="83"/>
      <c r="CI648" s="83"/>
      <c r="CJ648" s="83"/>
      <c r="CK648" s="83"/>
      <c r="CL648" s="83"/>
      <c r="CM648" s="83"/>
      <c r="CN648" s="83"/>
      <c r="CO648" s="83"/>
      <c r="CP648" s="83"/>
      <c r="CQ648" s="83"/>
      <c r="CR648" s="83"/>
      <c r="CS648" s="83"/>
      <c r="CT648" s="83"/>
      <c r="CU648" s="83"/>
      <c r="CV648" s="83"/>
      <c r="CW648" s="83"/>
      <c r="CX648" s="83"/>
      <c r="CY648" s="83"/>
      <c r="CZ648" s="83"/>
      <c r="DA648" s="83"/>
      <c r="DB648" s="83"/>
      <c r="DC648" s="83"/>
    </row>
    <row r="649" spans="1:107" x14ac:dyDescent="0.3">
      <c r="A649" s="83"/>
      <c r="B649" s="83"/>
      <c r="C649" s="83"/>
      <c r="D649" s="83"/>
      <c r="E649" s="83"/>
      <c r="F649" s="83"/>
      <c r="G649" s="83"/>
      <c r="H649" s="83"/>
      <c r="I649" s="83"/>
      <c r="J649" s="83"/>
      <c r="K649" s="83"/>
      <c r="L649" s="83"/>
      <c r="M649" s="83"/>
      <c r="N649" s="83"/>
      <c r="O649" s="83"/>
      <c r="P649" s="83"/>
      <c r="Q649" s="83"/>
      <c r="R649" s="83"/>
      <c r="S649" s="83"/>
      <c r="T649" s="83"/>
      <c r="U649" s="83"/>
      <c r="V649" s="83"/>
      <c r="W649" s="83"/>
      <c r="X649" s="83"/>
      <c r="Y649" s="83"/>
      <c r="Z649" s="83"/>
      <c r="AA649" s="83"/>
      <c r="AB649" s="83"/>
      <c r="AC649" s="83"/>
      <c r="AD649" s="83"/>
      <c r="AE649" s="83"/>
      <c r="AF649" s="83"/>
      <c r="AG649" s="83"/>
      <c r="AH649" s="83"/>
      <c r="AI649" s="83"/>
      <c r="AJ649" s="83"/>
      <c r="AK649" s="83"/>
      <c r="AL649" s="83"/>
      <c r="AM649" s="83"/>
      <c r="AN649" s="83"/>
      <c r="AO649" s="83"/>
      <c r="AP649" s="83"/>
      <c r="AQ649" s="83"/>
      <c r="AR649" s="83"/>
      <c r="AS649" s="83"/>
      <c r="AT649" s="83"/>
      <c r="AU649" s="83"/>
      <c r="AV649" s="83"/>
      <c r="AW649" s="83"/>
      <c r="AX649" s="83"/>
      <c r="AY649" s="83"/>
      <c r="AZ649" s="83"/>
      <c r="BA649" s="83"/>
      <c r="BB649" s="83"/>
      <c r="BC649" s="83"/>
      <c r="BD649" s="83"/>
      <c r="BE649" s="83"/>
      <c r="BF649" s="83"/>
      <c r="BG649" s="83"/>
      <c r="BH649" s="83"/>
      <c r="BI649" s="83"/>
      <c r="BJ649" s="83"/>
      <c r="BK649" s="83"/>
      <c r="BL649" s="83"/>
      <c r="BM649" s="83"/>
      <c r="BN649" s="83"/>
      <c r="BO649" s="83"/>
      <c r="BP649" s="83"/>
      <c r="BQ649" s="83"/>
      <c r="BR649" s="83"/>
      <c r="BS649" s="83"/>
      <c r="BT649" s="83"/>
      <c r="BU649" s="83"/>
      <c r="BV649" s="83"/>
      <c r="BW649" s="83"/>
      <c r="BX649" s="83"/>
      <c r="BY649" s="83"/>
      <c r="BZ649" s="83"/>
      <c r="CA649" s="83"/>
      <c r="CB649" s="83"/>
      <c r="CC649" s="83"/>
      <c r="CD649" s="83"/>
      <c r="CE649" s="83"/>
      <c r="CF649" s="83"/>
      <c r="CG649" s="83"/>
      <c r="CH649" s="83"/>
      <c r="CI649" s="83"/>
      <c r="CJ649" s="83"/>
      <c r="CK649" s="83"/>
      <c r="CL649" s="83"/>
      <c r="CM649" s="83"/>
      <c r="CN649" s="83"/>
      <c r="CO649" s="83"/>
      <c r="CP649" s="83"/>
      <c r="CQ649" s="83"/>
      <c r="CR649" s="83"/>
      <c r="CS649" s="83"/>
      <c r="CT649" s="83"/>
      <c r="CU649" s="83"/>
      <c r="CV649" s="83"/>
      <c r="CW649" s="83"/>
      <c r="CX649" s="83"/>
      <c r="CY649" s="83"/>
      <c r="CZ649" s="83"/>
      <c r="DA649" s="83"/>
      <c r="DB649" s="83"/>
      <c r="DC649" s="83"/>
    </row>
    <row r="650" spans="1:107" x14ac:dyDescent="0.3">
      <c r="A650" s="83"/>
      <c r="B650" s="83"/>
      <c r="C650" s="83"/>
      <c r="D650" s="83"/>
      <c r="E650" s="83"/>
      <c r="F650" s="83"/>
      <c r="G650" s="83"/>
      <c r="H650" s="83"/>
      <c r="I650" s="83"/>
      <c r="J650" s="83"/>
      <c r="K650" s="83"/>
      <c r="L650" s="83"/>
      <c r="M650" s="83"/>
      <c r="N650" s="83"/>
      <c r="O650" s="83"/>
      <c r="P650" s="83"/>
      <c r="Q650" s="83"/>
      <c r="R650" s="83"/>
      <c r="S650" s="83"/>
      <c r="T650" s="83"/>
      <c r="U650" s="83"/>
      <c r="V650" s="83"/>
      <c r="W650" s="83"/>
      <c r="X650" s="83"/>
      <c r="Y650" s="83"/>
      <c r="Z650" s="83"/>
      <c r="AA650" s="83"/>
      <c r="AB650" s="83"/>
      <c r="AC650" s="83"/>
      <c r="AD650" s="83"/>
      <c r="AE650" s="83"/>
      <c r="AF650" s="83"/>
      <c r="AG650" s="83"/>
      <c r="AH650" s="83"/>
      <c r="AI650" s="83"/>
      <c r="AJ650" s="83"/>
      <c r="AK650" s="83"/>
      <c r="AL650" s="83"/>
      <c r="AM650" s="83"/>
      <c r="AN650" s="83"/>
      <c r="AO650" s="83"/>
      <c r="AP650" s="83"/>
      <c r="AQ650" s="83"/>
      <c r="AR650" s="83"/>
      <c r="AS650" s="83"/>
      <c r="AT650" s="83"/>
      <c r="AU650" s="83"/>
      <c r="AV650" s="83"/>
      <c r="AW650" s="83"/>
      <c r="AX650" s="83"/>
      <c r="AY650" s="83"/>
      <c r="AZ650" s="83"/>
      <c r="BA650" s="83"/>
      <c r="BB650" s="83"/>
      <c r="BC650" s="83"/>
      <c r="BD650" s="83"/>
      <c r="BE650" s="83"/>
      <c r="BF650" s="83"/>
      <c r="BG650" s="83"/>
      <c r="BH650" s="83"/>
      <c r="BI650" s="83"/>
      <c r="BJ650" s="83"/>
      <c r="BK650" s="83"/>
      <c r="BL650" s="83"/>
      <c r="BM650" s="83"/>
      <c r="BN650" s="83"/>
      <c r="BO650" s="83"/>
      <c r="BP650" s="83"/>
      <c r="BQ650" s="83"/>
      <c r="BR650" s="83"/>
      <c r="BS650" s="83"/>
      <c r="BT650" s="83"/>
      <c r="BU650" s="83"/>
      <c r="BV650" s="83"/>
      <c r="BW650" s="83"/>
      <c r="BX650" s="83"/>
      <c r="BY650" s="83"/>
      <c r="BZ650" s="83"/>
      <c r="CA650" s="83"/>
      <c r="CB650" s="83"/>
      <c r="CC650" s="83"/>
      <c r="CD650" s="83"/>
      <c r="CE650" s="83"/>
      <c r="CF650" s="83"/>
      <c r="CG650" s="83"/>
      <c r="CH650" s="83"/>
      <c r="CI650" s="83"/>
      <c r="CJ650" s="83"/>
      <c r="CK650" s="83"/>
      <c r="CL650" s="83"/>
      <c r="CM650" s="83"/>
      <c r="CN650" s="83"/>
      <c r="CO650" s="83"/>
      <c r="CP650" s="83"/>
      <c r="CQ650" s="83"/>
      <c r="CR650" s="83"/>
      <c r="CS650" s="83"/>
      <c r="CT650" s="83"/>
      <c r="CU650" s="83"/>
      <c r="CV650" s="83"/>
      <c r="CW650" s="83"/>
      <c r="CX650" s="83"/>
      <c r="CY650" s="83"/>
      <c r="CZ650" s="83"/>
      <c r="DA650" s="83"/>
      <c r="DB650" s="83"/>
      <c r="DC650" s="83"/>
    </row>
    <row r="651" spans="1:107" x14ac:dyDescent="0.3">
      <c r="A651" s="83"/>
      <c r="B651" s="83"/>
      <c r="C651" s="83"/>
      <c r="D651" s="83"/>
      <c r="E651" s="83"/>
      <c r="F651" s="83"/>
      <c r="G651" s="83"/>
      <c r="H651" s="83"/>
      <c r="I651" s="83"/>
      <c r="J651" s="83"/>
      <c r="K651" s="83"/>
      <c r="L651" s="83"/>
      <c r="M651" s="83"/>
      <c r="N651" s="83"/>
      <c r="O651" s="83"/>
      <c r="P651" s="83"/>
      <c r="Q651" s="83"/>
      <c r="R651" s="83"/>
      <c r="S651" s="83"/>
      <c r="T651" s="83"/>
      <c r="U651" s="83"/>
      <c r="V651" s="83"/>
      <c r="W651" s="83"/>
      <c r="X651" s="83"/>
      <c r="Y651" s="83"/>
      <c r="Z651" s="83"/>
      <c r="AA651" s="83"/>
      <c r="AB651" s="83"/>
      <c r="AC651" s="83"/>
      <c r="AD651" s="83"/>
      <c r="AE651" s="83"/>
      <c r="AF651" s="83"/>
      <c r="AG651" s="83"/>
      <c r="AH651" s="83"/>
      <c r="AI651" s="83"/>
      <c r="AJ651" s="83"/>
      <c r="AK651" s="83"/>
      <c r="AL651" s="83"/>
      <c r="AM651" s="83"/>
      <c r="AN651" s="83"/>
      <c r="AO651" s="83"/>
      <c r="AP651" s="83"/>
      <c r="AQ651" s="83"/>
      <c r="AR651" s="83"/>
      <c r="AS651" s="83"/>
      <c r="AT651" s="83"/>
      <c r="AU651" s="83"/>
      <c r="AV651" s="83"/>
      <c r="AW651" s="83"/>
      <c r="AX651" s="83"/>
      <c r="AY651" s="83"/>
      <c r="AZ651" s="83"/>
      <c r="BA651" s="83"/>
      <c r="BB651" s="83"/>
      <c r="BC651" s="83"/>
      <c r="BD651" s="83"/>
      <c r="BE651" s="83"/>
      <c r="BF651" s="83"/>
      <c r="BG651" s="83"/>
      <c r="BH651" s="83"/>
      <c r="BI651" s="83"/>
      <c r="BJ651" s="83"/>
      <c r="BK651" s="83"/>
      <c r="BL651" s="83"/>
      <c r="BM651" s="83"/>
      <c r="BN651" s="83"/>
      <c r="BO651" s="83"/>
      <c r="BP651" s="83"/>
      <c r="BQ651" s="83"/>
      <c r="BR651" s="83"/>
      <c r="BS651" s="83"/>
      <c r="BT651" s="83"/>
      <c r="BU651" s="83"/>
      <c r="BV651" s="83"/>
      <c r="BW651" s="83"/>
      <c r="BX651" s="83"/>
      <c r="BY651" s="83"/>
      <c r="BZ651" s="83"/>
      <c r="CA651" s="83"/>
      <c r="CB651" s="83"/>
      <c r="CC651" s="83"/>
      <c r="CD651" s="83"/>
      <c r="CE651" s="83"/>
      <c r="CF651" s="83"/>
      <c r="CG651" s="83"/>
      <c r="CH651" s="83"/>
      <c r="CI651" s="83"/>
      <c r="CJ651" s="83"/>
      <c r="CK651" s="83"/>
      <c r="CL651" s="83"/>
      <c r="CM651" s="83"/>
      <c r="CN651" s="83"/>
      <c r="CO651" s="83"/>
      <c r="CP651" s="83"/>
      <c r="CQ651" s="83"/>
      <c r="CR651" s="83"/>
      <c r="CS651" s="83"/>
      <c r="CT651" s="83"/>
      <c r="CU651" s="83"/>
      <c r="CV651" s="83"/>
      <c r="CW651" s="83"/>
      <c r="CX651" s="83"/>
      <c r="CY651" s="83"/>
      <c r="CZ651" s="83"/>
      <c r="DA651" s="83"/>
      <c r="DB651" s="83"/>
      <c r="DC651" s="83"/>
    </row>
    <row r="652" spans="1:107" x14ac:dyDescent="0.3">
      <c r="A652" s="83"/>
      <c r="B652" s="83"/>
      <c r="C652" s="83"/>
      <c r="D652" s="83"/>
      <c r="E652" s="83"/>
      <c r="F652" s="83"/>
      <c r="G652" s="83"/>
      <c r="H652" s="83"/>
      <c r="I652" s="83"/>
      <c r="J652" s="83"/>
      <c r="K652" s="83"/>
      <c r="L652" s="83"/>
      <c r="M652" s="83"/>
      <c r="N652" s="83"/>
      <c r="O652" s="83"/>
      <c r="P652" s="83"/>
      <c r="Q652" s="83"/>
      <c r="R652" s="83"/>
      <c r="S652" s="83"/>
      <c r="T652" s="83"/>
      <c r="U652" s="83"/>
      <c r="V652" s="83"/>
      <c r="W652" s="83"/>
      <c r="X652" s="83"/>
      <c r="Y652" s="83"/>
      <c r="Z652" s="83"/>
      <c r="AA652" s="83"/>
      <c r="AB652" s="83"/>
      <c r="AC652" s="83"/>
      <c r="AD652" s="83"/>
      <c r="AE652" s="83"/>
      <c r="AF652" s="83"/>
      <c r="AG652" s="83"/>
      <c r="AH652" s="83"/>
      <c r="AI652" s="83"/>
      <c r="AJ652" s="83"/>
      <c r="AK652" s="83"/>
      <c r="AL652" s="83"/>
      <c r="AM652" s="83"/>
      <c r="AN652" s="83"/>
      <c r="AO652" s="83"/>
      <c r="AP652" s="83"/>
      <c r="AQ652" s="83"/>
      <c r="AR652" s="83"/>
      <c r="AS652" s="83"/>
      <c r="AT652" s="83"/>
      <c r="AU652" s="83"/>
      <c r="AV652" s="83"/>
      <c r="AW652" s="83"/>
      <c r="AX652" s="83"/>
      <c r="AY652" s="83"/>
      <c r="AZ652" s="83"/>
      <c r="BA652" s="83"/>
      <c r="BB652" s="83"/>
      <c r="BC652" s="83"/>
      <c r="BD652" s="83"/>
      <c r="BE652" s="83"/>
      <c r="BF652" s="83"/>
      <c r="BG652" s="83"/>
      <c r="BH652" s="83"/>
      <c r="BI652" s="83"/>
      <c r="BJ652" s="83"/>
      <c r="BK652" s="83"/>
      <c r="BL652" s="83"/>
      <c r="BM652" s="83"/>
      <c r="BN652" s="83"/>
      <c r="BO652" s="83"/>
      <c r="BP652" s="83"/>
      <c r="BQ652" s="83"/>
      <c r="BR652" s="83"/>
      <c r="BS652" s="83"/>
      <c r="BT652" s="83"/>
      <c r="BU652" s="83"/>
      <c r="BV652" s="83"/>
      <c r="BW652" s="83"/>
      <c r="BX652" s="83"/>
      <c r="BY652" s="83"/>
      <c r="BZ652" s="83"/>
      <c r="CA652" s="83"/>
      <c r="CB652" s="83"/>
      <c r="CC652" s="83"/>
      <c r="CD652" s="83"/>
      <c r="CE652" s="83"/>
      <c r="CF652" s="83"/>
      <c r="CG652" s="83"/>
      <c r="CH652" s="83"/>
      <c r="CI652" s="83"/>
      <c r="CJ652" s="83"/>
      <c r="CK652" s="83"/>
      <c r="CL652" s="83"/>
      <c r="CM652" s="83"/>
      <c r="CN652" s="83"/>
      <c r="CO652" s="83"/>
      <c r="CP652" s="83"/>
      <c r="CQ652" s="83"/>
      <c r="CR652" s="83"/>
      <c r="CS652" s="83"/>
      <c r="CT652" s="83"/>
      <c r="CU652" s="83"/>
      <c r="CV652" s="83"/>
      <c r="CW652" s="83"/>
      <c r="CX652" s="83"/>
      <c r="CY652" s="83"/>
      <c r="CZ652" s="83"/>
      <c r="DA652" s="83"/>
      <c r="DB652" s="83"/>
      <c r="DC652" s="83"/>
    </row>
    <row r="653" spans="1:107" x14ac:dyDescent="0.3">
      <c r="A653" s="83"/>
      <c r="B653" s="83"/>
      <c r="C653" s="83"/>
      <c r="D653" s="83"/>
      <c r="E653" s="83"/>
      <c r="F653" s="83"/>
      <c r="G653" s="83"/>
      <c r="H653" s="83"/>
      <c r="I653" s="83"/>
      <c r="J653" s="83"/>
      <c r="K653" s="83"/>
      <c r="L653" s="83"/>
      <c r="M653" s="83"/>
      <c r="N653" s="83"/>
      <c r="O653" s="83"/>
      <c r="P653" s="83"/>
      <c r="Q653" s="83"/>
      <c r="R653" s="83"/>
      <c r="S653" s="83"/>
      <c r="T653" s="83"/>
      <c r="U653" s="83"/>
      <c r="V653" s="83"/>
      <c r="W653" s="83"/>
      <c r="X653" s="83"/>
      <c r="Y653" s="83"/>
      <c r="Z653" s="83"/>
      <c r="AA653" s="83"/>
      <c r="AB653" s="83"/>
      <c r="AC653" s="83"/>
      <c r="AD653" s="83"/>
      <c r="AE653" s="83"/>
      <c r="AF653" s="83"/>
      <c r="AG653" s="83"/>
      <c r="AH653" s="83"/>
      <c r="AI653" s="83"/>
      <c r="AJ653" s="83"/>
      <c r="AK653" s="83"/>
      <c r="AL653" s="83"/>
      <c r="AM653" s="83"/>
      <c r="AN653" s="83"/>
      <c r="AO653" s="83"/>
      <c r="AP653" s="83"/>
      <c r="AQ653" s="83"/>
      <c r="AR653" s="83"/>
      <c r="AS653" s="83"/>
      <c r="AT653" s="83"/>
      <c r="AU653" s="83"/>
      <c r="AV653" s="83"/>
      <c r="AW653" s="83"/>
      <c r="AX653" s="83"/>
      <c r="AY653" s="83"/>
      <c r="AZ653" s="83"/>
      <c r="BA653" s="83"/>
      <c r="BB653" s="83"/>
      <c r="BC653" s="83"/>
      <c r="BD653" s="83"/>
      <c r="BE653" s="83"/>
      <c r="BF653" s="83"/>
      <c r="BG653" s="83"/>
      <c r="BH653" s="83"/>
      <c r="BI653" s="83"/>
      <c r="BJ653" s="83"/>
      <c r="BK653" s="83"/>
      <c r="BL653" s="83"/>
      <c r="BM653" s="83"/>
      <c r="BN653" s="83"/>
      <c r="BO653" s="83"/>
      <c r="BP653" s="83"/>
      <c r="BQ653" s="83"/>
      <c r="BR653" s="83"/>
      <c r="BS653" s="83"/>
      <c r="BT653" s="83"/>
      <c r="BU653" s="83"/>
      <c r="BV653" s="83"/>
      <c r="BW653" s="83"/>
      <c r="BX653" s="83"/>
      <c r="BY653" s="83"/>
      <c r="BZ653" s="83"/>
      <c r="CA653" s="83"/>
      <c r="CB653" s="83"/>
      <c r="CC653" s="83"/>
      <c r="CD653" s="83"/>
      <c r="CE653" s="83"/>
      <c r="CF653" s="83"/>
      <c r="CG653" s="83"/>
      <c r="CH653" s="83"/>
      <c r="CI653" s="83"/>
      <c r="CJ653" s="83"/>
      <c r="CK653" s="83"/>
      <c r="CL653" s="83"/>
      <c r="CM653" s="83"/>
      <c r="CN653" s="83"/>
      <c r="CO653" s="83"/>
      <c r="CP653" s="83"/>
      <c r="CQ653" s="83"/>
      <c r="CR653" s="83"/>
      <c r="CS653" s="83"/>
      <c r="CT653" s="83"/>
      <c r="CU653" s="83"/>
      <c r="CV653" s="83"/>
      <c r="CW653" s="83"/>
      <c r="CX653" s="83"/>
      <c r="CY653" s="83"/>
      <c r="CZ653" s="83"/>
      <c r="DA653" s="83"/>
      <c r="DB653" s="83"/>
      <c r="DC653" s="83"/>
    </row>
    <row r="654" spans="1:107" x14ac:dyDescent="0.3">
      <c r="A654" s="83"/>
      <c r="B654" s="83"/>
      <c r="C654" s="83"/>
      <c r="D654" s="83"/>
      <c r="E654" s="83"/>
      <c r="F654" s="83"/>
      <c r="G654" s="83"/>
      <c r="H654" s="83"/>
      <c r="I654" s="83"/>
      <c r="J654" s="83"/>
      <c r="K654" s="83"/>
      <c r="L654" s="83"/>
      <c r="M654" s="83"/>
      <c r="N654" s="83"/>
      <c r="O654" s="83"/>
      <c r="P654" s="83"/>
      <c r="Q654" s="83"/>
      <c r="R654" s="83"/>
      <c r="S654" s="83"/>
      <c r="T654" s="83"/>
      <c r="U654" s="83"/>
      <c r="V654" s="83"/>
      <c r="W654" s="83"/>
      <c r="X654" s="83"/>
      <c r="Y654" s="83"/>
      <c r="Z654" s="83"/>
      <c r="AA654" s="83"/>
      <c r="AB654" s="83"/>
      <c r="AC654" s="83"/>
      <c r="AD654" s="83"/>
      <c r="AE654" s="83"/>
      <c r="AF654" s="83"/>
      <c r="AG654" s="83"/>
      <c r="AH654" s="83"/>
      <c r="AI654" s="83"/>
      <c r="AJ654" s="83"/>
      <c r="AK654" s="83"/>
      <c r="AL654" s="83"/>
      <c r="AM654" s="83"/>
      <c r="AN654" s="83"/>
      <c r="AO654" s="83"/>
      <c r="AP654" s="83"/>
      <c r="AQ654" s="83"/>
      <c r="AR654" s="83"/>
      <c r="AS654" s="83"/>
      <c r="AT654" s="83"/>
      <c r="AU654" s="83"/>
      <c r="AV654" s="83"/>
      <c r="AW654" s="83"/>
      <c r="AX654" s="83"/>
      <c r="AY654" s="83"/>
      <c r="AZ654" s="83"/>
      <c r="BA654" s="83"/>
      <c r="BB654" s="83"/>
      <c r="BC654" s="83"/>
      <c r="BD654" s="83"/>
      <c r="BE654" s="83"/>
      <c r="BF654" s="83"/>
      <c r="BG654" s="83"/>
      <c r="BH654" s="83"/>
      <c r="BI654" s="83"/>
      <c r="BJ654" s="83"/>
      <c r="BK654" s="83"/>
      <c r="BL654" s="83"/>
      <c r="BM654" s="83"/>
      <c r="BN654" s="83"/>
      <c r="BO654" s="83"/>
      <c r="BP654" s="83"/>
      <c r="BQ654" s="83"/>
      <c r="BR654" s="83"/>
      <c r="BS654" s="83"/>
      <c r="BT654" s="83"/>
      <c r="BU654" s="83"/>
      <c r="BV654" s="83"/>
      <c r="BW654" s="83"/>
      <c r="BX654" s="83"/>
      <c r="BY654" s="83"/>
      <c r="BZ654" s="83"/>
      <c r="CA654" s="83"/>
      <c r="CB654" s="83"/>
      <c r="CC654" s="83"/>
      <c r="CD654" s="83"/>
      <c r="CE654" s="83"/>
      <c r="CF654" s="83"/>
      <c r="CG654" s="83"/>
      <c r="CH654" s="83"/>
      <c r="CI654" s="83"/>
      <c r="CJ654" s="83"/>
      <c r="CK654" s="83"/>
      <c r="CL654" s="83"/>
      <c r="CM654" s="83"/>
      <c r="CN654" s="83"/>
      <c r="CO654" s="83"/>
      <c r="CP654" s="83"/>
      <c r="CQ654" s="83"/>
      <c r="CR654" s="83"/>
      <c r="CS654" s="83"/>
      <c r="CT654" s="83"/>
      <c r="CU654" s="83"/>
      <c r="CV654" s="83"/>
      <c r="CW654" s="83"/>
      <c r="CX654" s="83"/>
      <c r="CY654" s="83"/>
      <c r="CZ654" s="83"/>
      <c r="DA654" s="83"/>
      <c r="DB654" s="83"/>
      <c r="DC654" s="83"/>
    </row>
    <row r="655" spans="1:107" x14ac:dyDescent="0.3">
      <c r="A655" s="83"/>
      <c r="B655" s="83"/>
      <c r="C655" s="83"/>
      <c r="D655" s="83"/>
      <c r="E655" s="83"/>
      <c r="F655" s="83"/>
      <c r="G655" s="83"/>
      <c r="H655" s="83"/>
      <c r="I655" s="83"/>
      <c r="J655" s="83"/>
      <c r="K655" s="83"/>
      <c r="L655" s="83"/>
      <c r="M655" s="83"/>
      <c r="N655" s="83"/>
      <c r="O655" s="83"/>
      <c r="P655" s="83"/>
      <c r="Q655" s="83"/>
      <c r="R655" s="83"/>
      <c r="S655" s="83"/>
      <c r="T655" s="83"/>
      <c r="U655" s="83"/>
      <c r="V655" s="83"/>
      <c r="W655" s="83"/>
      <c r="X655" s="83"/>
      <c r="Y655" s="83"/>
      <c r="Z655" s="83"/>
      <c r="AA655" s="83"/>
      <c r="AB655" s="83"/>
      <c r="AC655" s="83"/>
      <c r="AD655" s="83"/>
      <c r="AE655" s="83"/>
      <c r="AF655" s="83"/>
      <c r="AG655" s="83"/>
      <c r="AH655" s="83"/>
      <c r="AI655" s="83"/>
      <c r="AJ655" s="83"/>
      <c r="AK655" s="83"/>
      <c r="AL655" s="83"/>
      <c r="AM655" s="83"/>
      <c r="AN655" s="83"/>
      <c r="AO655" s="83"/>
      <c r="AP655" s="83"/>
      <c r="AQ655" s="83"/>
      <c r="AR655" s="83"/>
      <c r="AS655" s="83"/>
      <c r="AT655" s="83"/>
      <c r="AU655" s="83"/>
      <c r="AV655" s="83"/>
      <c r="AW655" s="83"/>
      <c r="AX655" s="83"/>
      <c r="AY655" s="83"/>
      <c r="AZ655" s="83"/>
      <c r="BA655" s="83"/>
      <c r="BB655" s="83"/>
      <c r="BC655" s="83"/>
      <c r="BD655" s="83"/>
      <c r="BE655" s="83"/>
      <c r="BF655" s="83"/>
      <c r="BG655" s="83"/>
      <c r="BH655" s="83"/>
      <c r="BI655" s="83"/>
      <c r="BJ655" s="83"/>
      <c r="BK655" s="83"/>
      <c r="BL655" s="83"/>
      <c r="BM655" s="83"/>
      <c r="BN655" s="83"/>
      <c r="BO655" s="83"/>
      <c r="BP655" s="83"/>
      <c r="BQ655" s="83"/>
      <c r="BR655" s="83"/>
      <c r="BS655" s="83"/>
      <c r="BT655" s="83"/>
      <c r="BU655" s="83"/>
      <c r="BV655" s="83"/>
      <c r="BW655" s="83"/>
      <c r="BX655" s="83"/>
      <c r="BY655" s="83"/>
      <c r="BZ655" s="83"/>
      <c r="CA655" s="83"/>
      <c r="CB655" s="83"/>
      <c r="CC655" s="83"/>
      <c r="CD655" s="83"/>
      <c r="CE655" s="83"/>
      <c r="CF655" s="83"/>
      <c r="CG655" s="83"/>
      <c r="CH655" s="83"/>
      <c r="CI655" s="83"/>
      <c r="CJ655" s="83"/>
      <c r="CK655" s="83"/>
      <c r="CL655" s="83"/>
      <c r="CM655" s="83"/>
      <c r="CN655" s="83"/>
      <c r="CO655" s="83"/>
      <c r="CP655" s="83"/>
      <c r="CQ655" s="83"/>
      <c r="CR655" s="83"/>
      <c r="CS655" s="83"/>
      <c r="CT655" s="83"/>
      <c r="CU655" s="83"/>
      <c r="CV655" s="83"/>
      <c r="CW655" s="83"/>
      <c r="CX655" s="83"/>
      <c r="CY655" s="83"/>
      <c r="CZ655" s="83"/>
      <c r="DA655" s="83"/>
      <c r="DB655" s="83"/>
      <c r="DC655" s="83"/>
    </row>
    <row r="656" spans="1:107" x14ac:dyDescent="0.3">
      <c r="A656" s="83"/>
      <c r="B656" s="83"/>
      <c r="C656" s="83"/>
      <c r="D656" s="83"/>
      <c r="E656" s="83"/>
      <c r="F656" s="83"/>
      <c r="G656" s="83"/>
      <c r="H656" s="83"/>
      <c r="I656" s="83"/>
      <c r="J656" s="83"/>
      <c r="K656" s="83"/>
      <c r="L656" s="83"/>
      <c r="M656" s="83"/>
      <c r="N656" s="83"/>
      <c r="O656" s="83"/>
      <c r="P656" s="83"/>
      <c r="Q656" s="83"/>
      <c r="R656" s="83"/>
      <c r="S656" s="83"/>
      <c r="T656" s="83"/>
      <c r="U656" s="83"/>
      <c r="V656" s="83"/>
      <c r="W656" s="83"/>
      <c r="X656" s="83"/>
      <c r="Y656" s="83"/>
      <c r="Z656" s="83"/>
      <c r="AA656" s="83"/>
      <c r="AB656" s="83"/>
      <c r="AC656" s="83"/>
      <c r="AD656" s="83"/>
      <c r="AE656" s="83"/>
      <c r="AF656" s="83"/>
      <c r="AG656" s="83"/>
      <c r="AH656" s="83"/>
      <c r="AI656" s="83"/>
      <c r="AJ656" s="83"/>
      <c r="AK656" s="83"/>
      <c r="AL656" s="83"/>
      <c r="AM656" s="83"/>
      <c r="AN656" s="83"/>
      <c r="AO656" s="83"/>
      <c r="AP656" s="83"/>
      <c r="AQ656" s="83"/>
      <c r="AR656" s="83"/>
      <c r="AS656" s="83"/>
      <c r="AT656" s="83"/>
      <c r="AU656" s="83"/>
      <c r="AV656" s="83"/>
      <c r="AW656" s="83"/>
      <c r="AX656" s="83"/>
      <c r="AY656" s="83"/>
      <c r="AZ656" s="83"/>
      <c r="BA656" s="83"/>
      <c r="BB656" s="83"/>
      <c r="BC656" s="83"/>
      <c r="BD656" s="83"/>
      <c r="BE656" s="83"/>
      <c r="BF656" s="83"/>
      <c r="BG656" s="83"/>
      <c r="BH656" s="83"/>
      <c r="BI656" s="83"/>
      <c r="BJ656" s="83"/>
      <c r="BK656" s="83"/>
      <c r="BL656" s="83"/>
      <c r="BM656" s="83"/>
      <c r="BN656" s="83"/>
      <c r="BO656" s="83"/>
      <c r="BP656" s="83"/>
      <c r="BQ656" s="83"/>
      <c r="BR656" s="83"/>
      <c r="BS656" s="83"/>
      <c r="BT656" s="83"/>
      <c r="BU656" s="83"/>
      <c r="BV656" s="83"/>
      <c r="BW656" s="83"/>
      <c r="BX656" s="83"/>
      <c r="BY656" s="83"/>
      <c r="BZ656" s="83"/>
      <c r="CA656" s="83"/>
      <c r="CB656" s="83"/>
      <c r="CC656" s="83"/>
      <c r="CD656" s="83"/>
      <c r="CE656" s="83"/>
      <c r="CF656" s="83"/>
      <c r="CG656" s="83"/>
      <c r="CH656" s="83"/>
      <c r="CI656" s="83"/>
      <c r="CJ656" s="83"/>
      <c r="CK656" s="83"/>
      <c r="CL656" s="83"/>
      <c r="CM656" s="83"/>
      <c r="CN656" s="83"/>
      <c r="CO656" s="83"/>
      <c r="CP656" s="83"/>
      <c r="CQ656" s="83"/>
      <c r="CR656" s="83"/>
      <c r="CS656" s="83"/>
      <c r="CT656" s="83"/>
      <c r="CU656" s="83"/>
      <c r="CV656" s="83"/>
      <c r="CW656" s="83"/>
      <c r="CX656" s="83"/>
      <c r="CY656" s="83"/>
      <c r="CZ656" s="83"/>
      <c r="DA656" s="83"/>
      <c r="DB656" s="83"/>
      <c r="DC656" s="83"/>
    </row>
    <row r="657" spans="1:107" x14ac:dyDescent="0.3">
      <c r="A657" s="83"/>
      <c r="B657" s="83"/>
      <c r="C657" s="83"/>
      <c r="D657" s="83"/>
      <c r="E657" s="83"/>
      <c r="F657" s="83"/>
      <c r="G657" s="83"/>
      <c r="H657" s="83"/>
      <c r="I657" s="83"/>
      <c r="J657" s="83"/>
      <c r="K657" s="83"/>
      <c r="L657" s="83"/>
      <c r="M657" s="83"/>
      <c r="N657" s="83"/>
      <c r="O657" s="83"/>
      <c r="P657" s="83"/>
      <c r="Q657" s="83"/>
      <c r="R657" s="83"/>
      <c r="S657" s="83"/>
      <c r="T657" s="83"/>
      <c r="U657" s="83"/>
      <c r="V657" s="83"/>
      <c r="W657" s="83"/>
      <c r="X657" s="83"/>
      <c r="Y657" s="83"/>
      <c r="Z657" s="83"/>
      <c r="AA657" s="83"/>
      <c r="AB657" s="83"/>
      <c r="AC657" s="83"/>
      <c r="AD657" s="83"/>
      <c r="AE657" s="83"/>
      <c r="AF657" s="83"/>
      <c r="AG657" s="83"/>
      <c r="AH657" s="83"/>
      <c r="AI657" s="83"/>
      <c r="AJ657" s="83"/>
      <c r="AK657" s="83"/>
      <c r="AL657" s="83"/>
      <c r="AM657" s="83"/>
      <c r="AN657" s="83"/>
      <c r="AO657" s="83"/>
      <c r="AP657" s="83"/>
      <c r="AQ657" s="83"/>
      <c r="AR657" s="83"/>
      <c r="AS657" s="83"/>
      <c r="AT657" s="83"/>
      <c r="AU657" s="83"/>
      <c r="AV657" s="83"/>
      <c r="AW657" s="83"/>
      <c r="AX657" s="83"/>
      <c r="AY657" s="83"/>
      <c r="AZ657" s="83"/>
      <c r="BA657" s="83"/>
      <c r="BB657" s="83"/>
      <c r="BC657" s="83"/>
      <c r="BD657" s="83"/>
      <c r="BE657" s="83"/>
      <c r="BF657" s="83"/>
      <c r="BG657" s="83"/>
      <c r="BH657" s="83"/>
      <c r="BI657" s="83"/>
      <c r="BJ657" s="83"/>
      <c r="BK657" s="83"/>
      <c r="BL657" s="83"/>
      <c r="BM657" s="83"/>
      <c r="BN657" s="83"/>
      <c r="BO657" s="83"/>
      <c r="BP657" s="83"/>
      <c r="BQ657" s="83"/>
      <c r="BR657" s="83"/>
      <c r="BS657" s="83"/>
      <c r="BT657" s="83"/>
      <c r="BU657" s="83"/>
      <c r="BV657" s="83"/>
      <c r="BW657" s="83"/>
      <c r="BX657" s="83"/>
      <c r="BY657" s="83"/>
      <c r="BZ657" s="83"/>
      <c r="CA657" s="83"/>
      <c r="CB657" s="83"/>
      <c r="CC657" s="83"/>
      <c r="CD657" s="83"/>
      <c r="CE657" s="83"/>
      <c r="CF657" s="83"/>
      <c r="CG657" s="83"/>
      <c r="CH657" s="83"/>
      <c r="CI657" s="83"/>
      <c r="CJ657" s="83"/>
      <c r="CK657" s="83"/>
      <c r="CL657" s="83"/>
      <c r="CM657" s="83"/>
      <c r="CN657" s="83"/>
      <c r="CO657" s="83"/>
      <c r="CP657" s="83"/>
      <c r="CQ657" s="83"/>
      <c r="CR657" s="83"/>
      <c r="CS657" s="83"/>
      <c r="CT657" s="83"/>
      <c r="CU657" s="83"/>
      <c r="CV657" s="83"/>
      <c r="CW657" s="83"/>
      <c r="CX657" s="83"/>
      <c r="CY657" s="83"/>
      <c r="CZ657" s="83"/>
      <c r="DA657" s="83"/>
      <c r="DB657" s="83"/>
      <c r="DC657" s="83"/>
    </row>
    <row r="658" spans="1:107" x14ac:dyDescent="0.3">
      <c r="A658" s="83"/>
      <c r="B658" s="83"/>
      <c r="C658" s="83"/>
      <c r="D658" s="83"/>
      <c r="E658" s="83"/>
      <c r="F658" s="83"/>
      <c r="G658" s="83"/>
      <c r="H658" s="83"/>
      <c r="I658" s="83"/>
      <c r="J658" s="83"/>
      <c r="K658" s="83"/>
      <c r="L658" s="83"/>
      <c r="M658" s="83"/>
      <c r="N658" s="83"/>
      <c r="O658" s="83"/>
      <c r="P658" s="83"/>
      <c r="Q658" s="83"/>
      <c r="R658" s="83"/>
      <c r="S658" s="83"/>
      <c r="T658" s="83"/>
      <c r="U658" s="83"/>
      <c r="V658" s="83"/>
      <c r="W658" s="83"/>
      <c r="X658" s="83"/>
      <c r="Y658" s="83"/>
      <c r="Z658" s="83"/>
      <c r="AA658" s="83"/>
      <c r="AB658" s="83"/>
      <c r="AC658" s="83"/>
      <c r="AD658" s="83"/>
      <c r="AE658" s="83"/>
      <c r="AF658" s="83"/>
      <c r="AG658" s="83"/>
      <c r="AH658" s="83"/>
      <c r="AI658" s="83"/>
      <c r="AJ658" s="83"/>
      <c r="AK658" s="83"/>
      <c r="AL658" s="83"/>
      <c r="AM658" s="83"/>
      <c r="AN658" s="83"/>
      <c r="AO658" s="83"/>
      <c r="AP658" s="83"/>
      <c r="AQ658" s="83"/>
      <c r="AR658" s="83"/>
      <c r="AS658" s="83"/>
      <c r="AT658" s="83"/>
      <c r="AU658" s="83"/>
      <c r="AV658" s="83"/>
      <c r="AW658" s="83"/>
      <c r="AX658" s="83"/>
      <c r="AY658" s="83"/>
      <c r="AZ658" s="83"/>
      <c r="BA658" s="83"/>
      <c r="BB658" s="83"/>
      <c r="BC658" s="83"/>
      <c r="BD658" s="83"/>
      <c r="BE658" s="83"/>
      <c r="BF658" s="83"/>
      <c r="BG658" s="83"/>
      <c r="BH658" s="83"/>
      <c r="BI658" s="83"/>
      <c r="BJ658" s="83"/>
      <c r="BK658" s="83"/>
      <c r="BL658" s="83"/>
      <c r="BM658" s="83"/>
      <c r="BN658" s="83"/>
      <c r="BO658" s="83"/>
      <c r="BP658" s="83"/>
      <c r="BQ658" s="83"/>
      <c r="BR658" s="83"/>
      <c r="BS658" s="83"/>
      <c r="BT658" s="83"/>
      <c r="BU658" s="83"/>
      <c r="BV658" s="83"/>
      <c r="BW658" s="83"/>
      <c r="BX658" s="83"/>
      <c r="BY658" s="83"/>
      <c r="BZ658" s="83"/>
      <c r="CA658" s="83"/>
      <c r="CB658" s="83"/>
      <c r="CC658" s="83"/>
      <c r="CD658" s="83"/>
      <c r="CE658" s="83"/>
      <c r="CF658" s="83"/>
      <c r="CG658" s="83"/>
      <c r="CH658" s="83"/>
      <c r="CI658" s="83"/>
      <c r="CJ658" s="83"/>
      <c r="CK658" s="83"/>
      <c r="CL658" s="83"/>
      <c r="CM658" s="83"/>
      <c r="CN658" s="83"/>
      <c r="CO658" s="83"/>
      <c r="CP658" s="83"/>
      <c r="CQ658" s="83"/>
      <c r="CR658" s="83"/>
      <c r="CS658" s="83"/>
      <c r="CT658" s="83"/>
      <c r="CU658" s="83"/>
      <c r="CV658" s="83"/>
      <c r="CW658" s="83"/>
      <c r="CX658" s="83"/>
      <c r="CY658" s="83"/>
      <c r="CZ658" s="83"/>
      <c r="DA658" s="83"/>
      <c r="DB658" s="83"/>
      <c r="DC658" s="83"/>
    </row>
    <row r="659" spans="1:107" x14ac:dyDescent="0.3">
      <c r="A659" s="83"/>
      <c r="B659" s="83"/>
      <c r="C659" s="83"/>
      <c r="D659" s="83"/>
      <c r="E659" s="83"/>
      <c r="F659" s="83"/>
      <c r="G659" s="83"/>
      <c r="H659" s="83"/>
      <c r="I659" s="83"/>
      <c r="J659" s="83"/>
      <c r="K659" s="83"/>
      <c r="L659" s="83"/>
      <c r="M659" s="83"/>
      <c r="N659" s="83"/>
      <c r="O659" s="83"/>
      <c r="P659" s="83"/>
      <c r="Q659" s="83"/>
      <c r="R659" s="83"/>
      <c r="S659" s="83"/>
      <c r="T659" s="83"/>
      <c r="U659" s="83"/>
      <c r="V659" s="83"/>
      <c r="W659" s="83"/>
      <c r="X659" s="83"/>
      <c r="Y659" s="83"/>
      <c r="Z659" s="83"/>
      <c r="AA659" s="83"/>
      <c r="AB659" s="83"/>
      <c r="AC659" s="83"/>
      <c r="AD659" s="83"/>
      <c r="AE659" s="83"/>
      <c r="AF659" s="83"/>
      <c r="AG659" s="83"/>
      <c r="AH659" s="83"/>
      <c r="AI659" s="83"/>
      <c r="AJ659" s="83"/>
      <c r="AK659" s="83"/>
      <c r="AL659" s="83"/>
      <c r="AM659" s="83"/>
      <c r="AN659" s="83"/>
      <c r="AO659" s="83"/>
      <c r="AP659" s="83"/>
      <c r="AQ659" s="83"/>
      <c r="AR659" s="83"/>
      <c r="AS659" s="83"/>
      <c r="AT659" s="83"/>
      <c r="AU659" s="83"/>
      <c r="AV659" s="83"/>
      <c r="AW659" s="83"/>
      <c r="AX659" s="83"/>
      <c r="AY659" s="83"/>
      <c r="AZ659" s="83"/>
      <c r="BA659" s="83"/>
      <c r="BB659" s="83"/>
      <c r="BC659" s="83"/>
      <c r="BD659" s="83"/>
      <c r="BE659" s="83"/>
      <c r="BF659" s="83"/>
      <c r="BG659" s="83"/>
      <c r="BH659" s="83"/>
      <c r="BI659" s="83"/>
      <c r="BJ659" s="83"/>
      <c r="BK659" s="83"/>
      <c r="BL659" s="83"/>
      <c r="BM659" s="83"/>
      <c r="BN659" s="83"/>
      <c r="BO659" s="83"/>
      <c r="BP659" s="83"/>
      <c r="BQ659" s="83"/>
      <c r="BR659" s="83"/>
      <c r="BS659" s="83"/>
      <c r="BT659" s="83"/>
      <c r="BU659" s="83"/>
      <c r="BV659" s="83"/>
      <c r="BW659" s="83"/>
      <c r="BX659" s="83"/>
      <c r="BY659" s="83"/>
      <c r="BZ659" s="83"/>
      <c r="CA659" s="83"/>
      <c r="CB659" s="83"/>
      <c r="CC659" s="83"/>
      <c r="CD659" s="83"/>
      <c r="CE659" s="83"/>
      <c r="CF659" s="83"/>
      <c r="CG659" s="83"/>
      <c r="CH659" s="83"/>
      <c r="CI659" s="83"/>
      <c r="CJ659" s="83"/>
      <c r="CK659" s="83"/>
      <c r="CL659" s="83"/>
      <c r="CM659" s="83"/>
      <c r="CN659" s="83"/>
      <c r="CO659" s="83"/>
      <c r="CP659" s="83"/>
      <c r="CQ659" s="83"/>
      <c r="CR659" s="83"/>
      <c r="CS659" s="83"/>
      <c r="CT659" s="83"/>
      <c r="CU659" s="83"/>
      <c r="CV659" s="83"/>
      <c r="CW659" s="83"/>
      <c r="CX659" s="83"/>
      <c r="CY659" s="83"/>
      <c r="CZ659" s="83"/>
      <c r="DA659" s="83"/>
      <c r="DB659" s="83"/>
      <c r="DC659" s="83"/>
    </row>
    <row r="660" spans="1:107" x14ac:dyDescent="0.3">
      <c r="A660" s="83"/>
      <c r="B660" s="83"/>
      <c r="C660" s="83"/>
      <c r="D660" s="83"/>
      <c r="E660" s="83"/>
      <c r="F660" s="83"/>
      <c r="G660" s="83"/>
      <c r="H660" s="83"/>
      <c r="I660" s="83"/>
      <c r="J660" s="83"/>
      <c r="K660" s="83"/>
      <c r="L660" s="83"/>
      <c r="M660" s="83"/>
      <c r="N660" s="83"/>
      <c r="O660" s="83"/>
      <c r="P660" s="83"/>
      <c r="Q660" s="83"/>
      <c r="R660" s="83"/>
      <c r="S660" s="83"/>
      <c r="T660" s="83"/>
      <c r="U660" s="83"/>
      <c r="V660" s="83"/>
      <c r="W660" s="83"/>
      <c r="X660" s="83"/>
      <c r="Y660" s="83"/>
      <c r="Z660" s="83"/>
      <c r="AA660" s="83"/>
      <c r="AB660" s="83"/>
      <c r="AC660" s="83"/>
      <c r="AD660" s="83"/>
      <c r="AE660" s="83"/>
      <c r="AF660" s="83"/>
      <c r="AG660" s="83"/>
      <c r="AH660" s="83"/>
      <c r="AI660" s="83"/>
      <c r="AJ660" s="83"/>
      <c r="AK660" s="83"/>
      <c r="AL660" s="83"/>
      <c r="AM660" s="83"/>
      <c r="AN660" s="83"/>
      <c r="AO660" s="83"/>
      <c r="AP660" s="83"/>
      <c r="AQ660" s="83"/>
      <c r="AR660" s="83"/>
      <c r="AS660" s="83"/>
      <c r="AT660" s="83"/>
      <c r="AU660" s="83"/>
      <c r="AV660" s="83"/>
      <c r="AW660" s="83"/>
      <c r="AX660" s="83"/>
      <c r="AY660" s="83"/>
      <c r="AZ660" s="83"/>
      <c r="BA660" s="83"/>
      <c r="BB660" s="83"/>
      <c r="BC660" s="83"/>
      <c r="BD660" s="83"/>
      <c r="BE660" s="83"/>
      <c r="BF660" s="83"/>
      <c r="BG660" s="83"/>
      <c r="BH660" s="83"/>
      <c r="BI660" s="83"/>
      <c r="BJ660" s="83"/>
      <c r="BK660" s="83"/>
      <c r="BL660" s="83"/>
      <c r="BM660" s="83"/>
      <c r="BN660" s="83"/>
      <c r="BO660" s="83"/>
      <c r="BP660" s="83"/>
      <c r="BQ660" s="83"/>
      <c r="BR660" s="83"/>
      <c r="BS660" s="83"/>
      <c r="BT660" s="83"/>
      <c r="BU660" s="83"/>
      <c r="BV660" s="83"/>
      <c r="BW660" s="83"/>
      <c r="BX660" s="83"/>
      <c r="BY660" s="83"/>
      <c r="BZ660" s="83"/>
      <c r="CA660" s="83"/>
      <c r="CB660" s="83"/>
      <c r="CC660" s="83"/>
      <c r="CD660" s="83"/>
      <c r="CE660" s="83"/>
      <c r="CF660" s="83"/>
      <c r="CG660" s="83"/>
      <c r="CH660" s="83"/>
      <c r="CI660" s="83"/>
      <c r="CJ660" s="83"/>
      <c r="CK660" s="83"/>
      <c r="CL660" s="83"/>
      <c r="CM660" s="83"/>
      <c r="CN660" s="83"/>
      <c r="CO660" s="83"/>
      <c r="CP660" s="83"/>
      <c r="CQ660" s="83"/>
      <c r="CR660" s="83"/>
      <c r="CS660" s="83"/>
      <c r="CT660" s="83"/>
      <c r="CU660" s="83"/>
      <c r="CV660" s="83"/>
      <c r="CW660" s="83"/>
      <c r="CX660" s="83"/>
      <c r="CY660" s="83"/>
      <c r="CZ660" s="83"/>
      <c r="DA660" s="83"/>
      <c r="DB660" s="83"/>
      <c r="DC660" s="83"/>
    </row>
    <row r="661" spans="1:107" x14ac:dyDescent="0.3">
      <c r="A661" s="83"/>
      <c r="B661" s="83"/>
      <c r="C661" s="83"/>
      <c r="D661" s="83"/>
      <c r="E661" s="83"/>
      <c r="F661" s="83"/>
      <c r="G661" s="83"/>
      <c r="H661" s="83"/>
      <c r="I661" s="83"/>
      <c r="J661" s="83"/>
      <c r="K661" s="83"/>
      <c r="L661" s="83"/>
      <c r="M661" s="83"/>
      <c r="N661" s="83"/>
      <c r="O661" s="83"/>
      <c r="P661" s="83"/>
      <c r="Q661" s="83"/>
      <c r="R661" s="83"/>
      <c r="S661" s="83"/>
      <c r="T661" s="83"/>
      <c r="U661" s="83"/>
      <c r="V661" s="83"/>
      <c r="W661" s="83"/>
      <c r="X661" s="83"/>
      <c r="Y661" s="83"/>
      <c r="Z661" s="83"/>
      <c r="AA661" s="83"/>
      <c r="AB661" s="83"/>
      <c r="AC661" s="83"/>
      <c r="AD661" s="83"/>
      <c r="AE661" s="83"/>
      <c r="AF661" s="83"/>
      <c r="AG661" s="83"/>
      <c r="AH661" s="83"/>
      <c r="AI661" s="83"/>
      <c r="AJ661" s="83"/>
      <c r="AK661" s="83"/>
      <c r="AL661" s="83"/>
      <c r="AM661" s="83"/>
      <c r="AN661" s="83"/>
      <c r="AO661" s="83"/>
      <c r="AP661" s="83"/>
      <c r="AQ661" s="83"/>
      <c r="AR661" s="83"/>
      <c r="AS661" s="83"/>
      <c r="AT661" s="83"/>
      <c r="AU661" s="83"/>
      <c r="AV661" s="83"/>
      <c r="AW661" s="83"/>
      <c r="AX661" s="83"/>
      <c r="AY661" s="83"/>
      <c r="AZ661" s="83"/>
      <c r="BA661" s="83"/>
      <c r="BB661" s="83"/>
      <c r="BC661" s="83"/>
      <c r="BD661" s="83"/>
      <c r="BE661" s="83"/>
      <c r="BF661" s="83"/>
      <c r="BG661" s="83"/>
      <c r="BH661" s="83"/>
      <c r="BI661" s="83"/>
      <c r="BJ661" s="83"/>
      <c r="BK661" s="83"/>
      <c r="BL661" s="83"/>
      <c r="BM661" s="83"/>
      <c r="BN661" s="83"/>
      <c r="BO661" s="83"/>
      <c r="BP661" s="83"/>
      <c r="BQ661" s="83"/>
      <c r="BR661" s="83"/>
      <c r="BS661" s="83"/>
      <c r="BT661" s="83"/>
      <c r="BU661" s="83"/>
      <c r="BV661" s="83"/>
      <c r="BW661" s="83"/>
      <c r="BX661" s="83"/>
      <c r="BY661" s="83"/>
      <c r="BZ661" s="83"/>
      <c r="CA661" s="83"/>
      <c r="CB661" s="83"/>
      <c r="CC661" s="83"/>
      <c r="CD661" s="83"/>
      <c r="CE661" s="83"/>
      <c r="CF661" s="83"/>
      <c r="CG661" s="83"/>
      <c r="CH661" s="83"/>
      <c r="CI661" s="83"/>
      <c r="CJ661" s="83"/>
      <c r="CK661" s="83"/>
      <c r="CL661" s="83"/>
      <c r="CM661" s="83"/>
      <c r="CN661" s="83"/>
      <c r="CO661" s="83"/>
      <c r="CP661" s="83"/>
      <c r="CQ661" s="83"/>
      <c r="CR661" s="83"/>
      <c r="CS661" s="83"/>
      <c r="CT661" s="83"/>
      <c r="CU661" s="83"/>
      <c r="CV661" s="83"/>
      <c r="CW661" s="83"/>
      <c r="CX661" s="83"/>
      <c r="CY661" s="83"/>
      <c r="CZ661" s="83"/>
      <c r="DA661" s="83"/>
      <c r="DB661" s="83"/>
      <c r="DC661" s="83"/>
    </row>
    <row r="662" spans="1:107" x14ac:dyDescent="0.3">
      <c r="A662" s="83"/>
      <c r="B662" s="83"/>
      <c r="C662" s="83"/>
      <c r="D662" s="83"/>
      <c r="E662" s="83"/>
      <c r="F662" s="83"/>
      <c r="G662" s="83"/>
      <c r="H662" s="83"/>
      <c r="I662" s="83"/>
      <c r="J662" s="83"/>
      <c r="K662" s="83"/>
      <c r="L662" s="83"/>
      <c r="M662" s="83"/>
      <c r="N662" s="83"/>
      <c r="O662" s="83"/>
      <c r="P662" s="83"/>
      <c r="Q662" s="83"/>
      <c r="R662" s="83"/>
      <c r="S662" s="83"/>
      <c r="T662" s="83"/>
      <c r="U662" s="83"/>
      <c r="V662" s="83"/>
      <c r="W662" s="83"/>
      <c r="X662" s="83"/>
      <c r="Y662" s="83"/>
      <c r="Z662" s="83"/>
      <c r="AA662" s="83"/>
      <c r="AB662" s="83"/>
      <c r="AC662" s="83"/>
      <c r="AD662" s="83"/>
      <c r="AE662" s="83"/>
      <c r="AF662" s="83"/>
      <c r="AG662" s="83"/>
      <c r="AH662" s="83"/>
      <c r="AI662" s="83"/>
      <c r="AJ662" s="83"/>
      <c r="AK662" s="83"/>
      <c r="AL662" s="83"/>
      <c r="AM662" s="83"/>
      <c r="AN662" s="83"/>
      <c r="AO662" s="83"/>
      <c r="AP662" s="83"/>
      <c r="AQ662" s="83"/>
      <c r="AR662" s="83"/>
      <c r="AS662" s="83"/>
      <c r="AT662" s="83"/>
      <c r="AU662" s="83"/>
      <c r="AV662" s="83"/>
      <c r="AW662" s="83"/>
      <c r="AX662" s="83"/>
      <c r="AY662" s="83"/>
      <c r="AZ662" s="83"/>
      <c r="BA662" s="83"/>
      <c r="BB662" s="83"/>
      <c r="BC662" s="83"/>
      <c r="BD662" s="83"/>
      <c r="BE662" s="83"/>
      <c r="BF662" s="83"/>
      <c r="BG662" s="83"/>
      <c r="BH662" s="83"/>
      <c r="BI662" s="83"/>
      <c r="BJ662" s="83"/>
      <c r="BK662" s="83"/>
      <c r="BL662" s="83"/>
      <c r="BM662" s="83"/>
      <c r="BN662" s="83"/>
      <c r="BO662" s="83"/>
      <c r="BP662" s="83"/>
      <c r="BQ662" s="83"/>
      <c r="BR662" s="83"/>
      <c r="BS662" s="83"/>
      <c r="BT662" s="83"/>
      <c r="BU662" s="83"/>
      <c r="BV662" s="83"/>
      <c r="BW662" s="83"/>
      <c r="BX662" s="83"/>
      <c r="BY662" s="83"/>
      <c r="BZ662" s="83"/>
      <c r="CA662" s="83"/>
      <c r="CB662" s="83"/>
      <c r="CC662" s="83"/>
      <c r="CD662" s="83"/>
      <c r="CE662" s="83"/>
      <c r="CF662" s="83"/>
      <c r="CG662" s="83"/>
      <c r="CH662" s="83"/>
      <c r="CI662" s="83"/>
      <c r="CJ662" s="83"/>
      <c r="CK662" s="83"/>
      <c r="CL662" s="83"/>
      <c r="CM662" s="83"/>
      <c r="CN662" s="83"/>
      <c r="CO662" s="83"/>
      <c r="CP662" s="83"/>
      <c r="CQ662" s="83"/>
      <c r="CR662" s="83"/>
      <c r="CS662" s="83"/>
      <c r="CT662" s="83"/>
      <c r="CU662" s="83"/>
      <c r="CV662" s="83"/>
      <c r="CW662" s="83"/>
      <c r="CX662" s="83"/>
      <c r="CY662" s="83"/>
      <c r="CZ662" s="83"/>
      <c r="DA662" s="83"/>
      <c r="DB662" s="83"/>
      <c r="DC662" s="83"/>
    </row>
    <row r="663" spans="1:107" x14ac:dyDescent="0.3">
      <c r="A663" s="83"/>
      <c r="B663" s="83"/>
      <c r="C663" s="83"/>
      <c r="D663" s="83"/>
      <c r="E663" s="83"/>
      <c r="F663" s="83"/>
      <c r="G663" s="83"/>
      <c r="H663" s="83"/>
      <c r="I663" s="83"/>
      <c r="J663" s="83"/>
      <c r="K663" s="83"/>
      <c r="L663" s="83"/>
      <c r="M663" s="83"/>
      <c r="N663" s="83"/>
      <c r="O663" s="83"/>
      <c r="P663" s="83"/>
      <c r="Q663" s="83"/>
      <c r="R663" s="83"/>
      <c r="S663" s="83"/>
      <c r="T663" s="83"/>
      <c r="U663" s="83"/>
      <c r="V663" s="83"/>
      <c r="W663" s="83"/>
      <c r="X663" s="83"/>
      <c r="Y663" s="83"/>
      <c r="Z663" s="83"/>
      <c r="AA663" s="83"/>
      <c r="AB663" s="83"/>
      <c r="AC663" s="83"/>
      <c r="AD663" s="83"/>
      <c r="AE663" s="83"/>
      <c r="AF663" s="83"/>
      <c r="AG663" s="83"/>
      <c r="AH663" s="83"/>
      <c r="AI663" s="83"/>
      <c r="AJ663" s="83"/>
      <c r="AK663" s="83"/>
      <c r="AL663" s="83"/>
      <c r="AM663" s="83"/>
      <c r="AN663" s="83"/>
      <c r="AO663" s="83"/>
      <c r="AP663" s="83"/>
      <c r="AQ663" s="83"/>
      <c r="AR663" s="83"/>
      <c r="AS663" s="83"/>
      <c r="AT663" s="83"/>
      <c r="AU663" s="83"/>
      <c r="AV663" s="83"/>
      <c r="AW663" s="83"/>
      <c r="AX663" s="83"/>
      <c r="AY663" s="83"/>
      <c r="AZ663" s="83"/>
      <c r="BA663" s="83"/>
      <c r="BB663" s="83"/>
      <c r="BC663" s="83"/>
      <c r="BD663" s="83"/>
      <c r="BE663" s="83"/>
      <c r="BF663" s="83"/>
      <c r="BG663" s="83"/>
      <c r="BH663" s="83"/>
      <c r="BI663" s="83"/>
      <c r="BJ663" s="83"/>
      <c r="BK663" s="83"/>
      <c r="BL663" s="83"/>
      <c r="BM663" s="83"/>
      <c r="BN663" s="83"/>
      <c r="BO663" s="83"/>
      <c r="BP663" s="83"/>
      <c r="BQ663" s="83"/>
      <c r="BR663" s="83"/>
      <c r="BS663" s="83"/>
      <c r="BT663" s="83"/>
      <c r="BU663" s="83"/>
      <c r="BV663" s="83"/>
      <c r="BW663" s="83"/>
      <c r="BX663" s="83"/>
      <c r="BY663" s="83"/>
      <c r="BZ663" s="83"/>
      <c r="CA663" s="83"/>
      <c r="CB663" s="83"/>
      <c r="CC663" s="83"/>
      <c r="CD663" s="83"/>
      <c r="CE663" s="83"/>
      <c r="CF663" s="83"/>
      <c r="CG663" s="83"/>
      <c r="CH663" s="83"/>
      <c r="CI663" s="83"/>
      <c r="CJ663" s="83"/>
      <c r="CK663" s="83"/>
      <c r="CL663" s="83"/>
      <c r="CM663" s="83"/>
      <c r="CN663" s="83"/>
      <c r="CO663" s="83"/>
      <c r="CP663" s="83"/>
      <c r="CQ663" s="83"/>
      <c r="CR663" s="83"/>
      <c r="CS663" s="83"/>
      <c r="CT663" s="83"/>
      <c r="CU663" s="83"/>
      <c r="CV663" s="83"/>
      <c r="CW663" s="83"/>
      <c r="CX663" s="83"/>
      <c r="CY663" s="83"/>
      <c r="CZ663" s="83"/>
      <c r="DA663" s="83"/>
      <c r="DB663" s="83"/>
      <c r="DC663" s="83"/>
    </row>
    <row r="664" spans="1:107" x14ac:dyDescent="0.3">
      <c r="A664" s="83"/>
      <c r="B664" s="83"/>
      <c r="C664" s="83"/>
      <c r="D664" s="83"/>
      <c r="E664" s="83"/>
      <c r="F664" s="83"/>
      <c r="G664" s="83"/>
      <c r="H664" s="83"/>
      <c r="I664" s="83"/>
      <c r="J664" s="83"/>
      <c r="K664" s="83"/>
      <c r="L664" s="83"/>
      <c r="M664" s="83"/>
      <c r="N664" s="83"/>
      <c r="O664" s="83"/>
      <c r="P664" s="83"/>
      <c r="Q664" s="83"/>
      <c r="R664" s="83"/>
      <c r="S664" s="83"/>
      <c r="T664" s="83"/>
      <c r="U664" s="83"/>
      <c r="V664" s="83"/>
      <c r="W664" s="83"/>
      <c r="X664" s="83"/>
      <c r="Y664" s="83"/>
      <c r="Z664" s="83"/>
      <c r="AA664" s="83"/>
      <c r="AB664" s="83"/>
      <c r="AC664" s="83"/>
      <c r="AD664" s="83"/>
      <c r="AE664" s="83"/>
      <c r="AF664" s="83"/>
      <c r="AG664" s="83"/>
      <c r="AH664" s="83"/>
      <c r="AI664" s="83"/>
      <c r="AJ664" s="83"/>
      <c r="AK664" s="83"/>
      <c r="AL664" s="83"/>
      <c r="AM664" s="83"/>
      <c r="AN664" s="83"/>
      <c r="AO664" s="83"/>
      <c r="AP664" s="83"/>
      <c r="AQ664" s="83"/>
      <c r="AR664" s="83"/>
      <c r="AS664" s="83"/>
      <c r="AT664" s="83"/>
      <c r="AU664" s="83"/>
      <c r="AV664" s="83"/>
      <c r="AW664" s="83"/>
      <c r="AX664" s="83"/>
      <c r="AY664" s="83"/>
      <c r="AZ664" s="83"/>
      <c r="BA664" s="83"/>
      <c r="BB664" s="83"/>
      <c r="BC664" s="83"/>
      <c r="BD664" s="83"/>
      <c r="BE664" s="83"/>
      <c r="BF664" s="83"/>
      <c r="BG664" s="83"/>
      <c r="BH664" s="83"/>
      <c r="BI664" s="83"/>
      <c r="BJ664" s="83"/>
      <c r="BK664" s="83"/>
      <c r="BL664" s="83"/>
      <c r="BM664" s="83"/>
      <c r="BN664" s="83"/>
      <c r="BO664" s="83"/>
      <c r="BP664" s="83"/>
      <c r="BQ664" s="83"/>
      <c r="BR664" s="83"/>
      <c r="BS664" s="83"/>
      <c r="BT664" s="83"/>
      <c r="BU664" s="83"/>
      <c r="BV664" s="83"/>
      <c r="BW664" s="83"/>
      <c r="BX664" s="83"/>
      <c r="BY664" s="83"/>
      <c r="BZ664" s="83"/>
      <c r="CA664" s="83"/>
      <c r="CB664" s="83"/>
      <c r="CC664" s="83"/>
      <c r="CD664" s="83"/>
      <c r="CE664" s="83"/>
      <c r="CF664" s="83"/>
      <c r="CG664" s="83"/>
      <c r="CH664" s="83"/>
      <c r="CI664" s="83"/>
      <c r="CJ664" s="83"/>
      <c r="CK664" s="83"/>
      <c r="CL664" s="83"/>
      <c r="CM664" s="83"/>
      <c r="CN664" s="83"/>
      <c r="CO664" s="83"/>
      <c r="CP664" s="83"/>
      <c r="CQ664" s="83"/>
      <c r="CR664" s="83"/>
      <c r="CS664" s="83"/>
      <c r="CT664" s="83"/>
      <c r="CU664" s="83"/>
      <c r="CV664" s="83"/>
      <c r="CW664" s="83"/>
      <c r="CX664" s="83"/>
      <c r="CY664" s="83"/>
      <c r="CZ664" s="83"/>
      <c r="DA664" s="83"/>
      <c r="DB664" s="83"/>
      <c r="DC664" s="83"/>
    </row>
    <row r="665" spans="1:107" x14ac:dyDescent="0.3">
      <c r="A665" s="83"/>
      <c r="B665" s="83"/>
      <c r="C665" s="83"/>
      <c r="D665" s="83"/>
      <c r="E665" s="83"/>
      <c r="F665" s="83"/>
      <c r="G665" s="83"/>
      <c r="H665" s="83"/>
      <c r="I665" s="83"/>
      <c r="J665" s="83"/>
      <c r="K665" s="83"/>
      <c r="L665" s="83"/>
      <c r="M665" s="83"/>
      <c r="N665" s="83"/>
      <c r="O665" s="83"/>
      <c r="P665" s="83"/>
      <c r="Q665" s="83"/>
      <c r="R665" s="83"/>
      <c r="S665" s="83"/>
      <c r="T665" s="83"/>
      <c r="U665" s="83"/>
      <c r="V665" s="83"/>
      <c r="W665" s="83"/>
      <c r="X665" s="83"/>
      <c r="Y665" s="83"/>
      <c r="Z665" s="83"/>
      <c r="AA665" s="83"/>
      <c r="AB665" s="83"/>
      <c r="AC665" s="83"/>
      <c r="AD665" s="83"/>
      <c r="AE665" s="83"/>
      <c r="AF665" s="83"/>
      <c r="AG665" s="83"/>
      <c r="AH665" s="83"/>
      <c r="AI665" s="83"/>
      <c r="AJ665" s="83"/>
      <c r="AK665" s="83"/>
      <c r="AL665" s="83"/>
      <c r="AM665" s="83"/>
      <c r="AN665" s="83"/>
      <c r="AO665" s="83"/>
      <c r="AP665" s="83"/>
      <c r="AQ665" s="83"/>
      <c r="AR665" s="83"/>
      <c r="AS665" s="83"/>
      <c r="AT665" s="83"/>
      <c r="AU665" s="83"/>
      <c r="AV665" s="83"/>
      <c r="AW665" s="83"/>
      <c r="AX665" s="83"/>
      <c r="AY665" s="83"/>
      <c r="AZ665" s="83"/>
      <c r="BA665" s="83"/>
      <c r="BB665" s="83"/>
      <c r="BC665" s="83"/>
      <c r="BD665" s="83"/>
      <c r="BE665" s="83"/>
      <c r="BF665" s="83"/>
      <c r="BG665" s="83"/>
      <c r="BH665" s="83"/>
      <c r="BI665" s="83"/>
      <c r="BJ665" s="83"/>
      <c r="BK665" s="83"/>
      <c r="BL665" s="83"/>
      <c r="BM665" s="83"/>
      <c r="BN665" s="83"/>
      <c r="BO665" s="83"/>
      <c r="BP665" s="83"/>
      <c r="BQ665" s="83"/>
      <c r="BR665" s="83"/>
      <c r="BS665" s="83"/>
      <c r="BT665" s="83"/>
      <c r="BU665" s="83"/>
      <c r="BV665" s="83"/>
      <c r="BW665" s="83"/>
      <c r="BX665" s="83"/>
      <c r="BY665" s="83"/>
      <c r="BZ665" s="83"/>
      <c r="CA665" s="83"/>
      <c r="CB665" s="83"/>
      <c r="CC665" s="83"/>
      <c r="CD665" s="83"/>
      <c r="CE665" s="83"/>
      <c r="CF665" s="83"/>
      <c r="CG665" s="83"/>
      <c r="CH665" s="83"/>
      <c r="CI665" s="83"/>
      <c r="CJ665" s="83"/>
      <c r="CK665" s="83"/>
      <c r="CL665" s="83"/>
      <c r="CM665" s="83"/>
      <c r="CN665" s="83"/>
      <c r="CO665" s="83"/>
      <c r="CP665" s="83"/>
      <c r="CQ665" s="83"/>
      <c r="CR665" s="83"/>
      <c r="CS665" s="83"/>
      <c r="CT665" s="83"/>
      <c r="CU665" s="83"/>
      <c r="CV665" s="83"/>
      <c r="CW665" s="83"/>
      <c r="CX665" s="83"/>
      <c r="CY665" s="83"/>
      <c r="CZ665" s="83"/>
      <c r="DA665" s="83"/>
      <c r="DB665" s="83"/>
      <c r="DC665" s="83"/>
    </row>
    <row r="666" spans="1:107" x14ac:dyDescent="0.3">
      <c r="A666" s="83"/>
      <c r="B666" s="83"/>
      <c r="C666" s="83"/>
      <c r="D666" s="83"/>
      <c r="E666" s="83"/>
      <c r="F666" s="83"/>
      <c r="G666" s="83"/>
      <c r="H666" s="83"/>
      <c r="I666" s="83"/>
      <c r="J666" s="83"/>
      <c r="K666" s="83"/>
      <c r="L666" s="83"/>
      <c r="M666" s="83"/>
      <c r="N666" s="83"/>
      <c r="O666" s="83"/>
      <c r="P666" s="83"/>
      <c r="Q666" s="83"/>
      <c r="R666" s="83"/>
      <c r="S666" s="83"/>
      <c r="T666" s="83"/>
      <c r="U666" s="83"/>
      <c r="V666" s="83"/>
      <c r="W666" s="83"/>
      <c r="X666" s="83"/>
      <c r="Y666" s="83"/>
      <c r="Z666" s="83"/>
      <c r="AA666" s="83"/>
      <c r="AB666" s="83"/>
      <c r="AC666" s="83"/>
      <c r="AD666" s="83"/>
      <c r="AE666" s="83"/>
      <c r="AF666" s="83"/>
      <c r="AG666" s="83"/>
      <c r="AH666" s="83"/>
      <c r="AI666" s="83"/>
      <c r="AJ666" s="83"/>
      <c r="AK666" s="83"/>
      <c r="AL666" s="83"/>
      <c r="AM666" s="83"/>
      <c r="AN666" s="83"/>
      <c r="AO666" s="83"/>
      <c r="AP666" s="83"/>
      <c r="AQ666" s="83"/>
      <c r="AR666" s="83"/>
      <c r="AS666" s="83"/>
      <c r="AT666" s="83"/>
      <c r="AU666" s="83"/>
      <c r="AV666" s="83"/>
      <c r="AW666" s="83"/>
      <c r="AX666" s="83"/>
      <c r="AY666" s="83"/>
      <c r="AZ666" s="83"/>
      <c r="BA666" s="83"/>
      <c r="BB666" s="83"/>
      <c r="BC666" s="83"/>
      <c r="BD666" s="83"/>
      <c r="BE666" s="83"/>
      <c r="BF666" s="83"/>
      <c r="BG666" s="83"/>
      <c r="BH666" s="83"/>
      <c r="BI666" s="83"/>
      <c r="BJ666" s="83"/>
      <c r="BK666" s="83"/>
      <c r="BL666" s="83"/>
      <c r="BM666" s="83"/>
      <c r="BN666" s="83"/>
      <c r="BO666" s="83"/>
      <c r="BP666" s="83"/>
      <c r="BQ666" s="83"/>
      <c r="BR666" s="83"/>
      <c r="BS666" s="83"/>
      <c r="BT666" s="83"/>
      <c r="BU666" s="83"/>
      <c r="BV666" s="83"/>
      <c r="BW666" s="83"/>
      <c r="BX666" s="83"/>
      <c r="BY666" s="83"/>
      <c r="BZ666" s="83"/>
      <c r="CA666" s="83"/>
      <c r="CB666" s="83"/>
      <c r="CC666" s="83"/>
      <c r="CD666" s="83"/>
      <c r="CE666" s="83"/>
      <c r="CF666" s="83"/>
      <c r="CG666" s="83"/>
      <c r="CH666" s="83"/>
      <c r="CI666" s="83"/>
      <c r="CJ666" s="83"/>
      <c r="CK666" s="83"/>
      <c r="CL666" s="83"/>
      <c r="CM666" s="83"/>
      <c r="CN666" s="83"/>
      <c r="CO666" s="83"/>
      <c r="CP666" s="83"/>
      <c r="CQ666" s="83"/>
      <c r="CR666" s="83"/>
      <c r="CS666" s="83"/>
      <c r="CT666" s="83"/>
      <c r="CU666" s="83"/>
      <c r="CV666" s="83"/>
      <c r="CW666" s="83"/>
      <c r="CX666" s="83"/>
      <c r="CY666" s="83"/>
      <c r="CZ666" s="83"/>
      <c r="DA666" s="83"/>
      <c r="DB666" s="83"/>
      <c r="DC666" s="83"/>
    </row>
    <row r="667" spans="1:107" x14ac:dyDescent="0.3">
      <c r="A667" s="83"/>
      <c r="B667" s="83"/>
      <c r="C667" s="83"/>
      <c r="D667" s="83"/>
      <c r="E667" s="83"/>
      <c r="F667" s="83"/>
      <c r="G667" s="83"/>
      <c r="H667" s="83"/>
      <c r="I667" s="83"/>
      <c r="J667" s="83"/>
      <c r="K667" s="83"/>
      <c r="L667" s="83"/>
      <c r="M667" s="83"/>
      <c r="N667" s="83"/>
      <c r="O667" s="83"/>
      <c r="P667" s="83"/>
      <c r="Q667" s="83"/>
      <c r="R667" s="83"/>
      <c r="S667" s="83"/>
      <c r="T667" s="83"/>
      <c r="U667" s="83"/>
      <c r="V667" s="83"/>
      <c r="W667" s="83"/>
      <c r="X667" s="83"/>
      <c r="Y667" s="83"/>
      <c r="Z667" s="83"/>
      <c r="AA667" s="83"/>
      <c r="AB667" s="83"/>
      <c r="AC667" s="83"/>
      <c r="AD667" s="83"/>
      <c r="AE667" s="83"/>
      <c r="AF667" s="83"/>
      <c r="AG667" s="83"/>
      <c r="AH667" s="83"/>
      <c r="AI667" s="83"/>
      <c r="AJ667" s="83"/>
      <c r="AK667" s="83"/>
      <c r="AL667" s="83"/>
      <c r="AM667" s="83"/>
      <c r="AN667" s="83"/>
      <c r="AO667" s="83"/>
      <c r="AP667" s="83"/>
      <c r="AQ667" s="83"/>
      <c r="AR667" s="83"/>
      <c r="AS667" s="83"/>
      <c r="AT667" s="83"/>
      <c r="AU667" s="83"/>
      <c r="AV667" s="83"/>
      <c r="AW667" s="83"/>
      <c r="AX667" s="83"/>
      <c r="AY667" s="83"/>
      <c r="AZ667" s="83"/>
      <c r="BA667" s="83"/>
      <c r="BB667" s="83"/>
      <c r="BC667" s="83"/>
      <c r="BD667" s="83"/>
      <c r="BE667" s="83"/>
      <c r="BF667" s="83"/>
      <c r="BG667" s="83"/>
      <c r="BH667" s="83"/>
      <c r="BI667" s="83"/>
      <c r="BJ667" s="83"/>
      <c r="BK667" s="83"/>
      <c r="BL667" s="83"/>
      <c r="BM667" s="83"/>
      <c r="BN667" s="83"/>
      <c r="BO667" s="83"/>
      <c r="BP667" s="83"/>
      <c r="BQ667" s="83"/>
      <c r="BR667" s="83"/>
      <c r="BS667" s="83"/>
      <c r="BT667" s="83"/>
      <c r="BU667" s="83"/>
      <c r="BV667" s="83"/>
      <c r="BW667" s="83"/>
      <c r="BX667" s="83"/>
      <c r="BY667" s="83"/>
      <c r="BZ667" s="83"/>
      <c r="CA667" s="83"/>
      <c r="CB667" s="83"/>
      <c r="CC667" s="83"/>
      <c r="CD667" s="83"/>
      <c r="CE667" s="83"/>
      <c r="CF667" s="83"/>
      <c r="CG667" s="83"/>
      <c r="CH667" s="83"/>
      <c r="CI667" s="83"/>
      <c r="CJ667" s="83"/>
      <c r="CK667" s="83"/>
      <c r="CL667" s="83"/>
      <c r="CM667" s="83"/>
      <c r="CN667" s="83"/>
      <c r="CO667" s="83"/>
      <c r="CP667" s="83"/>
      <c r="CQ667" s="83"/>
      <c r="CR667" s="83"/>
      <c r="CS667" s="83"/>
      <c r="CT667" s="83"/>
      <c r="CU667" s="83"/>
      <c r="CV667" s="83"/>
      <c r="CW667" s="83"/>
      <c r="CX667" s="83"/>
      <c r="CY667" s="83"/>
      <c r="CZ667" s="83"/>
      <c r="DA667" s="83"/>
      <c r="DB667" s="83"/>
      <c r="DC667" s="83"/>
    </row>
    <row r="668" spans="1:107" x14ac:dyDescent="0.3">
      <c r="A668" s="83"/>
      <c r="B668" s="83"/>
      <c r="C668" s="83"/>
      <c r="D668" s="83"/>
      <c r="E668" s="83"/>
      <c r="F668" s="83"/>
      <c r="G668" s="83"/>
      <c r="H668" s="83"/>
      <c r="I668" s="83"/>
      <c r="J668" s="83"/>
      <c r="K668" s="83"/>
      <c r="L668" s="83"/>
      <c r="M668" s="83"/>
      <c r="N668" s="83"/>
      <c r="O668" s="83"/>
      <c r="P668" s="83"/>
      <c r="Q668" s="83"/>
      <c r="R668" s="83"/>
      <c r="S668" s="83"/>
      <c r="T668" s="83"/>
      <c r="U668" s="83"/>
      <c r="V668" s="83"/>
      <c r="W668" s="83"/>
      <c r="X668" s="83"/>
      <c r="Y668" s="83"/>
      <c r="Z668" s="83"/>
      <c r="AA668" s="83"/>
      <c r="AB668" s="83"/>
      <c r="AC668" s="83"/>
      <c r="AD668" s="83"/>
      <c r="AE668" s="83"/>
      <c r="AF668" s="83"/>
      <c r="AG668" s="83"/>
      <c r="AH668" s="83"/>
      <c r="AI668" s="83"/>
      <c r="AJ668" s="83"/>
      <c r="AK668" s="83"/>
      <c r="AL668" s="83"/>
      <c r="AM668" s="83"/>
      <c r="AN668" s="83"/>
      <c r="AO668" s="83"/>
      <c r="AP668" s="83"/>
      <c r="AQ668" s="83"/>
      <c r="AR668" s="83"/>
      <c r="AS668" s="83"/>
      <c r="AT668" s="83"/>
      <c r="AU668" s="83"/>
      <c r="AV668" s="83"/>
      <c r="AW668" s="83"/>
      <c r="AX668" s="83"/>
      <c r="AY668" s="83"/>
      <c r="AZ668" s="83"/>
      <c r="BA668" s="83"/>
      <c r="BB668" s="83"/>
      <c r="BC668" s="83"/>
      <c r="BD668" s="83"/>
      <c r="BE668" s="83"/>
      <c r="BF668" s="83"/>
      <c r="BG668" s="83"/>
      <c r="BH668" s="83"/>
      <c r="BI668" s="83"/>
      <c r="BJ668" s="83"/>
      <c r="BK668" s="83"/>
      <c r="BL668" s="83"/>
      <c r="BM668" s="83"/>
      <c r="BN668" s="83"/>
      <c r="BO668" s="83"/>
      <c r="BP668" s="83"/>
      <c r="BQ668" s="83"/>
      <c r="BR668" s="83"/>
      <c r="BS668" s="83"/>
      <c r="BT668" s="83"/>
      <c r="BU668" s="83"/>
      <c r="BV668" s="83"/>
      <c r="BW668" s="83"/>
      <c r="BX668" s="83"/>
      <c r="BY668" s="83"/>
      <c r="BZ668" s="83"/>
      <c r="CA668" s="83"/>
      <c r="CB668" s="83"/>
      <c r="CC668" s="83"/>
      <c r="CD668" s="83"/>
      <c r="CE668" s="83"/>
      <c r="CF668" s="83"/>
      <c r="CG668" s="83"/>
      <c r="CH668" s="83"/>
      <c r="CI668" s="83"/>
      <c r="CJ668" s="83"/>
      <c r="CK668" s="83"/>
      <c r="CL668" s="83"/>
      <c r="CM668" s="83"/>
      <c r="CN668" s="83"/>
      <c r="CO668" s="83"/>
      <c r="CP668" s="83"/>
      <c r="CQ668" s="83"/>
      <c r="CR668" s="83"/>
      <c r="CS668" s="83"/>
      <c r="CT668" s="83"/>
      <c r="CU668" s="83"/>
      <c r="CV668" s="83"/>
      <c r="CW668" s="83"/>
      <c r="CX668" s="83"/>
      <c r="CY668" s="83"/>
      <c r="CZ668" s="83"/>
      <c r="DA668" s="83"/>
      <c r="DB668" s="83"/>
      <c r="DC668" s="83"/>
    </row>
    <row r="669" spans="1:107" x14ac:dyDescent="0.3">
      <c r="A669" s="83"/>
      <c r="B669" s="83"/>
      <c r="C669" s="83"/>
      <c r="D669" s="83"/>
      <c r="E669" s="83"/>
      <c r="F669" s="83"/>
      <c r="G669" s="83"/>
      <c r="H669" s="83"/>
      <c r="I669" s="83"/>
      <c r="J669" s="83"/>
      <c r="K669" s="83"/>
      <c r="L669" s="83"/>
      <c r="M669" s="83"/>
      <c r="N669" s="83"/>
      <c r="O669" s="83"/>
      <c r="P669" s="83"/>
      <c r="Q669" s="83"/>
      <c r="R669" s="83"/>
      <c r="S669" s="83"/>
      <c r="T669" s="83"/>
      <c r="U669" s="83"/>
      <c r="V669" s="83"/>
      <c r="W669" s="83"/>
      <c r="X669" s="83"/>
      <c r="Y669" s="83"/>
      <c r="Z669" s="83"/>
      <c r="AA669" s="83"/>
      <c r="AB669" s="83"/>
      <c r="AC669" s="83"/>
      <c r="AD669" s="83"/>
      <c r="AE669" s="83"/>
      <c r="AF669" s="83"/>
      <c r="AG669" s="83"/>
      <c r="AH669" s="83"/>
      <c r="AI669" s="83"/>
      <c r="AJ669" s="83"/>
      <c r="AK669" s="83"/>
      <c r="AL669" s="83"/>
      <c r="AM669" s="83"/>
      <c r="AN669" s="83"/>
      <c r="AO669" s="83"/>
      <c r="AP669" s="83"/>
      <c r="AQ669" s="83"/>
      <c r="AR669" s="83"/>
      <c r="AS669" s="83"/>
      <c r="AT669" s="83"/>
      <c r="AU669" s="83"/>
      <c r="AV669" s="83"/>
      <c r="AW669" s="83"/>
      <c r="AX669" s="83"/>
      <c r="AY669" s="83"/>
      <c r="AZ669" s="83"/>
      <c r="BA669" s="83"/>
      <c r="BB669" s="83"/>
      <c r="BC669" s="83"/>
      <c r="BD669" s="83"/>
      <c r="BE669" s="83"/>
      <c r="BF669" s="83"/>
      <c r="BG669" s="83"/>
      <c r="BH669" s="83"/>
      <c r="BI669" s="83"/>
      <c r="BJ669" s="83"/>
      <c r="BK669" s="83"/>
      <c r="BL669" s="83"/>
      <c r="BM669" s="83"/>
      <c r="BN669" s="83"/>
      <c r="BO669" s="83"/>
      <c r="BP669" s="83"/>
      <c r="BQ669" s="83"/>
      <c r="BR669" s="83"/>
      <c r="BS669" s="83"/>
      <c r="BT669" s="83"/>
      <c r="BU669" s="83"/>
      <c r="BV669" s="83"/>
      <c r="BW669" s="83"/>
      <c r="BX669" s="83"/>
      <c r="BY669" s="83"/>
      <c r="BZ669" s="83"/>
      <c r="CA669" s="83"/>
      <c r="CB669" s="83"/>
      <c r="CC669" s="83"/>
      <c r="CD669" s="83"/>
      <c r="CE669" s="83"/>
      <c r="CF669" s="83"/>
      <c r="CG669" s="83"/>
      <c r="CH669" s="83"/>
      <c r="CI669" s="83"/>
      <c r="CJ669" s="83"/>
      <c r="CK669" s="83"/>
      <c r="CL669" s="83"/>
      <c r="CM669" s="83"/>
      <c r="CN669" s="83"/>
      <c r="CO669" s="83"/>
      <c r="CP669" s="83"/>
      <c r="CQ669" s="83"/>
      <c r="CR669" s="83"/>
      <c r="CS669" s="83"/>
      <c r="CT669" s="83"/>
      <c r="CU669" s="83"/>
      <c r="CV669" s="83"/>
      <c r="CW669" s="83"/>
      <c r="CX669" s="83"/>
      <c r="CY669" s="83"/>
      <c r="CZ669" s="83"/>
      <c r="DA669" s="83"/>
      <c r="DB669" s="83"/>
      <c r="DC669" s="83"/>
    </row>
    <row r="670" spans="1:107" x14ac:dyDescent="0.3">
      <c r="A670" s="83"/>
      <c r="B670" s="83"/>
      <c r="C670" s="83"/>
      <c r="D670" s="83"/>
      <c r="E670" s="83"/>
      <c r="F670" s="83"/>
      <c r="G670" s="83"/>
      <c r="H670" s="83"/>
      <c r="I670" s="83"/>
      <c r="J670" s="83"/>
      <c r="K670" s="83"/>
      <c r="L670" s="83"/>
      <c r="M670" s="83"/>
      <c r="N670" s="83"/>
      <c r="O670" s="83"/>
      <c r="P670" s="83"/>
      <c r="Q670" s="83"/>
      <c r="R670" s="83"/>
      <c r="S670" s="83"/>
      <c r="T670" s="83"/>
      <c r="U670" s="83"/>
      <c r="V670" s="83"/>
      <c r="W670" s="83"/>
      <c r="X670" s="83"/>
      <c r="Y670" s="83"/>
      <c r="Z670" s="83"/>
      <c r="AA670" s="83"/>
      <c r="AB670" s="83"/>
      <c r="AC670" s="83"/>
      <c r="AD670" s="83"/>
      <c r="AE670" s="83"/>
      <c r="AF670" s="83"/>
      <c r="AG670" s="83"/>
      <c r="AH670" s="83"/>
      <c r="AI670" s="83"/>
      <c r="AJ670" s="83"/>
      <c r="AK670" s="83"/>
      <c r="AL670" s="83"/>
      <c r="AM670" s="83"/>
      <c r="AN670" s="83"/>
      <c r="AO670" s="83"/>
      <c r="AP670" s="83"/>
      <c r="AQ670" s="83"/>
      <c r="AR670" s="83"/>
      <c r="AS670" s="83"/>
      <c r="AT670" s="83"/>
      <c r="AU670" s="83"/>
      <c r="AV670" s="83"/>
      <c r="AW670" s="83"/>
      <c r="AX670" s="83"/>
      <c r="AY670" s="83"/>
      <c r="AZ670" s="83"/>
      <c r="BA670" s="83"/>
      <c r="BB670" s="83"/>
      <c r="BC670" s="83"/>
      <c r="BD670" s="83"/>
      <c r="BE670" s="83"/>
      <c r="BF670" s="83"/>
      <c r="BG670" s="83"/>
      <c r="BH670" s="83"/>
      <c r="BI670" s="83"/>
      <c r="BJ670" s="83"/>
      <c r="BK670" s="83"/>
      <c r="BL670" s="83"/>
      <c r="BM670" s="83"/>
      <c r="BN670" s="83"/>
      <c r="BO670" s="83"/>
      <c r="BP670" s="83"/>
      <c r="BQ670" s="83"/>
      <c r="BR670" s="83"/>
      <c r="BS670" s="83"/>
      <c r="BT670" s="83"/>
      <c r="BU670" s="83"/>
      <c r="BV670" s="83"/>
      <c r="BW670" s="83"/>
      <c r="BX670" s="83"/>
      <c r="BY670" s="83"/>
      <c r="BZ670" s="83"/>
      <c r="CA670" s="83"/>
      <c r="CB670" s="83"/>
      <c r="CC670" s="83"/>
      <c r="CD670" s="83"/>
      <c r="CE670" s="83"/>
      <c r="CF670" s="83"/>
      <c r="CG670" s="83"/>
      <c r="CH670" s="83"/>
      <c r="CI670" s="83"/>
      <c r="CJ670" s="83"/>
      <c r="CK670" s="83"/>
      <c r="CL670" s="83"/>
      <c r="CM670" s="83"/>
      <c r="CN670" s="83"/>
      <c r="CO670" s="83"/>
      <c r="CP670" s="83"/>
      <c r="CQ670" s="83"/>
      <c r="CR670" s="83"/>
      <c r="CS670" s="83"/>
      <c r="CT670" s="83"/>
      <c r="CU670" s="83"/>
      <c r="CV670" s="83"/>
      <c r="CW670" s="83"/>
      <c r="CX670" s="83"/>
      <c r="CY670" s="83"/>
      <c r="CZ670" s="83"/>
      <c r="DA670" s="83"/>
      <c r="DB670" s="83"/>
      <c r="DC670" s="83"/>
    </row>
    <row r="671" spans="1:107" x14ac:dyDescent="0.3">
      <c r="A671" s="83"/>
      <c r="B671" s="83"/>
      <c r="C671" s="83"/>
      <c r="D671" s="83"/>
      <c r="E671" s="83"/>
      <c r="F671" s="83"/>
      <c r="G671" s="83"/>
      <c r="H671" s="83"/>
      <c r="I671" s="83"/>
      <c r="J671" s="83"/>
      <c r="K671" s="83"/>
      <c r="L671" s="83"/>
      <c r="M671" s="83"/>
      <c r="N671" s="83"/>
      <c r="O671" s="83"/>
      <c r="P671" s="83"/>
      <c r="Q671" s="83"/>
      <c r="R671" s="83"/>
      <c r="S671" s="83"/>
      <c r="T671" s="83"/>
      <c r="U671" s="83"/>
      <c r="V671" s="83"/>
      <c r="W671" s="83"/>
      <c r="X671" s="83"/>
      <c r="Y671" s="83"/>
      <c r="Z671" s="83"/>
      <c r="AA671" s="83"/>
      <c r="AB671" s="83"/>
      <c r="AC671" s="83"/>
      <c r="AD671" s="83"/>
      <c r="AE671" s="83"/>
      <c r="AF671" s="83"/>
      <c r="AG671" s="83"/>
      <c r="AH671" s="83"/>
      <c r="AI671" s="83"/>
      <c r="AJ671" s="83"/>
      <c r="AK671" s="83"/>
      <c r="AL671" s="83"/>
      <c r="AM671" s="83"/>
      <c r="AN671" s="83"/>
      <c r="AO671" s="83"/>
      <c r="AP671" s="83"/>
      <c r="AQ671" s="83"/>
      <c r="AR671" s="83"/>
      <c r="AS671" s="83"/>
      <c r="AT671" s="83"/>
      <c r="AU671" s="83"/>
      <c r="AV671" s="83"/>
      <c r="AW671" s="83"/>
      <c r="AX671" s="83"/>
      <c r="AY671" s="83"/>
      <c r="AZ671" s="83"/>
      <c r="BA671" s="83"/>
      <c r="BB671" s="83"/>
      <c r="BC671" s="83"/>
      <c r="BD671" s="83"/>
      <c r="BE671" s="83"/>
      <c r="BF671" s="83"/>
      <c r="BG671" s="83"/>
      <c r="BH671" s="83"/>
      <c r="BI671" s="83"/>
      <c r="BJ671" s="83"/>
      <c r="BK671" s="83"/>
      <c r="BL671" s="83"/>
      <c r="BM671" s="83"/>
      <c r="BN671" s="83"/>
      <c r="BO671" s="83"/>
      <c r="BP671" s="83"/>
      <c r="BQ671" s="83"/>
      <c r="BR671" s="83"/>
      <c r="BS671" s="83"/>
      <c r="BT671" s="83"/>
      <c r="BU671" s="83"/>
      <c r="BV671" s="83"/>
      <c r="BW671" s="83"/>
      <c r="BX671" s="83"/>
      <c r="BY671" s="83"/>
      <c r="BZ671" s="83"/>
      <c r="CA671" s="83"/>
      <c r="CB671" s="83"/>
      <c r="CC671" s="83"/>
      <c r="CD671" s="83"/>
      <c r="CE671" s="83"/>
      <c r="CF671" s="83"/>
      <c r="CG671" s="83"/>
      <c r="CH671" s="83"/>
      <c r="CI671" s="83"/>
      <c r="CJ671" s="83"/>
      <c r="CK671" s="83"/>
      <c r="CL671" s="83"/>
      <c r="CM671" s="83"/>
      <c r="CN671" s="83"/>
      <c r="CO671" s="83"/>
      <c r="CP671" s="83"/>
      <c r="CQ671" s="83"/>
      <c r="CR671" s="83"/>
      <c r="CS671" s="83"/>
      <c r="CT671" s="83"/>
      <c r="CU671" s="83"/>
      <c r="CV671" s="83"/>
      <c r="CW671" s="83"/>
      <c r="CX671" s="83"/>
      <c r="CY671" s="83"/>
      <c r="CZ671" s="83"/>
      <c r="DA671" s="83"/>
      <c r="DB671" s="83"/>
      <c r="DC671" s="83"/>
    </row>
    <row r="672" spans="1:107" x14ac:dyDescent="0.3">
      <c r="A672" s="83"/>
      <c r="B672" s="83"/>
      <c r="C672" s="83"/>
      <c r="D672" s="83"/>
      <c r="E672" s="83"/>
      <c r="F672" s="83"/>
      <c r="G672" s="83"/>
      <c r="H672" s="83"/>
      <c r="I672" s="83"/>
      <c r="J672" s="83"/>
      <c r="K672" s="83"/>
      <c r="L672" s="83"/>
      <c r="M672" s="83"/>
      <c r="N672" s="83"/>
      <c r="O672" s="83"/>
      <c r="P672" s="83"/>
      <c r="Q672" s="83"/>
      <c r="R672" s="83"/>
      <c r="S672" s="83"/>
      <c r="T672" s="83"/>
      <c r="U672" s="83"/>
      <c r="V672" s="83"/>
      <c r="W672" s="83"/>
      <c r="X672" s="83"/>
      <c r="Y672" s="83"/>
      <c r="Z672" s="83"/>
      <c r="AA672" s="83"/>
      <c r="AB672" s="83"/>
      <c r="AC672" s="83"/>
      <c r="AD672" s="83"/>
      <c r="AE672" s="83"/>
      <c r="AF672" s="83"/>
      <c r="AG672" s="83"/>
      <c r="AH672" s="83"/>
      <c r="AI672" s="83"/>
      <c r="AJ672" s="83"/>
      <c r="AK672" s="83"/>
      <c r="AL672" s="83"/>
      <c r="AM672" s="83"/>
      <c r="AN672" s="83"/>
      <c r="AO672" s="83"/>
      <c r="AP672" s="83"/>
      <c r="AQ672" s="83"/>
      <c r="AR672" s="83"/>
      <c r="AS672" s="83"/>
      <c r="AT672" s="83"/>
      <c r="AU672" s="83"/>
      <c r="AV672" s="83"/>
      <c r="AW672" s="83"/>
      <c r="AX672" s="83"/>
      <c r="AY672" s="83"/>
      <c r="AZ672" s="83"/>
      <c r="BA672" s="83"/>
      <c r="BB672" s="83"/>
      <c r="BC672" s="83"/>
      <c r="BD672" s="83"/>
      <c r="BE672" s="83"/>
      <c r="BF672" s="83"/>
      <c r="BG672" s="83"/>
      <c r="BH672" s="83"/>
      <c r="BI672" s="83"/>
      <c r="BJ672" s="83"/>
      <c r="BK672" s="83"/>
      <c r="BL672" s="83"/>
      <c r="BM672" s="83"/>
      <c r="BN672" s="83"/>
      <c r="BO672" s="83"/>
      <c r="BP672" s="83"/>
      <c r="BQ672" s="83"/>
      <c r="BR672" s="83"/>
      <c r="BS672" s="83"/>
      <c r="BT672" s="83"/>
      <c r="BU672" s="83"/>
      <c r="BV672" s="83"/>
      <c r="BW672" s="83"/>
      <c r="BX672" s="83"/>
      <c r="BY672" s="83"/>
      <c r="BZ672" s="83"/>
      <c r="CA672" s="83"/>
      <c r="CB672" s="83"/>
      <c r="CC672" s="83"/>
      <c r="CD672" s="83"/>
      <c r="CE672" s="83"/>
      <c r="CF672" s="83"/>
      <c r="CG672" s="83"/>
      <c r="CH672" s="83"/>
      <c r="CI672" s="83"/>
      <c r="CJ672" s="83"/>
      <c r="CK672" s="83"/>
      <c r="CL672" s="83"/>
      <c r="CM672" s="83"/>
      <c r="CN672" s="83"/>
      <c r="CO672" s="83"/>
      <c r="CP672" s="83"/>
      <c r="CQ672" s="83"/>
      <c r="CR672" s="83"/>
      <c r="CS672" s="83"/>
      <c r="CT672" s="83"/>
      <c r="CU672" s="83"/>
      <c r="CV672" s="83"/>
      <c r="CW672" s="83"/>
      <c r="CX672" s="83"/>
      <c r="CY672" s="83"/>
      <c r="CZ672" s="83"/>
      <c r="DA672" s="83"/>
      <c r="DB672" s="83"/>
      <c r="DC672" s="83"/>
    </row>
    <row r="673" spans="1:107" x14ac:dyDescent="0.3">
      <c r="A673" s="83"/>
      <c r="B673" s="83"/>
      <c r="C673" s="83"/>
      <c r="D673" s="83"/>
      <c r="E673" s="83"/>
      <c r="F673" s="83"/>
      <c r="G673" s="83"/>
      <c r="H673" s="83"/>
      <c r="I673" s="83"/>
      <c r="J673" s="83"/>
      <c r="K673" s="83"/>
      <c r="L673" s="83"/>
      <c r="M673" s="83"/>
      <c r="N673" s="83"/>
      <c r="O673" s="83"/>
      <c r="P673" s="83"/>
      <c r="Q673" s="83"/>
      <c r="R673" s="83"/>
      <c r="S673" s="83"/>
      <c r="T673" s="83"/>
      <c r="U673" s="83"/>
      <c r="V673" s="83"/>
      <c r="W673" s="83"/>
      <c r="X673" s="83"/>
      <c r="Y673" s="83"/>
      <c r="Z673" s="83"/>
      <c r="AA673" s="83"/>
      <c r="AB673" s="83"/>
      <c r="AC673" s="83"/>
      <c r="AD673" s="83"/>
      <c r="AE673" s="83"/>
      <c r="AF673" s="83"/>
      <c r="AG673" s="83"/>
      <c r="AH673" s="83"/>
      <c r="AI673" s="83"/>
      <c r="AJ673" s="83"/>
      <c r="AK673" s="83"/>
      <c r="AL673" s="83"/>
      <c r="AM673" s="83"/>
      <c r="AN673" s="83"/>
      <c r="AO673" s="83"/>
      <c r="AP673" s="83"/>
      <c r="AQ673" s="83"/>
      <c r="AR673" s="83"/>
      <c r="AS673" s="83"/>
      <c r="AT673" s="83"/>
      <c r="AU673" s="83"/>
      <c r="AV673" s="83"/>
      <c r="AW673" s="83"/>
      <c r="AX673" s="83"/>
      <c r="AY673" s="83"/>
      <c r="AZ673" s="83"/>
      <c r="BA673" s="83"/>
      <c r="BB673" s="83"/>
      <c r="BC673" s="83"/>
      <c r="BD673" s="83"/>
      <c r="BE673" s="83"/>
      <c r="BF673" s="83"/>
      <c r="BG673" s="83"/>
      <c r="BH673" s="83"/>
      <c r="BI673" s="83"/>
      <c r="BJ673" s="83"/>
      <c r="BK673" s="83"/>
      <c r="BL673" s="83"/>
      <c r="BM673" s="83"/>
      <c r="BN673" s="83"/>
      <c r="BO673" s="83"/>
      <c r="BP673" s="83"/>
      <c r="BQ673" s="83"/>
      <c r="BR673" s="83"/>
      <c r="BS673" s="83"/>
      <c r="BT673" s="83"/>
      <c r="BU673" s="83"/>
      <c r="BV673" s="83"/>
      <c r="BW673" s="83"/>
      <c r="BX673" s="83"/>
      <c r="BY673" s="83"/>
      <c r="BZ673" s="83"/>
      <c r="CA673" s="83"/>
      <c r="CB673" s="83"/>
      <c r="CC673" s="83"/>
      <c r="CD673" s="83"/>
      <c r="CE673" s="83"/>
      <c r="CF673" s="83"/>
      <c r="CG673" s="83"/>
      <c r="CH673" s="83"/>
      <c r="CI673" s="83"/>
      <c r="CJ673" s="83"/>
      <c r="CK673" s="83"/>
      <c r="CL673" s="83"/>
      <c r="CM673" s="83"/>
      <c r="CN673" s="83"/>
      <c r="CO673" s="83"/>
      <c r="CP673" s="83"/>
      <c r="CQ673" s="83"/>
      <c r="CR673" s="83"/>
      <c r="CS673" s="83"/>
      <c r="CT673" s="83"/>
      <c r="CU673" s="83"/>
      <c r="CV673" s="83"/>
      <c r="CW673" s="83"/>
      <c r="CX673" s="83"/>
      <c r="CY673" s="83"/>
      <c r="CZ673" s="83"/>
      <c r="DA673" s="83"/>
      <c r="DB673" s="83"/>
      <c r="DC673" s="83"/>
    </row>
    <row r="674" spans="1:107" x14ac:dyDescent="0.3">
      <c r="A674" s="83"/>
      <c r="B674" s="83"/>
      <c r="C674" s="83"/>
      <c r="D674" s="83"/>
      <c r="E674" s="83"/>
      <c r="F674" s="83"/>
      <c r="G674" s="83"/>
      <c r="H674" s="83"/>
      <c r="I674" s="83"/>
      <c r="J674" s="83"/>
      <c r="K674" s="83"/>
      <c r="L674" s="83"/>
      <c r="M674" s="83"/>
      <c r="N674" s="83"/>
      <c r="O674" s="83"/>
      <c r="P674" s="83"/>
      <c r="Q674" s="83"/>
      <c r="R674" s="83"/>
      <c r="S674" s="83"/>
      <c r="T674" s="83"/>
      <c r="U674" s="83"/>
      <c r="V674" s="83"/>
      <c r="W674" s="83"/>
      <c r="X674" s="83"/>
      <c r="Y674" s="83"/>
      <c r="Z674" s="83"/>
      <c r="AA674" s="83"/>
      <c r="AB674" s="83"/>
      <c r="AC674" s="83"/>
      <c r="AD674" s="83"/>
      <c r="AE674" s="83"/>
      <c r="AF674" s="83"/>
      <c r="AG674" s="83"/>
      <c r="AH674" s="83"/>
      <c r="AI674" s="83"/>
      <c r="AJ674" s="83"/>
      <c r="AK674" s="83"/>
      <c r="AL674" s="83"/>
      <c r="AM674" s="83"/>
      <c r="AN674" s="83"/>
      <c r="AO674" s="83"/>
      <c r="AP674" s="83"/>
      <c r="AQ674" s="83"/>
      <c r="AR674" s="83"/>
      <c r="AS674" s="83"/>
      <c r="AT674" s="83"/>
      <c r="AU674" s="83"/>
      <c r="AV674" s="83"/>
      <c r="AW674" s="83"/>
      <c r="AX674" s="83"/>
      <c r="AY674" s="83"/>
      <c r="AZ674" s="83"/>
      <c r="BA674" s="83"/>
      <c r="BB674" s="83"/>
      <c r="BC674" s="83"/>
      <c r="BD674" s="83"/>
      <c r="BE674" s="83"/>
      <c r="BF674" s="83"/>
      <c r="BG674" s="83"/>
      <c r="BH674" s="83"/>
      <c r="BI674" s="83"/>
      <c r="BJ674" s="83"/>
      <c r="BK674" s="83"/>
      <c r="BL674" s="83"/>
      <c r="BM674" s="83"/>
      <c r="BN674" s="83"/>
      <c r="BO674" s="83"/>
      <c r="BP674" s="83"/>
      <c r="BQ674" s="83"/>
      <c r="BR674" s="83"/>
      <c r="BS674" s="83"/>
      <c r="BT674" s="83"/>
      <c r="BU674" s="83"/>
      <c r="BV674" s="83"/>
      <c r="BW674" s="83"/>
      <c r="BX674" s="83"/>
      <c r="BY674" s="83"/>
      <c r="BZ674" s="83"/>
      <c r="CA674" s="83"/>
      <c r="CB674" s="83"/>
      <c r="CC674" s="83"/>
      <c r="CD674" s="83"/>
      <c r="CE674" s="83"/>
      <c r="CF674" s="83"/>
      <c r="CG674" s="83"/>
      <c r="CH674" s="83"/>
      <c r="CI674" s="83"/>
      <c r="CJ674" s="83"/>
      <c r="CK674" s="83"/>
      <c r="CL674" s="83"/>
      <c r="CM674" s="83"/>
      <c r="CN674" s="83"/>
      <c r="CO674" s="83"/>
      <c r="CP674" s="83"/>
      <c r="CQ674" s="83"/>
      <c r="CR674" s="83"/>
      <c r="CS674" s="83"/>
      <c r="CT674" s="83"/>
      <c r="CU674" s="83"/>
      <c r="CV674" s="83"/>
      <c r="CW674" s="83"/>
      <c r="CX674" s="83"/>
      <c r="CY674" s="83"/>
      <c r="CZ674" s="83"/>
      <c r="DA674" s="83"/>
      <c r="DB674" s="83"/>
      <c r="DC674" s="83"/>
    </row>
    <row r="675" spans="1:107" x14ac:dyDescent="0.3">
      <c r="A675" s="83"/>
      <c r="B675" s="83"/>
      <c r="C675" s="83"/>
      <c r="D675" s="83"/>
      <c r="E675" s="83"/>
      <c r="F675" s="83"/>
      <c r="G675" s="83"/>
      <c r="H675" s="83"/>
      <c r="I675" s="83"/>
      <c r="J675" s="83"/>
      <c r="K675" s="83"/>
      <c r="L675" s="83"/>
      <c r="M675" s="83"/>
      <c r="N675" s="83"/>
      <c r="O675" s="83"/>
      <c r="P675" s="83"/>
      <c r="Q675" s="83"/>
      <c r="R675" s="83"/>
      <c r="S675" s="83"/>
      <c r="T675" s="83"/>
      <c r="U675" s="83"/>
      <c r="V675" s="83"/>
      <c r="W675" s="83"/>
      <c r="X675" s="83"/>
      <c r="Y675" s="83"/>
      <c r="Z675" s="83"/>
      <c r="AA675" s="83"/>
      <c r="AB675" s="83"/>
      <c r="AC675" s="83"/>
      <c r="AD675" s="83"/>
      <c r="AE675" s="83"/>
      <c r="AF675" s="83"/>
      <c r="AG675" s="83"/>
      <c r="AH675" s="83"/>
      <c r="AI675" s="83"/>
      <c r="AJ675" s="83"/>
      <c r="AK675" s="83"/>
      <c r="AL675" s="83"/>
      <c r="AM675" s="83"/>
      <c r="AN675" s="83"/>
      <c r="AO675" s="83"/>
      <c r="AP675" s="83"/>
      <c r="AQ675" s="83"/>
      <c r="AR675" s="83"/>
      <c r="AS675" s="83"/>
      <c r="AT675" s="83"/>
      <c r="AU675" s="83"/>
      <c r="AV675" s="83"/>
      <c r="AW675" s="83"/>
      <c r="AX675" s="83"/>
      <c r="AY675" s="83"/>
      <c r="AZ675" s="83"/>
      <c r="BA675" s="83"/>
      <c r="BB675" s="83"/>
      <c r="BC675" s="83"/>
      <c r="BD675" s="83"/>
      <c r="BE675" s="83"/>
      <c r="BF675" s="83"/>
      <c r="BG675" s="83"/>
      <c r="BH675" s="83"/>
      <c r="BI675" s="83"/>
      <c r="BJ675" s="83"/>
      <c r="BK675" s="83"/>
      <c r="BL675" s="83"/>
      <c r="BM675" s="83"/>
      <c r="BN675" s="83"/>
      <c r="BO675" s="83"/>
      <c r="BP675" s="83"/>
      <c r="BQ675" s="83"/>
      <c r="BR675" s="83"/>
      <c r="BS675" s="83"/>
      <c r="BT675" s="83"/>
      <c r="BU675" s="83"/>
      <c r="BV675" s="83"/>
      <c r="BW675" s="83"/>
      <c r="BX675" s="83"/>
      <c r="BY675" s="83"/>
      <c r="BZ675" s="83"/>
      <c r="CA675" s="83"/>
      <c r="CB675" s="83"/>
      <c r="CC675" s="83"/>
      <c r="CD675" s="83"/>
      <c r="CE675" s="83"/>
      <c r="CF675" s="83"/>
      <c r="CG675" s="83"/>
      <c r="CH675" s="83"/>
      <c r="CI675" s="83"/>
      <c r="CJ675" s="83"/>
      <c r="CK675" s="83"/>
      <c r="CL675" s="83"/>
      <c r="CM675" s="83"/>
      <c r="CN675" s="83"/>
      <c r="CO675" s="83"/>
      <c r="CP675" s="83"/>
      <c r="CQ675" s="83"/>
      <c r="CR675" s="83"/>
      <c r="CS675" s="83"/>
      <c r="CT675" s="83"/>
      <c r="CU675" s="83"/>
      <c r="CV675" s="83"/>
      <c r="CW675" s="83"/>
      <c r="CX675" s="83"/>
      <c r="CY675" s="83"/>
      <c r="CZ675" s="83"/>
      <c r="DA675" s="83"/>
      <c r="DB675" s="83"/>
      <c r="DC675" s="83"/>
    </row>
    <row r="676" spans="1:107" x14ac:dyDescent="0.3">
      <c r="A676" s="83"/>
      <c r="B676" s="83"/>
      <c r="C676" s="83"/>
      <c r="D676" s="83"/>
      <c r="E676" s="83"/>
      <c r="F676" s="83"/>
      <c r="G676" s="83"/>
      <c r="H676" s="83"/>
      <c r="I676" s="83"/>
      <c r="J676" s="83"/>
      <c r="K676" s="83"/>
      <c r="L676" s="83"/>
      <c r="M676" s="83"/>
      <c r="N676" s="83"/>
      <c r="O676" s="83"/>
      <c r="P676" s="83"/>
      <c r="Q676" s="83"/>
      <c r="R676" s="83"/>
      <c r="S676" s="83"/>
      <c r="T676" s="83"/>
      <c r="U676" s="83"/>
      <c r="V676" s="83"/>
      <c r="W676" s="83"/>
      <c r="X676" s="83"/>
      <c r="Y676" s="83"/>
      <c r="Z676" s="83"/>
      <c r="AA676" s="83"/>
      <c r="AB676" s="83"/>
      <c r="AC676" s="83"/>
      <c r="AD676" s="83"/>
      <c r="AE676" s="83"/>
      <c r="AF676" s="83"/>
      <c r="AG676" s="83"/>
      <c r="AH676" s="83"/>
      <c r="AI676" s="83"/>
      <c r="AJ676" s="83"/>
      <c r="AK676" s="83"/>
      <c r="AL676" s="83"/>
      <c r="AM676" s="83"/>
      <c r="AN676" s="83"/>
      <c r="AO676" s="83"/>
      <c r="AP676" s="83"/>
      <c r="AQ676" s="83"/>
      <c r="AR676" s="83"/>
      <c r="AS676" s="83"/>
      <c r="AT676" s="83"/>
      <c r="AU676" s="83"/>
      <c r="AV676" s="83"/>
      <c r="AW676" s="83"/>
      <c r="AX676" s="83"/>
      <c r="AY676" s="83"/>
      <c r="AZ676" s="83"/>
      <c r="BA676" s="83"/>
      <c r="BB676" s="83"/>
      <c r="BC676" s="83"/>
      <c r="BD676" s="83"/>
      <c r="BE676" s="83"/>
      <c r="BF676" s="83"/>
      <c r="BG676" s="83"/>
      <c r="BH676" s="83"/>
      <c r="BI676" s="83"/>
      <c r="BJ676" s="83"/>
      <c r="BK676" s="83"/>
      <c r="BL676" s="83"/>
      <c r="BM676" s="83"/>
      <c r="BN676" s="83"/>
      <c r="BO676" s="83"/>
      <c r="BP676" s="83"/>
      <c r="BQ676" s="83"/>
      <c r="BR676" s="83"/>
      <c r="BS676" s="83"/>
      <c r="BT676" s="83"/>
      <c r="BU676" s="83"/>
      <c r="BV676" s="83"/>
      <c r="BW676" s="83"/>
      <c r="BX676" s="83"/>
      <c r="BY676" s="83"/>
      <c r="BZ676" s="83"/>
      <c r="CA676" s="83"/>
      <c r="CB676" s="83"/>
      <c r="CC676" s="83"/>
      <c r="CD676" s="83"/>
      <c r="CE676" s="83"/>
      <c r="CF676" s="83"/>
      <c r="CG676" s="83"/>
      <c r="CH676" s="83"/>
      <c r="CI676" s="83"/>
      <c r="CJ676" s="83"/>
      <c r="CK676" s="83"/>
      <c r="CL676" s="83"/>
      <c r="CM676" s="83"/>
      <c r="CN676" s="83"/>
      <c r="CO676" s="83"/>
      <c r="CP676" s="83"/>
      <c r="CQ676" s="83"/>
      <c r="CR676" s="83"/>
      <c r="CS676" s="83"/>
      <c r="CT676" s="83"/>
      <c r="CU676" s="83"/>
      <c r="CV676" s="83"/>
      <c r="CW676" s="83"/>
      <c r="CX676" s="83"/>
      <c r="CY676" s="83"/>
      <c r="CZ676" s="83"/>
      <c r="DA676" s="83"/>
      <c r="DB676" s="83"/>
      <c r="DC676" s="83"/>
    </row>
    <row r="677" spans="1:107" x14ac:dyDescent="0.3">
      <c r="A677" s="83"/>
      <c r="B677" s="83"/>
      <c r="C677" s="83"/>
      <c r="D677" s="83"/>
      <c r="E677" s="83"/>
      <c r="F677" s="83"/>
      <c r="G677" s="83"/>
      <c r="H677" s="83"/>
      <c r="I677" s="83"/>
      <c r="J677" s="83"/>
      <c r="K677" s="83"/>
      <c r="L677" s="83"/>
      <c r="M677" s="83"/>
      <c r="N677" s="83"/>
      <c r="O677" s="83"/>
      <c r="P677" s="83"/>
      <c r="Q677" s="83"/>
      <c r="R677" s="83"/>
      <c r="S677" s="83"/>
      <c r="T677" s="83"/>
      <c r="U677" s="83"/>
      <c r="V677" s="83"/>
      <c r="W677" s="83"/>
      <c r="X677" s="83"/>
      <c r="Y677" s="83"/>
      <c r="Z677" s="83"/>
      <c r="AA677" s="83"/>
      <c r="AB677" s="83"/>
      <c r="AC677" s="83"/>
      <c r="AD677" s="83"/>
      <c r="AE677" s="83"/>
      <c r="AF677" s="83"/>
      <c r="AG677" s="83"/>
      <c r="AH677" s="83"/>
      <c r="AI677" s="83"/>
      <c r="AJ677" s="83"/>
      <c r="AK677" s="83"/>
      <c r="AL677" s="83"/>
      <c r="AM677" s="83"/>
      <c r="AN677" s="83"/>
      <c r="AO677" s="83"/>
      <c r="AP677" s="83"/>
      <c r="AQ677" s="83"/>
      <c r="AR677" s="83"/>
      <c r="AS677" s="83"/>
      <c r="AT677" s="83"/>
      <c r="AU677" s="83"/>
      <c r="AV677" s="83"/>
      <c r="AW677" s="83"/>
      <c r="AX677" s="83"/>
      <c r="AY677" s="83"/>
      <c r="AZ677" s="83"/>
      <c r="BA677" s="83"/>
      <c r="BB677" s="83"/>
      <c r="BC677" s="83"/>
      <c r="BD677" s="83"/>
      <c r="BE677" s="83"/>
      <c r="BF677" s="83"/>
      <c r="BG677" s="83"/>
      <c r="BH677" s="83"/>
      <c r="BI677" s="83"/>
      <c r="BJ677" s="83"/>
      <c r="BK677" s="83"/>
      <c r="BL677" s="83"/>
      <c r="BM677" s="83"/>
      <c r="BN677" s="83"/>
      <c r="BO677" s="83"/>
      <c r="BP677" s="83"/>
      <c r="BQ677" s="83"/>
      <c r="BR677" s="83"/>
      <c r="BS677" s="83"/>
      <c r="BT677" s="83"/>
      <c r="BU677" s="83"/>
      <c r="BV677" s="83"/>
      <c r="BW677" s="83"/>
      <c r="BX677" s="83"/>
      <c r="BY677" s="83"/>
      <c r="BZ677" s="83"/>
      <c r="CA677" s="83"/>
      <c r="CB677" s="83"/>
      <c r="CC677" s="83"/>
      <c r="CD677" s="83"/>
      <c r="CE677" s="83"/>
      <c r="CF677" s="83"/>
      <c r="CG677" s="83"/>
      <c r="CH677" s="83"/>
      <c r="CI677" s="83"/>
      <c r="CJ677" s="83"/>
      <c r="CK677" s="83"/>
      <c r="CL677" s="83"/>
      <c r="CM677" s="83"/>
      <c r="CN677" s="83"/>
      <c r="CO677" s="83"/>
      <c r="CP677" s="83"/>
      <c r="CQ677" s="83"/>
      <c r="CR677" s="83"/>
      <c r="CS677" s="83"/>
      <c r="CT677" s="83"/>
      <c r="CU677" s="83"/>
      <c r="CV677" s="83"/>
      <c r="CW677" s="83"/>
      <c r="CX677" s="83"/>
      <c r="CY677" s="83"/>
      <c r="CZ677" s="83"/>
      <c r="DA677" s="83"/>
      <c r="DB677" s="83"/>
      <c r="DC677" s="83"/>
    </row>
    <row r="678" spans="1:107" x14ac:dyDescent="0.3">
      <c r="A678" s="83"/>
      <c r="B678" s="83"/>
      <c r="C678" s="83"/>
      <c r="D678" s="83"/>
      <c r="E678" s="83"/>
      <c r="F678" s="83"/>
      <c r="G678" s="83"/>
      <c r="H678" s="83"/>
      <c r="I678" s="83"/>
      <c r="J678" s="83"/>
      <c r="K678" s="83"/>
      <c r="L678" s="83"/>
      <c r="M678" s="83"/>
      <c r="N678" s="83"/>
      <c r="O678" s="83"/>
      <c r="P678" s="83"/>
      <c r="Q678" s="83"/>
      <c r="R678" s="83"/>
      <c r="S678" s="83"/>
      <c r="T678" s="83"/>
      <c r="U678" s="83"/>
      <c r="V678" s="83"/>
      <c r="W678" s="83"/>
      <c r="X678" s="83"/>
      <c r="Y678" s="83"/>
      <c r="Z678" s="83"/>
      <c r="AA678" s="83"/>
      <c r="AB678" s="83"/>
      <c r="AC678" s="83"/>
      <c r="AD678" s="83"/>
      <c r="AE678" s="83"/>
      <c r="AF678" s="83"/>
      <c r="AG678" s="83"/>
      <c r="AH678" s="83"/>
      <c r="AI678" s="83"/>
      <c r="AJ678" s="83"/>
      <c r="AK678" s="83"/>
      <c r="AL678" s="83"/>
      <c r="AM678" s="83"/>
      <c r="AN678" s="83"/>
      <c r="AO678" s="83"/>
      <c r="AP678" s="83"/>
      <c r="AQ678" s="83"/>
      <c r="AR678" s="83"/>
      <c r="AS678" s="83"/>
      <c r="AT678" s="83"/>
      <c r="AU678" s="83"/>
      <c r="AV678" s="83"/>
      <c r="AW678" s="83"/>
      <c r="AX678" s="83"/>
      <c r="AY678" s="83"/>
      <c r="AZ678" s="83"/>
      <c r="BA678" s="83"/>
      <c r="BB678" s="83"/>
      <c r="BC678" s="83"/>
      <c r="BD678" s="83"/>
      <c r="BE678" s="83"/>
      <c r="BF678" s="83"/>
      <c r="BG678" s="83"/>
      <c r="BH678" s="83"/>
      <c r="BI678" s="83"/>
      <c r="BJ678" s="83"/>
      <c r="BK678" s="83"/>
      <c r="BL678" s="83"/>
      <c r="BM678" s="83"/>
      <c r="BN678" s="83"/>
      <c r="BO678" s="83"/>
      <c r="BP678" s="83"/>
      <c r="BQ678" s="83"/>
      <c r="BR678" s="83"/>
      <c r="BS678" s="83"/>
      <c r="BT678" s="83"/>
      <c r="BU678" s="83"/>
      <c r="BV678" s="83"/>
      <c r="BW678" s="83"/>
      <c r="BX678" s="83"/>
      <c r="BY678" s="83"/>
      <c r="BZ678" s="83"/>
      <c r="CA678" s="83"/>
      <c r="CB678" s="83"/>
      <c r="CC678" s="83"/>
      <c r="CD678" s="83"/>
      <c r="CE678" s="83"/>
      <c r="CF678" s="83"/>
      <c r="CG678" s="83"/>
      <c r="CH678" s="83"/>
      <c r="CI678" s="83"/>
      <c r="CJ678" s="83"/>
      <c r="CK678" s="83"/>
      <c r="CL678" s="83"/>
      <c r="CM678" s="83"/>
      <c r="CN678" s="83"/>
      <c r="CO678" s="83"/>
      <c r="CP678" s="83"/>
      <c r="CQ678" s="83"/>
      <c r="CR678" s="83"/>
      <c r="CS678" s="83"/>
      <c r="CT678" s="83"/>
      <c r="CU678" s="83"/>
      <c r="CV678" s="83"/>
      <c r="CW678" s="83"/>
      <c r="CX678" s="83"/>
      <c r="CY678" s="83"/>
      <c r="CZ678" s="83"/>
      <c r="DA678" s="83"/>
      <c r="DB678" s="83"/>
      <c r="DC678" s="83"/>
    </row>
    <row r="679" spans="1:107" x14ac:dyDescent="0.3">
      <c r="A679" s="83"/>
      <c r="B679" s="83"/>
      <c r="C679" s="83"/>
      <c r="D679" s="83"/>
      <c r="E679" s="83"/>
      <c r="F679" s="83"/>
      <c r="G679" s="83"/>
      <c r="H679" s="83"/>
      <c r="I679" s="83"/>
      <c r="J679" s="83"/>
      <c r="K679" s="83"/>
      <c r="L679" s="83"/>
      <c r="M679" s="83"/>
      <c r="N679" s="83"/>
      <c r="O679" s="83"/>
      <c r="P679" s="83"/>
      <c r="Q679" s="83"/>
      <c r="R679" s="83"/>
      <c r="S679" s="83"/>
      <c r="T679" s="83"/>
      <c r="U679" s="83"/>
      <c r="V679" s="83"/>
      <c r="W679" s="83"/>
      <c r="X679" s="83"/>
      <c r="Y679" s="83"/>
      <c r="Z679" s="83"/>
      <c r="AA679" s="83"/>
      <c r="AB679" s="83"/>
      <c r="AC679" s="83"/>
      <c r="AD679" s="83"/>
      <c r="AE679" s="83"/>
      <c r="AF679" s="83"/>
      <c r="AG679" s="83"/>
      <c r="AH679" s="83"/>
      <c r="AI679" s="83"/>
      <c r="AJ679" s="83"/>
      <c r="AK679" s="83"/>
      <c r="AL679" s="83"/>
      <c r="AM679" s="83"/>
      <c r="AN679" s="83"/>
      <c r="AO679" s="83"/>
      <c r="AP679" s="83"/>
      <c r="AQ679" s="83"/>
      <c r="AR679" s="83"/>
      <c r="AS679" s="83"/>
      <c r="AT679" s="83"/>
      <c r="AU679" s="83"/>
      <c r="AV679" s="83"/>
      <c r="AW679" s="83"/>
      <c r="AX679" s="83"/>
      <c r="AY679" s="83"/>
      <c r="AZ679" s="83"/>
      <c r="BA679" s="83"/>
      <c r="BB679" s="83"/>
      <c r="BC679" s="83"/>
      <c r="BD679" s="83"/>
      <c r="BE679" s="83"/>
      <c r="BF679" s="83"/>
      <c r="BG679" s="83"/>
      <c r="BH679" s="83"/>
      <c r="BI679" s="83"/>
      <c r="BJ679" s="83"/>
      <c r="BK679" s="83"/>
      <c r="BL679" s="83"/>
      <c r="BM679" s="83"/>
      <c r="BN679" s="83"/>
      <c r="BO679" s="83"/>
      <c r="BP679" s="83"/>
      <c r="BQ679" s="83"/>
      <c r="BR679" s="83"/>
      <c r="BS679" s="83"/>
      <c r="BT679" s="83"/>
      <c r="BU679" s="83"/>
      <c r="BV679" s="83"/>
      <c r="BW679" s="83"/>
      <c r="BX679" s="83"/>
      <c r="BY679" s="83"/>
      <c r="BZ679" s="83"/>
      <c r="CA679" s="83"/>
      <c r="CB679" s="83"/>
      <c r="CC679" s="83"/>
      <c r="CD679" s="83"/>
      <c r="CE679" s="83"/>
      <c r="CF679" s="83"/>
      <c r="CG679" s="83"/>
      <c r="CH679" s="83"/>
      <c r="CI679" s="83"/>
      <c r="CJ679" s="83"/>
      <c r="CK679" s="83"/>
      <c r="CL679" s="83"/>
      <c r="CM679" s="83"/>
      <c r="CN679" s="83"/>
      <c r="CO679" s="83"/>
      <c r="CP679" s="83"/>
      <c r="CQ679" s="83"/>
      <c r="CR679" s="83"/>
      <c r="CS679" s="83"/>
      <c r="CT679" s="83"/>
      <c r="CU679" s="83"/>
      <c r="CV679" s="83"/>
      <c r="CW679" s="83"/>
      <c r="CX679" s="83"/>
      <c r="CY679" s="83"/>
      <c r="CZ679" s="83"/>
      <c r="DA679" s="83"/>
      <c r="DB679" s="83"/>
      <c r="DC679" s="83"/>
    </row>
    <row r="680" spans="1:107" x14ac:dyDescent="0.3">
      <c r="A680" s="83"/>
      <c r="B680" s="83"/>
      <c r="C680" s="83"/>
      <c r="D680" s="83"/>
      <c r="E680" s="83"/>
      <c r="F680" s="83"/>
      <c r="G680" s="83"/>
      <c r="H680" s="83"/>
      <c r="I680" s="83"/>
      <c r="J680" s="83"/>
      <c r="K680" s="83"/>
      <c r="L680" s="83"/>
      <c r="M680" s="83"/>
      <c r="N680" s="83"/>
      <c r="O680" s="83"/>
      <c r="P680" s="83"/>
      <c r="Q680" s="83"/>
      <c r="R680" s="83"/>
      <c r="S680" s="83"/>
      <c r="T680" s="83"/>
      <c r="U680" s="83"/>
      <c r="V680" s="83"/>
      <c r="W680" s="83"/>
      <c r="X680" s="83"/>
      <c r="Y680" s="83"/>
      <c r="Z680" s="83"/>
      <c r="AA680" s="83"/>
      <c r="AB680" s="83"/>
      <c r="AC680" s="83"/>
      <c r="AD680" s="83"/>
      <c r="AE680" s="83"/>
      <c r="AF680" s="83"/>
      <c r="AG680" s="83"/>
      <c r="AH680" s="83"/>
      <c r="AI680" s="83"/>
      <c r="AJ680" s="83"/>
      <c r="AK680" s="83"/>
      <c r="AL680" s="83"/>
      <c r="AM680" s="83"/>
      <c r="AN680" s="83"/>
      <c r="AO680" s="83"/>
      <c r="AP680" s="83"/>
      <c r="AQ680" s="83"/>
      <c r="AR680" s="83"/>
      <c r="AS680" s="83"/>
      <c r="AT680" s="83"/>
      <c r="AU680" s="83"/>
      <c r="AV680" s="83"/>
      <c r="AW680" s="83"/>
      <c r="AX680" s="83"/>
      <c r="AY680" s="83"/>
      <c r="AZ680" s="83"/>
      <c r="BA680" s="83"/>
      <c r="BB680" s="83"/>
      <c r="BC680" s="83"/>
      <c r="BD680" s="83"/>
      <c r="BE680" s="83"/>
      <c r="BF680" s="83"/>
      <c r="BG680" s="83"/>
      <c r="BH680" s="83"/>
      <c r="BI680" s="83"/>
      <c r="BJ680" s="83"/>
      <c r="BK680" s="83"/>
      <c r="BL680" s="83"/>
      <c r="BM680" s="83"/>
      <c r="BN680" s="83"/>
      <c r="BO680" s="83"/>
      <c r="BP680" s="83"/>
      <c r="BQ680" s="83"/>
      <c r="BR680" s="83"/>
      <c r="BS680" s="83"/>
      <c r="BT680" s="83"/>
      <c r="BU680" s="83"/>
      <c r="BV680" s="83"/>
      <c r="BW680" s="83"/>
      <c r="BX680" s="83"/>
      <c r="BY680" s="83"/>
      <c r="BZ680" s="83"/>
      <c r="CA680" s="83"/>
      <c r="CB680" s="83"/>
      <c r="CC680" s="83"/>
      <c r="CD680" s="83"/>
      <c r="CE680" s="83"/>
      <c r="CF680" s="83"/>
      <c r="CG680" s="83"/>
      <c r="CH680" s="83"/>
      <c r="CI680" s="83"/>
      <c r="CJ680" s="83"/>
      <c r="CK680" s="83"/>
      <c r="CL680" s="83"/>
      <c r="CM680" s="83"/>
      <c r="CN680" s="83"/>
      <c r="CO680" s="83"/>
      <c r="CP680" s="83"/>
      <c r="CQ680" s="83"/>
      <c r="CR680" s="83"/>
      <c r="CS680" s="83"/>
      <c r="CT680" s="83"/>
      <c r="CU680" s="83"/>
      <c r="CV680" s="83"/>
      <c r="CW680" s="83"/>
      <c r="CX680" s="83"/>
      <c r="CY680" s="83"/>
      <c r="CZ680" s="83"/>
      <c r="DA680" s="83"/>
      <c r="DB680" s="83"/>
      <c r="DC680" s="83"/>
    </row>
    <row r="681" spans="1:107" x14ac:dyDescent="0.3">
      <c r="A681" s="83"/>
      <c r="B681" s="83"/>
      <c r="C681" s="83"/>
      <c r="D681" s="83"/>
      <c r="E681" s="83"/>
      <c r="F681" s="83"/>
      <c r="G681" s="83"/>
      <c r="H681" s="83"/>
      <c r="I681" s="83"/>
      <c r="J681" s="83"/>
      <c r="K681" s="83"/>
      <c r="L681" s="83"/>
      <c r="M681" s="83"/>
      <c r="N681" s="83"/>
      <c r="O681" s="83"/>
      <c r="P681" s="83"/>
      <c r="Q681" s="83"/>
      <c r="R681" s="83"/>
      <c r="S681" s="83"/>
      <c r="T681" s="83"/>
      <c r="U681" s="83"/>
      <c r="V681" s="83"/>
      <c r="W681" s="83"/>
      <c r="X681" s="83"/>
      <c r="Y681" s="83"/>
      <c r="Z681" s="83"/>
      <c r="AA681" s="83"/>
      <c r="AB681" s="83"/>
      <c r="AC681" s="83"/>
      <c r="AD681" s="83"/>
      <c r="AE681" s="83"/>
      <c r="AF681" s="83"/>
      <c r="AG681" s="83"/>
      <c r="AH681" s="83"/>
      <c r="AI681" s="83"/>
      <c r="AJ681" s="83"/>
      <c r="AK681" s="83"/>
      <c r="AL681" s="83"/>
      <c r="AM681" s="83"/>
      <c r="AN681" s="83"/>
      <c r="AO681" s="83"/>
      <c r="AP681" s="83"/>
      <c r="AQ681" s="83"/>
      <c r="AR681" s="83"/>
      <c r="AS681" s="83"/>
      <c r="AT681" s="83"/>
      <c r="AU681" s="83"/>
      <c r="AV681" s="83"/>
      <c r="AW681" s="83"/>
      <c r="AX681" s="83"/>
      <c r="AY681" s="83"/>
      <c r="AZ681" s="83"/>
      <c r="BA681" s="83"/>
      <c r="BB681" s="83"/>
      <c r="BC681" s="83"/>
      <c r="BD681" s="83"/>
      <c r="BE681" s="83"/>
      <c r="BF681" s="83"/>
      <c r="BG681" s="83"/>
      <c r="BH681" s="83"/>
      <c r="BI681" s="83"/>
      <c r="BJ681" s="83"/>
      <c r="BK681" s="83"/>
      <c r="BL681" s="83"/>
      <c r="BM681" s="83"/>
      <c r="BN681" s="83"/>
      <c r="BO681" s="83"/>
      <c r="BP681" s="83"/>
      <c r="BQ681" s="83"/>
      <c r="BR681" s="83"/>
      <c r="BS681" s="83"/>
      <c r="BT681" s="83"/>
      <c r="BU681" s="83"/>
      <c r="BV681" s="83"/>
      <c r="BW681" s="83"/>
      <c r="BX681" s="83"/>
      <c r="BY681" s="83"/>
      <c r="BZ681" s="83"/>
      <c r="CA681" s="83"/>
      <c r="CB681" s="83"/>
      <c r="CC681" s="83"/>
      <c r="CD681" s="83"/>
      <c r="CE681" s="83"/>
      <c r="CF681" s="83"/>
      <c r="CG681" s="83"/>
      <c r="CH681" s="83"/>
      <c r="CI681" s="83"/>
      <c r="CJ681" s="83"/>
      <c r="CK681" s="83"/>
      <c r="CL681" s="83"/>
      <c r="CM681" s="83"/>
      <c r="CN681" s="83"/>
      <c r="CO681" s="83"/>
      <c r="CP681" s="83"/>
      <c r="CQ681" s="83"/>
      <c r="CR681" s="83"/>
      <c r="CS681" s="83"/>
      <c r="CT681" s="83"/>
      <c r="CU681" s="83"/>
      <c r="CV681" s="83"/>
      <c r="CW681" s="83"/>
      <c r="CX681" s="83"/>
      <c r="CY681" s="83"/>
      <c r="CZ681" s="83"/>
      <c r="DA681" s="83"/>
      <c r="DB681" s="83"/>
      <c r="DC681" s="83"/>
    </row>
    <row r="682" spans="1:107" x14ac:dyDescent="0.3">
      <c r="A682" s="83"/>
      <c r="B682" s="83"/>
      <c r="C682" s="83"/>
      <c r="D682" s="83"/>
      <c r="E682" s="83"/>
      <c r="F682" s="83"/>
      <c r="G682" s="83"/>
      <c r="H682" s="83"/>
      <c r="I682" s="83"/>
      <c r="J682" s="83"/>
      <c r="K682" s="83"/>
      <c r="L682" s="83"/>
      <c r="M682" s="83"/>
      <c r="N682" s="83"/>
      <c r="O682" s="83"/>
      <c r="P682" s="83"/>
      <c r="Q682" s="83"/>
      <c r="R682" s="83"/>
      <c r="S682" s="83"/>
      <c r="T682" s="83"/>
      <c r="U682" s="83"/>
      <c r="V682" s="83"/>
      <c r="W682" s="83"/>
      <c r="X682" s="83"/>
      <c r="Y682" s="83"/>
      <c r="Z682" s="83"/>
      <c r="AA682" s="83"/>
      <c r="AB682" s="83"/>
      <c r="AC682" s="83"/>
      <c r="AD682" s="83"/>
      <c r="AE682" s="83"/>
      <c r="AF682" s="83"/>
      <c r="AG682" s="83"/>
      <c r="AH682" s="83"/>
      <c r="AI682" s="83"/>
      <c r="AJ682" s="83"/>
      <c r="AK682" s="83"/>
      <c r="AL682" s="83"/>
      <c r="AM682" s="83"/>
      <c r="AN682" s="83"/>
      <c r="AO682" s="83"/>
      <c r="AP682" s="83"/>
      <c r="AQ682" s="83"/>
      <c r="AR682" s="83"/>
      <c r="AS682" s="83"/>
      <c r="AT682" s="83"/>
      <c r="AU682" s="83"/>
      <c r="AV682" s="83"/>
      <c r="AW682" s="83"/>
      <c r="AX682" s="83"/>
      <c r="AY682" s="83"/>
      <c r="AZ682" s="83"/>
      <c r="BA682" s="83"/>
      <c r="BB682" s="83"/>
      <c r="BC682" s="83"/>
      <c r="BD682" s="83"/>
      <c r="BE682" s="83"/>
      <c r="BF682" s="83"/>
      <c r="BG682" s="83"/>
      <c r="BH682" s="83"/>
      <c r="BI682" s="83"/>
      <c r="BJ682" s="83"/>
      <c r="BK682" s="83"/>
      <c r="BL682" s="83"/>
      <c r="BM682" s="83"/>
      <c r="BN682" s="83"/>
      <c r="BO682" s="83"/>
      <c r="BP682" s="83"/>
      <c r="BQ682" s="83"/>
      <c r="BR682" s="83"/>
      <c r="BS682" s="83"/>
      <c r="BT682" s="83"/>
      <c r="BU682" s="83"/>
      <c r="BV682" s="83"/>
      <c r="BW682" s="83"/>
      <c r="BX682" s="83"/>
      <c r="BY682" s="83"/>
      <c r="BZ682" s="83"/>
      <c r="CA682" s="83"/>
      <c r="CB682" s="83"/>
      <c r="CC682" s="83"/>
      <c r="CD682" s="83"/>
      <c r="CE682" s="83"/>
      <c r="CF682" s="83"/>
      <c r="CG682" s="83"/>
      <c r="CH682" s="83"/>
      <c r="CI682" s="83"/>
      <c r="CJ682" s="83"/>
      <c r="CK682" s="83"/>
      <c r="CL682" s="83"/>
      <c r="CM682" s="83"/>
      <c r="CN682" s="83"/>
      <c r="CO682" s="83"/>
      <c r="CP682" s="83"/>
      <c r="CQ682" s="83"/>
      <c r="CR682" s="83"/>
      <c r="CS682" s="83"/>
      <c r="CT682" s="83"/>
      <c r="CU682" s="83"/>
      <c r="CV682" s="83"/>
      <c r="CW682" s="83"/>
      <c r="CX682" s="83"/>
      <c r="CY682" s="83"/>
      <c r="CZ682" s="83"/>
      <c r="DA682" s="83"/>
      <c r="DB682" s="83"/>
      <c r="DC682" s="83"/>
    </row>
    <row r="683" spans="1:107" x14ac:dyDescent="0.3">
      <c r="A683" s="83"/>
      <c r="B683" s="83"/>
      <c r="C683" s="83"/>
      <c r="D683" s="83"/>
      <c r="E683" s="83"/>
      <c r="F683" s="83"/>
      <c r="G683" s="83"/>
      <c r="H683" s="83"/>
      <c r="I683" s="83"/>
      <c r="J683" s="83"/>
      <c r="K683" s="83"/>
      <c r="L683" s="83"/>
      <c r="M683" s="83"/>
      <c r="N683" s="83"/>
      <c r="O683" s="83"/>
      <c r="P683" s="83"/>
      <c r="Q683" s="83"/>
      <c r="R683" s="83"/>
      <c r="S683" s="83"/>
      <c r="T683" s="83"/>
      <c r="U683" s="83"/>
      <c r="V683" s="83"/>
      <c r="W683" s="83"/>
      <c r="X683" s="83"/>
      <c r="Y683" s="83"/>
      <c r="Z683" s="83"/>
      <c r="AA683" s="83"/>
      <c r="AB683" s="83"/>
      <c r="AC683" s="83"/>
      <c r="AD683" s="83"/>
      <c r="AE683" s="83"/>
      <c r="AF683" s="83"/>
      <c r="AG683" s="83"/>
      <c r="AH683" s="83"/>
      <c r="AI683" s="83"/>
      <c r="AJ683" s="83"/>
      <c r="AK683" s="83"/>
      <c r="AL683" s="83"/>
      <c r="AM683" s="83"/>
      <c r="AN683" s="83"/>
      <c r="AO683" s="83"/>
      <c r="AP683" s="83"/>
      <c r="AQ683" s="83"/>
      <c r="AR683" s="83"/>
      <c r="AS683" s="83"/>
      <c r="AT683" s="83"/>
      <c r="AU683" s="83"/>
      <c r="AV683" s="83"/>
      <c r="AW683" s="83"/>
      <c r="AX683" s="83"/>
      <c r="AY683" s="83"/>
      <c r="AZ683" s="83"/>
      <c r="BA683" s="83"/>
      <c r="BB683" s="83"/>
      <c r="BC683" s="83"/>
      <c r="BD683" s="83"/>
      <c r="BE683" s="83"/>
      <c r="BF683" s="83"/>
      <c r="BG683" s="83"/>
      <c r="BH683" s="83"/>
      <c r="BI683" s="83"/>
      <c r="BJ683" s="83"/>
      <c r="BK683" s="83"/>
      <c r="BL683" s="83"/>
      <c r="BM683" s="83"/>
      <c r="BN683" s="83"/>
      <c r="BO683" s="83"/>
      <c r="BP683" s="83"/>
      <c r="BQ683" s="83"/>
      <c r="BR683" s="83"/>
      <c r="BS683" s="83"/>
      <c r="BT683" s="83"/>
      <c r="BU683" s="83"/>
      <c r="BV683" s="83"/>
      <c r="BW683" s="83"/>
      <c r="BX683" s="83"/>
      <c r="BY683" s="83"/>
      <c r="BZ683" s="83"/>
      <c r="CA683" s="83"/>
      <c r="CB683" s="83"/>
      <c r="CC683" s="83"/>
      <c r="CD683" s="83"/>
      <c r="CE683" s="83"/>
      <c r="CF683" s="83"/>
      <c r="CG683" s="83"/>
      <c r="CH683" s="83"/>
      <c r="CI683" s="83"/>
      <c r="CJ683" s="83"/>
      <c r="CK683" s="83"/>
      <c r="CL683" s="83"/>
      <c r="CM683" s="83"/>
      <c r="CN683" s="83"/>
      <c r="CO683" s="83"/>
      <c r="CP683" s="83"/>
      <c r="CQ683" s="83"/>
      <c r="CR683" s="83"/>
      <c r="CS683" s="83"/>
      <c r="CT683" s="83"/>
      <c r="CU683" s="83"/>
      <c r="CV683" s="83"/>
      <c r="CW683" s="83"/>
      <c r="CX683" s="83"/>
      <c r="CY683" s="83"/>
      <c r="CZ683" s="83"/>
      <c r="DA683" s="83"/>
      <c r="DB683" s="83"/>
      <c r="DC683" s="83"/>
    </row>
    <row r="684" spans="1:107" x14ac:dyDescent="0.3">
      <c r="A684" s="83"/>
      <c r="B684" s="83"/>
      <c r="C684" s="83"/>
      <c r="D684" s="83"/>
      <c r="E684" s="83"/>
      <c r="F684" s="83"/>
      <c r="G684" s="83"/>
      <c r="H684" s="83"/>
      <c r="I684" s="83"/>
      <c r="J684" s="83"/>
      <c r="K684" s="83"/>
      <c r="L684" s="83"/>
      <c r="M684" s="83"/>
      <c r="N684" s="83"/>
      <c r="O684" s="83"/>
      <c r="P684" s="83"/>
      <c r="Q684" s="83"/>
      <c r="R684" s="83"/>
      <c r="S684" s="83"/>
      <c r="T684" s="83"/>
      <c r="U684" s="83"/>
      <c r="V684" s="83"/>
      <c r="W684" s="83"/>
      <c r="X684" s="83"/>
      <c r="Y684" s="83"/>
      <c r="Z684" s="83"/>
      <c r="AA684" s="83"/>
      <c r="AB684" s="83"/>
      <c r="AC684" s="83"/>
      <c r="AD684" s="83"/>
      <c r="AE684" s="83"/>
      <c r="AF684" s="83"/>
      <c r="AG684" s="83"/>
      <c r="AH684" s="83"/>
      <c r="AI684" s="83"/>
      <c r="AJ684" s="83"/>
      <c r="AK684" s="83"/>
      <c r="AL684" s="83"/>
      <c r="AM684" s="83"/>
      <c r="AN684" s="83"/>
      <c r="AO684" s="83"/>
      <c r="AP684" s="83"/>
      <c r="AQ684" s="83"/>
      <c r="AR684" s="83"/>
      <c r="AS684" s="83"/>
      <c r="AT684" s="83"/>
      <c r="AU684" s="83"/>
      <c r="AV684" s="83"/>
      <c r="AW684" s="83"/>
      <c r="AX684" s="83"/>
      <c r="AY684" s="83"/>
      <c r="AZ684" s="83"/>
      <c r="BA684" s="83"/>
      <c r="BB684" s="83"/>
      <c r="BC684" s="83"/>
      <c r="BD684" s="83"/>
      <c r="BE684" s="83"/>
      <c r="BF684" s="83"/>
      <c r="BG684" s="83"/>
      <c r="BH684" s="83"/>
      <c r="BI684" s="83"/>
      <c r="BJ684" s="83"/>
      <c r="BK684" s="83"/>
      <c r="BL684" s="83"/>
      <c r="BM684" s="83"/>
      <c r="BN684" s="83"/>
      <c r="BO684" s="83"/>
      <c r="BP684" s="83"/>
      <c r="BQ684" s="83"/>
      <c r="BR684" s="83"/>
      <c r="BS684" s="83"/>
      <c r="BT684" s="83"/>
      <c r="BU684" s="83"/>
      <c r="BV684" s="83"/>
      <c r="BW684" s="83"/>
      <c r="BX684" s="83"/>
      <c r="BY684" s="83"/>
      <c r="BZ684" s="83"/>
      <c r="CA684" s="83"/>
      <c r="CB684" s="83"/>
      <c r="CC684" s="83"/>
      <c r="CD684" s="83"/>
      <c r="CE684" s="83"/>
      <c r="CF684" s="83"/>
      <c r="CG684" s="83"/>
      <c r="CH684" s="83"/>
      <c r="CI684" s="83"/>
      <c r="CJ684" s="83"/>
      <c r="CK684" s="83"/>
      <c r="CL684" s="83"/>
      <c r="CM684" s="83"/>
      <c r="CN684" s="83"/>
      <c r="CO684" s="83"/>
      <c r="CP684" s="83"/>
      <c r="CQ684" s="83"/>
      <c r="CR684" s="83"/>
      <c r="CS684" s="83"/>
      <c r="CT684" s="83"/>
      <c r="CU684" s="83"/>
      <c r="CV684" s="83"/>
      <c r="CW684" s="83"/>
      <c r="CX684" s="83"/>
      <c r="CY684" s="83"/>
      <c r="CZ684" s="83"/>
      <c r="DA684" s="83"/>
      <c r="DB684" s="83"/>
      <c r="DC684" s="83"/>
    </row>
    <row r="685" spans="1:107" x14ac:dyDescent="0.3">
      <c r="A685" s="83"/>
      <c r="B685" s="83"/>
      <c r="C685" s="83"/>
      <c r="D685" s="83"/>
      <c r="E685" s="83"/>
      <c r="F685" s="83"/>
      <c r="G685" s="83"/>
      <c r="H685" s="83"/>
      <c r="I685" s="83"/>
      <c r="J685" s="83"/>
      <c r="K685" s="83"/>
      <c r="L685" s="83"/>
      <c r="M685" s="83"/>
      <c r="N685" s="83"/>
      <c r="O685" s="83"/>
      <c r="P685" s="83"/>
      <c r="Q685" s="83"/>
      <c r="R685" s="83"/>
      <c r="S685" s="83"/>
      <c r="T685" s="83"/>
      <c r="U685" s="83"/>
      <c r="V685" s="83"/>
      <c r="W685" s="83"/>
      <c r="X685" s="83"/>
      <c r="Y685" s="83"/>
      <c r="Z685" s="83"/>
      <c r="AA685" s="83"/>
      <c r="AB685" s="83"/>
      <c r="AC685" s="83"/>
      <c r="AD685" s="83"/>
      <c r="AE685" s="83"/>
      <c r="AF685" s="83"/>
      <c r="AG685" s="83"/>
      <c r="AH685" s="83"/>
      <c r="AI685" s="83"/>
      <c r="AJ685" s="83"/>
      <c r="AK685" s="83"/>
      <c r="AL685" s="83"/>
      <c r="AM685" s="83"/>
      <c r="AN685" s="83"/>
      <c r="AO685" s="83"/>
      <c r="AP685" s="83"/>
      <c r="AQ685" s="83"/>
      <c r="AR685" s="83"/>
      <c r="AS685" s="83"/>
      <c r="AT685" s="83"/>
      <c r="AU685" s="83"/>
      <c r="AV685" s="83"/>
      <c r="AW685" s="83"/>
      <c r="AX685" s="83"/>
      <c r="AY685" s="83"/>
      <c r="AZ685" s="83"/>
      <c r="BA685" s="83"/>
      <c r="BB685" s="83"/>
      <c r="BC685" s="83"/>
      <c r="BD685" s="83"/>
      <c r="BE685" s="83"/>
      <c r="BF685" s="83"/>
      <c r="BG685" s="83"/>
      <c r="BH685" s="83"/>
      <c r="BI685" s="83"/>
      <c r="BJ685" s="83"/>
      <c r="BK685" s="83"/>
      <c r="BL685" s="83"/>
      <c r="BM685" s="83"/>
      <c r="BN685" s="83"/>
      <c r="BO685" s="83"/>
      <c r="BP685" s="83"/>
      <c r="BQ685" s="83"/>
      <c r="BR685" s="83"/>
      <c r="BS685" s="83"/>
      <c r="BT685" s="83"/>
      <c r="BU685" s="83"/>
      <c r="BV685" s="83"/>
      <c r="BW685" s="83"/>
      <c r="BX685" s="83"/>
      <c r="BY685" s="83"/>
      <c r="BZ685" s="83"/>
      <c r="CA685" s="83"/>
      <c r="CB685" s="83"/>
      <c r="CC685" s="83"/>
      <c r="CD685" s="83"/>
      <c r="CE685" s="83"/>
      <c r="CF685" s="83"/>
      <c r="CG685" s="83"/>
      <c r="CH685" s="83"/>
      <c r="CI685" s="83"/>
      <c r="CJ685" s="83"/>
      <c r="CK685" s="83"/>
      <c r="CL685" s="83"/>
      <c r="CM685" s="83"/>
      <c r="CN685" s="83"/>
      <c r="CO685" s="83"/>
      <c r="CP685" s="83"/>
      <c r="CQ685" s="83"/>
      <c r="CR685" s="83"/>
      <c r="CS685" s="83"/>
      <c r="CT685" s="83"/>
      <c r="CU685" s="83"/>
      <c r="CV685" s="83"/>
      <c r="CW685" s="83"/>
      <c r="CX685" s="83"/>
      <c r="CY685" s="83"/>
      <c r="CZ685" s="83"/>
      <c r="DA685" s="83"/>
      <c r="DB685" s="83"/>
      <c r="DC685" s="83"/>
    </row>
    <row r="686" spans="1:107" x14ac:dyDescent="0.3">
      <c r="A686" s="83"/>
      <c r="B686" s="83"/>
      <c r="C686" s="83"/>
      <c r="D686" s="83"/>
      <c r="E686" s="83"/>
      <c r="F686" s="83"/>
      <c r="G686" s="83"/>
      <c r="H686" s="83"/>
      <c r="I686" s="83"/>
      <c r="J686" s="83"/>
      <c r="K686" s="83"/>
      <c r="L686" s="83"/>
      <c r="M686" s="83"/>
      <c r="N686" s="83"/>
      <c r="O686" s="83"/>
      <c r="P686" s="83"/>
      <c r="Q686" s="83"/>
      <c r="R686" s="83"/>
      <c r="S686" s="83"/>
      <c r="T686" s="83"/>
      <c r="U686" s="83"/>
      <c r="V686" s="83"/>
      <c r="W686" s="83"/>
      <c r="X686" s="83"/>
      <c r="Y686" s="83"/>
      <c r="Z686" s="83"/>
      <c r="AA686" s="83"/>
      <c r="AB686" s="83"/>
      <c r="AC686" s="83"/>
      <c r="AD686" s="83"/>
      <c r="AE686" s="83"/>
      <c r="AF686" s="83"/>
      <c r="AG686" s="83"/>
      <c r="AH686" s="83"/>
      <c r="AI686" s="83"/>
      <c r="AJ686" s="83"/>
      <c r="AK686" s="83"/>
      <c r="AL686" s="83"/>
      <c r="AM686" s="83"/>
      <c r="AN686" s="83"/>
      <c r="AO686" s="83"/>
      <c r="AP686" s="83"/>
      <c r="AQ686" s="83"/>
      <c r="AR686" s="83"/>
      <c r="AS686" s="83"/>
      <c r="AT686" s="83"/>
      <c r="AU686" s="83"/>
      <c r="AV686" s="83"/>
      <c r="AW686" s="83"/>
      <c r="AX686" s="83"/>
      <c r="AY686" s="83"/>
      <c r="AZ686" s="83"/>
      <c r="BA686" s="83"/>
      <c r="BB686" s="83"/>
      <c r="BC686" s="83"/>
      <c r="BD686" s="83"/>
      <c r="BE686" s="83"/>
      <c r="BF686" s="83"/>
      <c r="BG686" s="83"/>
      <c r="BH686" s="83"/>
      <c r="BI686" s="83"/>
      <c r="BJ686" s="83"/>
      <c r="BK686" s="83"/>
      <c r="BL686" s="83"/>
      <c r="BM686" s="83"/>
      <c r="BN686" s="83"/>
      <c r="BO686" s="83"/>
      <c r="BP686" s="83"/>
      <c r="BQ686" s="83"/>
      <c r="BR686" s="83"/>
      <c r="BS686" s="83"/>
      <c r="BT686" s="83"/>
      <c r="BU686" s="83"/>
      <c r="BV686" s="83"/>
      <c r="BW686" s="83"/>
      <c r="BX686" s="83"/>
      <c r="BY686" s="83"/>
      <c r="BZ686" s="83"/>
      <c r="CA686" s="83"/>
      <c r="CB686" s="83"/>
      <c r="CC686" s="83"/>
      <c r="CD686" s="83"/>
      <c r="CE686" s="83"/>
      <c r="CF686" s="83"/>
      <c r="CG686" s="83"/>
      <c r="CH686" s="83"/>
      <c r="CI686" s="83"/>
      <c r="CJ686" s="83"/>
      <c r="CK686" s="83"/>
      <c r="CL686" s="83"/>
      <c r="CM686" s="83"/>
      <c r="CN686" s="83"/>
      <c r="CO686" s="83"/>
      <c r="CP686" s="83"/>
      <c r="CQ686" s="83"/>
      <c r="CR686" s="83"/>
      <c r="CS686" s="83"/>
      <c r="CT686" s="83"/>
      <c r="CU686" s="83"/>
      <c r="CV686" s="83"/>
      <c r="CW686" s="83"/>
      <c r="CX686" s="83"/>
      <c r="CY686" s="83"/>
      <c r="CZ686" s="83"/>
      <c r="DA686" s="83"/>
      <c r="DB686" s="83"/>
      <c r="DC686" s="83"/>
    </row>
    <row r="687" spans="1:107" x14ac:dyDescent="0.3">
      <c r="A687" s="83"/>
      <c r="B687" s="83"/>
      <c r="C687" s="83"/>
      <c r="D687" s="83"/>
      <c r="E687" s="83"/>
      <c r="F687" s="83"/>
      <c r="G687" s="83"/>
      <c r="H687" s="83"/>
      <c r="I687" s="83"/>
      <c r="J687" s="83"/>
      <c r="K687" s="83"/>
      <c r="L687" s="83"/>
      <c r="M687" s="83"/>
      <c r="N687" s="83"/>
      <c r="O687" s="83"/>
      <c r="P687" s="83"/>
      <c r="Q687" s="83"/>
      <c r="R687" s="83"/>
      <c r="S687" s="83"/>
      <c r="T687" s="83"/>
      <c r="U687" s="83"/>
      <c r="V687" s="83"/>
      <c r="W687" s="83"/>
      <c r="X687" s="83"/>
      <c r="Y687" s="83"/>
      <c r="Z687" s="83"/>
      <c r="AA687" s="83"/>
      <c r="AB687" s="83"/>
      <c r="AC687" s="83"/>
      <c r="AD687" s="83"/>
      <c r="AE687" s="83"/>
      <c r="AF687" s="83"/>
      <c r="AG687" s="83"/>
      <c r="AH687" s="83"/>
      <c r="AI687" s="83"/>
      <c r="AJ687" s="83"/>
      <c r="AK687" s="83"/>
      <c r="AL687" s="83"/>
      <c r="AM687" s="83"/>
      <c r="AN687" s="83"/>
      <c r="AO687" s="83"/>
      <c r="AP687" s="83"/>
      <c r="AQ687" s="83"/>
      <c r="AR687" s="83"/>
      <c r="AS687" s="83"/>
      <c r="AT687" s="83"/>
      <c r="AU687" s="83"/>
      <c r="AV687" s="83"/>
      <c r="AW687" s="83"/>
      <c r="AX687" s="83"/>
      <c r="AY687" s="83"/>
      <c r="AZ687" s="83"/>
      <c r="BA687" s="83"/>
      <c r="BB687" s="83"/>
      <c r="BC687" s="83"/>
      <c r="BD687" s="83"/>
      <c r="BE687" s="83"/>
      <c r="BF687" s="83"/>
      <c r="BG687" s="83"/>
      <c r="BH687" s="83"/>
      <c r="BI687" s="83"/>
      <c r="BJ687" s="83"/>
      <c r="BK687" s="83"/>
      <c r="BL687" s="83"/>
      <c r="BM687" s="83"/>
      <c r="BN687" s="83"/>
      <c r="BO687" s="83"/>
      <c r="BP687" s="83"/>
      <c r="BQ687" s="83"/>
      <c r="BR687" s="83"/>
      <c r="BS687" s="83"/>
      <c r="BT687" s="83"/>
      <c r="BU687" s="83"/>
      <c r="BV687" s="83"/>
      <c r="BW687" s="83"/>
      <c r="BX687" s="83"/>
      <c r="BY687" s="83"/>
      <c r="BZ687" s="83"/>
      <c r="CA687" s="83"/>
      <c r="CB687" s="83"/>
      <c r="CC687" s="83"/>
      <c r="CD687" s="83"/>
      <c r="CE687" s="83"/>
      <c r="CF687" s="83"/>
      <c r="CG687" s="83"/>
      <c r="CH687" s="83"/>
      <c r="CI687" s="83"/>
      <c r="CJ687" s="83"/>
      <c r="CK687" s="83"/>
      <c r="CL687" s="83"/>
      <c r="CM687" s="83"/>
      <c r="CN687" s="83"/>
      <c r="CO687" s="83"/>
      <c r="CP687" s="83"/>
      <c r="CQ687" s="83"/>
      <c r="CR687" s="83"/>
      <c r="CS687" s="83"/>
      <c r="CT687" s="83"/>
      <c r="CU687" s="83"/>
      <c r="CV687" s="83"/>
      <c r="CW687" s="83"/>
      <c r="CX687" s="83"/>
      <c r="CY687" s="83"/>
      <c r="CZ687" s="83"/>
      <c r="DA687" s="83"/>
      <c r="DB687" s="83"/>
      <c r="DC687" s="83"/>
    </row>
    <row r="688" spans="1:107" x14ac:dyDescent="0.3">
      <c r="A688" s="83"/>
      <c r="B688" s="83"/>
      <c r="C688" s="83"/>
      <c r="D688" s="83"/>
      <c r="E688" s="83"/>
      <c r="F688" s="83"/>
      <c r="G688" s="83"/>
      <c r="H688" s="83"/>
      <c r="I688" s="83"/>
      <c r="J688" s="83"/>
      <c r="K688" s="83"/>
      <c r="L688" s="83"/>
      <c r="M688" s="83"/>
      <c r="N688" s="83"/>
      <c r="O688" s="83"/>
      <c r="P688" s="83"/>
      <c r="Q688" s="83"/>
      <c r="R688" s="83"/>
      <c r="S688" s="83"/>
      <c r="T688" s="83"/>
      <c r="U688" s="83"/>
      <c r="V688" s="83"/>
      <c r="W688" s="83"/>
      <c r="X688" s="83"/>
      <c r="Y688" s="83"/>
      <c r="Z688" s="83"/>
      <c r="AA688" s="83"/>
      <c r="AB688" s="83"/>
      <c r="AC688" s="83"/>
      <c r="AD688" s="83"/>
      <c r="AE688" s="83"/>
      <c r="AF688" s="83"/>
      <c r="AG688" s="83"/>
      <c r="AH688" s="83"/>
      <c r="AI688" s="83"/>
      <c r="AJ688" s="83"/>
      <c r="AK688" s="83"/>
      <c r="AL688" s="83"/>
      <c r="AM688" s="83"/>
      <c r="AN688" s="83"/>
      <c r="AO688" s="83"/>
      <c r="AP688" s="83"/>
      <c r="AQ688" s="83"/>
      <c r="AR688" s="83"/>
      <c r="AS688" s="83"/>
      <c r="AT688" s="83"/>
      <c r="AU688" s="83"/>
      <c r="AV688" s="83"/>
      <c r="AW688" s="83"/>
      <c r="AX688" s="83"/>
      <c r="AY688" s="83"/>
      <c r="AZ688" s="83"/>
      <c r="BA688" s="83"/>
      <c r="BB688" s="83"/>
      <c r="BC688" s="83"/>
      <c r="BD688" s="83"/>
      <c r="BE688" s="83"/>
      <c r="BF688" s="83"/>
      <c r="BG688" s="83"/>
      <c r="BH688" s="83"/>
      <c r="BI688" s="83"/>
      <c r="BJ688" s="83"/>
      <c r="BK688" s="83"/>
      <c r="BL688" s="83"/>
      <c r="BM688" s="83"/>
      <c r="BN688" s="83"/>
      <c r="BO688" s="83"/>
      <c r="BP688" s="83"/>
      <c r="BQ688" s="83"/>
      <c r="BR688" s="83"/>
      <c r="BS688" s="83"/>
      <c r="BT688" s="83"/>
      <c r="BU688" s="83"/>
      <c r="BV688" s="83"/>
      <c r="BW688" s="83"/>
      <c r="BX688" s="83"/>
      <c r="BY688" s="83"/>
      <c r="BZ688" s="83"/>
      <c r="CA688" s="83"/>
      <c r="CB688" s="83"/>
      <c r="CC688" s="83"/>
      <c r="CD688" s="83"/>
      <c r="CE688" s="83"/>
      <c r="CF688" s="83"/>
      <c r="CG688" s="83"/>
      <c r="CH688" s="83"/>
      <c r="CI688" s="83"/>
      <c r="CJ688" s="83"/>
      <c r="CK688" s="83"/>
      <c r="CL688" s="83"/>
      <c r="CM688" s="83"/>
      <c r="CN688" s="83"/>
      <c r="CO688" s="83"/>
      <c r="CP688" s="83"/>
      <c r="CQ688" s="83"/>
      <c r="CR688" s="83"/>
      <c r="CS688" s="83"/>
      <c r="CT688" s="83"/>
      <c r="CU688" s="83"/>
      <c r="CV688" s="83"/>
      <c r="CW688" s="83"/>
      <c r="CX688" s="83"/>
      <c r="CY688" s="83"/>
      <c r="CZ688" s="83"/>
      <c r="DA688" s="83"/>
      <c r="DB688" s="83"/>
      <c r="DC688" s="83"/>
    </row>
    <row r="689" spans="1:107" x14ac:dyDescent="0.3">
      <c r="A689" s="83"/>
      <c r="B689" s="83"/>
      <c r="C689" s="83"/>
      <c r="D689" s="83"/>
      <c r="E689" s="83"/>
      <c r="F689" s="83"/>
      <c r="G689" s="83"/>
      <c r="H689" s="83"/>
      <c r="I689" s="83"/>
      <c r="J689" s="83"/>
      <c r="K689" s="83"/>
      <c r="L689" s="83"/>
      <c r="M689" s="83"/>
      <c r="N689" s="83"/>
      <c r="O689" s="83"/>
      <c r="P689" s="83"/>
      <c r="Q689" s="83"/>
      <c r="R689" s="83"/>
      <c r="S689" s="83"/>
      <c r="T689" s="83"/>
      <c r="U689" s="83"/>
      <c r="V689" s="83"/>
      <c r="W689" s="83"/>
      <c r="X689" s="83"/>
      <c r="Y689" s="83"/>
      <c r="Z689" s="83"/>
      <c r="AA689" s="83"/>
      <c r="AB689" s="83"/>
      <c r="AC689" s="83"/>
      <c r="AD689" s="83"/>
      <c r="AE689" s="83"/>
      <c r="AF689" s="83"/>
      <c r="AG689" s="83"/>
      <c r="AH689" s="83"/>
      <c r="AI689" s="83"/>
      <c r="AJ689" s="83"/>
      <c r="AK689" s="83"/>
      <c r="AL689" s="83"/>
      <c r="AM689" s="83"/>
      <c r="AN689" s="83"/>
      <c r="AO689" s="83"/>
      <c r="AP689" s="83"/>
      <c r="AQ689" s="83"/>
      <c r="AR689" s="83"/>
      <c r="AS689" s="83"/>
      <c r="AT689" s="83"/>
      <c r="AU689" s="83"/>
      <c r="AV689" s="83"/>
      <c r="AW689" s="83"/>
      <c r="AX689" s="83"/>
      <c r="AY689" s="83"/>
      <c r="AZ689" s="83"/>
      <c r="BA689" s="83"/>
      <c r="BB689" s="83"/>
      <c r="BC689" s="83"/>
      <c r="BD689" s="83"/>
      <c r="BE689" s="83"/>
      <c r="BF689" s="83"/>
      <c r="BG689" s="83"/>
      <c r="BH689" s="83"/>
      <c r="BI689" s="83"/>
      <c r="BJ689" s="83"/>
      <c r="BK689" s="83"/>
      <c r="BL689" s="83"/>
      <c r="BM689" s="83"/>
      <c r="BN689" s="83"/>
      <c r="BO689" s="83"/>
      <c r="BP689" s="83"/>
      <c r="BQ689" s="83"/>
      <c r="BR689" s="83"/>
      <c r="BS689" s="83"/>
      <c r="BT689" s="83"/>
      <c r="BU689" s="83"/>
      <c r="BV689" s="83"/>
      <c r="BW689" s="83"/>
      <c r="BX689" s="83"/>
      <c r="BY689" s="83"/>
      <c r="BZ689" s="83"/>
      <c r="CA689" s="83"/>
      <c r="CB689" s="83"/>
      <c r="CC689" s="83"/>
      <c r="CD689" s="83"/>
      <c r="CE689" s="83"/>
      <c r="CF689" s="83"/>
      <c r="CG689" s="83"/>
      <c r="CH689" s="83"/>
      <c r="CI689" s="83"/>
      <c r="CJ689" s="83"/>
      <c r="CK689" s="83"/>
      <c r="CL689" s="83"/>
      <c r="CM689" s="83"/>
      <c r="CN689" s="83"/>
      <c r="CO689" s="83"/>
      <c r="CP689" s="83"/>
      <c r="CQ689" s="83"/>
      <c r="CR689" s="83"/>
      <c r="CS689" s="83"/>
      <c r="CT689" s="83"/>
      <c r="CU689" s="83"/>
      <c r="CV689" s="83"/>
      <c r="CW689" s="83"/>
      <c r="CX689" s="83"/>
      <c r="CY689" s="83"/>
      <c r="CZ689" s="83"/>
      <c r="DA689" s="83"/>
      <c r="DB689" s="83"/>
      <c r="DC689" s="83"/>
    </row>
    <row r="690" spans="1:107" x14ac:dyDescent="0.3">
      <c r="A690" s="83"/>
      <c r="B690" s="83"/>
      <c r="C690" s="83"/>
      <c r="D690" s="83"/>
      <c r="E690" s="83"/>
      <c r="F690" s="83"/>
      <c r="G690" s="83"/>
      <c r="H690" s="83"/>
      <c r="I690" s="83"/>
      <c r="J690" s="83"/>
      <c r="K690" s="83"/>
      <c r="L690" s="83"/>
      <c r="M690" s="83"/>
      <c r="N690" s="83"/>
      <c r="O690" s="83"/>
      <c r="P690" s="83"/>
      <c r="Q690" s="83"/>
      <c r="R690" s="83"/>
      <c r="S690" s="83"/>
      <c r="T690" s="83"/>
      <c r="U690" s="83"/>
      <c r="V690" s="83"/>
      <c r="W690" s="83"/>
      <c r="X690" s="83"/>
      <c r="Y690" s="83"/>
      <c r="Z690" s="83"/>
      <c r="AA690" s="83"/>
      <c r="AB690" s="83"/>
      <c r="AC690" s="83"/>
      <c r="AD690" s="83"/>
      <c r="AE690" s="83"/>
      <c r="AF690" s="83"/>
      <c r="AG690" s="83"/>
      <c r="AH690" s="83"/>
      <c r="AI690" s="83"/>
      <c r="AJ690" s="83"/>
      <c r="AK690" s="83"/>
      <c r="AL690" s="83"/>
      <c r="AM690" s="83"/>
      <c r="AN690" s="83"/>
      <c r="AO690" s="83"/>
      <c r="AP690" s="83"/>
      <c r="AQ690" s="83"/>
      <c r="AR690" s="83"/>
      <c r="AS690" s="83"/>
      <c r="AT690" s="83"/>
      <c r="AU690" s="83"/>
      <c r="AV690" s="83"/>
      <c r="AW690" s="83"/>
      <c r="AX690" s="83"/>
      <c r="AY690" s="83"/>
      <c r="AZ690" s="83"/>
      <c r="BA690" s="83"/>
      <c r="BB690" s="83"/>
      <c r="BC690" s="83"/>
      <c r="BD690" s="83"/>
      <c r="BE690" s="83"/>
      <c r="BF690" s="83"/>
      <c r="BG690" s="83"/>
      <c r="BH690" s="83"/>
      <c r="BI690" s="83"/>
      <c r="BJ690" s="83"/>
      <c r="BK690" s="83"/>
      <c r="BL690" s="83"/>
      <c r="BM690" s="83"/>
      <c r="BN690" s="83"/>
      <c r="BO690" s="83"/>
      <c r="BP690" s="83"/>
      <c r="BQ690" s="83"/>
      <c r="BR690" s="83"/>
      <c r="BS690" s="83"/>
      <c r="BT690" s="83"/>
      <c r="BU690" s="83"/>
      <c r="BV690" s="83"/>
      <c r="BW690" s="83"/>
      <c r="BX690" s="83"/>
      <c r="BY690" s="83"/>
      <c r="BZ690" s="83"/>
      <c r="CA690" s="83"/>
      <c r="CB690" s="83"/>
      <c r="CC690" s="83"/>
      <c r="CD690" s="83"/>
      <c r="CE690" s="83"/>
      <c r="CF690" s="83"/>
      <c r="CG690" s="83"/>
      <c r="CH690" s="83"/>
      <c r="CI690" s="83"/>
      <c r="CJ690" s="83"/>
      <c r="CK690" s="83"/>
      <c r="CL690" s="83"/>
      <c r="CM690" s="83"/>
      <c r="CN690" s="83"/>
      <c r="CO690" s="83"/>
      <c r="CP690" s="83"/>
      <c r="CQ690" s="83"/>
      <c r="CR690" s="83"/>
      <c r="CS690" s="83"/>
      <c r="CT690" s="83"/>
      <c r="CU690" s="83"/>
      <c r="CV690" s="83"/>
      <c r="CW690" s="83"/>
      <c r="CX690" s="83"/>
      <c r="CY690" s="83"/>
      <c r="CZ690" s="83"/>
      <c r="DA690" s="83"/>
      <c r="DB690" s="83"/>
      <c r="DC690" s="83"/>
    </row>
    <row r="691" spans="1:107" x14ac:dyDescent="0.3">
      <c r="A691" s="83"/>
      <c r="B691" s="83"/>
      <c r="C691" s="83"/>
      <c r="D691" s="83"/>
      <c r="E691" s="83"/>
      <c r="F691" s="83"/>
      <c r="G691" s="83"/>
      <c r="H691" s="83"/>
      <c r="I691" s="83"/>
      <c r="J691" s="83"/>
      <c r="K691" s="83"/>
      <c r="L691" s="83"/>
      <c r="M691" s="83"/>
      <c r="N691" s="83"/>
      <c r="O691" s="83"/>
      <c r="P691" s="83"/>
      <c r="Q691" s="83"/>
      <c r="R691" s="83"/>
      <c r="S691" s="83"/>
      <c r="T691" s="83"/>
      <c r="U691" s="83"/>
      <c r="V691" s="83"/>
      <c r="W691" s="83"/>
      <c r="X691" s="83"/>
      <c r="Y691" s="83"/>
      <c r="Z691" s="83"/>
      <c r="AA691" s="83"/>
      <c r="AB691" s="83"/>
      <c r="AC691" s="83"/>
      <c r="AD691" s="83"/>
      <c r="AE691" s="83"/>
      <c r="AF691" s="83"/>
      <c r="AG691" s="83"/>
      <c r="AH691" s="83"/>
      <c r="AI691" s="83"/>
      <c r="AJ691" s="83"/>
      <c r="AK691" s="83"/>
      <c r="AL691" s="83"/>
      <c r="AM691" s="83"/>
      <c r="AN691" s="83"/>
      <c r="AO691" s="83"/>
      <c r="AP691" s="83"/>
      <c r="AQ691" s="83"/>
      <c r="AR691" s="83"/>
      <c r="AS691" s="83"/>
      <c r="AT691" s="83"/>
      <c r="AU691" s="83"/>
      <c r="AV691" s="83"/>
      <c r="AW691" s="83"/>
      <c r="AX691" s="83"/>
      <c r="AY691" s="83"/>
      <c r="AZ691" s="83"/>
      <c r="BA691" s="83"/>
      <c r="BB691" s="83"/>
      <c r="BC691" s="83"/>
      <c r="BD691" s="83"/>
      <c r="BE691" s="83"/>
      <c r="BF691" s="83"/>
      <c r="BG691" s="83"/>
      <c r="BH691" s="83"/>
      <c r="BI691" s="83"/>
      <c r="BJ691" s="83"/>
      <c r="BK691" s="83"/>
      <c r="BL691" s="83"/>
      <c r="BM691" s="83"/>
      <c r="BN691" s="83"/>
      <c r="BO691" s="83"/>
      <c r="BP691" s="83"/>
      <c r="BQ691" s="83"/>
      <c r="BR691" s="83"/>
      <c r="BS691" s="83"/>
      <c r="BT691" s="83"/>
      <c r="BU691" s="83"/>
      <c r="BV691" s="83"/>
      <c r="BW691" s="83"/>
      <c r="BX691" s="83"/>
      <c r="BY691" s="83"/>
      <c r="BZ691" s="83"/>
      <c r="CA691" s="83"/>
      <c r="CB691" s="83"/>
      <c r="CC691" s="83"/>
      <c r="CD691" s="83"/>
      <c r="CE691" s="83"/>
      <c r="CF691" s="83"/>
      <c r="CG691" s="83"/>
      <c r="CH691" s="83"/>
      <c r="CI691" s="83"/>
      <c r="CJ691" s="83"/>
      <c r="CK691" s="83"/>
      <c r="CL691" s="83"/>
      <c r="CM691" s="83"/>
      <c r="CN691" s="83"/>
      <c r="CO691" s="83"/>
      <c r="CP691" s="83"/>
      <c r="CQ691" s="83"/>
      <c r="CR691" s="83"/>
      <c r="CS691" s="83"/>
      <c r="CT691" s="83"/>
      <c r="CU691" s="83"/>
      <c r="CV691" s="83"/>
      <c r="CW691" s="83"/>
      <c r="CX691" s="83"/>
      <c r="CY691" s="83"/>
      <c r="CZ691" s="83"/>
      <c r="DA691" s="83"/>
      <c r="DB691" s="83"/>
      <c r="DC691" s="83"/>
    </row>
    <row r="692" spans="1:107" x14ac:dyDescent="0.3">
      <c r="A692" s="83"/>
      <c r="B692" s="83"/>
      <c r="C692" s="83"/>
      <c r="D692" s="83"/>
      <c r="E692" s="83"/>
      <c r="F692" s="83"/>
      <c r="G692" s="83"/>
      <c r="H692" s="83"/>
      <c r="I692" s="83"/>
      <c r="J692" s="83"/>
      <c r="K692" s="83"/>
      <c r="L692" s="83"/>
      <c r="M692" s="83"/>
      <c r="N692" s="83"/>
      <c r="O692" s="83"/>
      <c r="P692" s="83"/>
      <c r="Q692" s="83"/>
      <c r="R692" s="83"/>
      <c r="S692" s="83"/>
      <c r="T692" s="83"/>
      <c r="U692" s="83"/>
      <c r="V692" s="83"/>
      <c r="W692" s="83"/>
      <c r="X692" s="83"/>
      <c r="Y692" s="83"/>
      <c r="Z692" s="83"/>
      <c r="AA692" s="83"/>
      <c r="AB692" s="83"/>
      <c r="AC692" s="83"/>
      <c r="AD692" s="83"/>
      <c r="AE692" s="83"/>
      <c r="AF692" s="83"/>
      <c r="AG692" s="83"/>
      <c r="AH692" s="83"/>
      <c r="AI692" s="83"/>
      <c r="AJ692" s="83"/>
      <c r="AK692" s="83"/>
      <c r="AL692" s="83"/>
      <c r="AM692" s="83"/>
      <c r="AN692" s="83"/>
      <c r="AO692" s="83"/>
      <c r="AP692" s="83"/>
      <c r="AQ692" s="83"/>
      <c r="AR692" s="83"/>
      <c r="AS692" s="83"/>
      <c r="AT692" s="83"/>
      <c r="AU692" s="83"/>
      <c r="AV692" s="83"/>
      <c r="AW692" s="83"/>
      <c r="AX692" s="83"/>
      <c r="AY692" s="83"/>
      <c r="AZ692" s="83"/>
      <c r="BA692" s="83"/>
      <c r="BB692" s="83"/>
      <c r="BC692" s="83"/>
      <c r="BD692" s="83"/>
      <c r="BE692" s="83"/>
      <c r="BF692" s="83"/>
      <c r="BG692" s="83"/>
      <c r="BH692" s="83"/>
      <c r="BI692" s="83"/>
      <c r="BJ692" s="83"/>
      <c r="BK692" s="83"/>
      <c r="BL692" s="83"/>
      <c r="BM692" s="83"/>
      <c r="BN692" s="83"/>
      <c r="BO692" s="83"/>
      <c r="BP692" s="83"/>
      <c r="BQ692" s="83"/>
      <c r="BR692" s="83"/>
      <c r="BS692" s="83"/>
      <c r="BT692" s="83"/>
      <c r="BU692" s="83"/>
      <c r="BV692" s="83"/>
      <c r="BW692" s="83"/>
      <c r="BX692" s="83"/>
      <c r="BY692" s="83"/>
      <c r="BZ692" s="83"/>
      <c r="CA692" s="83"/>
      <c r="CB692" s="83"/>
      <c r="CC692" s="83"/>
      <c r="CD692" s="83"/>
      <c r="CE692" s="83"/>
      <c r="CF692" s="83"/>
      <c r="CG692" s="83"/>
      <c r="CH692" s="83"/>
      <c r="CI692" s="83"/>
      <c r="CJ692" s="83"/>
      <c r="CK692" s="83"/>
      <c r="CL692" s="83"/>
      <c r="CM692" s="83"/>
      <c r="CN692" s="83"/>
      <c r="CO692" s="83"/>
      <c r="CP692" s="83"/>
      <c r="CQ692" s="83"/>
      <c r="CR692" s="83"/>
      <c r="CS692" s="83"/>
      <c r="CT692" s="83"/>
      <c r="CU692" s="83"/>
      <c r="CV692" s="83"/>
      <c r="CW692" s="83"/>
      <c r="CX692" s="83"/>
      <c r="CY692" s="83"/>
      <c r="CZ692" s="83"/>
      <c r="DA692" s="83"/>
      <c r="DB692" s="83"/>
      <c r="DC692" s="83"/>
    </row>
    <row r="693" spans="1:107" x14ac:dyDescent="0.3">
      <c r="A693" s="83"/>
      <c r="B693" s="83"/>
      <c r="C693" s="83"/>
      <c r="D693" s="83"/>
      <c r="E693" s="83"/>
      <c r="F693" s="83"/>
      <c r="G693" s="83"/>
      <c r="H693" s="83"/>
      <c r="I693" s="83"/>
      <c r="J693" s="83"/>
      <c r="K693" s="83"/>
      <c r="L693" s="83"/>
      <c r="M693" s="83"/>
      <c r="N693" s="83"/>
      <c r="O693" s="83"/>
      <c r="P693" s="83"/>
      <c r="Q693" s="83"/>
      <c r="R693" s="83"/>
      <c r="S693" s="83"/>
      <c r="T693" s="83"/>
      <c r="U693" s="83"/>
      <c r="V693" s="83"/>
      <c r="W693" s="83"/>
      <c r="X693" s="83"/>
      <c r="Y693" s="83"/>
      <c r="Z693" s="83"/>
      <c r="AA693" s="83"/>
      <c r="AB693" s="83"/>
      <c r="AC693" s="83"/>
      <c r="AD693" s="83"/>
      <c r="AE693" s="83"/>
      <c r="AF693" s="83"/>
      <c r="AG693" s="83"/>
      <c r="AH693" s="83"/>
      <c r="AI693" s="83"/>
      <c r="AJ693" s="83"/>
      <c r="AK693" s="83"/>
      <c r="AL693" s="83"/>
      <c r="AM693" s="83"/>
      <c r="AN693" s="83"/>
      <c r="AO693" s="83"/>
      <c r="AP693" s="83"/>
      <c r="AQ693" s="83"/>
      <c r="AR693" s="83"/>
      <c r="AS693" s="83"/>
      <c r="AT693" s="83"/>
      <c r="AU693" s="83"/>
      <c r="AV693" s="83"/>
      <c r="AW693" s="83"/>
      <c r="AX693" s="83"/>
      <c r="AY693" s="83"/>
      <c r="AZ693" s="83"/>
      <c r="BA693" s="83"/>
      <c r="BB693" s="83"/>
      <c r="BC693" s="83"/>
      <c r="BD693" s="83"/>
      <c r="BE693" s="83"/>
      <c r="BF693" s="83"/>
      <c r="BG693" s="83"/>
      <c r="BH693" s="83"/>
      <c r="BI693" s="83"/>
      <c r="BJ693" s="83"/>
      <c r="BK693" s="83"/>
      <c r="BL693" s="83"/>
      <c r="BM693" s="83"/>
      <c r="BN693" s="83"/>
      <c r="BO693" s="83"/>
      <c r="BP693" s="83"/>
      <c r="BQ693" s="83"/>
      <c r="BR693" s="83"/>
      <c r="BS693" s="83"/>
      <c r="BT693" s="83"/>
      <c r="BU693" s="83"/>
      <c r="BV693" s="83"/>
      <c r="BW693" s="83"/>
      <c r="BX693" s="83"/>
      <c r="BY693" s="83"/>
      <c r="BZ693" s="83"/>
      <c r="CA693" s="83"/>
      <c r="CB693" s="83"/>
      <c r="CC693" s="83"/>
      <c r="CD693" s="83"/>
      <c r="CE693" s="83"/>
      <c r="CF693" s="83"/>
      <c r="CG693" s="83"/>
      <c r="CH693" s="83"/>
      <c r="CI693" s="83"/>
      <c r="CJ693" s="83"/>
      <c r="CK693" s="83"/>
      <c r="CL693" s="83"/>
      <c r="CM693" s="83"/>
      <c r="CN693" s="83"/>
      <c r="CO693" s="83"/>
      <c r="CP693" s="83"/>
      <c r="CQ693" s="83"/>
      <c r="CR693" s="83"/>
      <c r="CS693" s="83"/>
      <c r="CT693" s="83"/>
      <c r="CU693" s="83"/>
      <c r="CV693" s="83"/>
      <c r="CW693" s="83"/>
      <c r="CX693" s="83"/>
      <c r="CY693" s="83"/>
      <c r="CZ693" s="83"/>
      <c r="DA693" s="83"/>
      <c r="DB693" s="83"/>
      <c r="DC693" s="83"/>
    </row>
    <row r="694" spans="1:107" x14ac:dyDescent="0.3">
      <c r="A694" s="83"/>
      <c r="B694" s="83"/>
      <c r="C694" s="83"/>
      <c r="D694" s="83"/>
      <c r="E694" s="83"/>
      <c r="F694" s="83"/>
      <c r="G694" s="83"/>
      <c r="H694" s="83"/>
      <c r="I694" s="83"/>
      <c r="J694" s="83"/>
      <c r="K694" s="83"/>
      <c r="L694" s="83"/>
      <c r="M694" s="83"/>
      <c r="N694" s="83"/>
      <c r="O694" s="83"/>
      <c r="P694" s="83"/>
      <c r="Q694" s="83"/>
      <c r="R694" s="83"/>
      <c r="S694" s="83"/>
      <c r="T694" s="83"/>
      <c r="U694" s="83"/>
      <c r="V694" s="83"/>
      <c r="W694" s="83"/>
      <c r="X694" s="83"/>
      <c r="Y694" s="83"/>
      <c r="Z694" s="83"/>
      <c r="AA694" s="83"/>
      <c r="AB694" s="83"/>
      <c r="AC694" s="83"/>
      <c r="AD694" s="83"/>
      <c r="AE694" s="83"/>
      <c r="AF694" s="83"/>
      <c r="AG694" s="83"/>
      <c r="AH694" s="83"/>
      <c r="AI694" s="83"/>
      <c r="AJ694" s="83"/>
      <c r="AK694" s="83"/>
      <c r="AL694" s="83"/>
      <c r="AM694" s="83"/>
      <c r="AN694" s="83"/>
      <c r="AO694" s="83"/>
      <c r="AP694" s="83"/>
      <c r="AQ694" s="83"/>
      <c r="AR694" s="83"/>
      <c r="AS694" s="83"/>
      <c r="AT694" s="83"/>
      <c r="AU694" s="83"/>
      <c r="AV694" s="83"/>
      <c r="AW694" s="83"/>
      <c r="AX694" s="83"/>
      <c r="AY694" s="83"/>
      <c r="AZ694" s="83"/>
      <c r="BA694" s="83"/>
      <c r="BB694" s="83"/>
      <c r="BC694" s="83"/>
      <c r="BD694" s="83"/>
      <c r="BE694" s="83"/>
      <c r="BF694" s="83"/>
      <c r="BG694" s="83"/>
      <c r="BH694" s="83"/>
      <c r="BI694" s="83"/>
      <c r="BJ694" s="83"/>
      <c r="BK694" s="83"/>
      <c r="BL694" s="83"/>
      <c r="BM694" s="83"/>
      <c r="BN694" s="83"/>
      <c r="BO694" s="83"/>
      <c r="BP694" s="83"/>
      <c r="BQ694" s="83"/>
      <c r="BR694" s="83"/>
      <c r="BS694" s="83"/>
      <c r="BT694" s="83"/>
      <c r="BU694" s="83"/>
      <c r="BV694" s="83"/>
      <c r="BW694" s="83"/>
      <c r="BX694" s="83"/>
      <c r="BY694" s="83"/>
      <c r="BZ694" s="83"/>
      <c r="CA694" s="83"/>
      <c r="CB694" s="83"/>
      <c r="CC694" s="83"/>
      <c r="CD694" s="83"/>
      <c r="CE694" s="83"/>
      <c r="CF694" s="83"/>
      <c r="CG694" s="83"/>
      <c r="CH694" s="83"/>
      <c r="CI694" s="83"/>
      <c r="CJ694" s="83"/>
      <c r="CK694" s="83"/>
      <c r="CL694" s="83"/>
      <c r="CM694" s="83"/>
      <c r="CN694" s="83"/>
      <c r="CO694" s="83"/>
      <c r="CP694" s="83"/>
      <c r="CQ694" s="83"/>
      <c r="CR694" s="83"/>
      <c r="CS694" s="83"/>
      <c r="CT694" s="83"/>
      <c r="CU694" s="83"/>
      <c r="CV694" s="83"/>
      <c r="CW694" s="83"/>
      <c r="CX694" s="83"/>
      <c r="CY694" s="83"/>
      <c r="CZ694" s="83"/>
      <c r="DA694" s="83"/>
      <c r="DB694" s="83"/>
      <c r="DC694" s="83"/>
    </row>
    <row r="695" spans="1:107" x14ac:dyDescent="0.3">
      <c r="A695" s="83"/>
      <c r="B695" s="83"/>
      <c r="C695" s="83"/>
      <c r="D695" s="83"/>
      <c r="E695" s="83"/>
      <c r="F695" s="83"/>
      <c r="G695" s="83"/>
      <c r="H695" s="83"/>
      <c r="I695" s="83"/>
      <c r="J695" s="83"/>
      <c r="K695" s="83"/>
      <c r="L695" s="83"/>
      <c r="M695" s="83"/>
      <c r="N695" s="83"/>
      <c r="O695" s="83"/>
      <c r="P695" s="83"/>
      <c r="Q695" s="83"/>
      <c r="R695" s="83"/>
      <c r="S695" s="83"/>
      <c r="T695" s="83"/>
      <c r="U695" s="83"/>
      <c r="V695" s="83"/>
      <c r="W695" s="83"/>
      <c r="X695" s="83"/>
      <c r="Y695" s="83"/>
      <c r="Z695" s="83"/>
      <c r="AA695" s="83"/>
      <c r="AB695" s="83"/>
      <c r="AC695" s="83"/>
      <c r="AD695" s="83"/>
      <c r="AE695" s="83"/>
      <c r="AF695" s="83"/>
      <c r="AG695" s="83"/>
      <c r="AH695" s="83"/>
      <c r="AI695" s="83"/>
      <c r="AJ695" s="83"/>
      <c r="AK695" s="83"/>
      <c r="AL695" s="83"/>
      <c r="AM695" s="83"/>
      <c r="AN695" s="83"/>
      <c r="AO695" s="83"/>
      <c r="AP695" s="83"/>
      <c r="AQ695" s="83"/>
      <c r="AR695" s="83"/>
      <c r="AS695" s="83"/>
      <c r="AT695" s="83"/>
      <c r="AU695" s="83"/>
      <c r="AV695" s="83"/>
      <c r="AW695" s="83"/>
      <c r="AX695" s="83"/>
      <c r="AY695" s="83"/>
      <c r="AZ695" s="83"/>
      <c r="BA695" s="83"/>
      <c r="BB695" s="83"/>
      <c r="BC695" s="83"/>
      <c r="BD695" s="83"/>
      <c r="BE695" s="83"/>
      <c r="BF695" s="83"/>
      <c r="BG695" s="83"/>
      <c r="BH695" s="83"/>
      <c r="BI695" s="83"/>
      <c r="BJ695" s="83"/>
      <c r="BK695" s="83"/>
      <c r="BL695" s="83"/>
      <c r="BM695" s="83"/>
      <c r="BN695" s="83"/>
      <c r="BO695" s="83"/>
      <c r="BP695" s="83"/>
      <c r="BQ695" s="83"/>
      <c r="BR695" s="83"/>
      <c r="BS695" s="83"/>
      <c r="BT695" s="83"/>
      <c r="BU695" s="83"/>
      <c r="BV695" s="83"/>
      <c r="BW695" s="83"/>
      <c r="BX695" s="83"/>
      <c r="BY695" s="83"/>
      <c r="BZ695" s="83"/>
      <c r="CA695" s="83"/>
      <c r="CB695" s="83"/>
      <c r="CC695" s="83"/>
      <c r="CD695" s="83"/>
      <c r="CE695" s="83"/>
      <c r="CF695" s="83"/>
      <c r="CG695" s="83"/>
      <c r="CH695" s="83"/>
      <c r="CI695" s="83"/>
      <c r="CJ695" s="83"/>
      <c r="CK695" s="83"/>
      <c r="CL695" s="83"/>
      <c r="CM695" s="83"/>
      <c r="CN695" s="83"/>
      <c r="CO695" s="83"/>
      <c r="CP695" s="83"/>
      <c r="CQ695" s="83"/>
      <c r="CR695" s="83"/>
      <c r="CS695" s="83"/>
      <c r="CT695" s="83"/>
      <c r="CU695" s="83"/>
      <c r="CV695" s="83"/>
      <c r="CW695" s="83"/>
      <c r="CX695" s="83"/>
      <c r="CY695" s="83"/>
      <c r="CZ695" s="83"/>
      <c r="DA695" s="83"/>
      <c r="DB695" s="83"/>
      <c r="DC695" s="83"/>
    </row>
    <row r="696" spans="1:107" x14ac:dyDescent="0.3">
      <c r="A696" s="83"/>
      <c r="B696" s="83"/>
      <c r="C696" s="83"/>
      <c r="D696" s="83"/>
      <c r="E696" s="83"/>
      <c r="F696" s="83"/>
      <c r="G696" s="83"/>
      <c r="H696" s="83"/>
      <c r="I696" s="83"/>
      <c r="J696" s="83"/>
      <c r="K696" s="83"/>
      <c r="L696" s="83"/>
      <c r="M696" s="83"/>
      <c r="N696" s="83"/>
      <c r="O696" s="83"/>
      <c r="P696" s="83"/>
      <c r="Q696" s="83"/>
      <c r="R696" s="83"/>
      <c r="S696" s="83"/>
      <c r="T696" s="83"/>
      <c r="U696" s="83"/>
      <c r="V696" s="83"/>
      <c r="W696" s="83"/>
      <c r="X696" s="83"/>
      <c r="Y696" s="83"/>
      <c r="Z696" s="83"/>
      <c r="AA696" s="83"/>
      <c r="AB696" s="83"/>
      <c r="AC696" s="83"/>
      <c r="AD696" s="83"/>
      <c r="AE696" s="83"/>
      <c r="AF696" s="83"/>
      <c r="AG696" s="83"/>
      <c r="AH696" s="83"/>
      <c r="AI696" s="83"/>
      <c r="AJ696" s="83"/>
      <c r="AK696" s="83"/>
      <c r="AL696" s="83"/>
      <c r="AM696" s="83"/>
      <c r="AN696" s="83"/>
      <c r="AO696" s="83"/>
      <c r="AP696" s="83"/>
      <c r="AQ696" s="83"/>
      <c r="AR696" s="83"/>
      <c r="AS696" s="83"/>
      <c r="AT696" s="83"/>
      <c r="AU696" s="83"/>
      <c r="AV696" s="83"/>
      <c r="AW696" s="83"/>
      <c r="AX696" s="83"/>
      <c r="AY696" s="83"/>
      <c r="AZ696" s="83"/>
      <c r="BA696" s="83"/>
      <c r="BB696" s="83"/>
      <c r="BC696" s="83"/>
      <c r="BD696" s="83"/>
      <c r="BE696" s="83"/>
      <c r="BF696" s="83"/>
      <c r="BG696" s="83"/>
      <c r="BH696" s="83"/>
      <c r="BI696" s="83"/>
      <c r="BJ696" s="83"/>
      <c r="BK696" s="83"/>
      <c r="BL696" s="83"/>
      <c r="BM696" s="83"/>
      <c r="BN696" s="83"/>
      <c r="BO696" s="83"/>
      <c r="BP696" s="83"/>
      <c r="BQ696" s="83"/>
      <c r="BR696" s="83"/>
      <c r="BS696" s="83"/>
      <c r="BT696" s="83"/>
      <c r="BU696" s="83"/>
      <c r="BV696" s="83"/>
      <c r="BW696" s="83"/>
      <c r="BX696" s="83"/>
      <c r="BY696" s="83"/>
      <c r="BZ696" s="83"/>
      <c r="CA696" s="83"/>
      <c r="CB696" s="83"/>
      <c r="CC696" s="83"/>
      <c r="CD696" s="83"/>
      <c r="CE696" s="83"/>
      <c r="CF696" s="83"/>
      <c r="CG696" s="83"/>
      <c r="CH696" s="83"/>
      <c r="CI696" s="83"/>
      <c r="CJ696" s="83"/>
      <c r="CK696" s="83"/>
      <c r="CL696" s="83"/>
      <c r="CM696" s="83"/>
      <c r="CN696" s="83"/>
      <c r="CO696" s="83"/>
      <c r="CP696" s="83"/>
      <c r="CQ696" s="83"/>
      <c r="CR696" s="83"/>
      <c r="CS696" s="83"/>
      <c r="CT696" s="83"/>
      <c r="CU696" s="83"/>
      <c r="CV696" s="83"/>
      <c r="CW696" s="83"/>
      <c r="CX696" s="83"/>
      <c r="CY696" s="83"/>
      <c r="CZ696" s="83"/>
      <c r="DA696" s="83"/>
      <c r="DB696" s="83"/>
      <c r="DC696" s="83"/>
    </row>
    <row r="697" spans="1:107" x14ac:dyDescent="0.3">
      <c r="A697" s="83"/>
      <c r="B697" s="83"/>
      <c r="C697" s="83"/>
      <c r="D697" s="83"/>
      <c r="E697" s="83"/>
      <c r="F697" s="83"/>
      <c r="G697" s="83"/>
      <c r="H697" s="83"/>
      <c r="I697" s="83"/>
      <c r="J697" s="83"/>
      <c r="K697" s="83"/>
      <c r="L697" s="83"/>
      <c r="M697" s="83"/>
      <c r="N697" s="83"/>
      <c r="O697" s="83"/>
      <c r="P697" s="83"/>
      <c r="Q697" s="83"/>
      <c r="R697" s="83"/>
      <c r="S697" s="83"/>
      <c r="T697" s="83"/>
      <c r="U697" s="83"/>
      <c r="V697" s="83"/>
      <c r="W697" s="83"/>
      <c r="X697" s="83"/>
      <c r="Y697" s="83"/>
      <c r="Z697" s="83"/>
      <c r="AA697" s="83"/>
      <c r="AB697" s="83"/>
      <c r="AC697" s="83"/>
      <c r="AD697" s="83"/>
      <c r="AE697" s="83"/>
      <c r="AF697" s="83"/>
      <c r="AG697" s="83"/>
      <c r="AH697" s="83"/>
      <c r="AI697" s="83"/>
      <c r="AJ697" s="83"/>
      <c r="AK697" s="83"/>
      <c r="AL697" s="83"/>
      <c r="AM697" s="83"/>
      <c r="AN697" s="83"/>
      <c r="AO697" s="83"/>
      <c r="AP697" s="83"/>
      <c r="AQ697" s="83"/>
      <c r="AR697" s="83"/>
      <c r="AS697" s="83"/>
      <c r="AT697" s="83"/>
      <c r="AU697" s="83"/>
      <c r="AV697" s="83"/>
      <c r="AW697" s="83"/>
      <c r="AX697" s="83"/>
      <c r="AY697" s="83"/>
      <c r="AZ697" s="83"/>
      <c r="BA697" s="83"/>
      <c r="BB697" s="83"/>
      <c r="BC697" s="83"/>
      <c r="BD697" s="83"/>
      <c r="BE697" s="83"/>
      <c r="BF697" s="83"/>
      <c r="BG697" s="83"/>
      <c r="BH697" s="83"/>
      <c r="BI697" s="83"/>
      <c r="BJ697" s="83"/>
      <c r="BK697" s="83"/>
      <c r="BL697" s="83"/>
      <c r="BM697" s="83"/>
      <c r="BN697" s="83"/>
      <c r="BO697" s="83"/>
      <c r="BP697" s="83"/>
      <c r="BQ697" s="83"/>
      <c r="BR697" s="83"/>
      <c r="BS697" s="83"/>
      <c r="BT697" s="83"/>
      <c r="BU697" s="83"/>
      <c r="BV697" s="83"/>
      <c r="BW697" s="83"/>
      <c r="BX697" s="83"/>
      <c r="BY697" s="83"/>
      <c r="BZ697" s="83"/>
      <c r="CA697" s="83"/>
      <c r="CB697" s="83"/>
      <c r="CC697" s="83"/>
      <c r="CD697" s="83"/>
      <c r="CE697" s="83"/>
      <c r="CF697" s="83"/>
      <c r="CG697" s="83"/>
      <c r="CH697" s="83"/>
      <c r="CI697" s="83"/>
      <c r="CJ697" s="83"/>
      <c r="CK697" s="83"/>
      <c r="CL697" s="83"/>
      <c r="CM697" s="83"/>
      <c r="CN697" s="83"/>
      <c r="CO697" s="83"/>
      <c r="CP697" s="83"/>
      <c r="CQ697" s="83"/>
      <c r="CR697" s="83"/>
      <c r="CS697" s="83"/>
      <c r="CT697" s="83"/>
      <c r="CU697" s="83"/>
      <c r="CV697" s="83"/>
      <c r="CW697" s="83"/>
      <c r="CX697" s="83"/>
      <c r="CY697" s="83"/>
      <c r="CZ697" s="83"/>
      <c r="DA697" s="83"/>
      <c r="DB697" s="83"/>
      <c r="DC697" s="83"/>
    </row>
    <row r="698" spans="1:107" x14ac:dyDescent="0.3">
      <c r="A698" s="83"/>
      <c r="B698" s="83"/>
      <c r="C698" s="83"/>
      <c r="D698" s="83"/>
      <c r="E698" s="83"/>
      <c r="F698" s="83"/>
      <c r="G698" s="83"/>
      <c r="H698" s="83"/>
      <c r="I698" s="83"/>
      <c r="J698" s="83"/>
      <c r="K698" s="83"/>
      <c r="L698" s="83"/>
      <c r="M698" s="83"/>
      <c r="N698" s="83"/>
      <c r="O698" s="83"/>
      <c r="P698" s="83"/>
      <c r="Q698" s="83"/>
      <c r="R698" s="83"/>
      <c r="S698" s="83"/>
      <c r="T698" s="83"/>
      <c r="U698" s="83"/>
      <c r="V698" s="83"/>
      <c r="W698" s="83"/>
      <c r="X698" s="83"/>
      <c r="Y698" s="83"/>
      <c r="Z698" s="83"/>
      <c r="AA698" s="83"/>
      <c r="AB698" s="83"/>
      <c r="AC698" s="83"/>
      <c r="AD698" s="83"/>
      <c r="AE698" s="83"/>
      <c r="AF698" s="83"/>
      <c r="AG698" s="83"/>
      <c r="AH698" s="83"/>
      <c r="AI698" s="83"/>
      <c r="AJ698" s="83"/>
      <c r="AK698" s="83"/>
      <c r="AL698" s="83"/>
      <c r="AM698" s="83"/>
      <c r="AN698" s="83"/>
      <c r="AO698" s="83"/>
      <c r="AP698" s="83"/>
      <c r="AQ698" s="83"/>
      <c r="AR698" s="83"/>
      <c r="AS698" s="83"/>
      <c r="AT698" s="83"/>
      <c r="AU698" s="83"/>
      <c r="AV698" s="83"/>
      <c r="AW698" s="83"/>
      <c r="AX698" s="83"/>
      <c r="AY698" s="83"/>
      <c r="AZ698" s="83"/>
      <c r="BA698" s="83"/>
      <c r="BB698" s="83"/>
      <c r="BC698" s="83"/>
      <c r="BD698" s="83"/>
      <c r="BE698" s="83"/>
      <c r="BF698" s="83"/>
      <c r="BG698" s="83"/>
      <c r="BH698" s="83"/>
      <c r="BI698" s="83"/>
      <c r="BJ698" s="83"/>
      <c r="BK698" s="83"/>
      <c r="BL698" s="83"/>
      <c r="BM698" s="83"/>
      <c r="BN698" s="83"/>
      <c r="BO698" s="83"/>
      <c r="BP698" s="83"/>
      <c r="BQ698" s="83"/>
      <c r="BR698" s="83"/>
      <c r="BS698" s="83"/>
      <c r="BT698" s="83"/>
      <c r="BU698" s="83"/>
      <c r="BV698" s="83"/>
      <c r="BW698" s="83"/>
      <c r="BX698" s="83"/>
      <c r="BY698" s="83"/>
      <c r="BZ698" s="83"/>
      <c r="CA698" s="83"/>
      <c r="CB698" s="83"/>
      <c r="CC698" s="83"/>
      <c r="CD698" s="83"/>
      <c r="CE698" s="83"/>
      <c r="CF698" s="83"/>
      <c r="CG698" s="83"/>
      <c r="CH698" s="83"/>
      <c r="CI698" s="83"/>
      <c r="CJ698" s="83"/>
      <c r="CK698" s="83"/>
      <c r="CL698" s="83"/>
      <c r="CM698" s="83"/>
      <c r="CN698" s="83"/>
      <c r="CO698" s="83"/>
      <c r="CP698" s="83"/>
      <c r="CQ698" s="83"/>
      <c r="CR698" s="83"/>
      <c r="CS698" s="83"/>
      <c r="CT698" s="83"/>
      <c r="CU698" s="83"/>
      <c r="CV698" s="83"/>
      <c r="CW698" s="83"/>
      <c r="CX698" s="83"/>
      <c r="CY698" s="83"/>
      <c r="CZ698" s="83"/>
      <c r="DA698" s="83"/>
      <c r="DB698" s="83"/>
      <c r="DC698" s="83"/>
    </row>
    <row r="699" spans="1:107" x14ac:dyDescent="0.3">
      <c r="A699" s="83"/>
      <c r="B699" s="83"/>
      <c r="C699" s="83"/>
      <c r="D699" s="83"/>
      <c r="E699" s="83"/>
      <c r="F699" s="83"/>
      <c r="G699" s="83"/>
      <c r="H699" s="83"/>
      <c r="I699" s="83"/>
      <c r="J699" s="83"/>
      <c r="K699" s="83"/>
      <c r="L699" s="83"/>
      <c r="M699" s="83"/>
      <c r="N699" s="83"/>
      <c r="O699" s="83"/>
      <c r="P699" s="83"/>
      <c r="Q699" s="83"/>
      <c r="R699" s="83"/>
      <c r="S699" s="83"/>
      <c r="T699" s="83"/>
      <c r="U699" s="83"/>
      <c r="V699" s="83"/>
      <c r="W699" s="83"/>
      <c r="X699" s="83"/>
      <c r="Y699" s="83"/>
      <c r="Z699" s="83"/>
      <c r="AA699" s="83"/>
      <c r="AB699" s="83"/>
      <c r="AC699" s="83"/>
      <c r="AD699" s="83"/>
      <c r="AE699" s="83"/>
      <c r="AF699" s="83"/>
      <c r="AG699" s="83"/>
      <c r="AH699" s="83"/>
      <c r="AI699" s="83"/>
      <c r="AJ699" s="83"/>
      <c r="AK699" s="83"/>
      <c r="AL699" s="83"/>
      <c r="AM699" s="83"/>
      <c r="AN699" s="83"/>
      <c r="AO699" s="83"/>
      <c r="AP699" s="83"/>
      <c r="AQ699" s="83"/>
      <c r="AR699" s="83"/>
      <c r="AS699" s="83"/>
      <c r="AT699" s="83"/>
      <c r="AU699" s="83"/>
      <c r="AV699" s="83"/>
      <c r="AW699" s="83"/>
      <c r="AX699" s="83"/>
      <c r="AY699" s="83"/>
      <c r="AZ699" s="83"/>
      <c r="BA699" s="83"/>
      <c r="BB699" s="83"/>
      <c r="BC699" s="83"/>
      <c r="BD699" s="83"/>
      <c r="BE699" s="83"/>
      <c r="BF699" s="83"/>
      <c r="BG699" s="83"/>
      <c r="BH699" s="83"/>
      <c r="BI699" s="83"/>
      <c r="BJ699" s="83"/>
      <c r="BK699" s="83"/>
      <c r="BL699" s="83"/>
      <c r="BM699" s="83"/>
      <c r="BN699" s="83"/>
      <c r="BO699" s="83"/>
      <c r="BP699" s="83"/>
      <c r="BQ699" s="83"/>
      <c r="BR699" s="83"/>
      <c r="BS699" s="83"/>
      <c r="BT699" s="83"/>
      <c r="BU699" s="83"/>
      <c r="BV699" s="83"/>
      <c r="BW699" s="83"/>
      <c r="BX699" s="83"/>
      <c r="BY699" s="83"/>
      <c r="BZ699" s="83"/>
      <c r="CA699" s="83"/>
      <c r="CB699" s="83"/>
      <c r="CC699" s="83"/>
      <c r="CD699" s="83"/>
      <c r="CE699" s="83"/>
      <c r="CF699" s="83"/>
      <c r="CG699" s="83"/>
      <c r="CH699" s="83"/>
      <c r="CI699" s="83"/>
      <c r="CJ699" s="83"/>
      <c r="CK699" s="83"/>
      <c r="CL699" s="83"/>
      <c r="CM699" s="83"/>
      <c r="CN699" s="83"/>
      <c r="CO699" s="83"/>
      <c r="CP699" s="83"/>
      <c r="CQ699" s="83"/>
      <c r="CR699" s="83"/>
      <c r="CS699" s="83"/>
      <c r="CT699" s="83"/>
      <c r="CU699" s="83"/>
      <c r="CV699" s="83"/>
      <c r="CW699" s="83"/>
      <c r="CX699" s="83"/>
      <c r="CY699" s="83"/>
      <c r="CZ699" s="83"/>
      <c r="DA699" s="83"/>
      <c r="DB699" s="83"/>
      <c r="DC699" s="83"/>
    </row>
    <row r="700" spans="1:107" x14ac:dyDescent="0.3">
      <c r="A700" s="83"/>
      <c r="B700" s="83"/>
      <c r="C700" s="83"/>
      <c r="D700" s="83"/>
      <c r="E700" s="83"/>
      <c r="F700" s="83"/>
      <c r="G700" s="83"/>
      <c r="H700" s="83"/>
      <c r="I700" s="83"/>
      <c r="J700" s="83"/>
      <c r="K700" s="83"/>
      <c r="L700" s="83"/>
      <c r="M700" s="83"/>
      <c r="N700" s="83"/>
      <c r="O700" s="83"/>
      <c r="P700" s="83"/>
      <c r="Q700" s="83"/>
      <c r="R700" s="83"/>
      <c r="S700" s="83"/>
      <c r="T700" s="83"/>
      <c r="U700" s="83"/>
      <c r="V700" s="83"/>
      <c r="W700" s="83"/>
      <c r="X700" s="83"/>
      <c r="Y700" s="83"/>
      <c r="Z700" s="83"/>
      <c r="AA700" s="83"/>
      <c r="AB700" s="83"/>
      <c r="AC700" s="83"/>
      <c r="AD700" s="83"/>
      <c r="AE700" s="83"/>
      <c r="AF700" s="83"/>
      <c r="AG700" s="83"/>
      <c r="AH700" s="83"/>
      <c r="AI700" s="83"/>
      <c r="AJ700" s="83"/>
      <c r="AK700" s="83"/>
      <c r="AL700" s="83"/>
      <c r="AM700" s="83"/>
      <c r="AN700" s="83"/>
      <c r="AO700" s="83"/>
      <c r="AP700" s="83"/>
      <c r="AQ700" s="83"/>
      <c r="AR700" s="83"/>
      <c r="AS700" s="83"/>
      <c r="AT700" s="83"/>
      <c r="AU700" s="83"/>
      <c r="AV700" s="83"/>
      <c r="AW700" s="83"/>
      <c r="AX700" s="83"/>
      <c r="AY700" s="83"/>
      <c r="AZ700" s="83"/>
      <c r="BA700" s="83"/>
      <c r="BB700" s="83"/>
      <c r="BC700" s="83"/>
      <c r="BD700" s="83"/>
      <c r="BE700" s="83"/>
      <c r="BF700" s="83"/>
      <c r="BG700" s="83"/>
      <c r="BH700" s="83"/>
      <c r="BI700" s="83"/>
      <c r="BJ700" s="83"/>
      <c r="BK700" s="83"/>
      <c r="BL700" s="83"/>
      <c r="BM700" s="83"/>
      <c r="BN700" s="83"/>
      <c r="BO700" s="83"/>
      <c r="BP700" s="83"/>
      <c r="BQ700" s="83"/>
      <c r="BR700" s="83"/>
      <c r="BS700" s="83"/>
      <c r="BT700" s="83"/>
      <c r="BU700" s="83"/>
      <c r="BV700" s="83"/>
      <c r="BW700" s="83"/>
      <c r="BX700" s="83"/>
      <c r="BY700" s="83"/>
      <c r="BZ700" s="83"/>
      <c r="CA700" s="83"/>
      <c r="CB700" s="83"/>
      <c r="CC700" s="83"/>
      <c r="CD700" s="83"/>
      <c r="CE700" s="83"/>
      <c r="CF700" s="83"/>
      <c r="CG700" s="83"/>
      <c r="CH700" s="83"/>
      <c r="CI700" s="83"/>
      <c r="CJ700" s="83"/>
      <c r="CK700" s="83"/>
      <c r="CL700" s="83"/>
      <c r="CM700" s="83"/>
      <c r="CN700" s="83"/>
      <c r="CO700" s="83"/>
      <c r="CP700" s="83"/>
      <c r="CQ700" s="83"/>
      <c r="CR700" s="83"/>
      <c r="CS700" s="83"/>
      <c r="CT700" s="83"/>
      <c r="CU700" s="83"/>
      <c r="CV700" s="83"/>
      <c r="CW700" s="83"/>
      <c r="CX700" s="83"/>
      <c r="CY700" s="83"/>
      <c r="CZ700" s="83"/>
      <c r="DA700" s="83"/>
      <c r="DB700" s="83"/>
      <c r="DC700" s="83"/>
    </row>
    <row r="701" spans="1:107" x14ac:dyDescent="0.3">
      <c r="A701" s="83"/>
      <c r="B701" s="83"/>
      <c r="C701" s="83"/>
      <c r="D701" s="83"/>
      <c r="E701" s="83"/>
      <c r="F701" s="83"/>
      <c r="G701" s="83"/>
      <c r="H701" s="83"/>
      <c r="I701" s="83"/>
      <c r="J701" s="83"/>
      <c r="K701" s="83"/>
      <c r="L701" s="83"/>
      <c r="M701" s="83"/>
      <c r="N701" s="83"/>
      <c r="O701" s="83"/>
      <c r="P701" s="83"/>
      <c r="Q701" s="83"/>
      <c r="R701" s="83"/>
      <c r="S701" s="83"/>
      <c r="T701" s="83"/>
      <c r="U701" s="83"/>
      <c r="V701" s="83"/>
      <c r="W701" s="83"/>
      <c r="X701" s="83"/>
      <c r="Y701" s="83"/>
      <c r="Z701" s="83"/>
      <c r="AA701" s="83"/>
      <c r="AB701" s="83"/>
      <c r="AC701" s="83"/>
      <c r="AD701" s="83"/>
      <c r="AE701" s="83"/>
      <c r="AF701" s="83"/>
      <c r="AG701" s="83"/>
      <c r="AH701" s="83"/>
      <c r="AI701" s="83"/>
      <c r="AJ701" s="83"/>
      <c r="AK701" s="83"/>
      <c r="AL701" s="83"/>
      <c r="AM701" s="83"/>
      <c r="AN701" s="83"/>
      <c r="AO701" s="83"/>
      <c r="AP701" s="83"/>
      <c r="AQ701" s="83"/>
      <c r="AR701" s="83"/>
      <c r="AS701" s="83"/>
      <c r="AT701" s="83"/>
      <c r="AU701" s="83"/>
      <c r="AV701" s="83"/>
      <c r="AW701" s="83"/>
      <c r="AX701" s="83"/>
      <c r="AY701" s="83"/>
      <c r="AZ701" s="83"/>
      <c r="BA701" s="83"/>
      <c r="BB701" s="83"/>
      <c r="BC701" s="83"/>
      <c r="BD701" s="83"/>
      <c r="BE701" s="83"/>
      <c r="BF701" s="83"/>
      <c r="BG701" s="83"/>
      <c r="BH701" s="83"/>
      <c r="BI701" s="83"/>
      <c r="BJ701" s="83"/>
      <c r="BK701" s="83"/>
      <c r="BL701" s="83"/>
      <c r="BM701" s="83"/>
      <c r="BN701" s="83"/>
      <c r="BO701" s="83"/>
      <c r="BP701" s="83"/>
      <c r="BQ701" s="83"/>
      <c r="BR701" s="83"/>
      <c r="BS701" s="83"/>
      <c r="BT701" s="83"/>
      <c r="BU701" s="83"/>
      <c r="BV701" s="83"/>
      <c r="BW701" s="83"/>
      <c r="BX701" s="83"/>
      <c r="BY701" s="83"/>
      <c r="BZ701" s="83"/>
      <c r="CA701" s="83"/>
      <c r="CB701" s="83"/>
      <c r="CC701" s="83"/>
      <c r="CD701" s="83"/>
      <c r="CE701" s="83"/>
      <c r="CF701" s="83"/>
      <c r="CG701" s="83"/>
      <c r="CH701" s="83"/>
      <c r="CI701" s="83"/>
      <c r="CJ701" s="83"/>
      <c r="CK701" s="83"/>
      <c r="CL701" s="83"/>
      <c r="CM701" s="83"/>
      <c r="CN701" s="83"/>
      <c r="CO701" s="83"/>
      <c r="CP701" s="83"/>
      <c r="CQ701" s="83"/>
      <c r="CR701" s="83"/>
      <c r="CS701" s="83"/>
      <c r="CT701" s="83"/>
      <c r="CU701" s="83"/>
      <c r="CV701" s="83"/>
      <c r="CW701" s="83"/>
      <c r="CX701" s="83"/>
      <c r="CY701" s="83"/>
      <c r="CZ701" s="83"/>
      <c r="DA701" s="83"/>
      <c r="DB701" s="83"/>
      <c r="DC701" s="83"/>
    </row>
    <row r="702" spans="1:107" x14ac:dyDescent="0.3">
      <c r="A702" s="83"/>
      <c r="B702" s="83"/>
      <c r="C702" s="83"/>
      <c r="D702" s="83"/>
      <c r="E702" s="83"/>
      <c r="F702" s="83"/>
      <c r="G702" s="83"/>
      <c r="H702" s="83"/>
      <c r="I702" s="83"/>
      <c r="J702" s="83"/>
      <c r="K702" s="83"/>
      <c r="L702" s="83"/>
      <c r="M702" s="83"/>
      <c r="N702" s="83"/>
      <c r="O702" s="83"/>
      <c r="P702" s="83"/>
      <c r="Q702" s="83"/>
      <c r="R702" s="83"/>
      <c r="S702" s="83"/>
      <c r="T702" s="83"/>
      <c r="U702" s="83"/>
      <c r="V702" s="83"/>
      <c r="W702" s="83"/>
      <c r="X702" s="83"/>
      <c r="Y702" s="83"/>
      <c r="Z702" s="83"/>
      <c r="AA702" s="83"/>
      <c r="AB702" s="83"/>
      <c r="AC702" s="83"/>
      <c r="AD702" s="83"/>
      <c r="AE702" s="83"/>
      <c r="AF702" s="83"/>
      <c r="AG702" s="83"/>
      <c r="AH702" s="83"/>
      <c r="AI702" s="83"/>
      <c r="AJ702" s="83"/>
      <c r="AK702" s="83"/>
      <c r="AL702" s="83"/>
      <c r="AM702" s="83"/>
      <c r="AN702" s="83"/>
      <c r="AO702" s="83"/>
      <c r="AP702" s="83"/>
      <c r="AQ702" s="83"/>
      <c r="AR702" s="83"/>
      <c r="AS702" s="83"/>
      <c r="AT702" s="83"/>
      <c r="AU702" s="83"/>
      <c r="AV702" s="83"/>
      <c r="AW702" s="83"/>
      <c r="AX702" s="83"/>
      <c r="AY702" s="83"/>
      <c r="AZ702" s="83"/>
      <c r="BA702" s="83"/>
      <c r="BB702" s="83"/>
      <c r="BC702" s="83"/>
      <c r="BD702" s="83"/>
      <c r="BE702" s="83"/>
      <c r="BF702" s="83"/>
      <c r="BG702" s="83"/>
      <c r="BH702" s="83"/>
      <c r="BI702" s="83"/>
      <c r="BJ702" s="83"/>
      <c r="BK702" s="83"/>
      <c r="BL702" s="83"/>
      <c r="BM702" s="83"/>
      <c r="BN702" s="83"/>
      <c r="BO702" s="83"/>
      <c r="BP702" s="83"/>
      <c r="BQ702" s="83"/>
      <c r="BR702" s="83"/>
      <c r="BS702" s="83"/>
      <c r="BT702" s="83"/>
      <c r="BU702" s="83"/>
      <c r="BV702" s="83"/>
      <c r="BW702" s="83"/>
      <c r="BX702" s="83"/>
      <c r="BY702" s="83"/>
      <c r="BZ702" s="83"/>
      <c r="CA702" s="83"/>
      <c r="CB702" s="83"/>
      <c r="CC702" s="83"/>
      <c r="CD702" s="83"/>
      <c r="CE702" s="83"/>
      <c r="CF702" s="83"/>
      <c r="CG702" s="83"/>
      <c r="CH702" s="83"/>
      <c r="CI702" s="83"/>
      <c r="CJ702" s="83"/>
      <c r="CK702" s="83"/>
      <c r="CL702" s="83"/>
      <c r="CM702" s="83"/>
      <c r="CN702" s="83"/>
      <c r="CO702" s="83"/>
      <c r="CP702" s="83"/>
      <c r="CQ702" s="83"/>
      <c r="CR702" s="83"/>
      <c r="CS702" s="83"/>
      <c r="CT702" s="83"/>
      <c r="CU702" s="83"/>
      <c r="CV702" s="83"/>
      <c r="CW702" s="83"/>
      <c r="CX702" s="83"/>
      <c r="CY702" s="83"/>
      <c r="CZ702" s="83"/>
      <c r="DA702" s="83"/>
      <c r="DB702" s="83"/>
      <c r="DC702" s="83"/>
    </row>
    <row r="703" spans="1:107" x14ac:dyDescent="0.3">
      <c r="A703" s="83"/>
      <c r="B703" s="83"/>
      <c r="C703" s="83"/>
      <c r="D703" s="83"/>
      <c r="E703" s="83"/>
      <c r="F703" s="83"/>
      <c r="G703" s="83"/>
      <c r="H703" s="83"/>
      <c r="I703" s="83"/>
      <c r="J703" s="83"/>
      <c r="K703" s="83"/>
      <c r="L703" s="83"/>
      <c r="M703" s="83"/>
      <c r="N703" s="83"/>
      <c r="O703" s="83"/>
      <c r="P703" s="83"/>
      <c r="Q703" s="83"/>
      <c r="R703" s="83"/>
      <c r="S703" s="83"/>
      <c r="T703" s="83"/>
      <c r="U703" s="83"/>
      <c r="V703" s="83"/>
      <c r="W703" s="83"/>
      <c r="X703" s="83"/>
      <c r="Y703" s="83"/>
      <c r="Z703" s="83"/>
      <c r="AA703" s="83"/>
      <c r="AB703" s="83"/>
      <c r="AC703" s="83"/>
      <c r="AD703" s="83"/>
      <c r="AE703" s="83"/>
      <c r="AF703" s="83"/>
      <c r="AG703" s="83"/>
      <c r="AH703" s="83"/>
      <c r="AI703" s="83"/>
      <c r="AJ703" s="83"/>
      <c r="AK703" s="83"/>
      <c r="AL703" s="83"/>
      <c r="AM703" s="83"/>
      <c r="AN703" s="83"/>
      <c r="AO703" s="83"/>
      <c r="AP703" s="83"/>
      <c r="AQ703" s="83"/>
      <c r="AR703" s="83"/>
      <c r="AS703" s="83"/>
      <c r="AT703" s="83"/>
      <c r="AU703" s="83"/>
      <c r="AV703" s="83"/>
      <c r="AW703" s="83"/>
      <c r="AX703" s="83"/>
      <c r="AY703" s="83"/>
      <c r="AZ703" s="83"/>
      <c r="BA703" s="83"/>
      <c r="BB703" s="83"/>
      <c r="BC703" s="83"/>
      <c r="BD703" s="83"/>
      <c r="BE703" s="83"/>
      <c r="BF703" s="83"/>
      <c r="BG703" s="83"/>
      <c r="BH703" s="83"/>
      <c r="BI703" s="83"/>
      <c r="BJ703" s="83"/>
      <c r="BK703" s="83"/>
      <c r="BL703" s="83"/>
      <c r="BM703" s="83"/>
      <c r="BN703" s="83"/>
      <c r="BO703" s="83"/>
      <c r="BP703" s="83"/>
      <c r="BQ703" s="83"/>
      <c r="BR703" s="83"/>
      <c r="BS703" s="83"/>
      <c r="BT703" s="83"/>
      <c r="BU703" s="83"/>
      <c r="BV703" s="83"/>
      <c r="BW703" s="83"/>
      <c r="BX703" s="83"/>
      <c r="BY703" s="83"/>
      <c r="BZ703" s="83"/>
      <c r="CA703" s="83"/>
      <c r="CB703" s="83"/>
      <c r="CC703" s="83"/>
      <c r="CD703" s="83"/>
      <c r="CE703" s="83"/>
      <c r="CF703" s="83"/>
      <c r="CG703" s="83"/>
      <c r="CH703" s="83"/>
      <c r="CI703" s="83"/>
      <c r="CJ703" s="83"/>
      <c r="CK703" s="83"/>
      <c r="CL703" s="83"/>
      <c r="CM703" s="83"/>
      <c r="CN703" s="83"/>
      <c r="CO703" s="83"/>
      <c r="CP703" s="83"/>
      <c r="CQ703" s="83"/>
      <c r="CR703" s="83"/>
      <c r="CS703" s="83"/>
      <c r="CT703" s="83"/>
      <c r="CU703" s="83"/>
      <c r="CV703" s="83"/>
      <c r="CW703" s="83"/>
      <c r="CX703" s="83"/>
      <c r="CY703" s="83"/>
      <c r="CZ703" s="83"/>
      <c r="DA703" s="83"/>
      <c r="DB703" s="83"/>
      <c r="DC703" s="83"/>
    </row>
    <row r="704" spans="1:107" x14ac:dyDescent="0.3">
      <c r="A704" s="83"/>
      <c r="B704" s="83"/>
      <c r="C704" s="83"/>
      <c r="D704" s="83"/>
      <c r="E704" s="83"/>
      <c r="F704" s="83"/>
      <c r="G704" s="83"/>
      <c r="H704" s="83"/>
      <c r="I704" s="83"/>
      <c r="J704" s="83"/>
      <c r="K704" s="83"/>
      <c r="L704" s="83"/>
      <c r="M704" s="83"/>
      <c r="N704" s="83"/>
      <c r="O704" s="83"/>
      <c r="P704" s="83"/>
      <c r="Q704" s="83"/>
      <c r="R704" s="83"/>
      <c r="S704" s="83"/>
      <c r="T704" s="83"/>
      <c r="U704" s="83"/>
      <c r="V704" s="83"/>
      <c r="W704" s="83"/>
      <c r="X704" s="83"/>
      <c r="Y704" s="83"/>
      <c r="Z704" s="83"/>
      <c r="AA704" s="83"/>
      <c r="AB704" s="83"/>
      <c r="AC704" s="83"/>
      <c r="AD704" s="83"/>
      <c r="AE704" s="83"/>
      <c r="AF704" s="83"/>
      <c r="AG704" s="83"/>
      <c r="AH704" s="83"/>
      <c r="AI704" s="83"/>
      <c r="AJ704" s="83"/>
      <c r="AK704" s="83"/>
      <c r="AL704" s="83"/>
      <c r="AM704" s="83"/>
      <c r="AN704" s="83"/>
      <c r="AO704" s="83"/>
      <c r="AP704" s="83"/>
      <c r="AQ704" s="83"/>
      <c r="AR704" s="83"/>
      <c r="AS704" s="83"/>
      <c r="AT704" s="83"/>
      <c r="AU704" s="83"/>
      <c r="AV704" s="83"/>
      <c r="AW704" s="83"/>
      <c r="AX704" s="83"/>
      <c r="AY704" s="83"/>
      <c r="AZ704" s="83"/>
      <c r="BA704" s="83"/>
      <c r="BB704" s="83"/>
      <c r="BC704" s="83"/>
      <c r="BD704" s="83"/>
      <c r="BE704" s="83"/>
      <c r="BF704" s="83"/>
      <c r="BG704" s="83"/>
      <c r="BH704" s="83"/>
      <c r="BI704" s="83"/>
      <c r="BJ704" s="83"/>
      <c r="BK704" s="83"/>
      <c r="BL704" s="83"/>
      <c r="BM704" s="83"/>
      <c r="BN704" s="83"/>
      <c r="BO704" s="83"/>
      <c r="BP704" s="83"/>
      <c r="BQ704" s="83"/>
      <c r="BR704" s="83"/>
      <c r="BS704" s="83"/>
      <c r="BT704" s="83"/>
      <c r="BU704" s="83"/>
      <c r="BV704" s="83"/>
      <c r="BW704" s="83"/>
      <c r="BX704" s="83"/>
      <c r="BY704" s="83"/>
      <c r="BZ704" s="83"/>
      <c r="CA704" s="83"/>
      <c r="CB704" s="83"/>
      <c r="CC704" s="83"/>
      <c r="CD704" s="83"/>
      <c r="CE704" s="83"/>
      <c r="CF704" s="83"/>
      <c r="CG704" s="83"/>
      <c r="CH704" s="83"/>
      <c r="CI704" s="83"/>
      <c r="CJ704" s="83"/>
      <c r="CK704" s="83"/>
      <c r="CL704" s="83"/>
      <c r="CM704" s="83"/>
      <c r="CN704" s="83"/>
      <c r="CO704" s="83"/>
      <c r="CP704" s="83"/>
      <c r="CQ704" s="83"/>
      <c r="CR704" s="83"/>
      <c r="CS704" s="83"/>
      <c r="CT704" s="83"/>
      <c r="CU704" s="83"/>
      <c r="CV704" s="83"/>
      <c r="CW704" s="83"/>
      <c r="CX704" s="83"/>
      <c r="CY704" s="83"/>
      <c r="CZ704" s="83"/>
      <c r="DA704" s="83"/>
      <c r="DB704" s="83"/>
      <c r="DC704" s="83"/>
    </row>
    <row r="705" spans="1:107" x14ac:dyDescent="0.3">
      <c r="A705" s="83"/>
      <c r="B705" s="83"/>
      <c r="C705" s="83"/>
      <c r="D705" s="83"/>
      <c r="E705" s="83"/>
      <c r="F705" s="83"/>
      <c r="G705" s="83"/>
      <c r="H705" s="83"/>
      <c r="I705" s="83"/>
      <c r="J705" s="83"/>
      <c r="K705" s="83"/>
      <c r="L705" s="83"/>
      <c r="M705" s="83"/>
      <c r="N705" s="83"/>
      <c r="O705" s="83"/>
      <c r="P705" s="83"/>
      <c r="Q705" s="83"/>
      <c r="R705" s="83"/>
      <c r="S705" s="83"/>
      <c r="T705" s="83"/>
      <c r="U705" s="83"/>
      <c r="V705" s="83"/>
      <c r="W705" s="83"/>
      <c r="X705" s="83"/>
      <c r="Y705" s="83"/>
      <c r="Z705" s="83"/>
      <c r="AA705" s="83"/>
      <c r="AB705" s="83"/>
      <c r="AC705" s="83"/>
      <c r="AD705" s="83"/>
      <c r="AE705" s="83"/>
      <c r="AF705" s="83"/>
      <c r="AG705" s="83"/>
      <c r="AH705" s="83"/>
      <c r="AI705" s="83"/>
      <c r="AJ705" s="83"/>
      <c r="AK705" s="83"/>
      <c r="AL705" s="83"/>
      <c r="AM705" s="83"/>
      <c r="AN705" s="83"/>
      <c r="AO705" s="83"/>
      <c r="AP705" s="83"/>
      <c r="AQ705" s="83"/>
      <c r="AR705" s="83"/>
      <c r="AS705" s="83"/>
      <c r="AT705" s="83"/>
      <c r="AU705" s="83"/>
      <c r="AV705" s="83"/>
      <c r="AW705" s="83"/>
      <c r="AX705" s="83"/>
      <c r="AY705" s="83"/>
      <c r="AZ705" s="83"/>
      <c r="BA705" s="83"/>
      <c r="BB705" s="83"/>
      <c r="BC705" s="83"/>
      <c r="BD705" s="83"/>
      <c r="BE705" s="83"/>
      <c r="BF705" s="83"/>
      <c r="BG705" s="83"/>
      <c r="BH705" s="83"/>
      <c r="BI705" s="83"/>
      <c r="BJ705" s="83"/>
      <c r="BK705" s="83"/>
      <c r="BL705" s="83"/>
      <c r="BM705" s="83"/>
      <c r="BN705" s="83"/>
      <c r="BO705" s="83"/>
      <c r="BP705" s="83"/>
      <c r="BQ705" s="83"/>
      <c r="BR705" s="83"/>
      <c r="BS705" s="83"/>
      <c r="BT705" s="83"/>
      <c r="BU705" s="83"/>
      <c r="BV705" s="83"/>
      <c r="BW705" s="83"/>
      <c r="BX705" s="83"/>
      <c r="BY705" s="83"/>
      <c r="BZ705" s="83"/>
      <c r="CA705" s="83"/>
      <c r="CB705" s="83"/>
      <c r="CC705" s="83"/>
      <c r="CD705" s="83"/>
      <c r="CE705" s="83"/>
      <c r="CF705" s="83"/>
      <c r="CG705" s="83"/>
      <c r="CH705" s="83"/>
      <c r="CI705" s="83"/>
      <c r="CJ705" s="83"/>
      <c r="CK705" s="83"/>
      <c r="CL705" s="83"/>
      <c r="CM705" s="83"/>
      <c r="CN705" s="83"/>
      <c r="CO705" s="83"/>
      <c r="CP705" s="83"/>
      <c r="CQ705" s="83"/>
      <c r="CR705" s="83"/>
      <c r="CS705" s="83"/>
      <c r="CT705" s="83"/>
      <c r="CU705" s="83"/>
      <c r="CV705" s="83"/>
      <c r="CW705" s="83"/>
      <c r="CX705" s="83"/>
      <c r="CY705" s="83"/>
      <c r="CZ705" s="83"/>
      <c r="DA705" s="83"/>
      <c r="DB705" s="83"/>
      <c r="DC705" s="83"/>
    </row>
    <row r="706" spans="1:107" x14ac:dyDescent="0.3">
      <c r="A706" s="83"/>
      <c r="B706" s="83"/>
      <c r="C706" s="83"/>
      <c r="D706" s="83"/>
      <c r="E706" s="83"/>
      <c r="F706" s="83"/>
      <c r="G706" s="83"/>
      <c r="H706" s="83"/>
      <c r="I706" s="83"/>
      <c r="J706" s="83"/>
      <c r="K706" s="83"/>
      <c r="L706" s="83"/>
      <c r="M706" s="83"/>
      <c r="N706" s="83"/>
      <c r="O706" s="83"/>
      <c r="P706" s="83"/>
      <c r="Q706" s="83"/>
      <c r="R706" s="83"/>
      <c r="S706" s="83"/>
      <c r="T706" s="83"/>
      <c r="U706" s="83"/>
      <c r="V706" s="83"/>
      <c r="W706" s="83"/>
      <c r="X706" s="83"/>
      <c r="Y706" s="83"/>
      <c r="Z706" s="83"/>
      <c r="AA706" s="83"/>
      <c r="AB706" s="83"/>
      <c r="AC706" s="83"/>
      <c r="AD706" s="83"/>
      <c r="AE706" s="83"/>
      <c r="AF706" s="83"/>
      <c r="AG706" s="83"/>
      <c r="AH706" s="83"/>
      <c r="AI706" s="83"/>
      <c r="AJ706" s="83"/>
      <c r="AK706" s="83"/>
      <c r="AL706" s="83"/>
      <c r="AM706" s="83"/>
      <c r="AN706" s="83"/>
      <c r="AO706" s="83"/>
      <c r="AP706" s="83"/>
      <c r="AQ706" s="83"/>
      <c r="AR706" s="83"/>
      <c r="AS706" s="83"/>
      <c r="AT706" s="83"/>
      <c r="AU706" s="83"/>
      <c r="AV706" s="83"/>
      <c r="AW706" s="83"/>
      <c r="AX706" s="83"/>
      <c r="AY706" s="83"/>
      <c r="AZ706" s="83"/>
      <c r="BA706" s="83"/>
      <c r="BB706" s="83"/>
      <c r="BC706" s="83"/>
      <c r="BD706" s="83"/>
      <c r="BE706" s="83"/>
      <c r="BF706" s="83"/>
      <c r="BG706" s="83"/>
      <c r="BH706" s="83"/>
      <c r="BI706" s="83"/>
      <c r="BJ706" s="83"/>
      <c r="BK706" s="83"/>
      <c r="BL706" s="83"/>
      <c r="BM706" s="83"/>
      <c r="BN706" s="83"/>
      <c r="BO706" s="83"/>
      <c r="BP706" s="83"/>
      <c r="BQ706" s="83"/>
      <c r="BR706" s="83"/>
      <c r="BS706" s="83"/>
      <c r="BT706" s="83"/>
      <c r="BU706" s="83"/>
      <c r="BV706" s="83"/>
      <c r="BW706" s="83"/>
      <c r="BX706" s="83"/>
      <c r="BY706" s="83"/>
      <c r="BZ706" s="83"/>
      <c r="CA706" s="83"/>
      <c r="CB706" s="83"/>
      <c r="CC706" s="83"/>
      <c r="CD706" s="83"/>
      <c r="CE706" s="83"/>
      <c r="CF706" s="83"/>
      <c r="CG706" s="83"/>
      <c r="CH706" s="83"/>
      <c r="CI706" s="83"/>
      <c r="CJ706" s="83"/>
      <c r="CK706" s="83"/>
      <c r="CL706" s="83"/>
      <c r="CM706" s="83"/>
      <c r="CN706" s="83"/>
      <c r="CO706" s="83"/>
      <c r="CP706" s="83"/>
      <c r="CQ706" s="83"/>
      <c r="CR706" s="83"/>
      <c r="CS706" s="83"/>
      <c r="CT706" s="83"/>
      <c r="CU706" s="83"/>
      <c r="CV706" s="83"/>
      <c r="CW706" s="83"/>
      <c r="CX706" s="83"/>
      <c r="CY706" s="83"/>
      <c r="CZ706" s="83"/>
      <c r="DA706" s="83"/>
      <c r="DB706" s="83"/>
      <c r="DC706" s="83"/>
    </row>
    <row r="707" spans="1:107" x14ac:dyDescent="0.3">
      <c r="A707" s="83"/>
      <c r="B707" s="83"/>
      <c r="C707" s="83"/>
      <c r="D707" s="83"/>
      <c r="E707" s="83"/>
      <c r="F707" s="83"/>
      <c r="G707" s="83"/>
      <c r="H707" s="83"/>
      <c r="I707" s="83"/>
      <c r="J707" s="83"/>
      <c r="K707" s="83"/>
      <c r="L707" s="83"/>
      <c r="M707" s="83"/>
      <c r="N707" s="83"/>
      <c r="O707" s="83"/>
      <c r="P707" s="83"/>
      <c r="Q707" s="83"/>
      <c r="R707" s="83"/>
      <c r="S707" s="83"/>
      <c r="T707" s="83"/>
      <c r="U707" s="83"/>
      <c r="V707" s="83"/>
      <c r="W707" s="83"/>
      <c r="X707" s="83"/>
      <c r="Y707" s="83"/>
      <c r="Z707" s="83"/>
      <c r="AA707" s="83"/>
      <c r="AB707" s="83"/>
      <c r="AC707" s="83"/>
      <c r="AD707" s="83"/>
      <c r="AE707" s="83"/>
      <c r="AF707" s="83"/>
      <c r="AG707" s="83"/>
      <c r="AH707" s="83"/>
      <c r="AI707" s="83"/>
      <c r="AJ707" s="83"/>
      <c r="AK707" s="83"/>
      <c r="AL707" s="83"/>
      <c r="AM707" s="83"/>
      <c r="AN707" s="83"/>
      <c r="AO707" s="83"/>
      <c r="AP707" s="83"/>
      <c r="AQ707" s="83"/>
      <c r="AR707" s="83"/>
      <c r="AS707" s="83"/>
      <c r="AT707" s="83"/>
      <c r="AU707" s="83"/>
      <c r="AV707" s="83"/>
      <c r="AW707" s="83"/>
      <c r="AX707" s="83"/>
      <c r="AY707" s="83"/>
      <c r="AZ707" s="83"/>
      <c r="BA707" s="83"/>
      <c r="BB707" s="83"/>
      <c r="BC707" s="83"/>
      <c r="BD707" s="83"/>
      <c r="BE707" s="83"/>
      <c r="BF707" s="83"/>
      <c r="BG707" s="83"/>
      <c r="BH707" s="83"/>
      <c r="BI707" s="83"/>
      <c r="BJ707" s="83"/>
      <c r="BK707" s="83"/>
      <c r="BL707" s="83"/>
      <c r="BM707" s="83"/>
      <c r="BN707" s="83"/>
      <c r="BO707" s="83"/>
      <c r="BP707" s="83"/>
      <c r="BQ707" s="83"/>
      <c r="BR707" s="83"/>
      <c r="BS707" s="83"/>
      <c r="BT707" s="83"/>
      <c r="BU707" s="83"/>
      <c r="BV707" s="83"/>
      <c r="BW707" s="83"/>
      <c r="BX707" s="83"/>
      <c r="BY707" s="83"/>
      <c r="BZ707" s="83"/>
      <c r="CA707" s="83"/>
      <c r="CB707" s="83"/>
      <c r="CC707" s="83"/>
      <c r="CD707" s="83"/>
      <c r="CE707" s="83"/>
      <c r="CF707" s="83"/>
      <c r="CG707" s="83"/>
      <c r="CH707" s="83"/>
      <c r="CI707" s="83"/>
      <c r="CJ707" s="83"/>
      <c r="CK707" s="83"/>
      <c r="CL707" s="83"/>
      <c r="CM707" s="83"/>
      <c r="CN707" s="83"/>
      <c r="CO707" s="83"/>
      <c r="CP707" s="83"/>
      <c r="CQ707" s="83"/>
      <c r="CR707" s="83"/>
      <c r="CS707" s="83"/>
      <c r="CT707" s="83"/>
      <c r="CU707" s="83"/>
      <c r="CV707" s="83"/>
      <c r="CW707" s="83"/>
      <c r="CX707" s="83"/>
      <c r="CY707" s="83"/>
      <c r="CZ707" s="83"/>
      <c r="DA707" s="83"/>
      <c r="DB707" s="83"/>
      <c r="DC707" s="83"/>
    </row>
    <row r="708" spans="1:107" x14ac:dyDescent="0.3">
      <c r="A708" s="83"/>
      <c r="B708" s="83"/>
      <c r="C708" s="83"/>
      <c r="D708" s="83"/>
      <c r="E708" s="83"/>
      <c r="F708" s="83"/>
      <c r="G708" s="83"/>
      <c r="H708" s="83"/>
      <c r="I708" s="83"/>
      <c r="J708" s="83"/>
      <c r="K708" s="83"/>
      <c r="L708" s="83"/>
      <c r="M708" s="83"/>
      <c r="N708" s="83"/>
      <c r="O708" s="83"/>
      <c r="P708" s="83"/>
      <c r="Q708" s="83"/>
      <c r="R708" s="83"/>
      <c r="S708" s="83"/>
      <c r="T708" s="83"/>
      <c r="U708" s="83"/>
      <c r="V708" s="83"/>
      <c r="W708" s="83"/>
      <c r="X708" s="83"/>
      <c r="Y708" s="83"/>
      <c r="Z708" s="83"/>
      <c r="AA708" s="83"/>
      <c r="AB708" s="83"/>
      <c r="AC708" s="83"/>
      <c r="AD708" s="83"/>
      <c r="AE708" s="83"/>
      <c r="AF708" s="83"/>
      <c r="AG708" s="83"/>
      <c r="AH708" s="83"/>
      <c r="AI708" s="83"/>
      <c r="AJ708" s="83"/>
      <c r="AK708" s="83"/>
      <c r="AL708" s="83"/>
      <c r="AM708" s="83"/>
      <c r="AN708" s="83"/>
      <c r="AO708" s="83"/>
      <c r="AP708" s="83"/>
      <c r="AQ708" s="83"/>
      <c r="AR708" s="83"/>
      <c r="AS708" s="83"/>
      <c r="AT708" s="83"/>
      <c r="AU708" s="83"/>
      <c r="AV708" s="83"/>
      <c r="AW708" s="83"/>
      <c r="AX708" s="83"/>
      <c r="AY708" s="83"/>
      <c r="AZ708" s="83"/>
      <c r="BA708" s="83"/>
      <c r="BB708" s="83"/>
      <c r="BC708" s="83"/>
      <c r="BD708" s="83"/>
      <c r="BE708" s="83"/>
      <c r="BF708" s="83"/>
      <c r="BG708" s="83"/>
      <c r="BH708" s="83"/>
      <c r="BI708" s="83"/>
      <c r="BJ708" s="83"/>
      <c r="BK708" s="83"/>
      <c r="BL708" s="83"/>
      <c r="BM708" s="83"/>
      <c r="BN708" s="83"/>
      <c r="BO708" s="83"/>
      <c r="BP708" s="83"/>
      <c r="BQ708" s="83"/>
      <c r="BR708" s="83"/>
      <c r="BS708" s="83"/>
      <c r="BT708" s="83"/>
      <c r="BU708" s="83"/>
      <c r="BV708" s="83"/>
      <c r="BW708" s="83"/>
      <c r="BX708" s="83"/>
      <c r="BY708" s="83"/>
      <c r="BZ708" s="83"/>
      <c r="CA708" s="83"/>
      <c r="CB708" s="83"/>
      <c r="CC708" s="83"/>
      <c r="CD708" s="83"/>
      <c r="CE708" s="83"/>
      <c r="CF708" s="83"/>
      <c r="CG708" s="83"/>
      <c r="CH708" s="83"/>
      <c r="CI708" s="83"/>
      <c r="CJ708" s="83"/>
      <c r="CK708" s="83"/>
      <c r="CL708" s="83"/>
      <c r="CM708" s="83"/>
      <c r="CN708" s="83"/>
      <c r="CO708" s="83"/>
      <c r="CP708" s="83"/>
      <c r="CQ708" s="83"/>
      <c r="CR708" s="83"/>
      <c r="CS708" s="83"/>
      <c r="CT708" s="83"/>
      <c r="CU708" s="83"/>
      <c r="CV708" s="83"/>
      <c r="CW708" s="83"/>
      <c r="CX708" s="83"/>
      <c r="CY708" s="83"/>
      <c r="CZ708" s="83"/>
      <c r="DA708" s="83"/>
      <c r="DB708" s="83"/>
      <c r="DC708" s="83"/>
    </row>
    <row r="709" spans="1:107" x14ac:dyDescent="0.3">
      <c r="A709" s="83"/>
      <c r="B709" s="83"/>
      <c r="C709" s="83"/>
      <c r="D709" s="83"/>
      <c r="E709" s="83"/>
      <c r="F709" s="83"/>
      <c r="G709" s="83"/>
      <c r="H709" s="83"/>
      <c r="I709" s="83"/>
      <c r="J709" s="83"/>
      <c r="K709" s="83"/>
      <c r="L709" s="83"/>
      <c r="M709" s="83"/>
      <c r="N709" s="83"/>
      <c r="O709" s="83"/>
      <c r="P709" s="83"/>
      <c r="Q709" s="83"/>
      <c r="R709" s="83"/>
      <c r="S709" s="83"/>
      <c r="T709" s="83"/>
      <c r="U709" s="83"/>
      <c r="V709" s="83"/>
      <c r="W709" s="83"/>
      <c r="X709" s="83"/>
      <c r="Y709" s="83"/>
      <c r="Z709" s="83"/>
      <c r="AA709" s="83"/>
      <c r="AB709" s="83"/>
      <c r="AC709" s="83"/>
      <c r="AD709" s="83"/>
      <c r="AE709" s="83"/>
      <c r="AF709" s="83"/>
      <c r="AG709" s="83"/>
      <c r="AH709" s="83"/>
      <c r="AI709" s="83"/>
      <c r="AJ709" s="83"/>
      <c r="AK709" s="83"/>
      <c r="AL709" s="83"/>
      <c r="AM709" s="83"/>
      <c r="AN709" s="83"/>
      <c r="AO709" s="83"/>
      <c r="AP709" s="83"/>
      <c r="AQ709" s="83"/>
      <c r="AR709" s="83"/>
      <c r="AS709" s="83"/>
      <c r="AT709" s="83"/>
      <c r="AU709" s="83"/>
      <c r="AV709" s="83"/>
      <c r="AW709" s="83"/>
      <c r="AX709" s="83"/>
      <c r="AY709" s="83"/>
      <c r="AZ709" s="83"/>
      <c r="BA709" s="83"/>
      <c r="BB709" s="83"/>
      <c r="BC709" s="83"/>
      <c r="BD709" s="83"/>
      <c r="BE709" s="83"/>
      <c r="BF709" s="83"/>
      <c r="BG709" s="83"/>
      <c r="BH709" s="83"/>
      <c r="BI709" s="83"/>
      <c r="BJ709" s="83"/>
      <c r="BK709" s="83"/>
      <c r="BL709" s="83"/>
      <c r="BM709" s="83"/>
      <c r="BN709" s="83"/>
      <c r="BO709" s="83"/>
      <c r="BP709" s="83"/>
      <c r="BQ709" s="83"/>
      <c r="BR709" s="83"/>
      <c r="BS709" s="83"/>
      <c r="BT709" s="83"/>
      <c r="BU709" s="83"/>
      <c r="BV709" s="83"/>
      <c r="BW709" s="83"/>
      <c r="BX709" s="83"/>
      <c r="BY709" s="83"/>
      <c r="BZ709" s="83"/>
      <c r="CA709" s="83"/>
      <c r="CB709" s="83"/>
      <c r="CC709" s="83"/>
      <c r="CD709" s="83"/>
      <c r="CE709" s="83"/>
      <c r="CF709" s="83"/>
      <c r="CG709" s="83"/>
      <c r="CH709" s="83"/>
      <c r="CI709" s="83"/>
      <c r="CJ709" s="83"/>
      <c r="CK709" s="83"/>
      <c r="CL709" s="83"/>
      <c r="CM709" s="83"/>
      <c r="CN709" s="83"/>
      <c r="CO709" s="83"/>
      <c r="CP709" s="83"/>
      <c r="CQ709" s="83"/>
      <c r="CR709" s="83"/>
      <c r="CS709" s="83"/>
      <c r="CT709" s="83"/>
      <c r="CU709" s="83"/>
      <c r="CV709" s="83"/>
      <c r="CW709" s="83"/>
      <c r="CX709" s="83"/>
      <c r="CY709" s="83"/>
      <c r="CZ709" s="83"/>
      <c r="DA709" s="83"/>
      <c r="DB709" s="83"/>
      <c r="DC709" s="83"/>
    </row>
    <row r="710" spans="1:107" x14ac:dyDescent="0.3">
      <c r="A710" s="83"/>
      <c r="B710" s="83"/>
      <c r="C710" s="83"/>
      <c r="D710" s="83"/>
      <c r="E710" s="83"/>
      <c r="F710" s="83"/>
      <c r="G710" s="83"/>
      <c r="H710" s="83"/>
      <c r="I710" s="83"/>
      <c r="J710" s="83"/>
      <c r="K710" s="83"/>
      <c r="L710" s="83"/>
      <c r="M710" s="83"/>
      <c r="N710" s="83"/>
      <c r="O710" s="83"/>
      <c r="P710" s="83"/>
      <c r="Q710" s="83"/>
      <c r="R710" s="83"/>
      <c r="S710" s="83"/>
      <c r="T710" s="83"/>
      <c r="U710" s="83"/>
      <c r="V710" s="83"/>
      <c r="W710" s="83"/>
      <c r="X710" s="83"/>
      <c r="Y710" s="83"/>
      <c r="Z710" s="83"/>
      <c r="AA710" s="83"/>
      <c r="AB710" s="83"/>
      <c r="AC710" s="83"/>
      <c r="AD710" s="83"/>
      <c r="AE710" s="83"/>
      <c r="AF710" s="83"/>
      <c r="AG710" s="83"/>
      <c r="AH710" s="83"/>
      <c r="AI710" s="83"/>
      <c r="AJ710" s="83"/>
      <c r="AK710" s="83"/>
      <c r="AL710" s="83"/>
      <c r="AM710" s="83"/>
      <c r="AN710" s="83"/>
      <c r="AO710" s="83"/>
      <c r="AP710" s="83"/>
      <c r="AQ710" s="83"/>
      <c r="AR710" s="83"/>
      <c r="AS710" s="83"/>
      <c r="AT710" s="83"/>
      <c r="AU710" s="83"/>
      <c r="AV710" s="83"/>
      <c r="AW710" s="83"/>
      <c r="AX710" s="83"/>
      <c r="AY710" s="83"/>
      <c r="AZ710" s="83"/>
      <c r="BA710" s="83"/>
      <c r="BB710" s="83"/>
      <c r="BC710" s="83"/>
      <c r="BD710" s="83"/>
      <c r="BE710" s="83"/>
      <c r="BF710" s="83"/>
      <c r="BG710" s="83"/>
      <c r="BH710" s="83"/>
      <c r="BI710" s="83"/>
      <c r="BJ710" s="83"/>
      <c r="BK710" s="83"/>
      <c r="BL710" s="83"/>
      <c r="BM710" s="83"/>
      <c r="BN710" s="83"/>
      <c r="BO710" s="83"/>
      <c r="BP710" s="83"/>
      <c r="BQ710" s="83"/>
      <c r="BR710" s="83"/>
      <c r="BS710" s="83"/>
      <c r="BT710" s="83"/>
      <c r="BU710" s="83"/>
      <c r="BV710" s="83"/>
      <c r="BW710" s="83"/>
      <c r="BX710" s="83"/>
      <c r="BY710" s="83"/>
      <c r="BZ710" s="83"/>
      <c r="CA710" s="83"/>
      <c r="CB710" s="83"/>
      <c r="CC710" s="83"/>
      <c r="CD710" s="83"/>
      <c r="CE710" s="83"/>
      <c r="CF710" s="83"/>
      <c r="CG710" s="83"/>
      <c r="CH710" s="83"/>
      <c r="CI710" s="83"/>
      <c r="CJ710" s="83"/>
      <c r="CK710" s="83"/>
      <c r="CL710" s="83"/>
      <c r="CM710" s="83"/>
      <c r="CN710" s="83"/>
      <c r="CO710" s="83"/>
      <c r="CP710" s="83"/>
      <c r="CQ710" s="83"/>
      <c r="CR710" s="83"/>
      <c r="CS710" s="83"/>
      <c r="CT710" s="83"/>
      <c r="CU710" s="83"/>
      <c r="CV710" s="83"/>
      <c r="CW710" s="83"/>
      <c r="CX710" s="83"/>
      <c r="CY710" s="83"/>
      <c r="CZ710" s="83"/>
      <c r="DA710" s="83"/>
      <c r="DB710" s="83"/>
      <c r="DC710" s="83"/>
    </row>
    <row r="711" spans="1:107" x14ac:dyDescent="0.3">
      <c r="A711" s="83"/>
      <c r="B711" s="83"/>
      <c r="C711" s="83"/>
      <c r="D711" s="83"/>
      <c r="E711" s="83"/>
      <c r="F711" s="83"/>
      <c r="G711" s="83"/>
      <c r="H711" s="83"/>
      <c r="I711" s="83"/>
      <c r="J711" s="83"/>
      <c r="K711" s="83"/>
      <c r="L711" s="83"/>
      <c r="M711" s="83"/>
      <c r="N711" s="83"/>
      <c r="O711" s="83"/>
      <c r="P711" s="83"/>
      <c r="Q711" s="83"/>
      <c r="R711" s="83"/>
      <c r="S711" s="83"/>
      <c r="T711" s="83"/>
      <c r="U711" s="83"/>
      <c r="V711" s="83"/>
      <c r="W711" s="83"/>
      <c r="X711" s="83"/>
      <c r="Y711" s="83"/>
      <c r="Z711" s="83"/>
      <c r="AA711" s="83"/>
      <c r="AB711" s="83"/>
      <c r="AC711" s="83"/>
      <c r="AD711" s="83"/>
      <c r="AE711" s="83"/>
      <c r="AF711" s="83"/>
      <c r="AG711" s="83"/>
      <c r="AH711" s="83"/>
      <c r="AI711" s="83"/>
      <c r="AJ711" s="83"/>
      <c r="AK711" s="83"/>
      <c r="AL711" s="83"/>
      <c r="AM711" s="83"/>
      <c r="AN711" s="83"/>
      <c r="AO711" s="83"/>
      <c r="AP711" s="83"/>
      <c r="AQ711" s="83"/>
      <c r="AR711" s="83"/>
      <c r="AS711" s="83"/>
      <c r="AT711" s="83"/>
      <c r="AU711" s="83"/>
      <c r="AV711" s="83"/>
      <c r="AW711" s="83"/>
      <c r="AX711" s="83"/>
      <c r="AY711" s="83"/>
      <c r="AZ711" s="83"/>
      <c r="BA711" s="83"/>
      <c r="BB711" s="83"/>
      <c r="BC711" s="83"/>
      <c r="BD711" s="83"/>
      <c r="BE711" s="83"/>
      <c r="BF711" s="83"/>
      <c r="BG711" s="83"/>
      <c r="BH711" s="83"/>
      <c r="BI711" s="83"/>
      <c r="BJ711" s="83"/>
      <c r="BK711" s="83"/>
      <c r="BL711" s="83"/>
      <c r="BM711" s="83"/>
      <c r="BN711" s="83"/>
      <c r="BO711" s="83"/>
      <c r="BP711" s="83"/>
      <c r="BQ711" s="83"/>
      <c r="BR711" s="83"/>
      <c r="BS711" s="83"/>
      <c r="BT711" s="83"/>
      <c r="BU711" s="83"/>
      <c r="BV711" s="83"/>
      <c r="BW711" s="83"/>
      <c r="BX711" s="83"/>
      <c r="BY711" s="83"/>
      <c r="BZ711" s="83"/>
      <c r="CA711" s="83"/>
      <c r="CB711" s="83"/>
      <c r="CC711" s="83"/>
      <c r="CD711" s="83"/>
      <c r="CE711" s="83"/>
      <c r="CF711" s="83"/>
      <c r="CG711" s="83"/>
      <c r="CH711" s="83"/>
      <c r="CI711" s="83"/>
      <c r="CJ711" s="83"/>
      <c r="CK711" s="83"/>
      <c r="CL711" s="83"/>
      <c r="CM711" s="83"/>
      <c r="CN711" s="83"/>
      <c r="CO711" s="83"/>
      <c r="CP711" s="83"/>
      <c r="CQ711" s="83"/>
      <c r="CR711" s="83"/>
      <c r="CS711" s="83"/>
      <c r="CT711" s="83"/>
      <c r="CU711" s="83"/>
      <c r="CV711" s="83"/>
      <c r="CW711" s="83"/>
      <c r="CX711" s="83"/>
      <c r="CY711" s="83"/>
      <c r="CZ711" s="83"/>
      <c r="DA711" s="83"/>
      <c r="DB711" s="83"/>
      <c r="DC711" s="83"/>
    </row>
    <row r="712" spans="1:107" x14ac:dyDescent="0.3">
      <c r="A712" s="83"/>
      <c r="B712" s="83"/>
      <c r="C712" s="83"/>
      <c r="D712" s="83"/>
      <c r="E712" s="83"/>
      <c r="F712" s="83"/>
      <c r="G712" s="83"/>
      <c r="H712" s="83"/>
      <c r="I712" s="83"/>
      <c r="J712" s="83"/>
      <c r="K712" s="83"/>
      <c r="L712" s="83"/>
      <c r="M712" s="83"/>
      <c r="N712" s="83"/>
      <c r="O712" s="83"/>
      <c r="P712" s="83"/>
      <c r="Q712" s="83"/>
      <c r="R712" s="83"/>
      <c r="S712" s="83"/>
      <c r="T712" s="83"/>
      <c r="U712" s="83"/>
      <c r="V712" s="83"/>
      <c r="W712" s="83"/>
      <c r="X712" s="83"/>
      <c r="Y712" s="83"/>
      <c r="Z712" s="83"/>
      <c r="AA712" s="83"/>
      <c r="AB712" s="83"/>
      <c r="AC712" s="83"/>
      <c r="AD712" s="83"/>
      <c r="AE712" s="83"/>
      <c r="AF712" s="83"/>
      <c r="AG712" s="83"/>
      <c r="AH712" s="83"/>
      <c r="AI712" s="83"/>
      <c r="AJ712" s="83"/>
      <c r="AK712" s="83"/>
      <c r="AL712" s="83"/>
      <c r="AM712" s="83"/>
      <c r="AN712" s="83"/>
      <c r="AO712" s="83"/>
      <c r="AP712" s="83"/>
      <c r="AQ712" s="83"/>
      <c r="AR712" s="83"/>
      <c r="AS712" s="83"/>
      <c r="AT712" s="83"/>
      <c r="AU712" s="83"/>
      <c r="AV712" s="83"/>
      <c r="AW712" s="83"/>
      <c r="AX712" s="83"/>
      <c r="AY712" s="83"/>
      <c r="AZ712" s="83"/>
      <c r="BA712" s="83"/>
      <c r="BB712" s="83"/>
      <c r="BC712" s="83"/>
      <c r="BD712" s="83"/>
      <c r="BE712" s="83"/>
      <c r="BF712" s="83"/>
      <c r="BG712" s="83"/>
      <c r="BH712" s="83"/>
      <c r="BI712" s="83"/>
      <c r="BJ712" s="83"/>
      <c r="BK712" s="83"/>
      <c r="BL712" s="83"/>
      <c r="BM712" s="83"/>
      <c r="BN712" s="83"/>
      <c r="BO712" s="83"/>
      <c r="BP712" s="83"/>
      <c r="BQ712" s="83"/>
      <c r="BR712" s="83"/>
      <c r="BS712" s="83"/>
      <c r="BT712" s="83"/>
      <c r="BU712" s="83"/>
      <c r="BV712" s="83"/>
      <c r="BW712" s="83"/>
      <c r="BX712" s="83"/>
      <c r="BY712" s="83"/>
      <c r="BZ712" s="83"/>
      <c r="CA712" s="83"/>
      <c r="CB712" s="83"/>
      <c r="CC712" s="83"/>
      <c r="CD712" s="83"/>
      <c r="CE712" s="83"/>
      <c r="CF712" s="83"/>
      <c r="CG712" s="83"/>
      <c r="CH712" s="83"/>
      <c r="CI712" s="83"/>
      <c r="CJ712" s="83"/>
      <c r="CK712" s="83"/>
      <c r="CL712" s="83"/>
      <c r="CM712" s="83"/>
      <c r="CN712" s="83"/>
      <c r="CO712" s="83"/>
      <c r="CP712" s="83"/>
      <c r="CQ712" s="83"/>
      <c r="CR712" s="83"/>
      <c r="CS712" s="83"/>
      <c r="CT712" s="83"/>
      <c r="CU712" s="83"/>
      <c r="CV712" s="83"/>
      <c r="CW712" s="83"/>
      <c r="CX712" s="83"/>
      <c r="CY712" s="83"/>
      <c r="CZ712" s="83"/>
      <c r="DA712" s="83"/>
      <c r="DB712" s="83"/>
      <c r="DC712" s="83"/>
    </row>
    <row r="713" spans="1:107" x14ac:dyDescent="0.3">
      <c r="A713" s="83"/>
      <c r="B713" s="83"/>
      <c r="C713" s="83"/>
      <c r="D713" s="83"/>
      <c r="E713" s="83"/>
      <c r="F713" s="83"/>
      <c r="G713" s="83"/>
      <c r="H713" s="83"/>
      <c r="I713" s="83"/>
      <c r="J713" s="83"/>
      <c r="K713" s="83"/>
      <c r="L713" s="83"/>
      <c r="M713" s="83"/>
      <c r="N713" s="83"/>
      <c r="O713" s="83"/>
      <c r="P713" s="83"/>
      <c r="Q713" s="83"/>
      <c r="R713" s="83"/>
      <c r="S713" s="83"/>
      <c r="T713" s="83"/>
      <c r="U713" s="83"/>
      <c r="V713" s="83"/>
      <c r="W713" s="83"/>
      <c r="X713" s="83"/>
      <c r="Y713" s="83"/>
      <c r="Z713" s="83"/>
      <c r="AA713" s="83"/>
      <c r="AB713" s="83"/>
      <c r="AC713" s="83"/>
      <c r="AD713" s="83"/>
      <c r="AE713" s="83"/>
      <c r="AF713" s="83"/>
      <c r="AG713" s="83"/>
      <c r="AH713" s="83"/>
      <c r="AI713" s="83"/>
      <c r="AJ713" s="83"/>
      <c r="AK713" s="83"/>
      <c r="AL713" s="83"/>
      <c r="AM713" s="83"/>
      <c r="AN713" s="83"/>
      <c r="AO713" s="83"/>
      <c r="AP713" s="83"/>
      <c r="AQ713" s="83"/>
      <c r="AR713" s="83"/>
      <c r="AS713" s="83"/>
      <c r="AT713" s="83"/>
      <c r="AU713" s="83"/>
      <c r="AV713" s="83"/>
      <c r="AW713" s="83"/>
      <c r="AX713" s="83"/>
      <c r="AY713" s="83"/>
      <c r="AZ713" s="83"/>
      <c r="BA713" s="83"/>
      <c r="BB713" s="83"/>
      <c r="BC713" s="83"/>
      <c r="BD713" s="83"/>
      <c r="BE713" s="83"/>
      <c r="BF713" s="83"/>
      <c r="BG713" s="83"/>
      <c r="BH713" s="83"/>
      <c r="BI713" s="83"/>
      <c r="BJ713" s="83"/>
      <c r="BK713" s="83"/>
      <c r="BL713" s="83"/>
      <c r="BM713" s="83"/>
      <c r="BN713" s="83"/>
      <c r="BO713" s="83"/>
      <c r="BP713" s="83"/>
      <c r="BQ713" s="83"/>
      <c r="BR713" s="83"/>
      <c r="BS713" s="83"/>
      <c r="BT713" s="83"/>
      <c r="BU713" s="83"/>
      <c r="BV713" s="83"/>
      <c r="BW713" s="83"/>
      <c r="BX713" s="83"/>
      <c r="BY713" s="83"/>
      <c r="BZ713" s="83"/>
      <c r="CA713" s="83"/>
      <c r="CB713" s="83"/>
      <c r="CC713" s="83"/>
      <c r="CD713" s="83"/>
      <c r="CE713" s="83"/>
      <c r="CF713" s="83"/>
      <c r="CG713" s="83"/>
      <c r="CH713" s="83"/>
      <c r="CI713" s="83"/>
      <c r="CJ713" s="83"/>
      <c r="CK713" s="83"/>
      <c r="CL713" s="83"/>
      <c r="CM713" s="83"/>
      <c r="CN713" s="83"/>
      <c r="CO713" s="83"/>
      <c r="CP713" s="83"/>
      <c r="CQ713" s="83"/>
      <c r="CR713" s="83"/>
      <c r="CS713" s="83"/>
      <c r="CT713" s="83"/>
      <c r="CU713" s="83"/>
      <c r="CV713" s="83"/>
      <c r="CW713" s="83"/>
      <c r="CX713" s="83"/>
      <c r="CY713" s="83"/>
      <c r="CZ713" s="83"/>
      <c r="DA713" s="83"/>
      <c r="DB713" s="83"/>
      <c r="DC713" s="83"/>
    </row>
    <row r="714" spans="1:107" x14ac:dyDescent="0.3">
      <c r="A714" s="83"/>
      <c r="B714" s="83"/>
      <c r="C714" s="83"/>
      <c r="D714" s="83"/>
      <c r="E714" s="83"/>
      <c r="F714" s="83"/>
      <c r="G714" s="83"/>
      <c r="H714" s="83"/>
      <c r="I714" s="83"/>
      <c r="J714" s="83"/>
      <c r="K714" s="83"/>
      <c r="L714" s="83"/>
      <c r="M714" s="83"/>
      <c r="N714" s="83"/>
      <c r="O714" s="83"/>
      <c r="P714" s="83"/>
      <c r="Q714" s="83"/>
      <c r="R714" s="83"/>
      <c r="S714" s="83"/>
      <c r="T714" s="83"/>
      <c r="U714" s="83"/>
      <c r="V714" s="83"/>
      <c r="W714" s="83"/>
      <c r="X714" s="83"/>
      <c r="Y714" s="83"/>
      <c r="Z714" s="83"/>
      <c r="AA714" s="83"/>
      <c r="AB714" s="83"/>
      <c r="AC714" s="83"/>
      <c r="AD714" s="83"/>
      <c r="AE714" s="83"/>
      <c r="AF714" s="83"/>
      <c r="AG714" s="83"/>
      <c r="AH714" s="83"/>
      <c r="AI714" s="83"/>
      <c r="AJ714" s="83"/>
      <c r="AK714" s="83"/>
      <c r="AL714" s="83"/>
      <c r="AM714" s="83"/>
      <c r="AN714" s="83"/>
      <c r="AO714" s="83"/>
      <c r="AP714" s="83"/>
      <c r="AQ714" s="83"/>
      <c r="AR714" s="83"/>
      <c r="AS714" s="83"/>
      <c r="AT714" s="83"/>
      <c r="AU714" s="83"/>
      <c r="AV714" s="83"/>
      <c r="AW714" s="83"/>
      <c r="AX714" s="83"/>
      <c r="AY714" s="83"/>
      <c r="AZ714" s="83"/>
      <c r="BA714" s="83"/>
      <c r="BB714" s="83"/>
      <c r="BC714" s="83"/>
      <c r="BD714" s="83"/>
      <c r="BE714" s="83"/>
      <c r="BF714" s="83"/>
      <c r="BG714" s="83"/>
      <c r="BH714" s="83"/>
      <c r="BI714" s="83"/>
      <c r="BJ714" s="83"/>
      <c r="BK714" s="83"/>
      <c r="BL714" s="83"/>
      <c r="BM714" s="83"/>
      <c r="BN714" s="83"/>
      <c r="BO714" s="83"/>
      <c r="BP714" s="83"/>
      <c r="BQ714" s="83"/>
      <c r="BR714" s="83"/>
      <c r="BS714" s="83"/>
      <c r="BT714" s="83"/>
      <c r="BU714" s="83"/>
      <c r="BV714" s="83"/>
      <c r="BW714" s="83"/>
      <c r="BX714" s="83"/>
      <c r="BY714" s="83"/>
      <c r="BZ714" s="83"/>
      <c r="CA714" s="83"/>
      <c r="CB714" s="83"/>
      <c r="CC714" s="83"/>
      <c r="CD714" s="83"/>
      <c r="CE714" s="83"/>
      <c r="CF714" s="83"/>
      <c r="CG714" s="83"/>
      <c r="CH714" s="83"/>
      <c r="CI714" s="83"/>
      <c r="CJ714" s="83"/>
      <c r="CK714" s="83"/>
      <c r="CL714" s="83"/>
      <c r="CM714" s="83"/>
      <c r="CN714" s="83"/>
      <c r="CO714" s="83"/>
      <c r="CP714" s="83"/>
      <c r="CQ714" s="83"/>
      <c r="CR714" s="83"/>
      <c r="CS714" s="83"/>
      <c r="CT714" s="83"/>
      <c r="CU714" s="83"/>
      <c r="CV714" s="83"/>
      <c r="CW714" s="83"/>
      <c r="CX714" s="83"/>
      <c r="CY714" s="83"/>
      <c r="CZ714" s="83"/>
      <c r="DA714" s="83"/>
      <c r="DB714" s="83"/>
      <c r="DC714" s="83"/>
    </row>
    <row r="715" spans="1:107" x14ac:dyDescent="0.3">
      <c r="A715" s="83"/>
      <c r="B715" s="83"/>
      <c r="C715" s="83"/>
      <c r="D715" s="83"/>
      <c r="E715" s="83"/>
      <c r="F715" s="83"/>
      <c r="G715" s="83"/>
      <c r="H715" s="83"/>
      <c r="I715" s="83"/>
      <c r="J715" s="83"/>
      <c r="K715" s="83"/>
      <c r="L715" s="83"/>
      <c r="M715" s="83"/>
      <c r="N715" s="83"/>
      <c r="O715" s="83"/>
      <c r="P715" s="83"/>
      <c r="Q715" s="83"/>
      <c r="R715" s="83"/>
      <c r="S715" s="83"/>
      <c r="T715" s="83"/>
      <c r="U715" s="83"/>
      <c r="V715" s="83"/>
      <c r="W715" s="83"/>
      <c r="X715" s="83"/>
      <c r="Y715" s="83"/>
      <c r="Z715" s="83"/>
      <c r="AA715" s="83"/>
      <c r="AB715" s="83"/>
      <c r="AC715" s="83"/>
      <c r="AD715" s="83"/>
      <c r="AE715" s="83"/>
      <c r="AF715" s="83"/>
      <c r="AG715" s="83"/>
      <c r="AH715" s="83"/>
      <c r="AI715" s="83"/>
      <c r="AJ715" s="83"/>
      <c r="AK715" s="83"/>
      <c r="AL715" s="83"/>
      <c r="AM715" s="83"/>
      <c r="AN715" s="83"/>
      <c r="AO715" s="83"/>
      <c r="AP715" s="83"/>
      <c r="AQ715" s="83"/>
      <c r="AR715" s="83"/>
      <c r="AS715" s="83"/>
      <c r="AT715" s="83"/>
      <c r="AU715" s="83"/>
      <c r="AV715" s="83"/>
      <c r="AW715" s="83"/>
      <c r="AX715" s="83"/>
      <c r="AY715" s="83"/>
      <c r="AZ715" s="83"/>
      <c r="BA715" s="83"/>
      <c r="BB715" s="83"/>
      <c r="BC715" s="83"/>
      <c r="BD715" s="83"/>
      <c r="BE715" s="83"/>
      <c r="BF715" s="83"/>
      <c r="BG715" s="83"/>
      <c r="BH715" s="83"/>
      <c r="BI715" s="83"/>
      <c r="BJ715" s="83"/>
      <c r="BK715" s="83"/>
      <c r="BL715" s="83"/>
      <c r="BM715" s="83"/>
      <c r="BN715" s="83"/>
      <c r="BO715" s="83"/>
      <c r="BP715" s="83"/>
      <c r="BQ715" s="83"/>
      <c r="BR715" s="83"/>
      <c r="BS715" s="83"/>
      <c r="BT715" s="83"/>
      <c r="BU715" s="83"/>
      <c r="BV715" s="83"/>
      <c r="BW715" s="83"/>
      <c r="BX715" s="83"/>
      <c r="BY715" s="83"/>
      <c r="BZ715" s="83"/>
      <c r="CA715" s="83"/>
      <c r="CB715" s="83"/>
      <c r="CC715" s="83"/>
      <c r="CD715" s="83"/>
      <c r="CE715" s="83"/>
      <c r="CF715" s="83"/>
      <c r="CG715" s="83"/>
      <c r="CH715" s="83"/>
      <c r="CI715" s="83"/>
      <c r="CJ715" s="83"/>
      <c r="CK715" s="83"/>
      <c r="CL715" s="83"/>
      <c r="CM715" s="83"/>
      <c r="CN715" s="83"/>
      <c r="CO715" s="83"/>
      <c r="CP715" s="83"/>
      <c r="CQ715" s="83"/>
      <c r="CR715" s="83"/>
      <c r="CS715" s="83"/>
      <c r="CT715" s="83"/>
      <c r="CU715" s="83"/>
      <c r="CV715" s="83"/>
      <c r="CW715" s="83"/>
      <c r="CX715" s="83"/>
      <c r="CY715" s="83"/>
      <c r="CZ715" s="83"/>
      <c r="DA715" s="83"/>
      <c r="DB715" s="83"/>
      <c r="DC715" s="83"/>
    </row>
    <row r="716" spans="1:107" x14ac:dyDescent="0.3">
      <c r="A716" s="83"/>
      <c r="B716" s="83"/>
      <c r="C716" s="83"/>
      <c r="D716" s="83"/>
      <c r="E716" s="83"/>
      <c r="F716" s="83"/>
      <c r="G716" s="83"/>
      <c r="H716" s="83"/>
      <c r="I716" s="83"/>
      <c r="J716" s="83"/>
      <c r="K716" s="83"/>
      <c r="L716" s="83"/>
      <c r="M716" s="83"/>
      <c r="N716" s="83"/>
      <c r="O716" s="83"/>
      <c r="P716" s="83"/>
      <c r="Q716" s="83"/>
      <c r="R716" s="83"/>
      <c r="S716" s="83"/>
      <c r="T716" s="83"/>
      <c r="U716" s="83"/>
      <c r="V716" s="83"/>
      <c r="W716" s="83"/>
      <c r="X716" s="83"/>
      <c r="Y716" s="83"/>
      <c r="Z716" s="83"/>
      <c r="AA716" s="83"/>
      <c r="AB716" s="83"/>
      <c r="AC716" s="83"/>
      <c r="AD716" s="83"/>
      <c r="AE716" s="83"/>
      <c r="AF716" s="83"/>
      <c r="AG716" s="83"/>
      <c r="AH716" s="83"/>
      <c r="AI716" s="83"/>
      <c r="AJ716" s="83"/>
      <c r="AK716" s="83"/>
      <c r="AL716" s="83"/>
      <c r="AM716" s="83"/>
      <c r="AN716" s="83"/>
      <c r="AO716" s="83"/>
      <c r="AP716" s="83"/>
      <c r="AQ716" s="83"/>
      <c r="AR716" s="83"/>
      <c r="AS716" s="83"/>
      <c r="AT716" s="83"/>
      <c r="AU716" s="83"/>
      <c r="AV716" s="83"/>
      <c r="AW716" s="83"/>
      <c r="AX716" s="83"/>
      <c r="AY716" s="83"/>
      <c r="AZ716" s="83"/>
      <c r="BA716" s="83"/>
      <c r="BB716" s="83"/>
      <c r="BC716" s="83"/>
      <c r="BD716" s="83"/>
      <c r="BE716" s="83"/>
      <c r="BF716" s="83"/>
      <c r="BG716" s="83"/>
      <c r="BH716" s="83"/>
      <c r="BI716" s="83"/>
      <c r="BJ716" s="83"/>
      <c r="BK716" s="83"/>
      <c r="BL716" s="83"/>
      <c r="BM716" s="83"/>
      <c r="BN716" s="83"/>
      <c r="BO716" s="83"/>
      <c r="BP716" s="83"/>
      <c r="BQ716" s="83"/>
      <c r="BR716" s="83"/>
      <c r="BS716" s="83"/>
      <c r="BT716" s="83"/>
      <c r="BU716" s="83"/>
      <c r="BV716" s="83"/>
      <c r="BW716" s="83"/>
      <c r="BX716" s="83"/>
      <c r="BY716" s="83"/>
      <c r="BZ716" s="83"/>
      <c r="CA716" s="83"/>
      <c r="CB716" s="83"/>
      <c r="CC716" s="83"/>
      <c r="CD716" s="83"/>
      <c r="CE716" s="83"/>
      <c r="CF716" s="83"/>
      <c r="CG716" s="83"/>
      <c r="CH716" s="83"/>
      <c r="CI716" s="83"/>
      <c r="CJ716" s="83"/>
      <c r="CK716" s="83"/>
      <c r="CL716" s="83"/>
      <c r="CM716" s="83"/>
      <c r="CN716" s="83"/>
      <c r="CO716" s="83"/>
      <c r="CP716" s="83"/>
      <c r="CQ716" s="83"/>
      <c r="CR716" s="83"/>
      <c r="CS716" s="83"/>
      <c r="CT716" s="83"/>
      <c r="CU716" s="83"/>
      <c r="CV716" s="83"/>
      <c r="CW716" s="83"/>
      <c r="CX716" s="83"/>
      <c r="CY716" s="83"/>
      <c r="CZ716" s="83"/>
      <c r="DA716" s="83"/>
      <c r="DB716" s="83"/>
      <c r="DC716" s="83"/>
    </row>
    <row r="717" spans="1:107" x14ac:dyDescent="0.3">
      <c r="A717" s="83"/>
      <c r="B717" s="83"/>
      <c r="C717" s="83"/>
      <c r="D717" s="83"/>
      <c r="E717" s="83"/>
      <c r="F717" s="83"/>
      <c r="G717" s="83"/>
      <c r="H717" s="83"/>
      <c r="I717" s="83"/>
      <c r="J717" s="83"/>
      <c r="K717" s="83"/>
      <c r="L717" s="83"/>
      <c r="M717" s="83"/>
      <c r="N717" s="83"/>
      <c r="O717" s="83"/>
      <c r="P717" s="83"/>
      <c r="Q717" s="83"/>
      <c r="R717" s="83"/>
      <c r="S717" s="83"/>
      <c r="T717" s="83"/>
      <c r="U717" s="83"/>
      <c r="V717" s="83"/>
      <c r="W717" s="83"/>
      <c r="X717" s="83"/>
      <c r="Y717" s="83"/>
      <c r="Z717" s="83"/>
      <c r="AA717" s="83"/>
      <c r="AB717" s="83"/>
      <c r="AC717" s="83"/>
      <c r="AD717" s="83"/>
      <c r="AE717" s="83"/>
      <c r="AF717" s="83"/>
      <c r="AG717" s="83"/>
      <c r="AH717" s="83"/>
      <c r="AI717" s="83"/>
      <c r="AJ717" s="83"/>
      <c r="AK717" s="83"/>
      <c r="AL717" s="83"/>
      <c r="AM717" s="83"/>
      <c r="AN717" s="83"/>
      <c r="AO717" s="83"/>
      <c r="AP717" s="83"/>
      <c r="AQ717" s="83"/>
      <c r="AR717" s="83"/>
      <c r="AS717" s="83"/>
      <c r="AT717" s="83"/>
      <c r="AU717" s="83"/>
      <c r="AV717" s="83"/>
      <c r="AW717" s="83"/>
      <c r="AX717" s="83"/>
      <c r="AY717" s="83"/>
      <c r="AZ717" s="83"/>
      <c r="BA717" s="83"/>
      <c r="BB717" s="83"/>
      <c r="BC717" s="83"/>
      <c r="BD717" s="83"/>
      <c r="BE717" s="83"/>
      <c r="BF717" s="83"/>
      <c r="BG717" s="83"/>
      <c r="BH717" s="83"/>
      <c r="BI717" s="83"/>
      <c r="BJ717" s="83"/>
      <c r="BK717" s="83"/>
      <c r="BL717" s="83"/>
      <c r="BM717" s="83"/>
      <c r="BN717" s="83"/>
      <c r="BO717" s="83"/>
      <c r="BP717" s="83"/>
      <c r="BQ717" s="83"/>
      <c r="BR717" s="83"/>
      <c r="BS717" s="83"/>
      <c r="BT717" s="83"/>
      <c r="BU717" s="83"/>
      <c r="BV717" s="83"/>
      <c r="BW717" s="83"/>
      <c r="BX717" s="83"/>
      <c r="BY717" s="83"/>
      <c r="BZ717" s="83"/>
      <c r="CA717" s="83"/>
      <c r="CB717" s="83"/>
      <c r="CC717" s="83"/>
      <c r="CD717" s="83"/>
      <c r="CE717" s="83"/>
      <c r="CF717" s="83"/>
      <c r="CG717" s="83"/>
      <c r="CH717" s="83"/>
      <c r="CI717" s="83"/>
      <c r="CJ717" s="83"/>
      <c r="CK717" s="83"/>
      <c r="CL717" s="83"/>
      <c r="CM717" s="83"/>
      <c r="CN717" s="83"/>
      <c r="CO717" s="83"/>
      <c r="CP717" s="83"/>
      <c r="CQ717" s="83"/>
      <c r="CR717" s="83"/>
      <c r="CS717" s="83"/>
      <c r="CT717" s="83"/>
      <c r="CU717" s="83"/>
      <c r="CV717" s="83"/>
      <c r="CW717" s="83"/>
      <c r="CX717" s="83"/>
      <c r="CY717" s="83"/>
      <c r="CZ717" s="83"/>
      <c r="DA717" s="83"/>
      <c r="DB717" s="83"/>
      <c r="DC717" s="83"/>
    </row>
    <row r="718" spans="1:107" x14ac:dyDescent="0.3">
      <c r="A718" s="83"/>
      <c r="B718" s="83"/>
      <c r="C718" s="83"/>
      <c r="D718" s="83"/>
      <c r="E718" s="83"/>
      <c r="F718" s="83"/>
      <c r="G718" s="83"/>
      <c r="H718" s="83"/>
      <c r="I718" s="83"/>
      <c r="J718" s="83"/>
      <c r="K718" s="83"/>
      <c r="L718" s="83"/>
      <c r="M718" s="83"/>
      <c r="N718" s="83"/>
      <c r="O718" s="83"/>
      <c r="P718" s="83"/>
      <c r="Q718" s="83"/>
      <c r="R718" s="83"/>
      <c r="S718" s="83"/>
      <c r="T718" s="83"/>
      <c r="U718" s="83"/>
      <c r="V718" s="83"/>
      <c r="W718" s="83"/>
      <c r="X718" s="83"/>
      <c r="Y718" s="83"/>
      <c r="Z718" s="83"/>
      <c r="AA718" s="83"/>
      <c r="AB718" s="83"/>
      <c r="AC718" s="83"/>
      <c r="AD718" s="83"/>
      <c r="AE718" s="83"/>
      <c r="AF718" s="83"/>
      <c r="AG718" s="83"/>
      <c r="AH718" s="83"/>
      <c r="AI718" s="83"/>
      <c r="AJ718" s="83"/>
      <c r="AK718" s="83"/>
      <c r="AL718" s="83"/>
      <c r="AM718" s="83"/>
      <c r="AN718" s="83"/>
      <c r="AO718" s="83"/>
      <c r="AP718" s="83"/>
      <c r="AQ718" s="83"/>
      <c r="AR718" s="83"/>
      <c r="AS718" s="83"/>
      <c r="AT718" s="83"/>
      <c r="AU718" s="83"/>
      <c r="AV718" s="83"/>
      <c r="AW718" s="83"/>
      <c r="AX718" s="83"/>
      <c r="AY718" s="83"/>
      <c r="AZ718" s="83"/>
      <c r="BA718" s="83"/>
      <c r="BB718" s="83"/>
      <c r="BC718" s="83"/>
      <c r="BD718" s="83"/>
      <c r="BE718" s="83"/>
      <c r="BF718" s="83"/>
      <c r="BG718" s="83"/>
      <c r="BH718" s="83"/>
      <c r="BI718" s="83"/>
      <c r="BJ718" s="83"/>
      <c r="BK718" s="83"/>
      <c r="BL718" s="83"/>
      <c r="BM718" s="83"/>
      <c r="BN718" s="83"/>
      <c r="BO718" s="83"/>
      <c r="BP718" s="83"/>
      <c r="BQ718" s="83"/>
      <c r="BR718" s="83"/>
      <c r="BS718" s="83"/>
      <c r="BT718" s="83"/>
      <c r="BU718" s="83"/>
      <c r="BV718" s="83"/>
      <c r="BW718" s="83"/>
      <c r="BX718" s="83"/>
      <c r="BY718" s="83"/>
      <c r="BZ718" s="83"/>
      <c r="CA718" s="83"/>
      <c r="CB718" s="83"/>
      <c r="CC718" s="83"/>
      <c r="CD718" s="83"/>
      <c r="CE718" s="83"/>
      <c r="CF718" s="83"/>
      <c r="CG718" s="83"/>
      <c r="CH718" s="83"/>
      <c r="CI718" s="83"/>
      <c r="CJ718" s="83"/>
      <c r="CK718" s="83"/>
      <c r="CL718" s="83"/>
      <c r="CM718" s="83"/>
      <c r="CN718" s="83"/>
      <c r="CO718" s="83"/>
      <c r="CP718" s="83"/>
      <c r="CQ718" s="83"/>
      <c r="CR718" s="83"/>
      <c r="CS718" s="83"/>
      <c r="CT718" s="83"/>
      <c r="CU718" s="83"/>
      <c r="CV718" s="83"/>
      <c r="CW718" s="83"/>
      <c r="CX718" s="83"/>
      <c r="CY718" s="83"/>
      <c r="CZ718" s="83"/>
      <c r="DA718" s="83"/>
      <c r="DB718" s="83"/>
      <c r="DC718" s="83"/>
    </row>
    <row r="719" spans="1:107" x14ac:dyDescent="0.3">
      <c r="A719" s="83"/>
      <c r="B719" s="83"/>
      <c r="C719" s="83"/>
      <c r="D719" s="83"/>
      <c r="E719" s="83"/>
      <c r="F719" s="83"/>
      <c r="G719" s="83"/>
      <c r="H719" s="83"/>
      <c r="I719" s="83"/>
      <c r="J719" s="83"/>
      <c r="K719" s="83"/>
      <c r="L719" s="83"/>
      <c r="M719" s="83"/>
      <c r="N719" s="83"/>
      <c r="O719" s="83"/>
      <c r="P719" s="83"/>
      <c r="Q719" s="83"/>
      <c r="R719" s="83"/>
      <c r="S719" s="83"/>
      <c r="T719" s="83"/>
      <c r="U719" s="83"/>
      <c r="V719" s="83"/>
      <c r="W719" s="83"/>
      <c r="X719" s="83"/>
      <c r="Y719" s="83"/>
      <c r="Z719" s="83"/>
      <c r="AA719" s="83"/>
      <c r="AB719" s="83"/>
      <c r="AC719" s="83"/>
      <c r="AD719" s="83"/>
      <c r="AE719" s="83"/>
      <c r="AF719" s="83"/>
      <c r="AG719" s="83"/>
      <c r="AH719" s="83"/>
      <c r="AI719" s="83"/>
      <c r="AJ719" s="83"/>
      <c r="AK719" s="83"/>
      <c r="AL719" s="83"/>
      <c r="AM719" s="83"/>
      <c r="AN719" s="83"/>
      <c r="AO719" s="83"/>
      <c r="AP719" s="83"/>
      <c r="AQ719" s="83"/>
      <c r="AR719" s="83"/>
      <c r="AS719" s="83"/>
      <c r="AT719" s="83"/>
      <c r="AU719" s="83"/>
      <c r="AV719" s="83"/>
      <c r="AW719" s="83"/>
      <c r="AX719" s="83"/>
      <c r="AY719" s="83"/>
      <c r="AZ719" s="83"/>
      <c r="BA719" s="83"/>
      <c r="BB719" s="83"/>
      <c r="BC719" s="83"/>
      <c r="BD719" s="83"/>
      <c r="BE719" s="83"/>
      <c r="BF719" s="83"/>
      <c r="BG719" s="83"/>
      <c r="BH719" s="83"/>
      <c r="BI719" s="83"/>
      <c r="BJ719" s="83"/>
      <c r="BK719" s="83"/>
      <c r="BL719" s="83"/>
      <c r="BM719" s="83"/>
      <c r="BN719" s="83"/>
      <c r="BO719" s="83"/>
      <c r="BP719" s="83"/>
      <c r="BQ719" s="83"/>
      <c r="BR719" s="83"/>
      <c r="BS719" s="83"/>
      <c r="BT719" s="83"/>
      <c r="BU719" s="83"/>
      <c r="BV719" s="83"/>
      <c r="BW719" s="83"/>
      <c r="BX719" s="83"/>
      <c r="BY719" s="83"/>
      <c r="BZ719" s="83"/>
      <c r="CA719" s="83"/>
      <c r="CB719" s="83"/>
      <c r="CC719" s="83"/>
      <c r="CD719" s="83"/>
      <c r="CE719" s="83"/>
      <c r="CF719" s="83"/>
      <c r="CG719" s="83"/>
      <c r="CH719" s="83"/>
      <c r="CI719" s="83"/>
      <c r="CJ719" s="83"/>
      <c r="CK719" s="83"/>
      <c r="CL719" s="83"/>
      <c r="CM719" s="83"/>
      <c r="CN719" s="83"/>
      <c r="CO719" s="83"/>
      <c r="CP719" s="83"/>
      <c r="CQ719" s="83"/>
      <c r="CR719" s="83"/>
      <c r="CS719" s="83"/>
      <c r="CT719" s="83"/>
      <c r="CU719" s="83"/>
      <c r="CV719" s="83"/>
      <c r="CW719" s="83"/>
      <c r="CX719" s="83"/>
      <c r="CY719" s="83"/>
      <c r="CZ719" s="83"/>
      <c r="DA719" s="83"/>
      <c r="DB719" s="83"/>
      <c r="DC719" s="83"/>
    </row>
    <row r="720" spans="1:107" x14ac:dyDescent="0.3">
      <c r="A720" s="83"/>
      <c r="B720" s="83"/>
      <c r="C720" s="83"/>
      <c r="D720" s="83"/>
      <c r="E720" s="83"/>
      <c r="F720" s="83"/>
      <c r="G720" s="83"/>
      <c r="H720" s="83"/>
      <c r="I720" s="83"/>
      <c r="J720" s="83"/>
      <c r="K720" s="83"/>
      <c r="L720" s="83"/>
      <c r="M720" s="83"/>
      <c r="N720" s="83"/>
      <c r="O720" s="83"/>
      <c r="P720" s="83"/>
      <c r="Q720" s="83"/>
      <c r="R720" s="83"/>
      <c r="S720" s="83"/>
      <c r="T720" s="83"/>
      <c r="U720" s="83"/>
      <c r="V720" s="83"/>
      <c r="W720" s="83"/>
      <c r="X720" s="83"/>
      <c r="Y720" s="83"/>
      <c r="Z720" s="83"/>
      <c r="AA720" s="83"/>
      <c r="AB720" s="83"/>
      <c r="AC720" s="83"/>
      <c r="AD720" s="83"/>
      <c r="AE720" s="83"/>
      <c r="AF720" s="83"/>
      <c r="AG720" s="83"/>
      <c r="AH720" s="83"/>
      <c r="AI720" s="83"/>
      <c r="AJ720" s="83"/>
      <c r="AK720" s="83"/>
      <c r="AL720" s="83"/>
      <c r="AM720" s="83"/>
      <c r="AN720" s="83"/>
      <c r="AO720" s="83"/>
      <c r="AP720" s="83"/>
      <c r="AQ720" s="83"/>
      <c r="AR720" s="83"/>
      <c r="AS720" s="83"/>
      <c r="AT720" s="83"/>
      <c r="AU720" s="83"/>
      <c r="AV720" s="83"/>
      <c r="AW720" s="83"/>
      <c r="AX720" s="83"/>
      <c r="AY720" s="83"/>
      <c r="AZ720" s="83"/>
      <c r="BA720" s="83"/>
      <c r="BB720" s="83"/>
      <c r="BC720" s="83"/>
      <c r="BD720" s="83"/>
      <c r="BE720" s="83"/>
      <c r="BF720" s="83"/>
      <c r="BG720" s="83"/>
      <c r="BH720" s="83"/>
      <c r="BI720" s="83"/>
      <c r="BJ720" s="83"/>
      <c r="BK720" s="83"/>
      <c r="BL720" s="83"/>
      <c r="BM720" s="83"/>
      <c r="BN720" s="83"/>
      <c r="BO720" s="83"/>
      <c r="BP720" s="83"/>
      <c r="BQ720" s="83"/>
      <c r="BR720" s="83"/>
      <c r="BS720" s="83"/>
      <c r="BT720" s="83"/>
      <c r="BU720" s="83"/>
      <c r="BV720" s="83"/>
      <c r="BW720" s="83"/>
      <c r="BX720" s="83"/>
      <c r="BY720" s="83"/>
      <c r="BZ720" s="83"/>
      <c r="CA720" s="83"/>
      <c r="CB720" s="83"/>
      <c r="CC720" s="83"/>
      <c r="CD720" s="83"/>
      <c r="CE720" s="83"/>
      <c r="CF720" s="83"/>
      <c r="CG720" s="83"/>
      <c r="CH720" s="83"/>
      <c r="CI720" s="83"/>
      <c r="CJ720" s="83"/>
      <c r="CK720" s="83"/>
      <c r="CL720" s="83"/>
      <c r="CM720" s="83"/>
      <c r="CN720" s="83"/>
      <c r="CO720" s="83"/>
      <c r="CP720" s="83"/>
      <c r="CQ720" s="83"/>
      <c r="CR720" s="83"/>
      <c r="CS720" s="83"/>
      <c r="CT720" s="83"/>
      <c r="CU720" s="83"/>
      <c r="CV720" s="83"/>
      <c r="CW720" s="83"/>
      <c r="CX720" s="83"/>
      <c r="CY720" s="83"/>
      <c r="CZ720" s="83"/>
      <c r="DA720" s="83"/>
      <c r="DB720" s="83"/>
      <c r="DC720" s="83"/>
    </row>
    <row r="721" spans="1:107" x14ac:dyDescent="0.3">
      <c r="A721" s="83"/>
      <c r="B721" s="83"/>
      <c r="C721" s="83"/>
      <c r="D721" s="83"/>
      <c r="E721" s="83"/>
      <c r="F721" s="83"/>
      <c r="G721" s="83"/>
      <c r="H721" s="83"/>
      <c r="I721" s="83"/>
      <c r="J721" s="83"/>
      <c r="K721" s="83"/>
      <c r="L721" s="83"/>
      <c r="M721" s="83"/>
      <c r="N721" s="83"/>
      <c r="O721" s="83"/>
      <c r="P721" s="83"/>
      <c r="Q721" s="83"/>
      <c r="R721" s="83"/>
      <c r="S721" s="83"/>
      <c r="T721" s="83"/>
      <c r="U721" s="83"/>
      <c r="V721" s="83"/>
      <c r="W721" s="83"/>
      <c r="X721" s="83"/>
      <c r="Y721" s="83"/>
      <c r="Z721" s="83"/>
      <c r="AA721" s="83"/>
      <c r="AB721" s="83"/>
      <c r="AC721" s="83"/>
      <c r="AD721" s="83"/>
      <c r="AE721" s="83"/>
      <c r="AF721" s="83"/>
      <c r="AG721" s="83"/>
      <c r="AH721" s="83"/>
      <c r="AI721" s="83"/>
      <c r="AJ721" s="83"/>
      <c r="AK721" s="83"/>
      <c r="AL721" s="83"/>
      <c r="AM721" s="83"/>
      <c r="AN721" s="83"/>
      <c r="AO721" s="83"/>
      <c r="AP721" s="83"/>
      <c r="AQ721" s="83"/>
      <c r="AR721" s="83"/>
      <c r="AS721" s="83"/>
      <c r="AT721" s="83"/>
      <c r="AU721" s="83"/>
      <c r="AV721" s="83"/>
      <c r="AW721" s="83"/>
      <c r="AX721" s="83"/>
      <c r="AY721" s="83"/>
      <c r="AZ721" s="83"/>
      <c r="BA721" s="83"/>
      <c r="BB721" s="83"/>
      <c r="BC721" s="83"/>
      <c r="BD721" s="83"/>
      <c r="BE721" s="83"/>
      <c r="BF721" s="83"/>
      <c r="BG721" s="83"/>
      <c r="BH721" s="83"/>
      <c r="BI721" s="83"/>
      <c r="BJ721" s="83"/>
      <c r="BK721" s="83"/>
      <c r="BL721" s="83"/>
      <c r="BM721" s="83"/>
      <c r="BN721" s="83"/>
      <c r="BO721" s="83"/>
      <c r="BP721" s="83"/>
      <c r="BQ721" s="83"/>
      <c r="BR721" s="83"/>
      <c r="BS721" s="83"/>
      <c r="BT721" s="83"/>
      <c r="BU721" s="83"/>
      <c r="BV721" s="83"/>
      <c r="BW721" s="83"/>
      <c r="BX721" s="83"/>
      <c r="BY721" s="83"/>
      <c r="BZ721" s="83"/>
      <c r="CA721" s="83"/>
      <c r="CB721" s="83"/>
      <c r="CC721" s="83"/>
      <c r="CD721" s="83"/>
      <c r="CE721" s="83"/>
      <c r="CF721" s="83"/>
      <c r="CG721" s="83"/>
      <c r="CH721" s="83"/>
      <c r="CI721" s="83"/>
      <c r="CJ721" s="83"/>
      <c r="CK721" s="83"/>
      <c r="CL721" s="83"/>
      <c r="CM721" s="83"/>
      <c r="CN721" s="83"/>
      <c r="CO721" s="83"/>
      <c r="CP721" s="83"/>
      <c r="CQ721" s="83"/>
      <c r="CR721" s="83"/>
      <c r="CS721" s="83"/>
      <c r="CT721" s="83"/>
      <c r="CU721" s="83"/>
      <c r="CV721" s="83"/>
      <c r="CW721" s="83"/>
      <c r="CX721" s="83"/>
      <c r="CY721" s="83"/>
      <c r="CZ721" s="83"/>
      <c r="DA721" s="83"/>
      <c r="DB721" s="83"/>
      <c r="DC721" s="83"/>
    </row>
    <row r="722" spans="1:107" x14ac:dyDescent="0.3">
      <c r="A722" s="83"/>
      <c r="B722" s="83"/>
      <c r="C722" s="83"/>
      <c r="D722" s="83"/>
      <c r="E722" s="83"/>
      <c r="F722" s="83"/>
      <c r="G722" s="83"/>
      <c r="H722" s="83"/>
      <c r="I722" s="83"/>
      <c r="J722" s="83"/>
      <c r="K722" s="83"/>
      <c r="L722" s="83"/>
      <c r="M722" s="83"/>
      <c r="N722" s="83"/>
      <c r="O722" s="83"/>
      <c r="P722" s="83"/>
      <c r="Q722" s="83"/>
      <c r="R722" s="83"/>
      <c r="S722" s="83"/>
      <c r="T722" s="83"/>
      <c r="U722" s="83"/>
      <c r="V722" s="83"/>
      <c r="W722" s="83"/>
      <c r="X722" s="83"/>
      <c r="Y722" s="83"/>
      <c r="Z722" s="83"/>
      <c r="AA722" s="83"/>
      <c r="AB722" s="83"/>
      <c r="AC722" s="83"/>
      <c r="AD722" s="83"/>
      <c r="AE722" s="83"/>
      <c r="AF722" s="83"/>
      <c r="AG722" s="83"/>
      <c r="AH722" s="83"/>
      <c r="AI722" s="83"/>
      <c r="AJ722" s="83"/>
      <c r="AK722" s="83"/>
      <c r="AL722" s="83"/>
      <c r="AM722" s="83"/>
      <c r="AN722" s="83"/>
      <c r="AO722" s="83"/>
      <c r="AP722" s="83"/>
      <c r="AQ722" s="83"/>
      <c r="AR722" s="83"/>
      <c r="AS722" s="83"/>
      <c r="AT722" s="83"/>
      <c r="AU722" s="83"/>
      <c r="AV722" s="83"/>
      <c r="AW722" s="83"/>
      <c r="AX722" s="83"/>
      <c r="AY722" s="83"/>
      <c r="AZ722" s="83"/>
      <c r="BA722" s="83"/>
      <c r="BB722" s="83"/>
      <c r="BC722" s="83"/>
      <c r="BD722" s="83"/>
      <c r="BE722" s="83"/>
      <c r="BF722" s="83"/>
      <c r="BG722" s="83"/>
      <c r="BH722" s="83"/>
      <c r="BI722" s="83"/>
      <c r="BJ722" s="83"/>
      <c r="BK722" s="83"/>
      <c r="BL722" s="83"/>
      <c r="BM722" s="83"/>
      <c r="BN722" s="83"/>
      <c r="BO722" s="83"/>
      <c r="BP722" s="83"/>
      <c r="BQ722" s="83"/>
      <c r="BR722" s="83"/>
      <c r="BS722" s="83"/>
      <c r="BT722" s="83"/>
      <c r="BU722" s="83"/>
      <c r="BV722" s="83"/>
      <c r="BW722" s="83"/>
      <c r="BX722" s="83"/>
      <c r="BY722" s="83"/>
      <c r="BZ722" s="83"/>
      <c r="CA722" s="83"/>
      <c r="CB722" s="83"/>
      <c r="CC722" s="83"/>
      <c r="CD722" s="83"/>
      <c r="CE722" s="83"/>
      <c r="CF722" s="83"/>
      <c r="CG722" s="83"/>
      <c r="CH722" s="83"/>
      <c r="CI722" s="83"/>
      <c r="CJ722" s="83"/>
      <c r="CK722" s="83"/>
      <c r="CL722" s="83"/>
      <c r="CM722" s="83"/>
      <c r="CN722" s="83"/>
      <c r="CO722" s="83"/>
      <c r="CP722" s="83"/>
      <c r="CQ722" s="83"/>
      <c r="CR722" s="83"/>
      <c r="CS722" s="83"/>
      <c r="CT722" s="83"/>
      <c r="CU722" s="83"/>
      <c r="CV722" s="83"/>
      <c r="CW722" s="83"/>
      <c r="CX722" s="83"/>
      <c r="CY722" s="83"/>
      <c r="CZ722" s="83"/>
      <c r="DA722" s="83"/>
      <c r="DB722" s="83"/>
      <c r="DC722" s="83"/>
    </row>
    <row r="723" spans="1:107" x14ac:dyDescent="0.3">
      <c r="A723" s="83"/>
      <c r="B723" s="83"/>
      <c r="C723" s="83"/>
      <c r="D723" s="83"/>
      <c r="E723" s="83"/>
      <c r="F723" s="83"/>
      <c r="G723" s="83"/>
      <c r="H723" s="83"/>
      <c r="I723" s="83"/>
      <c r="J723" s="83"/>
      <c r="K723" s="83"/>
      <c r="L723" s="83"/>
      <c r="M723" s="83"/>
      <c r="N723" s="83"/>
      <c r="O723" s="83"/>
      <c r="P723" s="83"/>
      <c r="Q723" s="83"/>
      <c r="R723" s="83"/>
      <c r="S723" s="83"/>
      <c r="T723" s="83"/>
      <c r="U723" s="83"/>
      <c r="V723" s="83"/>
      <c r="W723" s="83"/>
      <c r="X723" s="83"/>
      <c r="Y723" s="83"/>
      <c r="Z723" s="83"/>
      <c r="AA723" s="83"/>
      <c r="AB723" s="83"/>
      <c r="AC723" s="83"/>
      <c r="AD723" s="83"/>
      <c r="AE723" s="83"/>
      <c r="AF723" s="83"/>
      <c r="AG723" s="83"/>
      <c r="AH723" s="83"/>
      <c r="AI723" s="83"/>
      <c r="AJ723" s="83"/>
      <c r="AK723" s="83"/>
      <c r="AL723" s="83"/>
      <c r="AM723" s="83"/>
      <c r="AN723" s="83"/>
      <c r="AO723" s="83"/>
      <c r="AP723" s="83"/>
      <c r="AQ723" s="83"/>
      <c r="AR723" s="83"/>
      <c r="AS723" s="83"/>
      <c r="AT723" s="83"/>
      <c r="AU723" s="83"/>
      <c r="AV723" s="83"/>
      <c r="AW723" s="83"/>
      <c r="AX723" s="83"/>
      <c r="AY723" s="83"/>
      <c r="AZ723" s="83"/>
      <c r="BA723" s="83"/>
      <c r="BB723" s="83"/>
      <c r="BC723" s="83"/>
      <c r="BD723" s="83"/>
      <c r="BE723" s="83"/>
      <c r="BF723" s="83"/>
      <c r="BG723" s="83"/>
      <c r="BH723" s="83"/>
      <c r="BI723" s="83"/>
      <c r="BJ723" s="83"/>
      <c r="BK723" s="83"/>
      <c r="BL723" s="83"/>
      <c r="BM723" s="83"/>
      <c r="BN723" s="83"/>
      <c r="BO723" s="83"/>
      <c r="BP723" s="83"/>
      <c r="BQ723" s="83"/>
      <c r="BR723" s="83"/>
      <c r="BS723" s="83"/>
      <c r="BT723" s="83"/>
      <c r="BU723" s="83"/>
      <c r="BV723" s="83"/>
      <c r="BW723" s="83"/>
      <c r="BX723" s="83"/>
      <c r="BY723" s="83"/>
      <c r="BZ723" s="83"/>
      <c r="CA723" s="83"/>
      <c r="CB723" s="83"/>
      <c r="CC723" s="83"/>
      <c r="CD723" s="83"/>
      <c r="CE723" s="83"/>
      <c r="CF723" s="83"/>
      <c r="CG723" s="83"/>
      <c r="CH723" s="83"/>
      <c r="CI723" s="83"/>
      <c r="CJ723" s="83"/>
      <c r="CK723" s="83"/>
      <c r="CL723" s="83"/>
      <c r="CM723" s="83"/>
      <c r="CN723" s="83"/>
      <c r="CO723" s="83"/>
      <c r="CP723" s="83"/>
      <c r="CQ723" s="83"/>
      <c r="CR723" s="83"/>
      <c r="CS723" s="83"/>
      <c r="CT723" s="83"/>
      <c r="CU723" s="83"/>
      <c r="CV723" s="83"/>
      <c r="CW723" s="83"/>
      <c r="CX723" s="83"/>
      <c r="CY723" s="83"/>
      <c r="CZ723" s="83"/>
      <c r="DA723" s="83"/>
      <c r="DB723" s="83"/>
      <c r="DC723" s="83"/>
    </row>
    <row r="724" spans="1:107" x14ac:dyDescent="0.3">
      <c r="A724" s="83"/>
      <c r="B724" s="83"/>
      <c r="C724" s="83"/>
      <c r="D724" s="83"/>
      <c r="E724" s="83"/>
      <c r="F724" s="83"/>
      <c r="G724" s="83"/>
      <c r="H724" s="83"/>
      <c r="I724" s="83"/>
      <c r="J724" s="83"/>
      <c r="K724" s="83"/>
      <c r="L724" s="83"/>
      <c r="M724" s="83"/>
      <c r="N724" s="83"/>
      <c r="O724" s="83"/>
      <c r="P724" s="83"/>
      <c r="Q724" s="83"/>
      <c r="R724" s="83"/>
      <c r="S724" s="83"/>
      <c r="T724" s="83"/>
      <c r="U724" s="83"/>
      <c r="V724" s="83"/>
      <c r="W724" s="83"/>
      <c r="X724" s="83"/>
      <c r="Y724" s="83"/>
      <c r="Z724" s="83"/>
      <c r="AA724" s="83"/>
      <c r="AB724" s="83"/>
      <c r="AC724" s="83"/>
      <c r="AD724" s="83"/>
      <c r="AE724" s="83"/>
      <c r="AF724" s="83"/>
      <c r="AG724" s="83"/>
      <c r="AH724" s="83"/>
      <c r="AI724" s="83"/>
      <c r="AJ724" s="83"/>
      <c r="AK724" s="83"/>
      <c r="AL724" s="83"/>
      <c r="AM724" s="83"/>
      <c r="AN724" s="83"/>
      <c r="AO724" s="83"/>
      <c r="AP724" s="83"/>
      <c r="AQ724" s="83"/>
      <c r="AR724" s="83"/>
      <c r="AS724" s="83"/>
      <c r="AT724" s="83"/>
      <c r="AU724" s="83"/>
      <c r="AV724" s="83"/>
      <c r="AW724" s="83"/>
      <c r="AX724" s="83"/>
      <c r="AY724" s="83"/>
      <c r="AZ724" s="83"/>
      <c r="BA724" s="83"/>
      <c r="BB724" s="83"/>
      <c r="BC724" s="83"/>
      <c r="BD724" s="83"/>
      <c r="BE724" s="83"/>
      <c r="BF724" s="83"/>
      <c r="BG724" s="83"/>
      <c r="BH724" s="83"/>
      <c r="BI724" s="83"/>
      <c r="BJ724" s="83"/>
      <c r="BK724" s="83"/>
      <c r="BL724" s="83"/>
      <c r="BM724" s="83"/>
      <c r="BN724" s="83"/>
      <c r="BO724" s="83"/>
      <c r="BP724" s="83"/>
      <c r="BQ724" s="83"/>
      <c r="BR724" s="83"/>
      <c r="BS724" s="83"/>
      <c r="BT724" s="83"/>
      <c r="BU724" s="83"/>
      <c r="BV724" s="83"/>
      <c r="BW724" s="83"/>
      <c r="BX724" s="83"/>
      <c r="BY724" s="83"/>
      <c r="BZ724" s="83"/>
      <c r="CA724" s="83"/>
      <c r="CB724" s="83"/>
      <c r="CC724" s="83"/>
      <c r="CD724" s="83"/>
      <c r="CE724" s="83"/>
      <c r="CF724" s="83"/>
      <c r="CG724" s="83"/>
      <c r="CH724" s="83"/>
      <c r="CI724" s="83"/>
      <c r="CJ724" s="83"/>
      <c r="CK724" s="83"/>
      <c r="CL724" s="83"/>
      <c r="CM724" s="83"/>
      <c r="CN724" s="83"/>
      <c r="CO724" s="83"/>
      <c r="CP724" s="83"/>
      <c r="CQ724" s="83"/>
      <c r="CR724" s="83"/>
      <c r="CS724" s="83"/>
      <c r="CT724" s="83"/>
      <c r="CU724" s="83"/>
      <c r="CV724" s="83"/>
      <c r="CW724" s="83"/>
      <c r="CX724" s="83"/>
      <c r="CY724" s="83"/>
      <c r="CZ724" s="83"/>
      <c r="DA724" s="83"/>
      <c r="DB724" s="83"/>
      <c r="DC724" s="83"/>
    </row>
    <row r="725" spans="1:107" x14ac:dyDescent="0.3">
      <c r="A725" s="83"/>
      <c r="B725" s="83"/>
      <c r="C725" s="83"/>
      <c r="D725" s="83"/>
      <c r="E725" s="83"/>
      <c r="F725" s="83"/>
      <c r="G725" s="83"/>
      <c r="H725" s="83"/>
      <c r="I725" s="83"/>
      <c r="J725" s="83"/>
      <c r="K725" s="83"/>
      <c r="L725" s="83"/>
      <c r="M725" s="83"/>
      <c r="N725" s="83"/>
      <c r="O725" s="83"/>
      <c r="P725" s="83"/>
      <c r="Q725" s="83"/>
      <c r="R725" s="83"/>
      <c r="S725" s="83"/>
      <c r="T725" s="83"/>
      <c r="U725" s="83"/>
      <c r="V725" s="83"/>
      <c r="W725" s="83"/>
      <c r="X725" s="83"/>
      <c r="Y725" s="83"/>
      <c r="Z725" s="83"/>
      <c r="AA725" s="83"/>
      <c r="AB725" s="83"/>
      <c r="AC725" s="83"/>
      <c r="AD725" s="83"/>
      <c r="AE725" s="83"/>
      <c r="AF725" s="83"/>
      <c r="AG725" s="83"/>
      <c r="AH725" s="83"/>
      <c r="AI725" s="83"/>
      <c r="AJ725" s="83"/>
      <c r="AK725" s="83"/>
      <c r="AL725" s="83"/>
      <c r="AM725" s="83"/>
      <c r="AN725" s="83"/>
      <c r="AO725" s="83"/>
      <c r="AP725" s="83"/>
      <c r="AQ725" s="83"/>
      <c r="AR725" s="83"/>
      <c r="AS725" s="83"/>
      <c r="AT725" s="83"/>
      <c r="AU725" s="83"/>
      <c r="AV725" s="83"/>
      <c r="AW725" s="83"/>
      <c r="AX725" s="83"/>
      <c r="AY725" s="83"/>
      <c r="AZ725" s="83"/>
      <c r="BA725" s="83"/>
      <c r="BB725" s="83"/>
      <c r="BC725" s="83"/>
      <c r="BD725" s="83"/>
      <c r="BE725" s="83"/>
      <c r="BF725" s="83"/>
      <c r="BG725" s="83"/>
      <c r="BH725" s="83"/>
      <c r="BI725" s="83"/>
      <c r="BJ725" s="83"/>
      <c r="BK725" s="83"/>
      <c r="BL725" s="83"/>
      <c r="BM725" s="83"/>
      <c r="BN725" s="83"/>
      <c r="BO725" s="83"/>
      <c r="BP725" s="83"/>
      <c r="BQ725" s="83"/>
      <c r="BR725" s="83"/>
      <c r="BS725" s="83"/>
      <c r="BT725" s="83"/>
      <c r="BU725" s="83"/>
      <c r="BV725" s="83"/>
      <c r="BW725" s="83"/>
      <c r="BX725" s="83"/>
      <c r="BY725" s="83"/>
      <c r="BZ725" s="83"/>
      <c r="CA725" s="83"/>
      <c r="CB725" s="83"/>
      <c r="CC725" s="83"/>
      <c r="CD725" s="83"/>
      <c r="CE725" s="83"/>
      <c r="CF725" s="83"/>
      <c r="CG725" s="83"/>
      <c r="CH725" s="83"/>
      <c r="CI725" s="83"/>
      <c r="CJ725" s="83"/>
      <c r="CK725" s="83"/>
      <c r="CL725" s="83"/>
      <c r="CM725" s="83"/>
      <c r="CN725" s="83"/>
      <c r="CO725" s="83"/>
      <c r="CP725" s="83"/>
      <c r="CQ725" s="83"/>
      <c r="CR725" s="83"/>
      <c r="CS725" s="83"/>
      <c r="CT725" s="83"/>
      <c r="CU725" s="83"/>
      <c r="CV725" s="83"/>
      <c r="CW725" s="83"/>
      <c r="CX725" s="83"/>
      <c r="CY725" s="83"/>
      <c r="CZ725" s="83"/>
      <c r="DA725" s="83"/>
      <c r="DB725" s="83"/>
      <c r="DC725" s="83"/>
    </row>
    <row r="726" spans="1:107" x14ac:dyDescent="0.3">
      <c r="A726" s="83"/>
      <c r="B726" s="83"/>
      <c r="C726" s="83"/>
      <c r="D726" s="83"/>
      <c r="E726" s="83"/>
      <c r="F726" s="83"/>
      <c r="G726" s="83"/>
      <c r="H726" s="83"/>
      <c r="I726" s="83"/>
      <c r="J726" s="83"/>
      <c r="K726" s="83"/>
      <c r="L726" s="83"/>
      <c r="M726" s="83"/>
      <c r="N726" s="83"/>
      <c r="O726" s="83"/>
      <c r="P726" s="83"/>
      <c r="Q726" s="83"/>
      <c r="R726" s="83"/>
      <c r="S726" s="83"/>
      <c r="T726" s="83"/>
      <c r="U726" s="83"/>
      <c r="V726" s="83"/>
      <c r="W726" s="83"/>
      <c r="X726" s="83"/>
      <c r="Y726" s="83"/>
      <c r="Z726" s="83"/>
      <c r="AA726" s="83"/>
      <c r="AB726" s="83"/>
      <c r="AC726" s="83"/>
      <c r="AD726" s="83"/>
      <c r="AE726" s="83"/>
      <c r="AF726" s="83"/>
      <c r="AG726" s="83"/>
      <c r="AH726" s="83"/>
      <c r="AI726" s="83"/>
      <c r="AJ726" s="83"/>
      <c r="AK726" s="83"/>
      <c r="AL726" s="83"/>
      <c r="AM726" s="83"/>
      <c r="AN726" s="83"/>
      <c r="AO726" s="83"/>
      <c r="AP726" s="83"/>
      <c r="AQ726" s="83"/>
      <c r="AR726" s="83"/>
      <c r="AS726" s="83"/>
      <c r="AT726" s="83"/>
      <c r="AU726" s="83"/>
      <c r="AV726" s="83"/>
      <c r="AW726" s="83"/>
      <c r="AX726" s="83"/>
      <c r="AY726" s="83"/>
      <c r="AZ726" s="83"/>
      <c r="BA726" s="83"/>
      <c r="BB726" s="83"/>
      <c r="BC726" s="83"/>
      <c r="BD726" s="83"/>
      <c r="BE726" s="83"/>
      <c r="BF726" s="83"/>
      <c r="BG726" s="83"/>
      <c r="BH726" s="83"/>
      <c r="BI726" s="83"/>
      <c r="BJ726" s="83"/>
      <c r="BK726" s="83"/>
      <c r="BL726" s="83"/>
      <c r="BM726" s="83"/>
      <c r="BN726" s="83"/>
      <c r="BO726" s="83"/>
      <c r="BP726" s="83"/>
      <c r="BQ726" s="83"/>
      <c r="BR726" s="83"/>
      <c r="BS726" s="83"/>
      <c r="BT726" s="83"/>
      <c r="BU726" s="83"/>
      <c r="BV726" s="83"/>
      <c r="BW726" s="83"/>
      <c r="BX726" s="83"/>
      <c r="BY726" s="83"/>
      <c r="BZ726" s="83"/>
      <c r="CA726" s="83"/>
      <c r="CB726" s="83"/>
      <c r="CC726" s="83"/>
      <c r="CD726" s="83"/>
      <c r="CE726" s="83"/>
      <c r="CF726" s="83"/>
      <c r="CG726" s="83"/>
      <c r="CH726" s="83"/>
      <c r="CI726" s="83"/>
      <c r="CJ726" s="83"/>
      <c r="CK726" s="83"/>
      <c r="CL726" s="83"/>
      <c r="CM726" s="83"/>
      <c r="CN726" s="83"/>
      <c r="CO726" s="83"/>
      <c r="CP726" s="83"/>
      <c r="CQ726" s="83"/>
      <c r="CR726" s="83"/>
      <c r="CS726" s="83"/>
      <c r="CT726" s="83"/>
      <c r="CU726" s="83"/>
      <c r="CV726" s="83"/>
      <c r="CW726" s="83"/>
      <c r="CX726" s="83"/>
      <c r="CY726" s="83"/>
      <c r="CZ726" s="83"/>
      <c r="DA726" s="83"/>
      <c r="DB726" s="83"/>
      <c r="DC726" s="83"/>
    </row>
    <row r="727" spans="1:107" x14ac:dyDescent="0.3">
      <c r="A727" s="83"/>
      <c r="B727" s="83"/>
      <c r="C727" s="83"/>
      <c r="D727" s="83"/>
      <c r="E727" s="83"/>
      <c r="F727" s="83"/>
      <c r="G727" s="83"/>
      <c r="H727" s="83"/>
      <c r="I727" s="83"/>
      <c r="J727" s="83"/>
      <c r="K727" s="83"/>
      <c r="L727" s="83"/>
      <c r="M727" s="83"/>
      <c r="N727" s="83"/>
      <c r="O727" s="83"/>
      <c r="P727" s="83"/>
      <c r="Q727" s="83"/>
      <c r="R727" s="83"/>
      <c r="S727" s="83"/>
      <c r="T727" s="83"/>
      <c r="U727" s="83"/>
      <c r="V727" s="83"/>
      <c r="W727" s="83"/>
      <c r="X727" s="83"/>
      <c r="Y727" s="83"/>
      <c r="Z727" s="83"/>
      <c r="AA727" s="83"/>
      <c r="AB727" s="83"/>
      <c r="AC727" s="83"/>
      <c r="AD727" s="83"/>
      <c r="AE727" s="83"/>
      <c r="AF727" s="83"/>
      <c r="AG727" s="83"/>
      <c r="AH727" s="83"/>
      <c r="AI727" s="83"/>
      <c r="AJ727" s="83"/>
      <c r="AK727" s="83"/>
      <c r="AL727" s="83"/>
      <c r="AM727" s="83"/>
      <c r="AN727" s="83"/>
      <c r="AO727" s="83"/>
      <c r="AP727" s="83"/>
      <c r="AQ727" s="83"/>
      <c r="AR727" s="83"/>
      <c r="AS727" s="83"/>
      <c r="AT727" s="83"/>
      <c r="AU727" s="83"/>
      <c r="AV727" s="83"/>
      <c r="AW727" s="83"/>
      <c r="AX727" s="83"/>
      <c r="AY727" s="83"/>
      <c r="AZ727" s="83"/>
      <c r="BA727" s="83"/>
      <c r="BB727" s="83"/>
      <c r="BC727" s="83"/>
      <c r="BD727" s="83"/>
      <c r="BE727" s="83"/>
      <c r="BF727" s="83"/>
      <c r="BG727" s="83"/>
      <c r="BH727" s="83"/>
      <c r="BI727" s="83"/>
      <c r="BJ727" s="83"/>
      <c r="BK727" s="83"/>
      <c r="BL727" s="83"/>
      <c r="BM727" s="83"/>
      <c r="BN727" s="83"/>
      <c r="BO727" s="83"/>
      <c r="BP727" s="83"/>
      <c r="BQ727" s="83"/>
      <c r="BR727" s="83"/>
      <c r="BS727" s="83"/>
      <c r="BT727" s="83"/>
      <c r="BU727" s="83"/>
      <c r="BV727" s="83"/>
      <c r="BW727" s="83"/>
      <c r="BX727" s="83"/>
      <c r="BY727" s="83"/>
      <c r="BZ727" s="83"/>
      <c r="CA727" s="83"/>
      <c r="CB727" s="83"/>
      <c r="CC727" s="83"/>
      <c r="CD727" s="83"/>
      <c r="CE727" s="83"/>
      <c r="CF727" s="83"/>
      <c r="CG727" s="83"/>
      <c r="CH727" s="83"/>
      <c r="CI727" s="83"/>
      <c r="CJ727" s="83"/>
      <c r="CK727" s="83"/>
      <c r="CL727" s="83"/>
      <c r="CM727" s="83"/>
      <c r="CN727" s="83"/>
      <c r="CO727" s="83"/>
      <c r="CP727" s="83"/>
      <c r="CQ727" s="83"/>
      <c r="CR727" s="83"/>
      <c r="CS727" s="83"/>
      <c r="CT727" s="83"/>
      <c r="CU727" s="83"/>
      <c r="CV727" s="83"/>
      <c r="CW727" s="83"/>
      <c r="CX727" s="83"/>
      <c r="CY727" s="83"/>
      <c r="CZ727" s="83"/>
      <c r="DA727" s="83"/>
      <c r="DB727" s="83"/>
      <c r="DC727" s="83"/>
    </row>
    <row r="728" spans="1:107" x14ac:dyDescent="0.3">
      <c r="A728" s="83"/>
      <c r="B728" s="83"/>
      <c r="C728" s="83"/>
      <c r="D728" s="83"/>
      <c r="E728" s="83"/>
      <c r="F728" s="83"/>
      <c r="G728" s="83"/>
      <c r="H728" s="83"/>
      <c r="I728" s="83"/>
      <c r="J728" s="83"/>
      <c r="K728" s="83"/>
      <c r="L728" s="83"/>
      <c r="M728" s="83"/>
      <c r="N728" s="83"/>
      <c r="O728" s="83"/>
      <c r="P728" s="83"/>
      <c r="Q728" s="83"/>
      <c r="R728" s="83"/>
      <c r="S728" s="83"/>
      <c r="T728" s="83"/>
      <c r="U728" s="83"/>
      <c r="V728" s="83"/>
      <c r="W728" s="83"/>
      <c r="X728" s="83"/>
      <c r="Y728" s="83"/>
      <c r="Z728" s="83"/>
      <c r="AA728" s="83"/>
      <c r="AB728" s="83"/>
      <c r="AC728" s="83"/>
      <c r="AD728" s="83"/>
      <c r="AE728" s="83"/>
      <c r="AF728" s="83"/>
      <c r="AG728" s="83"/>
      <c r="AH728" s="83"/>
      <c r="AI728" s="83"/>
      <c r="AJ728" s="83"/>
      <c r="AK728" s="83"/>
      <c r="AL728" s="83"/>
      <c r="AM728" s="83"/>
      <c r="AN728" s="83"/>
      <c r="AO728" s="83"/>
      <c r="AP728" s="83"/>
      <c r="AQ728" s="83"/>
      <c r="AR728" s="83"/>
      <c r="AS728" s="83"/>
      <c r="AT728" s="83"/>
      <c r="AU728" s="83"/>
      <c r="AV728" s="83"/>
      <c r="AW728" s="83"/>
      <c r="AX728" s="83"/>
      <c r="AY728" s="83"/>
      <c r="AZ728" s="83"/>
      <c r="BA728" s="83"/>
      <c r="BB728" s="83"/>
      <c r="BC728" s="83"/>
      <c r="BD728" s="83"/>
      <c r="BE728" s="83"/>
      <c r="BF728" s="83"/>
      <c r="BG728" s="83"/>
      <c r="BH728" s="83"/>
      <c r="BI728" s="83"/>
      <c r="BJ728" s="83"/>
      <c r="BK728" s="83"/>
      <c r="BL728" s="83"/>
      <c r="BM728" s="83"/>
      <c r="BN728" s="83"/>
      <c r="BO728" s="83"/>
      <c r="BP728" s="83"/>
      <c r="BQ728" s="83"/>
      <c r="BR728" s="83"/>
      <c r="BS728" s="83"/>
      <c r="BT728" s="83"/>
      <c r="BU728" s="83"/>
      <c r="BV728" s="83"/>
      <c r="BW728" s="83"/>
      <c r="BX728" s="83"/>
      <c r="BY728" s="83"/>
      <c r="BZ728" s="83"/>
      <c r="CA728" s="83"/>
      <c r="CB728" s="83"/>
      <c r="CC728" s="83"/>
      <c r="CD728" s="83"/>
      <c r="CE728" s="83"/>
      <c r="CF728" s="83"/>
      <c r="CG728" s="83"/>
      <c r="CH728" s="83"/>
      <c r="CI728" s="83"/>
      <c r="CJ728" s="83"/>
      <c r="CK728" s="83"/>
      <c r="CL728" s="83"/>
      <c r="CM728" s="83"/>
      <c r="CN728" s="83"/>
      <c r="CO728" s="83"/>
      <c r="CP728" s="83"/>
      <c r="CQ728" s="83"/>
      <c r="CR728" s="83"/>
      <c r="CS728" s="83"/>
      <c r="CT728" s="83"/>
      <c r="CU728" s="83"/>
      <c r="CV728" s="83"/>
      <c r="CW728" s="83"/>
      <c r="CX728" s="83"/>
      <c r="CY728" s="83"/>
      <c r="CZ728" s="83"/>
      <c r="DA728" s="83"/>
      <c r="DB728" s="83"/>
      <c r="DC728" s="83"/>
    </row>
    <row r="729" spans="1:107" x14ac:dyDescent="0.3">
      <c r="A729" s="83"/>
      <c r="B729" s="83"/>
      <c r="C729" s="83"/>
      <c r="D729" s="83"/>
      <c r="E729" s="83"/>
      <c r="F729" s="83"/>
      <c r="G729" s="83"/>
      <c r="H729" s="83"/>
      <c r="I729" s="83"/>
      <c r="J729" s="83"/>
      <c r="K729" s="83"/>
      <c r="L729" s="83"/>
      <c r="M729" s="83"/>
      <c r="N729" s="83"/>
      <c r="O729" s="83"/>
      <c r="P729" s="83"/>
      <c r="Q729" s="83"/>
      <c r="R729" s="83"/>
      <c r="S729" s="83"/>
      <c r="T729" s="83"/>
      <c r="U729" s="83"/>
      <c r="V729" s="83"/>
      <c r="W729" s="83"/>
      <c r="X729" s="83"/>
      <c r="Y729" s="83"/>
      <c r="Z729" s="83"/>
      <c r="AA729" s="83"/>
      <c r="AB729" s="83"/>
      <c r="AC729" s="83"/>
      <c r="AD729" s="83"/>
      <c r="AE729" s="83"/>
      <c r="AF729" s="83"/>
      <c r="AG729" s="83"/>
      <c r="AH729" s="83"/>
      <c r="AI729" s="83"/>
      <c r="AJ729" s="83"/>
      <c r="AK729" s="83"/>
      <c r="AL729" s="83"/>
      <c r="AM729" s="83"/>
      <c r="AN729" s="83"/>
      <c r="AO729" s="83"/>
      <c r="AP729" s="83"/>
      <c r="AQ729" s="83"/>
      <c r="AR729" s="83"/>
      <c r="AS729" s="83"/>
      <c r="AT729" s="83"/>
      <c r="AU729" s="83"/>
      <c r="AV729" s="83"/>
      <c r="AW729" s="83"/>
      <c r="AX729" s="83"/>
      <c r="AY729" s="83"/>
      <c r="AZ729" s="83"/>
      <c r="BA729" s="83"/>
      <c r="BB729" s="83"/>
      <c r="BC729" s="83"/>
      <c r="BD729" s="83"/>
      <c r="BE729" s="83"/>
      <c r="BF729" s="83"/>
      <c r="BG729" s="83"/>
      <c r="BH729" s="83"/>
      <c r="BI729" s="83"/>
      <c r="BJ729" s="83"/>
      <c r="BK729" s="83"/>
      <c r="BL729" s="83"/>
      <c r="BM729" s="83"/>
      <c r="BN729" s="83"/>
      <c r="BO729" s="83"/>
      <c r="BP729" s="83"/>
      <c r="BQ729" s="83"/>
      <c r="BR729" s="83"/>
      <c r="BS729" s="83"/>
      <c r="BT729" s="83"/>
      <c r="BU729" s="83"/>
      <c r="BV729" s="83"/>
      <c r="BW729" s="83"/>
      <c r="BX729" s="83"/>
      <c r="BY729" s="83"/>
      <c r="BZ729" s="83"/>
      <c r="CA729" s="83"/>
      <c r="CB729" s="83"/>
      <c r="CC729" s="83"/>
      <c r="CD729" s="83"/>
      <c r="CE729" s="83"/>
      <c r="CF729" s="83"/>
      <c r="CG729" s="83"/>
      <c r="CH729" s="83"/>
      <c r="CI729" s="83"/>
      <c r="CJ729" s="83"/>
      <c r="CK729" s="83"/>
      <c r="CL729" s="83"/>
      <c r="CM729" s="83"/>
      <c r="CN729" s="83"/>
      <c r="CO729" s="83"/>
      <c r="CP729" s="83"/>
      <c r="CQ729" s="83"/>
      <c r="CR729" s="83"/>
      <c r="CS729" s="83"/>
      <c r="CT729" s="83"/>
      <c r="CU729" s="83"/>
      <c r="CV729" s="83"/>
      <c r="CW729" s="83"/>
      <c r="CX729" s="83"/>
      <c r="CY729" s="83"/>
      <c r="CZ729" s="83"/>
      <c r="DA729" s="83"/>
      <c r="DB729" s="83"/>
      <c r="DC729" s="83"/>
    </row>
    <row r="730" spans="1:107" x14ac:dyDescent="0.3">
      <c r="A730" s="83"/>
      <c r="B730" s="83"/>
      <c r="C730" s="83"/>
      <c r="D730" s="83"/>
      <c r="E730" s="83"/>
      <c r="F730" s="83"/>
      <c r="G730" s="83"/>
      <c r="H730" s="83"/>
      <c r="I730" s="83"/>
      <c r="J730" s="83"/>
      <c r="K730" s="83"/>
      <c r="L730" s="83"/>
      <c r="M730" s="83"/>
      <c r="N730" s="83"/>
      <c r="O730" s="83"/>
      <c r="P730" s="83"/>
      <c r="Q730" s="83"/>
      <c r="R730" s="83"/>
      <c r="S730" s="83"/>
      <c r="T730" s="83"/>
      <c r="U730" s="83"/>
      <c r="V730" s="83"/>
      <c r="W730" s="83"/>
      <c r="X730" s="83"/>
      <c r="Y730" s="83"/>
      <c r="Z730" s="83"/>
      <c r="AA730" s="83"/>
      <c r="AB730" s="83"/>
      <c r="AC730" s="83"/>
      <c r="AD730" s="83"/>
      <c r="AE730" s="83"/>
      <c r="AF730" s="83"/>
      <c r="AG730" s="83"/>
      <c r="AH730" s="83"/>
      <c r="AI730" s="83"/>
      <c r="AJ730" s="83"/>
      <c r="AK730" s="83"/>
      <c r="AL730" s="83"/>
      <c r="AM730" s="83"/>
      <c r="AN730" s="83"/>
      <c r="AO730" s="83"/>
      <c r="AP730" s="83"/>
      <c r="AQ730" s="83"/>
      <c r="AR730" s="83"/>
      <c r="AS730" s="83"/>
      <c r="AT730" s="83"/>
      <c r="AU730" s="83"/>
      <c r="AV730" s="83"/>
      <c r="AW730" s="83"/>
      <c r="AX730" s="83"/>
      <c r="AY730" s="83"/>
      <c r="AZ730" s="83"/>
      <c r="BA730" s="83"/>
      <c r="BB730" s="83"/>
      <c r="BC730" s="83"/>
      <c r="BD730" s="83"/>
      <c r="BE730" s="83"/>
      <c r="BF730" s="83"/>
      <c r="BG730" s="83"/>
      <c r="BH730" s="83"/>
      <c r="BI730" s="83"/>
      <c r="BJ730" s="83"/>
      <c r="BK730" s="83"/>
      <c r="BL730" s="83"/>
      <c r="BM730" s="83"/>
      <c r="BN730" s="83"/>
      <c r="BO730" s="83"/>
      <c r="BP730" s="83"/>
      <c r="BQ730" s="83"/>
      <c r="BR730" s="83"/>
      <c r="BS730" s="83"/>
      <c r="BT730" s="83"/>
      <c r="BU730" s="83"/>
      <c r="BV730" s="83"/>
      <c r="BW730" s="83"/>
      <c r="BX730" s="83"/>
      <c r="BY730" s="83"/>
      <c r="BZ730" s="83"/>
      <c r="CA730" s="83"/>
      <c r="CB730" s="83"/>
      <c r="CC730" s="83"/>
      <c r="CD730" s="83"/>
      <c r="CE730" s="83"/>
      <c r="CF730" s="83"/>
      <c r="CG730" s="83"/>
      <c r="CH730" s="83"/>
      <c r="CI730" s="83"/>
      <c r="CJ730" s="83"/>
      <c r="CK730" s="83"/>
      <c r="CL730" s="83"/>
      <c r="CM730" s="83"/>
      <c r="CN730" s="83"/>
      <c r="CO730" s="83"/>
      <c r="CP730" s="83"/>
      <c r="CQ730" s="83"/>
      <c r="CR730" s="83"/>
      <c r="CS730" s="83"/>
      <c r="CT730" s="83"/>
      <c r="CU730" s="83"/>
      <c r="CV730" s="83"/>
      <c r="CW730" s="83"/>
      <c r="CX730" s="83"/>
      <c r="CY730" s="83"/>
      <c r="CZ730" s="83"/>
      <c r="DA730" s="83"/>
      <c r="DB730" s="83"/>
      <c r="DC730" s="83"/>
    </row>
    <row r="731" spans="1:107" x14ac:dyDescent="0.3">
      <c r="A731" s="83"/>
      <c r="B731" s="83"/>
      <c r="C731" s="83"/>
      <c r="D731" s="83"/>
      <c r="E731" s="83"/>
      <c r="F731" s="83"/>
      <c r="G731" s="83"/>
      <c r="H731" s="83"/>
      <c r="I731" s="83"/>
      <c r="J731" s="83"/>
      <c r="K731" s="83"/>
      <c r="L731" s="83"/>
      <c r="M731" s="83"/>
      <c r="N731" s="83"/>
      <c r="O731" s="83"/>
      <c r="P731" s="83"/>
      <c r="Q731" s="83"/>
      <c r="R731" s="83"/>
      <c r="S731" s="83"/>
      <c r="T731" s="83"/>
      <c r="U731" s="83"/>
      <c r="V731" s="83"/>
      <c r="W731" s="83"/>
      <c r="X731" s="83"/>
      <c r="Y731" s="83"/>
      <c r="Z731" s="83"/>
      <c r="AA731" s="83"/>
      <c r="AB731" s="83"/>
      <c r="AC731" s="83"/>
      <c r="AD731" s="83"/>
      <c r="AE731" s="83"/>
      <c r="AF731" s="83"/>
      <c r="AG731" s="83"/>
      <c r="AH731" s="83"/>
      <c r="AI731" s="83"/>
      <c r="AJ731" s="83"/>
      <c r="AK731" s="83"/>
      <c r="AL731" s="83"/>
      <c r="AM731" s="83"/>
      <c r="AN731" s="83"/>
      <c r="AO731" s="83"/>
      <c r="AP731" s="83"/>
      <c r="AQ731" s="83"/>
      <c r="AR731" s="83"/>
      <c r="AS731" s="83"/>
      <c r="AT731" s="83"/>
      <c r="AU731" s="83"/>
      <c r="AV731" s="83"/>
      <c r="AW731" s="83"/>
      <c r="AX731" s="83"/>
      <c r="AY731" s="83"/>
      <c r="AZ731" s="83"/>
      <c r="BA731" s="83"/>
      <c r="BB731" s="83"/>
      <c r="BC731" s="83"/>
      <c r="BD731" s="83"/>
      <c r="BE731" s="83"/>
      <c r="BF731" s="83"/>
      <c r="BG731" s="83"/>
      <c r="BH731" s="83"/>
      <c r="BI731" s="83"/>
      <c r="BJ731" s="83"/>
      <c r="BK731" s="83"/>
      <c r="BL731" s="83"/>
      <c r="BM731" s="83"/>
      <c r="BN731" s="83"/>
      <c r="BO731" s="83"/>
      <c r="BP731" s="83"/>
      <c r="BQ731" s="83"/>
      <c r="BR731" s="83"/>
      <c r="BS731" s="83"/>
      <c r="BT731" s="83"/>
      <c r="BU731" s="83"/>
      <c r="BV731" s="83"/>
      <c r="BW731" s="83"/>
      <c r="BX731" s="83"/>
      <c r="BY731" s="83"/>
      <c r="BZ731" s="83"/>
      <c r="CA731" s="83"/>
      <c r="CB731" s="83"/>
      <c r="CC731" s="83"/>
      <c r="CD731" s="83"/>
      <c r="CE731" s="83"/>
      <c r="CF731" s="83"/>
      <c r="CG731" s="83"/>
      <c r="CH731" s="83"/>
      <c r="CI731" s="83"/>
      <c r="CJ731" s="83"/>
      <c r="CK731" s="83"/>
      <c r="CL731" s="83"/>
      <c r="CM731" s="83"/>
      <c r="CN731" s="83"/>
      <c r="CO731" s="83"/>
      <c r="CP731" s="83"/>
      <c r="CQ731" s="83"/>
      <c r="CR731" s="83"/>
      <c r="CS731" s="83"/>
      <c r="CT731" s="83"/>
      <c r="CU731" s="83"/>
      <c r="CV731" s="83"/>
      <c r="CW731" s="83"/>
      <c r="CX731" s="83"/>
      <c r="CY731" s="83"/>
      <c r="CZ731" s="83"/>
      <c r="DA731" s="83"/>
      <c r="DB731" s="83"/>
      <c r="DC731" s="83"/>
    </row>
    <row r="732" spans="1:107" x14ac:dyDescent="0.3">
      <c r="A732" s="83"/>
      <c r="B732" s="83"/>
      <c r="C732" s="83"/>
      <c r="D732" s="83"/>
      <c r="E732" s="83"/>
      <c r="F732" s="83"/>
      <c r="G732" s="83"/>
      <c r="H732" s="83"/>
      <c r="I732" s="83"/>
      <c r="J732" s="83"/>
      <c r="K732" s="83"/>
      <c r="L732" s="83"/>
      <c r="M732" s="83"/>
      <c r="N732" s="83"/>
      <c r="O732" s="83"/>
      <c r="P732" s="83"/>
      <c r="Q732" s="83"/>
      <c r="R732" s="83"/>
      <c r="S732" s="83"/>
      <c r="T732" s="83"/>
      <c r="U732" s="83"/>
      <c r="V732" s="83"/>
      <c r="W732" s="83"/>
      <c r="X732" s="83"/>
      <c r="Y732" s="83"/>
      <c r="Z732" s="83"/>
      <c r="AA732" s="83"/>
      <c r="AB732" s="83"/>
      <c r="AC732" s="83"/>
      <c r="AD732" s="83"/>
      <c r="AE732" s="83"/>
      <c r="AF732" s="83"/>
      <c r="AG732" s="83"/>
      <c r="AH732" s="83"/>
      <c r="AI732" s="83"/>
      <c r="AJ732" s="83"/>
      <c r="AK732" s="83"/>
      <c r="AL732" s="83"/>
      <c r="AM732" s="83"/>
      <c r="AN732" s="83"/>
      <c r="AO732" s="83"/>
      <c r="AP732" s="83"/>
      <c r="AQ732" s="83"/>
      <c r="AR732" s="83"/>
      <c r="AS732" s="83"/>
      <c r="AT732" s="83"/>
      <c r="AU732" s="83"/>
      <c r="AV732" s="83"/>
      <c r="AW732" s="83"/>
      <c r="AX732" s="83"/>
      <c r="AY732" s="83"/>
      <c r="AZ732" s="83"/>
      <c r="BA732" s="83"/>
      <c r="BB732" s="83"/>
      <c r="BC732" s="83"/>
      <c r="BD732" s="83"/>
      <c r="BE732" s="83"/>
      <c r="BF732" s="83"/>
      <c r="BG732" s="83"/>
      <c r="BH732" s="83"/>
      <c r="BI732" s="83"/>
      <c r="BJ732" s="83"/>
      <c r="BK732" s="83"/>
      <c r="BL732" s="83"/>
      <c r="BM732" s="83"/>
      <c r="BN732" s="83"/>
      <c r="BO732" s="83"/>
      <c r="BP732" s="83"/>
      <c r="BQ732" s="83"/>
      <c r="BR732" s="83"/>
      <c r="BS732" s="83"/>
      <c r="BT732" s="83"/>
      <c r="BU732" s="83"/>
      <c r="BV732" s="83"/>
      <c r="BW732" s="83"/>
      <c r="BX732" s="83"/>
      <c r="BY732" s="83"/>
      <c r="BZ732" s="83"/>
      <c r="CA732" s="83"/>
      <c r="CB732" s="83"/>
      <c r="CC732" s="83"/>
      <c r="CD732" s="83"/>
      <c r="CE732" s="83"/>
      <c r="CF732" s="83"/>
      <c r="CG732" s="83"/>
      <c r="CH732" s="83"/>
      <c r="CI732" s="83"/>
      <c r="CJ732" s="83"/>
      <c r="CK732" s="83"/>
      <c r="CL732" s="83"/>
      <c r="CM732" s="83"/>
      <c r="CN732" s="83"/>
      <c r="CO732" s="83"/>
      <c r="CP732" s="83"/>
      <c r="CQ732" s="83"/>
      <c r="CR732" s="83"/>
      <c r="CS732" s="83"/>
      <c r="CT732" s="83"/>
      <c r="CU732" s="83"/>
      <c r="CV732" s="83"/>
      <c r="CW732" s="83"/>
      <c r="CX732" s="83"/>
      <c r="CY732" s="83"/>
      <c r="CZ732" s="83"/>
      <c r="DA732" s="83"/>
      <c r="DB732" s="83"/>
      <c r="DC732" s="83"/>
    </row>
    <row r="733" spans="1:107" x14ac:dyDescent="0.3">
      <c r="A733" s="83"/>
      <c r="B733" s="83"/>
      <c r="C733" s="83"/>
      <c r="D733" s="83"/>
      <c r="E733" s="83"/>
      <c r="F733" s="83"/>
      <c r="G733" s="83"/>
      <c r="H733" s="83"/>
      <c r="I733" s="83"/>
      <c r="J733" s="83"/>
      <c r="K733" s="83"/>
      <c r="L733" s="83"/>
      <c r="M733" s="83"/>
      <c r="N733" s="83"/>
      <c r="O733" s="83"/>
      <c r="P733" s="83"/>
      <c r="Q733" s="83"/>
      <c r="R733" s="83"/>
      <c r="S733" s="83"/>
      <c r="T733" s="83"/>
      <c r="U733" s="83"/>
      <c r="V733" s="83"/>
      <c r="W733" s="83"/>
      <c r="X733" s="83"/>
      <c r="Y733" s="83"/>
      <c r="Z733" s="83"/>
      <c r="AA733" s="83"/>
      <c r="AB733" s="83"/>
      <c r="AC733" s="83"/>
      <c r="AD733" s="83"/>
      <c r="AE733" s="83"/>
      <c r="AF733" s="83"/>
      <c r="AG733" s="83"/>
      <c r="AH733" s="83"/>
      <c r="AI733" s="83"/>
      <c r="AJ733" s="83"/>
      <c r="AK733" s="83"/>
      <c r="AL733" s="83"/>
      <c r="AM733" s="83"/>
      <c r="AN733" s="83"/>
      <c r="AO733" s="83"/>
      <c r="AP733" s="83"/>
      <c r="AQ733" s="83"/>
      <c r="AR733" s="83"/>
      <c r="AS733" s="83"/>
      <c r="AT733" s="83"/>
      <c r="AU733" s="83"/>
      <c r="AV733" s="83"/>
      <c r="AW733" s="83"/>
      <c r="AX733" s="83"/>
      <c r="AY733" s="83"/>
      <c r="AZ733" s="83"/>
      <c r="BA733" s="83"/>
      <c r="BB733" s="83"/>
      <c r="BC733" s="83"/>
      <c r="BD733" s="83"/>
      <c r="BE733" s="83"/>
      <c r="BF733" s="83"/>
      <c r="BG733" s="83"/>
      <c r="BH733" s="83"/>
      <c r="BI733" s="83"/>
      <c r="BJ733" s="83"/>
      <c r="BK733" s="83"/>
      <c r="BL733" s="83"/>
      <c r="BM733" s="83"/>
      <c r="BN733" s="83"/>
      <c r="BO733" s="83"/>
      <c r="BP733" s="83"/>
      <c r="BQ733" s="83"/>
      <c r="BR733" s="83"/>
      <c r="BS733" s="83"/>
      <c r="BT733" s="83"/>
      <c r="BU733" s="83"/>
      <c r="BV733" s="83"/>
      <c r="BW733" s="83"/>
      <c r="BX733" s="83"/>
      <c r="BY733" s="83"/>
      <c r="BZ733" s="83"/>
      <c r="CA733" s="83"/>
      <c r="CB733" s="83"/>
      <c r="CC733" s="83"/>
      <c r="CD733" s="83"/>
      <c r="CE733" s="83"/>
      <c r="CF733" s="83"/>
      <c r="CG733" s="83"/>
      <c r="CH733" s="83"/>
      <c r="CI733" s="83"/>
      <c r="CJ733" s="83"/>
      <c r="CK733" s="83"/>
      <c r="CL733" s="83"/>
      <c r="CM733" s="83"/>
      <c r="CN733" s="83"/>
      <c r="CO733" s="83"/>
      <c r="CP733" s="83"/>
      <c r="CQ733" s="83"/>
      <c r="CR733" s="83"/>
      <c r="CS733" s="83"/>
      <c r="CT733" s="83"/>
      <c r="CU733" s="83"/>
      <c r="CV733" s="83"/>
      <c r="CW733" s="83"/>
      <c r="CX733" s="83"/>
      <c r="CY733" s="83"/>
      <c r="CZ733" s="83"/>
      <c r="DA733" s="83"/>
      <c r="DB733" s="83"/>
      <c r="DC733" s="83"/>
    </row>
    <row r="734" spans="1:107" x14ac:dyDescent="0.3">
      <c r="A734" s="83"/>
      <c r="B734" s="83"/>
      <c r="C734" s="83"/>
      <c r="D734" s="83"/>
      <c r="E734" s="83"/>
      <c r="F734" s="83"/>
      <c r="G734" s="83"/>
      <c r="H734" s="83"/>
      <c r="I734" s="83"/>
      <c r="J734" s="83"/>
      <c r="K734" s="83"/>
      <c r="L734" s="83"/>
      <c r="M734" s="83"/>
      <c r="N734" s="83"/>
      <c r="O734" s="83"/>
      <c r="P734" s="83"/>
      <c r="Q734" s="83"/>
      <c r="R734" s="83"/>
      <c r="S734" s="83"/>
      <c r="T734" s="83"/>
      <c r="U734" s="83"/>
      <c r="V734" s="83"/>
      <c r="W734" s="83"/>
      <c r="X734" s="83"/>
      <c r="Y734" s="83"/>
      <c r="Z734" s="83"/>
      <c r="AA734" s="83"/>
      <c r="AB734" s="83"/>
      <c r="AC734" s="83"/>
      <c r="AD734" s="83"/>
      <c r="AE734" s="83"/>
      <c r="AF734" s="83"/>
      <c r="AG734" s="83"/>
      <c r="AH734" s="83"/>
      <c r="AI734" s="83"/>
      <c r="AJ734" s="83"/>
      <c r="AK734" s="83"/>
      <c r="AL734" s="83"/>
      <c r="AM734" s="83"/>
      <c r="AN734" s="83"/>
      <c r="AO734" s="83"/>
      <c r="AP734" s="83"/>
      <c r="AQ734" s="83"/>
      <c r="AR734" s="83"/>
      <c r="AS734" s="83"/>
      <c r="AT734" s="83"/>
      <c r="AU734" s="83"/>
      <c r="AV734" s="83"/>
      <c r="AW734" s="83"/>
      <c r="AX734" s="83"/>
      <c r="AY734" s="83"/>
      <c r="AZ734" s="83"/>
      <c r="BA734" s="83"/>
      <c r="BB734" s="83"/>
      <c r="BC734" s="83"/>
      <c r="BD734" s="83"/>
      <c r="BE734" s="83"/>
      <c r="BF734" s="83"/>
      <c r="BG734" s="83"/>
      <c r="BH734" s="83"/>
      <c r="BI734" s="83"/>
      <c r="BJ734" s="83"/>
      <c r="BK734" s="83"/>
      <c r="BL734" s="83"/>
      <c r="BM734" s="83"/>
      <c r="BN734" s="83"/>
      <c r="BO734" s="83"/>
      <c r="BP734" s="83"/>
      <c r="BQ734" s="83"/>
      <c r="BR734" s="83"/>
      <c r="BS734" s="83"/>
      <c r="BT734" s="83"/>
      <c r="BU734" s="83"/>
      <c r="BV734" s="83"/>
      <c r="BW734" s="83"/>
      <c r="BX734" s="83"/>
      <c r="BY734" s="83"/>
      <c r="BZ734" s="83"/>
      <c r="CA734" s="83"/>
      <c r="CB734" s="83"/>
      <c r="CC734" s="83"/>
      <c r="CD734" s="83"/>
      <c r="CE734" s="83"/>
      <c r="CF734" s="83"/>
      <c r="CG734" s="83"/>
      <c r="CH734" s="83"/>
      <c r="CI734" s="83"/>
      <c r="CJ734" s="83"/>
      <c r="CK734" s="83"/>
      <c r="CL734" s="83"/>
      <c r="CM734" s="83"/>
      <c r="CN734" s="83"/>
      <c r="CO734" s="83"/>
      <c r="CP734" s="83"/>
      <c r="CQ734" s="83"/>
      <c r="CR734" s="83"/>
      <c r="CS734" s="83"/>
      <c r="CT734" s="83"/>
      <c r="CU734" s="83"/>
      <c r="CV734" s="83"/>
      <c r="CW734" s="83"/>
      <c r="CX734" s="83"/>
      <c r="CY734" s="83"/>
      <c r="CZ734" s="83"/>
      <c r="DA734" s="83"/>
      <c r="DB734" s="83"/>
      <c r="DC734" s="83"/>
    </row>
    <row r="735" spans="1:107" x14ac:dyDescent="0.3">
      <c r="A735" s="83"/>
      <c r="B735" s="83"/>
      <c r="C735" s="83"/>
      <c r="D735" s="83"/>
      <c r="E735" s="83"/>
      <c r="F735" s="83"/>
      <c r="G735" s="83"/>
      <c r="H735" s="83"/>
      <c r="I735" s="83"/>
      <c r="J735" s="83"/>
      <c r="K735" s="83"/>
      <c r="L735" s="83"/>
      <c r="M735" s="83"/>
      <c r="N735" s="83"/>
      <c r="O735" s="83"/>
      <c r="P735" s="83"/>
      <c r="Q735" s="83"/>
      <c r="R735" s="83"/>
      <c r="S735" s="83"/>
      <c r="T735" s="83"/>
      <c r="U735" s="83"/>
      <c r="V735" s="83"/>
      <c r="W735" s="83"/>
      <c r="X735" s="83"/>
      <c r="Y735" s="83"/>
      <c r="Z735" s="83"/>
      <c r="AA735" s="83"/>
      <c r="AB735" s="83"/>
      <c r="AC735" s="83"/>
      <c r="AD735" s="83"/>
      <c r="AE735" s="83"/>
      <c r="AF735" s="83"/>
      <c r="AG735" s="83"/>
      <c r="AH735" s="83"/>
      <c r="AI735" s="83"/>
      <c r="AJ735" s="83"/>
      <c r="AK735" s="83"/>
      <c r="AL735" s="83"/>
      <c r="AM735" s="83"/>
      <c r="AN735" s="83"/>
      <c r="AO735" s="83"/>
      <c r="AP735" s="83"/>
      <c r="AQ735" s="83"/>
      <c r="AR735" s="83"/>
      <c r="AS735" s="83"/>
      <c r="AT735" s="83"/>
      <c r="AU735" s="83"/>
      <c r="AV735" s="83"/>
      <c r="AW735" s="83"/>
      <c r="AX735" s="83"/>
      <c r="AY735" s="83"/>
      <c r="AZ735" s="83"/>
      <c r="BA735" s="83"/>
      <c r="BB735" s="83"/>
      <c r="BC735" s="83"/>
      <c r="BD735" s="83"/>
      <c r="BE735" s="83"/>
      <c r="BF735" s="83"/>
      <c r="BG735" s="83"/>
      <c r="BH735" s="83"/>
      <c r="BI735" s="83"/>
      <c r="BJ735" s="83"/>
      <c r="BK735" s="83"/>
      <c r="BL735" s="83"/>
      <c r="BM735" s="83"/>
      <c r="BN735" s="83"/>
      <c r="BO735" s="83"/>
      <c r="BP735" s="83"/>
      <c r="BQ735" s="83"/>
      <c r="BR735" s="83"/>
      <c r="BS735" s="83"/>
      <c r="BT735" s="83"/>
      <c r="BU735" s="83"/>
      <c r="BV735" s="83"/>
      <c r="BW735" s="83"/>
      <c r="BX735" s="83"/>
      <c r="BY735" s="83"/>
      <c r="BZ735" s="83"/>
      <c r="CA735" s="83"/>
      <c r="CB735" s="83"/>
      <c r="CC735" s="83"/>
      <c r="CD735" s="83"/>
      <c r="CE735" s="83"/>
      <c r="CF735" s="83"/>
      <c r="CG735" s="83"/>
      <c r="CH735" s="83"/>
      <c r="CI735" s="83"/>
      <c r="CJ735" s="83"/>
      <c r="CK735" s="83"/>
      <c r="CL735" s="83"/>
      <c r="CM735" s="83"/>
      <c r="CN735" s="83"/>
      <c r="CO735" s="83"/>
      <c r="CP735" s="83"/>
      <c r="CQ735" s="83"/>
      <c r="CR735" s="83"/>
      <c r="CS735" s="83"/>
      <c r="CT735" s="83"/>
      <c r="CU735" s="83"/>
      <c r="CV735" s="83"/>
      <c r="CW735" s="83"/>
      <c r="CX735" s="83"/>
      <c r="CY735" s="83"/>
      <c r="CZ735" s="83"/>
      <c r="DA735" s="83"/>
      <c r="DB735" s="83"/>
      <c r="DC735" s="83"/>
    </row>
    <row r="736" spans="1:107" x14ac:dyDescent="0.3">
      <c r="A736" s="83"/>
      <c r="B736" s="83"/>
      <c r="C736" s="83"/>
      <c r="D736" s="83"/>
      <c r="E736" s="83"/>
      <c r="F736" s="83"/>
      <c r="G736" s="83"/>
      <c r="H736" s="83"/>
      <c r="I736" s="83"/>
      <c r="J736" s="83"/>
      <c r="K736" s="83"/>
      <c r="L736" s="83"/>
      <c r="M736" s="83"/>
      <c r="N736" s="83"/>
      <c r="O736" s="83"/>
      <c r="P736" s="83"/>
      <c r="Q736" s="83"/>
      <c r="R736" s="83"/>
      <c r="S736" s="83"/>
      <c r="T736" s="83"/>
      <c r="U736" s="83"/>
      <c r="V736" s="83"/>
      <c r="W736" s="83"/>
      <c r="X736" s="83"/>
      <c r="Y736" s="83"/>
      <c r="Z736" s="83"/>
      <c r="AA736" s="83"/>
      <c r="AB736" s="83"/>
      <c r="AC736" s="83"/>
      <c r="AD736" s="83"/>
      <c r="AE736" s="83"/>
      <c r="AF736" s="83"/>
      <c r="AG736" s="83"/>
      <c r="AH736" s="83"/>
      <c r="AI736" s="83"/>
      <c r="AJ736" s="83"/>
      <c r="AK736" s="83"/>
      <c r="AL736" s="83"/>
      <c r="AM736" s="83"/>
      <c r="AN736" s="83"/>
      <c r="AO736" s="83"/>
      <c r="AP736" s="83"/>
      <c r="AQ736" s="83"/>
      <c r="AR736" s="83"/>
      <c r="AS736" s="83"/>
      <c r="AT736" s="83"/>
      <c r="AU736" s="83"/>
      <c r="AV736" s="83"/>
      <c r="AW736" s="83"/>
      <c r="AX736" s="83"/>
      <c r="AY736" s="83"/>
      <c r="AZ736" s="83"/>
      <c r="BA736" s="83"/>
      <c r="BB736" s="83"/>
      <c r="BC736" s="83"/>
      <c r="BD736" s="83"/>
      <c r="BE736" s="83"/>
      <c r="BF736" s="83"/>
      <c r="BG736" s="83"/>
      <c r="BH736" s="83"/>
      <c r="BI736" s="83"/>
      <c r="BJ736" s="83"/>
      <c r="BK736" s="83"/>
      <c r="BL736" s="83"/>
      <c r="BM736" s="83"/>
      <c r="BN736" s="83"/>
      <c r="BO736" s="83"/>
      <c r="BP736" s="83"/>
      <c r="BQ736" s="83"/>
      <c r="BR736" s="83"/>
      <c r="BS736" s="83"/>
      <c r="BT736" s="83"/>
      <c r="BU736" s="83"/>
      <c r="BV736" s="83"/>
      <c r="BW736" s="83"/>
      <c r="BX736" s="83"/>
      <c r="BY736" s="83"/>
      <c r="BZ736" s="83"/>
      <c r="CA736" s="83"/>
      <c r="CB736" s="83"/>
      <c r="CC736" s="83"/>
      <c r="CD736" s="83"/>
      <c r="CE736" s="83"/>
      <c r="CF736" s="83"/>
      <c r="CG736" s="83"/>
      <c r="CH736" s="83"/>
      <c r="CI736" s="83"/>
      <c r="CJ736" s="83"/>
      <c r="CK736" s="83"/>
      <c r="CL736" s="83"/>
      <c r="CM736" s="83"/>
      <c r="CN736" s="83"/>
      <c r="CO736" s="83"/>
      <c r="CP736" s="83"/>
      <c r="CQ736" s="83"/>
      <c r="CR736" s="83"/>
      <c r="CS736" s="83"/>
      <c r="CT736" s="83"/>
      <c r="CU736" s="83"/>
      <c r="CV736" s="83"/>
      <c r="CW736" s="83"/>
      <c r="CX736" s="83"/>
      <c r="CY736" s="83"/>
      <c r="CZ736" s="83"/>
      <c r="DA736" s="83"/>
      <c r="DB736" s="83"/>
      <c r="DC736" s="83"/>
    </row>
    <row r="737" spans="1:107" x14ac:dyDescent="0.3">
      <c r="A737" s="83"/>
      <c r="B737" s="83"/>
      <c r="C737" s="83"/>
      <c r="D737" s="83"/>
      <c r="E737" s="83"/>
      <c r="F737" s="83"/>
      <c r="G737" s="83"/>
      <c r="H737" s="83"/>
      <c r="I737" s="83"/>
      <c r="J737" s="83"/>
      <c r="K737" s="83"/>
      <c r="L737" s="83"/>
      <c r="M737" s="83"/>
      <c r="N737" s="83"/>
      <c r="O737" s="83"/>
      <c r="P737" s="83"/>
      <c r="Q737" s="83"/>
      <c r="R737" s="83"/>
      <c r="S737" s="83"/>
      <c r="T737" s="83"/>
      <c r="U737" s="83"/>
      <c r="V737" s="83"/>
      <c r="W737" s="83"/>
      <c r="X737" s="83"/>
      <c r="Y737" s="83"/>
      <c r="Z737" s="83"/>
      <c r="AA737" s="83"/>
      <c r="AB737" s="83"/>
      <c r="AC737" s="83"/>
      <c r="AD737" s="83"/>
      <c r="AE737" s="83"/>
      <c r="AF737" s="83"/>
      <c r="AG737" s="83"/>
      <c r="AH737" s="83"/>
      <c r="AI737" s="83"/>
      <c r="AJ737" s="83"/>
      <c r="AK737" s="83"/>
      <c r="AL737" s="83"/>
      <c r="AM737" s="83"/>
      <c r="AN737" s="83"/>
      <c r="AO737" s="83"/>
      <c r="AP737" s="83"/>
      <c r="AQ737" s="83"/>
      <c r="AR737" s="83"/>
      <c r="AS737" s="83"/>
      <c r="AT737" s="83"/>
      <c r="AU737" s="83"/>
      <c r="AV737" s="83"/>
      <c r="AW737" s="83"/>
      <c r="AX737" s="83"/>
      <c r="AY737" s="83"/>
      <c r="AZ737" s="83"/>
      <c r="BA737" s="83"/>
      <c r="BB737" s="83"/>
      <c r="BC737" s="83"/>
      <c r="BD737" s="83"/>
      <c r="BE737" s="83"/>
      <c r="BF737" s="83"/>
      <c r="BG737" s="83"/>
      <c r="BH737" s="83"/>
      <c r="BI737" s="83"/>
      <c r="BJ737" s="83"/>
      <c r="BK737" s="83"/>
      <c r="BL737" s="83"/>
      <c r="BM737" s="83"/>
      <c r="BN737" s="83"/>
      <c r="BO737" s="83"/>
      <c r="BP737" s="83"/>
      <c r="BQ737" s="83"/>
      <c r="BR737" s="83"/>
      <c r="BS737" s="83"/>
      <c r="BT737" s="83"/>
      <c r="BU737" s="83"/>
      <c r="BV737" s="83"/>
      <c r="BW737" s="83"/>
      <c r="BX737" s="83"/>
      <c r="BY737" s="83"/>
      <c r="BZ737" s="83"/>
      <c r="CA737" s="83"/>
      <c r="CB737" s="83"/>
      <c r="CC737" s="83"/>
      <c r="CD737" s="83"/>
      <c r="CE737" s="83"/>
      <c r="CF737" s="83"/>
      <c r="CG737" s="83"/>
      <c r="CH737" s="83"/>
      <c r="CI737" s="83"/>
      <c r="CJ737" s="83"/>
      <c r="CK737" s="83"/>
      <c r="CL737" s="83"/>
      <c r="CM737" s="83"/>
      <c r="CN737" s="83"/>
      <c r="CO737" s="83"/>
      <c r="CP737" s="83"/>
      <c r="CQ737" s="83"/>
      <c r="CR737" s="83"/>
      <c r="CS737" s="83"/>
      <c r="CT737" s="83"/>
      <c r="CU737" s="83"/>
      <c r="CV737" s="83"/>
      <c r="CW737" s="83"/>
      <c r="CX737" s="83"/>
      <c r="CY737" s="83"/>
      <c r="CZ737" s="83"/>
      <c r="DA737" s="83"/>
      <c r="DB737" s="83"/>
      <c r="DC737" s="83"/>
    </row>
    <row r="738" spans="1:107" x14ac:dyDescent="0.3">
      <c r="A738" s="83"/>
      <c r="B738" s="83"/>
      <c r="C738" s="83"/>
      <c r="D738" s="83"/>
      <c r="E738" s="83"/>
      <c r="F738" s="83"/>
      <c r="G738" s="83"/>
      <c r="H738" s="83"/>
      <c r="I738" s="83"/>
      <c r="J738" s="83"/>
      <c r="K738" s="83"/>
      <c r="L738" s="83"/>
      <c r="M738" s="83"/>
      <c r="N738" s="83"/>
      <c r="O738" s="83"/>
      <c r="P738" s="83"/>
      <c r="Q738" s="83"/>
      <c r="R738" s="83"/>
      <c r="S738" s="83"/>
      <c r="T738" s="83"/>
      <c r="U738" s="83"/>
      <c r="V738" s="83"/>
      <c r="W738" s="83"/>
      <c r="X738" s="83"/>
      <c r="Y738" s="83"/>
      <c r="Z738" s="83"/>
      <c r="AA738" s="83"/>
      <c r="AB738" s="83"/>
      <c r="AC738" s="83"/>
      <c r="AD738" s="83"/>
      <c r="AE738" s="83"/>
      <c r="AF738" s="83"/>
      <c r="AG738" s="83"/>
      <c r="AH738" s="83"/>
      <c r="AI738" s="83"/>
      <c r="AJ738" s="83"/>
      <c r="AK738" s="83"/>
      <c r="AL738" s="83"/>
      <c r="AM738" s="83"/>
      <c r="AN738" s="83"/>
      <c r="AO738" s="83"/>
      <c r="AP738" s="83"/>
      <c r="AQ738" s="83"/>
      <c r="AR738" s="83"/>
      <c r="AS738" s="83"/>
      <c r="AT738" s="83"/>
      <c r="AU738" s="83"/>
      <c r="AV738" s="83"/>
      <c r="AW738" s="83"/>
      <c r="AX738" s="83"/>
      <c r="AY738" s="83"/>
      <c r="AZ738" s="83"/>
      <c r="BA738" s="83"/>
      <c r="BB738" s="83"/>
      <c r="BC738" s="83"/>
      <c r="BD738" s="83"/>
      <c r="BE738" s="83"/>
      <c r="BF738" s="83"/>
      <c r="BG738" s="83"/>
      <c r="BH738" s="83"/>
      <c r="BI738" s="83"/>
      <c r="BJ738" s="83"/>
      <c r="BK738" s="83"/>
      <c r="BL738" s="83"/>
      <c r="BM738" s="83"/>
      <c r="BN738" s="83"/>
      <c r="BO738" s="83"/>
      <c r="BP738" s="83"/>
      <c r="BQ738" s="83"/>
      <c r="BR738" s="83"/>
      <c r="BS738" s="83"/>
      <c r="BT738" s="83"/>
      <c r="BU738" s="83"/>
      <c r="BV738" s="83"/>
      <c r="BW738" s="83"/>
      <c r="BX738" s="83"/>
      <c r="BY738" s="83"/>
      <c r="BZ738" s="83"/>
      <c r="CA738" s="83"/>
      <c r="CB738" s="83"/>
      <c r="CC738" s="83"/>
      <c r="CD738" s="83"/>
      <c r="CE738" s="83"/>
      <c r="CF738" s="83"/>
      <c r="CG738" s="83"/>
      <c r="CH738" s="83"/>
      <c r="CI738" s="83"/>
      <c r="CJ738" s="83"/>
      <c r="CK738" s="83"/>
      <c r="CL738" s="83"/>
      <c r="CM738" s="83"/>
      <c r="CN738" s="83"/>
      <c r="CO738" s="83"/>
      <c r="CP738" s="83"/>
      <c r="CQ738" s="83"/>
      <c r="CR738" s="83"/>
      <c r="CS738" s="83"/>
      <c r="CT738" s="83"/>
      <c r="CU738" s="83"/>
      <c r="CV738" s="83"/>
      <c r="CW738" s="83"/>
      <c r="CX738" s="83"/>
      <c r="CY738" s="83"/>
      <c r="CZ738" s="83"/>
      <c r="DA738" s="83"/>
      <c r="DB738" s="83"/>
      <c r="DC738" s="83"/>
    </row>
    <row r="739" spans="1:107" x14ac:dyDescent="0.3">
      <c r="A739" s="83"/>
      <c r="B739" s="83"/>
      <c r="C739" s="83"/>
      <c r="D739" s="83"/>
      <c r="E739" s="83"/>
      <c r="F739" s="83"/>
      <c r="G739" s="83"/>
      <c r="H739" s="83"/>
      <c r="I739" s="83"/>
      <c r="J739" s="83"/>
      <c r="K739" s="83"/>
      <c r="L739" s="83"/>
      <c r="M739" s="83"/>
      <c r="N739" s="83"/>
      <c r="O739" s="83"/>
      <c r="P739" s="83"/>
      <c r="Q739" s="83"/>
      <c r="R739" s="83"/>
      <c r="S739" s="83"/>
      <c r="T739" s="83"/>
      <c r="U739" s="83"/>
      <c r="V739" s="83"/>
      <c r="W739" s="83"/>
      <c r="X739" s="83"/>
      <c r="Y739" s="83"/>
      <c r="Z739" s="83"/>
      <c r="AA739" s="83"/>
      <c r="AB739" s="83"/>
      <c r="AC739" s="83"/>
      <c r="AD739" s="83"/>
      <c r="AE739" s="83"/>
      <c r="AF739" s="83"/>
      <c r="AG739" s="83"/>
      <c r="AH739" s="83"/>
      <c r="AI739" s="83"/>
      <c r="AJ739" s="83"/>
      <c r="AK739" s="83"/>
      <c r="AL739" s="83"/>
      <c r="AM739" s="83"/>
      <c r="AN739" s="83"/>
      <c r="AO739" s="83"/>
      <c r="AP739" s="83"/>
      <c r="AQ739" s="83"/>
      <c r="AR739" s="83"/>
      <c r="AS739" s="83"/>
      <c r="AT739" s="83"/>
      <c r="AU739" s="83"/>
      <c r="AV739" s="83"/>
      <c r="AW739" s="83"/>
      <c r="AX739" s="83"/>
      <c r="AY739" s="83"/>
      <c r="AZ739" s="83"/>
      <c r="BA739" s="83"/>
      <c r="BB739" s="83"/>
      <c r="BC739" s="83"/>
      <c r="BD739" s="83"/>
      <c r="BE739" s="83"/>
      <c r="BF739" s="83"/>
      <c r="BG739" s="83"/>
      <c r="BH739" s="83"/>
      <c r="BI739" s="83"/>
      <c r="BJ739" s="83"/>
      <c r="BK739" s="83"/>
      <c r="BL739" s="83"/>
      <c r="BM739" s="83"/>
      <c r="BN739" s="83"/>
      <c r="BO739" s="83"/>
      <c r="BP739" s="83"/>
      <c r="BQ739" s="83"/>
      <c r="BR739" s="83"/>
      <c r="BS739" s="83"/>
      <c r="BT739" s="83"/>
      <c r="BU739" s="83"/>
      <c r="BV739" s="83"/>
      <c r="BW739" s="83"/>
      <c r="BX739" s="83"/>
      <c r="BY739" s="83"/>
      <c r="BZ739" s="83"/>
      <c r="CA739" s="83"/>
      <c r="CB739" s="83"/>
      <c r="CC739" s="83"/>
      <c r="CD739" s="83"/>
      <c r="CE739" s="83"/>
      <c r="CF739" s="83"/>
      <c r="CG739" s="83"/>
      <c r="CH739" s="83"/>
      <c r="CI739" s="83"/>
      <c r="CJ739" s="83"/>
      <c r="CK739" s="83"/>
      <c r="CL739" s="83"/>
      <c r="CM739" s="83"/>
      <c r="CN739" s="83"/>
      <c r="CO739" s="83"/>
      <c r="CP739" s="83"/>
      <c r="CQ739" s="83"/>
      <c r="CR739" s="83"/>
      <c r="CS739" s="83"/>
      <c r="CT739" s="83"/>
      <c r="CU739" s="83"/>
      <c r="CV739" s="83"/>
      <c r="CW739" s="83"/>
      <c r="CX739" s="83"/>
      <c r="CY739" s="83"/>
      <c r="CZ739" s="83"/>
      <c r="DA739" s="83"/>
      <c r="DB739" s="83"/>
      <c r="DC739" s="83"/>
    </row>
    <row r="740" spans="1:107" x14ac:dyDescent="0.3">
      <c r="A740" s="83"/>
      <c r="B740" s="83"/>
      <c r="C740" s="83"/>
      <c r="D740" s="83"/>
      <c r="E740" s="83"/>
      <c r="F740" s="83"/>
      <c r="G740" s="83"/>
      <c r="H740" s="83"/>
      <c r="I740" s="83"/>
      <c r="J740" s="83"/>
      <c r="K740" s="83"/>
      <c r="L740" s="83"/>
      <c r="M740" s="83"/>
      <c r="N740" s="83"/>
      <c r="O740" s="83"/>
      <c r="P740" s="83"/>
      <c r="Q740" s="83"/>
      <c r="R740" s="83"/>
      <c r="S740" s="83"/>
      <c r="T740" s="83"/>
      <c r="U740" s="83"/>
      <c r="V740" s="83"/>
      <c r="W740" s="83"/>
      <c r="X740" s="83"/>
      <c r="Y740" s="83"/>
      <c r="Z740" s="83"/>
      <c r="AA740" s="83"/>
      <c r="AB740" s="83"/>
      <c r="AC740" s="83"/>
      <c r="AD740" s="83"/>
      <c r="AE740" s="83"/>
      <c r="AF740" s="83"/>
      <c r="AG740" s="83"/>
      <c r="AH740" s="83"/>
      <c r="AI740" s="83"/>
      <c r="AJ740" s="83"/>
      <c r="AK740" s="83"/>
      <c r="AL740" s="83"/>
      <c r="AM740" s="83"/>
      <c r="AN740" s="83"/>
      <c r="AO740" s="83"/>
      <c r="AP740" s="83"/>
      <c r="AQ740" s="83"/>
      <c r="AR740" s="83"/>
      <c r="AS740" s="83"/>
      <c r="AT740" s="83"/>
      <c r="AU740" s="83"/>
      <c r="AV740" s="83"/>
      <c r="AW740" s="83"/>
      <c r="AX740" s="83"/>
      <c r="AY740" s="83"/>
      <c r="AZ740" s="83"/>
      <c r="BA740" s="83"/>
      <c r="BB740" s="83"/>
      <c r="BC740" s="83"/>
      <c r="BD740" s="83"/>
      <c r="BE740" s="83"/>
      <c r="BF740" s="83"/>
      <c r="BG740" s="83"/>
      <c r="BH740" s="83"/>
      <c r="BI740" s="83"/>
      <c r="BJ740" s="83"/>
      <c r="BK740" s="83"/>
      <c r="BL740" s="83"/>
      <c r="BM740" s="83"/>
      <c r="BN740" s="83"/>
      <c r="BO740" s="83"/>
      <c r="BP740" s="83"/>
      <c r="BQ740" s="83"/>
      <c r="BR740" s="83"/>
      <c r="BS740" s="83"/>
      <c r="BT740" s="83"/>
      <c r="BU740" s="83"/>
      <c r="BV740" s="83"/>
      <c r="BW740" s="83"/>
      <c r="BX740" s="83"/>
      <c r="BY740" s="83"/>
      <c r="BZ740" s="83"/>
      <c r="CA740" s="83"/>
      <c r="CB740" s="83"/>
      <c r="CC740" s="83"/>
      <c r="CD740" s="83"/>
      <c r="CE740" s="83"/>
      <c r="CF740" s="83"/>
      <c r="CG740" s="83"/>
      <c r="CH740" s="83"/>
      <c r="CI740" s="83"/>
      <c r="CJ740" s="83"/>
      <c r="CK740" s="83"/>
      <c r="CL740" s="83"/>
      <c r="CM740" s="83"/>
      <c r="CN740" s="83"/>
      <c r="CO740" s="83"/>
      <c r="CP740" s="83"/>
      <c r="CQ740" s="83"/>
      <c r="CR740" s="83"/>
      <c r="CS740" s="83"/>
      <c r="CT740" s="83"/>
      <c r="CU740" s="83"/>
      <c r="CV740" s="83"/>
      <c r="CW740" s="83"/>
      <c r="CX740" s="83"/>
      <c r="CY740" s="83"/>
      <c r="CZ740" s="83"/>
      <c r="DA740" s="83"/>
      <c r="DB740" s="83"/>
      <c r="DC740" s="83"/>
    </row>
    <row r="741" spans="1:107" x14ac:dyDescent="0.3">
      <c r="A741" s="83"/>
      <c r="B741" s="83"/>
      <c r="C741" s="83"/>
      <c r="D741" s="83"/>
      <c r="E741" s="83"/>
      <c r="F741" s="83"/>
      <c r="G741" s="83"/>
      <c r="H741" s="83"/>
      <c r="I741" s="83"/>
      <c r="J741" s="83"/>
      <c r="K741" s="83"/>
      <c r="L741" s="83"/>
      <c r="M741" s="83"/>
      <c r="N741" s="83"/>
      <c r="O741" s="83"/>
      <c r="P741" s="83"/>
      <c r="Q741" s="83"/>
      <c r="R741" s="83"/>
      <c r="S741" s="83"/>
      <c r="T741" s="83"/>
      <c r="U741" s="83"/>
      <c r="V741" s="83"/>
      <c r="W741" s="83"/>
      <c r="X741" s="83"/>
      <c r="Y741" s="83"/>
      <c r="Z741" s="83"/>
      <c r="AA741" s="83"/>
      <c r="AB741" s="83"/>
      <c r="AC741" s="83"/>
      <c r="AD741" s="83"/>
      <c r="AE741" s="83"/>
      <c r="AF741" s="83"/>
      <c r="AG741" s="83"/>
      <c r="AH741" s="83"/>
      <c r="AI741" s="83"/>
      <c r="AJ741" s="83"/>
      <c r="AK741" s="83"/>
      <c r="AL741" s="83"/>
      <c r="AM741" s="83"/>
      <c r="AN741" s="83"/>
      <c r="AO741" s="83"/>
      <c r="AP741" s="83"/>
      <c r="AQ741" s="83"/>
      <c r="AR741" s="83"/>
      <c r="AS741" s="83"/>
      <c r="AT741" s="83"/>
      <c r="AU741" s="83"/>
      <c r="AV741" s="83"/>
      <c r="AW741" s="83"/>
      <c r="AX741" s="83"/>
      <c r="AY741" s="83"/>
      <c r="AZ741" s="83"/>
      <c r="BA741" s="83"/>
      <c r="BB741" s="83"/>
      <c r="BC741" s="83"/>
      <c r="BD741" s="83"/>
      <c r="BE741" s="83"/>
      <c r="BF741" s="83"/>
      <c r="BG741" s="83"/>
      <c r="BH741" s="83"/>
      <c r="BI741" s="83"/>
      <c r="BJ741" s="83"/>
      <c r="BK741" s="83"/>
      <c r="BL741" s="83"/>
      <c r="BM741" s="83"/>
      <c r="BN741" s="83"/>
      <c r="BO741" s="83"/>
      <c r="BP741" s="83"/>
      <c r="BQ741" s="83"/>
      <c r="BR741" s="83"/>
      <c r="BS741" s="83"/>
      <c r="BT741" s="83"/>
      <c r="BU741" s="83"/>
      <c r="BV741" s="83"/>
      <c r="BW741" s="83"/>
      <c r="BX741" s="83"/>
      <c r="BY741" s="83"/>
      <c r="BZ741" s="83"/>
      <c r="CA741" s="83"/>
      <c r="CB741" s="83"/>
      <c r="CC741" s="83"/>
      <c r="CD741" s="83"/>
      <c r="CE741" s="83"/>
      <c r="CF741" s="83"/>
      <c r="CG741" s="83"/>
      <c r="CH741" s="83"/>
      <c r="CI741" s="83"/>
      <c r="CJ741" s="83"/>
      <c r="CK741" s="83"/>
      <c r="CL741" s="83"/>
      <c r="CM741" s="83"/>
      <c r="CN741" s="83"/>
      <c r="CO741" s="83"/>
      <c r="CP741" s="83"/>
      <c r="CQ741" s="83"/>
      <c r="CR741" s="83"/>
      <c r="CS741" s="83"/>
      <c r="CT741" s="83"/>
      <c r="CU741" s="83"/>
      <c r="CV741" s="83"/>
      <c r="CW741" s="83"/>
      <c r="CX741" s="83"/>
      <c r="CY741" s="83"/>
      <c r="CZ741" s="83"/>
      <c r="DA741" s="83"/>
      <c r="DB741" s="83"/>
      <c r="DC741" s="83"/>
    </row>
    <row r="742" spans="1:107" x14ac:dyDescent="0.3">
      <c r="A742" s="83"/>
      <c r="B742" s="83"/>
      <c r="C742" s="83"/>
      <c r="D742" s="83"/>
      <c r="E742" s="83"/>
      <c r="F742" s="83"/>
      <c r="G742" s="83"/>
      <c r="H742" s="83"/>
      <c r="I742" s="83"/>
      <c r="J742" s="83"/>
      <c r="K742" s="83"/>
      <c r="L742" s="83"/>
      <c r="M742" s="83"/>
      <c r="N742" s="83"/>
      <c r="O742" s="83"/>
      <c r="P742" s="83"/>
      <c r="Q742" s="83"/>
      <c r="R742" s="83"/>
      <c r="S742" s="83"/>
      <c r="T742" s="83"/>
      <c r="U742" s="83"/>
      <c r="V742" s="83"/>
      <c r="W742" s="83"/>
      <c r="X742" s="83"/>
      <c r="Y742" s="83"/>
      <c r="Z742" s="83"/>
      <c r="AA742" s="83"/>
      <c r="AB742" s="83"/>
      <c r="AC742" s="83"/>
      <c r="AD742" s="83"/>
      <c r="AE742" s="83"/>
      <c r="AF742" s="83"/>
      <c r="AG742" s="83"/>
      <c r="AH742" s="83"/>
      <c r="AI742" s="83"/>
      <c r="AJ742" s="83"/>
      <c r="AK742" s="83"/>
      <c r="AL742" s="83"/>
      <c r="AM742" s="83"/>
      <c r="AN742" s="83"/>
      <c r="AO742" s="83"/>
      <c r="AP742" s="83"/>
      <c r="AQ742" s="83"/>
      <c r="AR742" s="83"/>
      <c r="AS742" s="83"/>
      <c r="AT742" s="83"/>
      <c r="AU742" s="83"/>
      <c r="AV742" s="83"/>
      <c r="AW742" s="83"/>
      <c r="AX742" s="83"/>
      <c r="AY742" s="83"/>
      <c r="AZ742" s="83"/>
      <c r="BA742" s="83"/>
      <c r="BB742" s="83"/>
      <c r="BC742" s="83"/>
      <c r="BD742" s="83"/>
      <c r="BE742" s="83"/>
      <c r="BF742" s="83"/>
      <c r="BG742" s="83"/>
      <c r="BH742" s="83"/>
      <c r="BI742" s="83"/>
      <c r="BJ742" s="83"/>
      <c r="BK742" s="83"/>
      <c r="BL742" s="83"/>
      <c r="BM742" s="83"/>
      <c r="BN742" s="83"/>
      <c r="BO742" s="83"/>
      <c r="BP742" s="83"/>
      <c r="BQ742" s="83"/>
      <c r="BR742" s="83"/>
      <c r="BS742" s="83"/>
      <c r="BT742" s="83"/>
      <c r="BU742" s="83"/>
      <c r="BV742" s="83"/>
      <c r="BW742" s="83"/>
      <c r="BX742" s="83"/>
      <c r="BY742" s="83"/>
      <c r="BZ742" s="83"/>
      <c r="CA742" s="83"/>
      <c r="CB742" s="83"/>
      <c r="CC742" s="83"/>
      <c r="CD742" s="83"/>
      <c r="CE742" s="83"/>
      <c r="CF742" s="83"/>
      <c r="CG742" s="83"/>
      <c r="CH742" s="83"/>
      <c r="CI742" s="83"/>
      <c r="CJ742" s="83"/>
      <c r="CK742" s="83"/>
      <c r="CL742" s="83"/>
      <c r="CM742" s="83"/>
      <c r="CN742" s="83"/>
      <c r="CO742" s="83"/>
      <c r="CP742" s="83"/>
      <c r="CQ742" s="83"/>
      <c r="CR742" s="83"/>
      <c r="CS742" s="83"/>
      <c r="CT742" s="83"/>
      <c r="CU742" s="83"/>
      <c r="CV742" s="83"/>
      <c r="CW742" s="83"/>
      <c r="CX742" s="83"/>
      <c r="CY742" s="83"/>
      <c r="CZ742" s="83"/>
      <c r="DA742" s="83"/>
      <c r="DB742" s="83"/>
      <c r="DC742" s="83"/>
    </row>
    <row r="743" spans="1:107" x14ac:dyDescent="0.3">
      <c r="A743" s="83"/>
      <c r="B743" s="83"/>
      <c r="C743" s="83"/>
      <c r="D743" s="83"/>
      <c r="E743" s="83"/>
      <c r="F743" s="83"/>
      <c r="G743" s="83"/>
      <c r="H743" s="83"/>
      <c r="I743" s="83"/>
      <c r="J743" s="83"/>
      <c r="K743" s="83"/>
      <c r="L743" s="83"/>
      <c r="M743" s="83"/>
      <c r="N743" s="83"/>
      <c r="O743" s="83"/>
      <c r="P743" s="83"/>
      <c r="Q743" s="83"/>
      <c r="R743" s="83"/>
      <c r="S743" s="83"/>
      <c r="T743" s="83"/>
      <c r="U743" s="83"/>
      <c r="V743" s="83"/>
      <c r="W743" s="83"/>
      <c r="X743" s="83"/>
      <c r="Y743" s="83"/>
      <c r="Z743" s="83"/>
      <c r="AA743" s="83"/>
      <c r="AB743" s="83"/>
      <c r="AC743" s="83"/>
      <c r="AD743" s="83"/>
      <c r="AE743" s="83"/>
      <c r="AF743" s="83"/>
      <c r="AG743" s="83"/>
      <c r="AH743" s="83"/>
      <c r="AI743" s="83"/>
      <c r="AJ743" s="83"/>
      <c r="AK743" s="83"/>
      <c r="AL743" s="83"/>
      <c r="AM743" s="83"/>
      <c r="AN743" s="83"/>
      <c r="AO743" s="83"/>
      <c r="AP743" s="83"/>
      <c r="AQ743" s="83"/>
      <c r="AR743" s="83"/>
      <c r="AS743" s="83"/>
      <c r="AT743" s="83"/>
      <c r="AU743" s="83"/>
      <c r="AV743" s="83"/>
      <c r="AW743" s="83"/>
      <c r="AX743" s="83"/>
      <c r="AY743" s="83"/>
      <c r="AZ743" s="83"/>
      <c r="BA743" s="83"/>
      <c r="BB743" s="83"/>
      <c r="BC743" s="83"/>
      <c r="BD743" s="83"/>
      <c r="BE743" s="83"/>
      <c r="BF743" s="83"/>
      <c r="BG743" s="83"/>
      <c r="BH743" s="83"/>
      <c r="BI743" s="83"/>
      <c r="BJ743" s="83"/>
      <c r="BK743" s="83"/>
      <c r="BL743" s="83"/>
      <c r="BM743" s="83"/>
      <c r="BN743" s="83"/>
      <c r="BO743" s="83"/>
      <c r="BP743" s="83"/>
      <c r="BQ743" s="83"/>
      <c r="BR743" s="83"/>
      <c r="BS743" s="83"/>
      <c r="BT743" s="83"/>
      <c r="BU743" s="83"/>
      <c r="BV743" s="83"/>
      <c r="BW743" s="83"/>
      <c r="BX743" s="83"/>
      <c r="BY743" s="83"/>
      <c r="BZ743" s="83"/>
      <c r="CA743" s="83"/>
      <c r="CB743" s="83"/>
      <c r="CC743" s="83"/>
      <c r="CD743" s="83"/>
      <c r="CE743" s="83"/>
      <c r="CF743" s="83"/>
      <c r="CG743" s="83"/>
      <c r="CH743" s="83"/>
      <c r="CI743" s="83"/>
      <c r="CJ743" s="83"/>
      <c r="CK743" s="83"/>
      <c r="CL743" s="83"/>
      <c r="CM743" s="83"/>
      <c r="CN743" s="83"/>
      <c r="CO743" s="83"/>
      <c r="CP743" s="83"/>
      <c r="CQ743" s="83"/>
      <c r="CR743" s="83"/>
      <c r="CS743" s="83"/>
      <c r="CT743" s="83"/>
      <c r="CU743" s="83"/>
      <c r="CV743" s="83"/>
      <c r="CW743" s="83"/>
      <c r="CX743" s="83"/>
      <c r="CY743" s="83"/>
      <c r="CZ743" s="83"/>
      <c r="DA743" s="83"/>
      <c r="DB743" s="83"/>
      <c r="DC743" s="83"/>
    </row>
    <row r="744" spans="1:107" x14ac:dyDescent="0.3">
      <c r="A744" s="83"/>
      <c r="B744" s="83"/>
      <c r="C744" s="83"/>
      <c r="D744" s="83"/>
      <c r="E744" s="83"/>
      <c r="F744" s="83"/>
      <c r="G744" s="83"/>
      <c r="H744" s="83"/>
      <c r="I744" s="83"/>
      <c r="J744" s="83"/>
      <c r="K744" s="83"/>
      <c r="L744" s="83"/>
      <c r="M744" s="83"/>
      <c r="N744" s="83"/>
      <c r="O744" s="83"/>
      <c r="P744" s="83"/>
      <c r="Q744" s="83"/>
      <c r="R744" s="83"/>
      <c r="S744" s="83"/>
      <c r="T744" s="83"/>
      <c r="U744" s="83"/>
      <c r="V744" s="83"/>
      <c r="W744" s="83"/>
      <c r="X744" s="83"/>
      <c r="Y744" s="83"/>
      <c r="Z744" s="83"/>
      <c r="AA744" s="83"/>
      <c r="AB744" s="83"/>
      <c r="AC744" s="83"/>
      <c r="AD744" s="83"/>
      <c r="AE744" s="83"/>
      <c r="AF744" s="83"/>
      <c r="AG744" s="83"/>
      <c r="AH744" s="83"/>
      <c r="AI744" s="83"/>
      <c r="AJ744" s="83"/>
      <c r="AK744" s="83"/>
      <c r="AL744" s="83"/>
      <c r="AM744" s="83"/>
      <c r="AN744" s="83"/>
      <c r="AO744" s="83"/>
      <c r="AP744" s="83"/>
      <c r="AQ744" s="83"/>
      <c r="AR744" s="83"/>
      <c r="AS744" s="83"/>
      <c r="AT744" s="83"/>
      <c r="AU744" s="83"/>
      <c r="AV744" s="83"/>
      <c r="AW744" s="83"/>
      <c r="AX744" s="83"/>
      <c r="AY744" s="83"/>
      <c r="AZ744" s="83"/>
      <c r="BA744" s="83"/>
      <c r="BB744" s="83"/>
      <c r="BC744" s="83"/>
      <c r="BD744" s="83"/>
      <c r="BE744" s="83"/>
      <c r="BF744" s="83"/>
      <c r="BG744" s="83"/>
      <c r="BH744" s="83"/>
      <c r="BI744" s="83"/>
      <c r="BJ744" s="83"/>
      <c r="BK744" s="83"/>
      <c r="BL744" s="83"/>
      <c r="BM744" s="83"/>
      <c r="BN744" s="83"/>
      <c r="BO744" s="83"/>
      <c r="BP744" s="83"/>
      <c r="BQ744" s="83"/>
      <c r="BR744" s="83"/>
      <c r="BS744" s="83"/>
      <c r="BT744" s="83"/>
      <c r="BU744" s="83"/>
      <c r="BV744" s="83"/>
      <c r="BW744" s="83"/>
      <c r="BX744" s="83"/>
      <c r="BY744" s="83"/>
      <c r="BZ744" s="83"/>
      <c r="CA744" s="83"/>
      <c r="CB744" s="83"/>
      <c r="CC744" s="83"/>
      <c r="CD744" s="83"/>
      <c r="CE744" s="83"/>
      <c r="CF744" s="83"/>
      <c r="CG744" s="83"/>
      <c r="CH744" s="83"/>
      <c r="CI744" s="83"/>
      <c r="CJ744" s="83"/>
      <c r="CK744" s="83"/>
      <c r="CL744" s="83"/>
      <c r="CM744" s="83"/>
      <c r="CN744" s="83"/>
      <c r="CO744" s="83"/>
      <c r="CP744" s="83"/>
      <c r="CQ744" s="83"/>
      <c r="CR744" s="83"/>
      <c r="CS744" s="83"/>
      <c r="CT744" s="83"/>
      <c r="CU744" s="83"/>
      <c r="CV744" s="83"/>
      <c r="CW744" s="83"/>
      <c r="CX744" s="83"/>
      <c r="CY744" s="83"/>
      <c r="CZ744" s="83"/>
      <c r="DA744" s="83"/>
      <c r="DB744" s="83"/>
      <c r="DC744" s="83"/>
    </row>
    <row r="745" spans="1:107" x14ac:dyDescent="0.3">
      <c r="A745" s="83"/>
      <c r="B745" s="83"/>
      <c r="C745" s="83"/>
      <c r="D745" s="83"/>
      <c r="E745" s="83"/>
      <c r="F745" s="83"/>
      <c r="G745" s="83"/>
      <c r="H745" s="83"/>
      <c r="I745" s="83"/>
      <c r="J745" s="83"/>
      <c r="K745" s="83"/>
      <c r="L745" s="83"/>
      <c r="M745" s="83"/>
      <c r="N745" s="83"/>
      <c r="O745" s="83"/>
      <c r="P745" s="83"/>
      <c r="Q745" s="83"/>
      <c r="R745" s="83"/>
      <c r="S745" s="83"/>
      <c r="T745" s="83"/>
      <c r="U745" s="83"/>
      <c r="V745" s="83"/>
      <c r="W745" s="83"/>
      <c r="X745" s="83"/>
      <c r="Y745" s="83"/>
      <c r="Z745" s="83"/>
      <c r="AA745" s="83"/>
      <c r="AB745" s="83"/>
      <c r="AC745" s="83"/>
      <c r="AD745" s="83"/>
      <c r="AE745" s="83"/>
      <c r="AF745" s="83"/>
      <c r="AG745" s="83"/>
      <c r="AH745" s="83"/>
      <c r="AI745" s="83"/>
      <c r="AJ745" s="83"/>
      <c r="AK745" s="83"/>
      <c r="AL745" s="83"/>
      <c r="AM745" s="83"/>
      <c r="AN745" s="83"/>
      <c r="AO745" s="83"/>
      <c r="AP745" s="83"/>
      <c r="AQ745" s="83"/>
      <c r="AR745" s="83"/>
      <c r="AS745" s="83"/>
      <c r="AT745" s="83"/>
      <c r="AU745" s="83"/>
      <c r="AV745" s="83"/>
      <c r="AW745" s="83"/>
      <c r="AX745" s="83"/>
      <c r="AY745" s="83"/>
      <c r="AZ745" s="83"/>
      <c r="BA745" s="83"/>
      <c r="BB745" s="83"/>
      <c r="BC745" s="83"/>
      <c r="BD745" s="83"/>
      <c r="BE745" s="83"/>
      <c r="BF745" s="83"/>
      <c r="BG745" s="83"/>
      <c r="BH745" s="83"/>
      <c r="BI745" s="83"/>
      <c r="BJ745" s="83"/>
      <c r="BK745" s="83"/>
      <c r="BL745" s="83"/>
      <c r="BM745" s="83"/>
      <c r="BN745" s="83"/>
      <c r="BO745" s="83"/>
      <c r="BP745" s="83"/>
      <c r="BQ745" s="83"/>
      <c r="BR745" s="83"/>
      <c r="BS745" s="83"/>
      <c r="BT745" s="83"/>
      <c r="BU745" s="83"/>
      <c r="BV745" s="83"/>
      <c r="BW745" s="83"/>
      <c r="BX745" s="83"/>
      <c r="BY745" s="83"/>
      <c r="BZ745" s="83"/>
      <c r="CA745" s="83"/>
      <c r="CB745" s="83"/>
      <c r="CC745" s="83"/>
      <c r="CD745" s="83"/>
      <c r="CE745" s="83"/>
      <c r="CF745" s="83"/>
      <c r="CG745" s="83"/>
      <c r="CH745" s="83"/>
      <c r="CI745" s="83"/>
      <c r="CJ745" s="83"/>
      <c r="CK745" s="83"/>
      <c r="CL745" s="83"/>
      <c r="CM745" s="83"/>
      <c r="CN745" s="83"/>
      <c r="CO745" s="83"/>
      <c r="CP745" s="83"/>
      <c r="CQ745" s="83"/>
      <c r="CR745" s="83"/>
      <c r="CS745" s="83"/>
      <c r="CT745" s="83"/>
      <c r="CU745" s="83"/>
      <c r="CV745" s="83"/>
      <c r="CW745" s="83"/>
      <c r="CX745" s="83"/>
      <c r="CY745" s="83"/>
      <c r="CZ745" s="83"/>
      <c r="DA745" s="83"/>
      <c r="DB745" s="83"/>
      <c r="DC745" s="83"/>
    </row>
    <row r="746" spans="1:107" x14ac:dyDescent="0.3">
      <c r="A746" s="83"/>
      <c r="B746" s="83"/>
      <c r="C746" s="83"/>
      <c r="D746" s="83"/>
      <c r="E746" s="83"/>
      <c r="F746" s="83"/>
      <c r="G746" s="83"/>
      <c r="H746" s="83"/>
      <c r="I746" s="83"/>
      <c r="J746" s="83"/>
      <c r="K746" s="83"/>
      <c r="L746" s="83"/>
      <c r="M746" s="83"/>
      <c r="N746" s="83"/>
      <c r="O746" s="83"/>
      <c r="P746" s="83"/>
      <c r="Q746" s="83"/>
      <c r="R746" s="83"/>
      <c r="S746" s="83"/>
      <c r="T746" s="83"/>
      <c r="U746" s="83"/>
      <c r="V746" s="83"/>
      <c r="W746" s="83"/>
      <c r="X746" s="83"/>
      <c r="Y746" s="83"/>
      <c r="Z746" s="83"/>
      <c r="AA746" s="83"/>
      <c r="AB746" s="83"/>
      <c r="AC746" s="83"/>
      <c r="AD746" s="83"/>
      <c r="AE746" s="83"/>
      <c r="AF746" s="83"/>
      <c r="AG746" s="83"/>
      <c r="AH746" s="83"/>
      <c r="AI746" s="83"/>
      <c r="AJ746" s="83"/>
      <c r="AK746" s="83"/>
      <c r="AL746" s="83"/>
      <c r="AM746" s="83"/>
      <c r="AN746" s="83"/>
      <c r="AO746" s="83"/>
      <c r="AP746" s="83"/>
      <c r="AQ746" s="83"/>
      <c r="AR746" s="83"/>
      <c r="AS746" s="83"/>
      <c r="AT746" s="83"/>
      <c r="AU746" s="83"/>
      <c r="AV746" s="83"/>
      <c r="AW746" s="83"/>
      <c r="AX746" s="83"/>
      <c r="AY746" s="83"/>
      <c r="AZ746" s="83"/>
      <c r="BA746" s="83"/>
      <c r="BB746" s="83"/>
      <c r="BC746" s="83"/>
      <c r="BD746" s="83"/>
      <c r="BE746" s="83"/>
      <c r="BF746" s="83"/>
      <c r="BG746" s="83"/>
      <c r="BH746" s="83"/>
      <c r="BI746" s="83"/>
      <c r="BJ746" s="83"/>
      <c r="BK746" s="83"/>
      <c r="BL746" s="83"/>
      <c r="BM746" s="83"/>
      <c r="BN746" s="83"/>
      <c r="BO746" s="83"/>
      <c r="BP746" s="83"/>
      <c r="BQ746" s="83"/>
      <c r="BR746" s="83"/>
      <c r="BS746" s="83"/>
      <c r="BT746" s="83"/>
      <c r="BU746" s="83"/>
      <c r="BV746" s="83"/>
      <c r="BW746" s="83"/>
      <c r="BX746" s="83"/>
      <c r="BY746" s="83"/>
      <c r="BZ746" s="83"/>
      <c r="CA746" s="83"/>
      <c r="CB746" s="83"/>
      <c r="CC746" s="83"/>
      <c r="CD746" s="83"/>
      <c r="CE746" s="83"/>
      <c r="CF746" s="83"/>
      <c r="CG746" s="83"/>
      <c r="CH746" s="83"/>
      <c r="CI746" s="83"/>
      <c r="CJ746" s="83"/>
      <c r="CK746" s="83"/>
      <c r="CL746" s="83"/>
      <c r="CM746" s="83"/>
      <c r="CN746" s="83"/>
      <c r="CO746" s="83"/>
      <c r="CP746" s="83"/>
      <c r="CQ746" s="83"/>
      <c r="CR746" s="83"/>
      <c r="CS746" s="83"/>
      <c r="CT746" s="83"/>
      <c r="CU746" s="83"/>
      <c r="CV746" s="83"/>
      <c r="CW746" s="83"/>
      <c r="CX746" s="83"/>
      <c r="CY746" s="83"/>
      <c r="CZ746" s="83"/>
      <c r="DA746" s="83"/>
      <c r="DB746" s="83"/>
      <c r="DC746" s="83"/>
    </row>
    <row r="747" spans="1:107" x14ac:dyDescent="0.3">
      <c r="A747" s="83"/>
      <c r="B747" s="83"/>
      <c r="C747" s="83"/>
      <c r="D747" s="83"/>
      <c r="E747" s="83"/>
      <c r="F747" s="83"/>
      <c r="G747" s="83"/>
      <c r="H747" s="83"/>
      <c r="I747" s="83"/>
      <c r="J747" s="83"/>
      <c r="K747" s="83"/>
      <c r="L747" s="83"/>
      <c r="M747" s="83"/>
      <c r="N747" s="83"/>
      <c r="O747" s="83"/>
      <c r="P747" s="83"/>
      <c r="Q747" s="83"/>
      <c r="R747" s="83"/>
      <c r="S747" s="83"/>
      <c r="T747" s="83"/>
      <c r="U747" s="83"/>
      <c r="V747" s="83"/>
      <c r="W747" s="83"/>
      <c r="X747" s="83"/>
      <c r="Y747" s="83"/>
      <c r="Z747" s="83"/>
      <c r="AA747" s="83"/>
      <c r="AB747" s="83"/>
      <c r="AC747" s="83"/>
      <c r="AD747" s="83"/>
      <c r="AE747" s="83"/>
      <c r="AF747" s="83"/>
      <c r="AG747" s="83"/>
      <c r="AH747" s="83"/>
      <c r="AI747" s="83"/>
      <c r="AJ747" s="83"/>
      <c r="AK747" s="83"/>
      <c r="AL747" s="83"/>
      <c r="AM747" s="83"/>
      <c r="AN747" s="83"/>
      <c r="AO747" s="83"/>
      <c r="AP747" s="83"/>
      <c r="AQ747" s="83"/>
      <c r="AR747" s="83"/>
      <c r="AS747" s="83"/>
      <c r="AT747" s="83"/>
      <c r="AU747" s="83"/>
      <c r="AV747" s="83"/>
      <c r="AW747" s="83"/>
      <c r="AX747" s="83"/>
      <c r="AY747" s="83"/>
      <c r="AZ747" s="83"/>
      <c r="BA747" s="83"/>
      <c r="BB747" s="83"/>
      <c r="BC747" s="83"/>
      <c r="BD747" s="83"/>
      <c r="BE747" s="83"/>
      <c r="BF747" s="83"/>
      <c r="BG747" s="83"/>
      <c r="BH747" s="83"/>
      <c r="BI747" s="83"/>
      <c r="BJ747" s="83"/>
      <c r="BK747" s="83"/>
      <c r="BL747" s="83"/>
      <c r="BM747" s="83"/>
      <c r="BN747" s="83"/>
      <c r="BO747" s="83"/>
      <c r="BP747" s="83"/>
      <c r="BQ747" s="83"/>
      <c r="BR747" s="83"/>
      <c r="BS747" s="83"/>
      <c r="BT747" s="83"/>
      <c r="BU747" s="83"/>
      <c r="BV747" s="83"/>
      <c r="BW747" s="83"/>
      <c r="BX747" s="83"/>
      <c r="BY747" s="83"/>
      <c r="BZ747" s="83"/>
      <c r="CA747" s="83"/>
      <c r="CB747" s="83"/>
      <c r="CC747" s="83"/>
      <c r="CD747" s="83"/>
      <c r="CE747" s="83"/>
      <c r="CF747" s="83"/>
      <c r="CG747" s="83"/>
      <c r="CH747" s="83"/>
      <c r="CI747" s="83"/>
      <c r="CJ747" s="83"/>
      <c r="CK747" s="83"/>
      <c r="CL747" s="83"/>
      <c r="CM747" s="83"/>
      <c r="CN747" s="83"/>
      <c r="CO747" s="83"/>
      <c r="CP747" s="83"/>
      <c r="CQ747" s="83"/>
      <c r="CR747" s="83"/>
      <c r="CS747" s="83"/>
      <c r="CT747" s="83"/>
      <c r="CU747" s="83"/>
      <c r="CV747" s="83"/>
      <c r="CW747" s="83"/>
      <c r="CX747" s="83"/>
      <c r="CY747" s="83"/>
      <c r="CZ747" s="83"/>
      <c r="DA747" s="83"/>
      <c r="DB747" s="83"/>
      <c r="DC747" s="83"/>
    </row>
    <row r="748" spans="1:107" x14ac:dyDescent="0.3">
      <c r="A748" s="83"/>
      <c r="B748" s="83"/>
      <c r="C748" s="83"/>
      <c r="D748" s="83"/>
      <c r="E748" s="83"/>
      <c r="F748" s="83"/>
      <c r="G748" s="83"/>
      <c r="H748" s="83"/>
      <c r="I748" s="83"/>
      <c r="J748" s="83"/>
      <c r="K748" s="83"/>
      <c r="L748" s="83"/>
      <c r="M748" s="83"/>
      <c r="N748" s="83"/>
      <c r="O748" s="83"/>
      <c r="P748" s="83"/>
      <c r="Q748" s="83"/>
      <c r="R748" s="83"/>
      <c r="S748" s="83"/>
      <c r="T748" s="83"/>
      <c r="U748" s="83"/>
      <c r="V748" s="83"/>
      <c r="W748" s="83"/>
      <c r="X748" s="83"/>
      <c r="Y748" s="83"/>
      <c r="Z748" s="83"/>
      <c r="AA748" s="83"/>
      <c r="AB748" s="83"/>
      <c r="AC748" s="83"/>
      <c r="AD748" s="83"/>
      <c r="AE748" s="83"/>
      <c r="AF748" s="83"/>
      <c r="AG748" s="83"/>
      <c r="AH748" s="83"/>
      <c r="AI748" s="83"/>
      <c r="AJ748" s="83"/>
      <c r="AK748" s="83"/>
      <c r="AL748" s="83"/>
      <c r="AM748" s="83"/>
      <c r="AN748" s="83"/>
      <c r="AO748" s="83"/>
      <c r="AP748" s="83"/>
      <c r="AQ748" s="83"/>
      <c r="AR748" s="83"/>
      <c r="AS748" s="83"/>
      <c r="AT748" s="83"/>
      <c r="AU748" s="83"/>
      <c r="AV748" s="83"/>
      <c r="AW748" s="83"/>
      <c r="AX748" s="83"/>
      <c r="AY748" s="83"/>
      <c r="AZ748" s="83"/>
      <c r="BA748" s="83"/>
      <c r="BB748" s="83"/>
      <c r="BC748" s="83"/>
      <c r="BD748" s="83"/>
      <c r="BE748" s="83"/>
      <c r="BF748" s="83"/>
      <c r="BG748" s="83"/>
      <c r="BH748" s="83"/>
      <c r="BI748" s="83"/>
      <c r="BJ748" s="83"/>
      <c r="BK748" s="83"/>
      <c r="BL748" s="83"/>
      <c r="BM748" s="83"/>
      <c r="BN748" s="83"/>
      <c r="BO748" s="83"/>
      <c r="BP748" s="83"/>
      <c r="BQ748" s="83"/>
      <c r="BR748" s="83"/>
      <c r="BS748" s="83"/>
      <c r="BT748" s="83"/>
      <c r="BU748" s="83"/>
      <c r="BV748" s="83"/>
      <c r="BW748" s="83"/>
      <c r="BX748" s="83"/>
      <c r="BY748" s="83"/>
      <c r="BZ748" s="83"/>
      <c r="CA748" s="83"/>
      <c r="CB748" s="83"/>
      <c r="CC748" s="83"/>
      <c r="CD748" s="83"/>
      <c r="CE748" s="83"/>
      <c r="CF748" s="83"/>
      <c r="CG748" s="83"/>
      <c r="CH748" s="83"/>
      <c r="CI748" s="83"/>
      <c r="CJ748" s="83"/>
      <c r="CK748" s="83"/>
      <c r="CL748" s="83"/>
      <c r="CM748" s="83"/>
      <c r="CN748" s="83"/>
      <c r="CO748" s="83"/>
      <c r="CP748" s="83"/>
      <c r="CQ748" s="83"/>
      <c r="CR748" s="83"/>
      <c r="CS748" s="83"/>
      <c r="CT748" s="83"/>
      <c r="CU748" s="83"/>
      <c r="CV748" s="83"/>
      <c r="CW748" s="83"/>
      <c r="CX748" s="83"/>
      <c r="CY748" s="83"/>
      <c r="CZ748" s="83"/>
      <c r="DA748" s="83"/>
      <c r="DB748" s="83"/>
      <c r="DC748" s="83"/>
    </row>
    <row r="749" spans="1:107" x14ac:dyDescent="0.3">
      <c r="A749" s="83"/>
      <c r="B749" s="83"/>
      <c r="C749" s="83"/>
      <c r="D749" s="83"/>
      <c r="E749" s="83"/>
      <c r="F749" s="83"/>
      <c r="G749" s="83"/>
      <c r="H749" s="83"/>
      <c r="I749" s="83"/>
      <c r="J749" s="83"/>
      <c r="K749" s="83"/>
      <c r="L749" s="83"/>
      <c r="M749" s="83"/>
      <c r="N749" s="83"/>
      <c r="O749" s="83"/>
      <c r="P749" s="83"/>
      <c r="Q749" s="83"/>
      <c r="R749" s="83"/>
      <c r="S749" s="83"/>
      <c r="T749" s="83"/>
      <c r="U749" s="83"/>
      <c r="V749" s="83"/>
      <c r="W749" s="83"/>
      <c r="X749" s="83"/>
      <c r="Y749" s="83"/>
      <c r="Z749" s="83"/>
      <c r="AA749" s="83"/>
      <c r="AB749" s="83"/>
      <c r="AC749" s="83"/>
      <c r="AD749" s="83"/>
      <c r="AE749" s="83"/>
      <c r="AF749" s="83"/>
      <c r="AG749" s="83"/>
      <c r="AH749" s="83"/>
      <c r="AI749" s="83"/>
      <c r="AJ749" s="83"/>
      <c r="AK749" s="83"/>
      <c r="AL749" s="83"/>
      <c r="AM749" s="83"/>
      <c r="AN749" s="83"/>
      <c r="AO749" s="83"/>
      <c r="AP749" s="83"/>
      <c r="AQ749" s="83"/>
      <c r="AR749" s="83"/>
      <c r="AS749" s="83"/>
      <c r="AT749" s="83"/>
      <c r="AU749" s="83"/>
      <c r="AV749" s="83"/>
      <c r="AW749" s="83"/>
      <c r="AX749" s="83"/>
      <c r="AY749" s="83"/>
      <c r="AZ749" s="83"/>
      <c r="BA749" s="83"/>
      <c r="BB749" s="83"/>
      <c r="BC749" s="83"/>
      <c r="BD749" s="83"/>
      <c r="BE749" s="83"/>
      <c r="BF749" s="83"/>
      <c r="BG749" s="83"/>
      <c r="BH749" s="83"/>
      <c r="BI749" s="83"/>
      <c r="BJ749" s="83"/>
      <c r="BK749" s="83"/>
      <c r="BL749" s="83"/>
      <c r="BM749" s="83"/>
      <c r="BN749" s="83"/>
      <c r="BO749" s="83"/>
      <c r="BP749" s="83"/>
      <c r="BQ749" s="83"/>
      <c r="BR749" s="83"/>
      <c r="BS749" s="83"/>
      <c r="BT749" s="83"/>
      <c r="BU749" s="83"/>
      <c r="BV749" s="83"/>
      <c r="BW749" s="83"/>
      <c r="BX749" s="83"/>
      <c r="BY749" s="83"/>
      <c r="BZ749" s="83"/>
      <c r="CA749" s="83"/>
      <c r="CB749" s="83"/>
      <c r="CC749" s="83"/>
      <c r="CD749" s="83"/>
      <c r="CE749" s="83"/>
      <c r="CF749" s="83"/>
      <c r="CG749" s="83"/>
      <c r="CH749" s="83"/>
      <c r="CI749" s="83"/>
      <c r="CJ749" s="83"/>
      <c r="CK749" s="83"/>
      <c r="CL749" s="83"/>
      <c r="CM749" s="83"/>
      <c r="CN749" s="83"/>
      <c r="CO749" s="83"/>
      <c r="CP749" s="83"/>
      <c r="CQ749" s="83"/>
      <c r="CR749" s="83"/>
      <c r="CS749" s="83"/>
      <c r="CT749" s="83"/>
      <c r="CU749" s="83"/>
      <c r="CV749" s="83"/>
      <c r="CW749" s="83"/>
      <c r="CX749" s="83"/>
      <c r="CY749" s="83"/>
      <c r="CZ749" s="83"/>
      <c r="DA749" s="83"/>
      <c r="DB749" s="83"/>
      <c r="DC749" s="83"/>
    </row>
    <row r="750" spans="1:107" x14ac:dyDescent="0.3">
      <c r="A750" s="83"/>
      <c r="B750" s="83"/>
      <c r="C750" s="83"/>
      <c r="D750" s="83"/>
      <c r="E750" s="83"/>
      <c r="F750" s="83"/>
      <c r="G750" s="83"/>
      <c r="H750" s="83"/>
      <c r="I750" s="83"/>
      <c r="J750" s="83"/>
      <c r="K750" s="83"/>
      <c r="L750" s="83"/>
      <c r="M750" s="83"/>
      <c r="N750" s="83"/>
      <c r="O750" s="83"/>
      <c r="P750" s="83"/>
      <c r="Q750" s="83"/>
      <c r="R750" s="83"/>
      <c r="S750" s="83"/>
      <c r="T750" s="83"/>
      <c r="U750" s="83"/>
      <c r="V750" s="83"/>
      <c r="W750" s="83"/>
      <c r="X750" s="83"/>
      <c r="Y750" s="83"/>
      <c r="Z750" s="83"/>
      <c r="AA750" s="83"/>
      <c r="AB750" s="83"/>
      <c r="AC750" s="83"/>
      <c r="AD750" s="83"/>
      <c r="AE750" s="83"/>
      <c r="AF750" s="83"/>
      <c r="AG750" s="83"/>
      <c r="AH750" s="83"/>
      <c r="AI750" s="83"/>
      <c r="AJ750" s="83"/>
      <c r="AK750" s="83"/>
      <c r="AL750" s="83"/>
      <c r="AM750" s="83"/>
      <c r="AN750" s="83"/>
      <c r="AO750" s="83"/>
      <c r="AP750" s="83"/>
      <c r="AQ750" s="83"/>
      <c r="AR750" s="83"/>
      <c r="AS750" s="83"/>
      <c r="AT750" s="83"/>
      <c r="AU750" s="83"/>
      <c r="AV750" s="83"/>
      <c r="AW750" s="83"/>
      <c r="AX750" s="83"/>
      <c r="AY750" s="83"/>
      <c r="AZ750" s="83"/>
      <c r="BA750" s="83"/>
      <c r="BB750" s="83"/>
      <c r="BC750" s="83"/>
      <c r="BD750" s="83"/>
      <c r="BE750" s="83"/>
      <c r="BF750" s="83"/>
      <c r="BG750" s="83"/>
      <c r="BH750" s="83"/>
      <c r="BI750" s="83"/>
      <c r="BJ750" s="83"/>
      <c r="BK750" s="83"/>
      <c r="BL750" s="83"/>
      <c r="BM750" s="83"/>
      <c r="BN750" s="83"/>
      <c r="BO750" s="83"/>
      <c r="BP750" s="83"/>
      <c r="BQ750" s="83"/>
      <c r="BR750" s="83"/>
      <c r="BS750" s="83"/>
      <c r="BT750" s="83"/>
      <c r="BU750" s="83"/>
      <c r="BV750" s="83"/>
      <c r="BW750" s="83"/>
      <c r="BX750" s="83"/>
      <c r="BY750" s="83"/>
      <c r="BZ750" s="83"/>
      <c r="CA750" s="83"/>
      <c r="CB750" s="83"/>
      <c r="CC750" s="83"/>
      <c r="CD750" s="83"/>
      <c r="CE750" s="83"/>
      <c r="CF750" s="83"/>
      <c r="CG750" s="83"/>
      <c r="CH750" s="83"/>
      <c r="CI750" s="83"/>
      <c r="CJ750" s="83"/>
      <c r="CK750" s="83"/>
      <c r="CL750" s="83"/>
      <c r="CM750" s="83"/>
      <c r="CN750" s="83"/>
      <c r="CO750" s="83"/>
      <c r="CP750" s="83"/>
      <c r="CQ750" s="83"/>
      <c r="CR750" s="83"/>
      <c r="CS750" s="83"/>
      <c r="CT750" s="83"/>
      <c r="CU750" s="83"/>
      <c r="CV750" s="83"/>
      <c r="CW750" s="83"/>
      <c r="CX750" s="83"/>
      <c r="CY750" s="83"/>
      <c r="CZ750" s="83"/>
      <c r="DA750" s="83"/>
      <c r="DB750" s="83"/>
      <c r="DC750" s="83"/>
    </row>
    <row r="751" spans="1:107" x14ac:dyDescent="0.3">
      <c r="A751" s="83"/>
      <c r="B751" s="83"/>
      <c r="C751" s="83"/>
      <c r="D751" s="83"/>
      <c r="E751" s="83"/>
      <c r="F751" s="83"/>
      <c r="G751" s="83"/>
      <c r="H751" s="83"/>
      <c r="I751" s="83"/>
      <c r="J751" s="83"/>
      <c r="K751" s="83"/>
      <c r="L751" s="83"/>
      <c r="M751" s="83"/>
      <c r="N751" s="83"/>
      <c r="O751" s="83"/>
      <c r="P751" s="83"/>
      <c r="Q751" s="83"/>
      <c r="R751" s="83"/>
      <c r="S751" s="83"/>
      <c r="T751" s="83"/>
      <c r="U751" s="83"/>
      <c r="V751" s="83"/>
      <c r="W751" s="83"/>
      <c r="X751" s="83"/>
      <c r="Y751" s="83"/>
      <c r="Z751" s="83"/>
      <c r="AA751" s="83"/>
      <c r="AB751" s="83"/>
      <c r="AC751" s="83"/>
      <c r="AD751" s="83"/>
      <c r="AE751" s="83"/>
      <c r="AF751" s="83"/>
      <c r="AG751" s="83"/>
      <c r="AH751" s="83"/>
      <c r="AI751" s="83"/>
      <c r="AJ751" s="83"/>
      <c r="AK751" s="83"/>
      <c r="AL751" s="83"/>
      <c r="AM751" s="83"/>
      <c r="AN751" s="83"/>
      <c r="AO751" s="83"/>
      <c r="AP751" s="83"/>
      <c r="AQ751" s="83"/>
      <c r="AR751" s="83"/>
      <c r="AS751" s="83"/>
      <c r="AT751" s="83"/>
      <c r="AU751" s="83"/>
      <c r="AV751" s="83"/>
      <c r="AW751" s="83"/>
      <c r="AX751" s="83"/>
      <c r="AY751" s="83"/>
      <c r="AZ751" s="83"/>
      <c r="BA751" s="83"/>
      <c r="BB751" s="83"/>
      <c r="BC751" s="83"/>
      <c r="BD751" s="83"/>
      <c r="BE751" s="83"/>
      <c r="BF751" s="83"/>
      <c r="BG751" s="83"/>
      <c r="BH751" s="83"/>
      <c r="BI751" s="83"/>
      <c r="BJ751" s="83"/>
      <c r="BK751" s="83"/>
      <c r="BL751" s="83"/>
      <c r="BM751" s="83"/>
      <c r="BN751" s="83"/>
      <c r="BO751" s="83"/>
      <c r="BP751" s="83"/>
      <c r="BQ751" s="83"/>
      <c r="BR751" s="83"/>
      <c r="BS751" s="83"/>
      <c r="BT751" s="83"/>
      <c r="BU751" s="83"/>
      <c r="BV751" s="83"/>
      <c r="BW751" s="83"/>
      <c r="BX751" s="83"/>
      <c r="BY751" s="83"/>
      <c r="BZ751" s="83"/>
      <c r="CA751" s="83"/>
      <c r="CB751" s="83"/>
      <c r="CC751" s="83"/>
      <c r="CD751" s="83"/>
      <c r="CE751" s="83"/>
      <c r="CF751" s="83"/>
      <c r="CG751" s="83"/>
      <c r="CH751" s="83"/>
      <c r="CI751" s="83"/>
      <c r="CJ751" s="83"/>
      <c r="CK751" s="83"/>
      <c r="CL751" s="83"/>
      <c r="CM751" s="83"/>
      <c r="CN751" s="83"/>
      <c r="CO751" s="83"/>
      <c r="CP751" s="83"/>
      <c r="CQ751" s="83"/>
      <c r="CR751" s="83"/>
      <c r="CS751" s="83"/>
      <c r="CT751" s="83"/>
      <c r="CU751" s="83"/>
      <c r="CV751" s="83"/>
      <c r="CW751" s="83"/>
      <c r="CX751" s="83"/>
      <c r="CY751" s="83"/>
      <c r="CZ751" s="83"/>
      <c r="DA751" s="83"/>
      <c r="DB751" s="83"/>
      <c r="DC751" s="83"/>
    </row>
    <row r="752" spans="1:107" x14ac:dyDescent="0.3">
      <c r="A752" s="83"/>
      <c r="B752" s="83"/>
      <c r="C752" s="83"/>
      <c r="D752" s="83"/>
      <c r="E752" s="83"/>
      <c r="F752" s="83"/>
      <c r="G752" s="83"/>
      <c r="H752" s="83"/>
      <c r="I752" s="83"/>
      <c r="J752" s="83"/>
      <c r="K752" s="83"/>
      <c r="L752" s="83"/>
      <c r="M752" s="83"/>
      <c r="N752" s="83"/>
      <c r="O752" s="83"/>
      <c r="P752" s="83"/>
      <c r="Q752" s="83"/>
      <c r="R752" s="83"/>
      <c r="S752" s="83"/>
      <c r="T752" s="83"/>
      <c r="U752" s="83"/>
      <c r="V752" s="83"/>
      <c r="W752" s="83"/>
      <c r="X752" s="83"/>
      <c r="Y752" s="83"/>
      <c r="Z752" s="83"/>
      <c r="AA752" s="83"/>
      <c r="AB752" s="83"/>
      <c r="AC752" s="83"/>
      <c r="AD752" s="83"/>
      <c r="AE752" s="83"/>
      <c r="AF752" s="83"/>
      <c r="AG752" s="83"/>
      <c r="AH752" s="83"/>
      <c r="AI752" s="83"/>
      <c r="AJ752" s="83"/>
      <c r="AK752" s="83"/>
      <c r="AL752" s="83"/>
      <c r="AM752" s="83"/>
      <c r="AN752" s="83"/>
      <c r="AO752" s="83"/>
      <c r="AP752" s="83"/>
      <c r="AQ752" s="83"/>
      <c r="AR752" s="83"/>
      <c r="AS752" s="83"/>
      <c r="AT752" s="83"/>
      <c r="AU752" s="83"/>
      <c r="AV752" s="83"/>
      <c r="AW752" s="83"/>
      <c r="AX752" s="83"/>
      <c r="AY752" s="83"/>
      <c r="AZ752" s="83"/>
      <c r="BA752" s="83"/>
      <c r="BB752" s="83"/>
      <c r="BC752" s="83"/>
      <c r="BD752" s="83"/>
      <c r="BE752" s="83"/>
      <c r="BF752" s="83"/>
      <c r="BG752" s="83"/>
      <c r="BH752" s="83"/>
      <c r="BI752" s="83"/>
      <c r="BJ752" s="83"/>
      <c r="BK752" s="83"/>
      <c r="BL752" s="83"/>
      <c r="BM752" s="83"/>
      <c r="BN752" s="83"/>
      <c r="BO752" s="83"/>
      <c r="BP752" s="83"/>
      <c r="BQ752" s="83"/>
      <c r="BR752" s="83"/>
      <c r="BS752" s="83"/>
      <c r="BT752" s="83"/>
      <c r="BU752" s="83"/>
      <c r="BV752" s="83"/>
      <c r="BW752" s="83"/>
      <c r="BX752" s="83"/>
      <c r="BY752" s="83"/>
      <c r="BZ752" s="83"/>
      <c r="CA752" s="83"/>
      <c r="CB752" s="83"/>
      <c r="CC752" s="83"/>
      <c r="CD752" s="83"/>
      <c r="CE752" s="83"/>
      <c r="CF752" s="83"/>
      <c r="CG752" s="83"/>
      <c r="CH752" s="83"/>
      <c r="CI752" s="83"/>
      <c r="CJ752" s="83"/>
      <c r="CK752" s="83"/>
      <c r="CL752" s="83"/>
      <c r="CM752" s="83"/>
      <c r="CN752" s="83"/>
      <c r="CO752" s="83"/>
      <c r="CP752" s="83"/>
      <c r="CQ752" s="83"/>
      <c r="CR752" s="83"/>
      <c r="CS752" s="83"/>
      <c r="CT752" s="83"/>
      <c r="CU752" s="83"/>
      <c r="CV752" s="83"/>
      <c r="CW752" s="83"/>
      <c r="CX752" s="83"/>
      <c r="CY752" s="83"/>
      <c r="CZ752" s="83"/>
      <c r="DA752" s="83"/>
      <c r="DB752" s="83"/>
      <c r="DC752" s="83"/>
    </row>
    <row r="753" spans="1:107" x14ac:dyDescent="0.3">
      <c r="A753" s="83"/>
      <c r="B753" s="83"/>
      <c r="C753" s="83"/>
      <c r="D753" s="83"/>
      <c r="E753" s="83"/>
      <c r="F753" s="83"/>
      <c r="G753" s="83"/>
      <c r="H753" s="83"/>
      <c r="I753" s="83"/>
      <c r="J753" s="83"/>
      <c r="K753" s="83"/>
      <c r="L753" s="83"/>
      <c r="M753" s="83"/>
      <c r="N753" s="83"/>
      <c r="O753" s="83"/>
      <c r="P753" s="83"/>
      <c r="Q753" s="83"/>
      <c r="R753" s="83"/>
      <c r="S753" s="83"/>
      <c r="T753" s="83"/>
      <c r="U753" s="83"/>
      <c r="V753" s="83"/>
      <c r="W753" s="83"/>
      <c r="X753" s="83"/>
      <c r="Y753" s="83"/>
      <c r="Z753" s="83"/>
      <c r="AA753" s="83"/>
      <c r="AB753" s="83"/>
      <c r="AC753" s="83"/>
      <c r="AD753" s="83"/>
      <c r="AE753" s="83"/>
      <c r="AF753" s="83"/>
      <c r="AG753" s="83"/>
      <c r="AH753" s="83"/>
      <c r="AI753" s="83"/>
      <c r="AJ753" s="83"/>
      <c r="AK753" s="83"/>
      <c r="AL753" s="83"/>
      <c r="AM753" s="83"/>
      <c r="AN753" s="83"/>
      <c r="AO753" s="83"/>
      <c r="AP753" s="83"/>
      <c r="AQ753" s="83"/>
      <c r="AR753" s="83"/>
      <c r="AS753" s="83"/>
      <c r="AT753" s="83"/>
      <c r="AU753" s="83"/>
      <c r="AV753" s="83"/>
      <c r="AW753" s="83"/>
      <c r="AX753" s="83"/>
      <c r="AY753" s="83"/>
      <c r="AZ753" s="83"/>
      <c r="BA753" s="83"/>
      <c r="BB753" s="83"/>
      <c r="BC753" s="83"/>
      <c r="BD753" s="83"/>
      <c r="BE753" s="83"/>
      <c r="BF753" s="83"/>
      <c r="BG753" s="83"/>
      <c r="BH753" s="83"/>
      <c r="BI753" s="83"/>
      <c r="BJ753" s="83"/>
      <c r="BK753" s="83"/>
      <c r="BL753" s="83"/>
      <c r="BM753" s="83"/>
      <c r="BN753" s="83"/>
      <c r="BO753" s="83"/>
      <c r="BP753" s="83"/>
      <c r="BQ753" s="83"/>
      <c r="BR753" s="83"/>
      <c r="BS753" s="83"/>
      <c r="BT753" s="83"/>
      <c r="BU753" s="83"/>
      <c r="BV753" s="83"/>
      <c r="BW753" s="83"/>
      <c r="BX753" s="83"/>
      <c r="BY753" s="83"/>
      <c r="BZ753" s="83"/>
      <c r="CA753" s="83"/>
      <c r="CB753" s="83"/>
      <c r="CC753" s="83"/>
      <c r="CD753" s="83"/>
      <c r="CE753" s="83"/>
      <c r="CF753" s="83"/>
      <c r="CG753" s="83"/>
      <c r="CH753" s="83"/>
      <c r="CI753" s="83"/>
      <c r="CJ753" s="83"/>
      <c r="CK753" s="83"/>
      <c r="CL753" s="83"/>
      <c r="CM753" s="83"/>
      <c r="CN753" s="83"/>
      <c r="CO753" s="83"/>
      <c r="CP753" s="83"/>
      <c r="CQ753" s="83"/>
      <c r="CR753" s="83"/>
      <c r="CS753" s="83"/>
      <c r="CT753" s="83"/>
      <c r="CU753" s="83"/>
      <c r="CV753" s="83"/>
      <c r="CW753" s="83"/>
      <c r="CX753" s="83"/>
      <c r="CY753" s="83"/>
      <c r="CZ753" s="83"/>
      <c r="DA753" s="83"/>
      <c r="DB753" s="83"/>
      <c r="DC753" s="83"/>
    </row>
    <row r="754" spans="1:107" x14ac:dyDescent="0.3">
      <c r="A754" s="83"/>
      <c r="B754" s="83"/>
      <c r="C754" s="83"/>
      <c r="D754" s="83"/>
      <c r="E754" s="83"/>
      <c r="F754" s="83"/>
      <c r="G754" s="83"/>
      <c r="H754" s="83"/>
      <c r="I754" s="83"/>
      <c r="J754" s="83"/>
      <c r="K754" s="83"/>
      <c r="L754" s="83"/>
      <c r="M754" s="83"/>
      <c r="N754" s="83"/>
      <c r="O754" s="83"/>
      <c r="P754" s="83"/>
      <c r="Q754" s="83"/>
      <c r="R754" s="83"/>
      <c r="S754" s="83"/>
      <c r="T754" s="83"/>
      <c r="U754" s="83"/>
      <c r="V754" s="83"/>
      <c r="W754" s="83"/>
      <c r="X754" s="83"/>
      <c r="Y754" s="83"/>
      <c r="Z754" s="83"/>
      <c r="AA754" s="83"/>
      <c r="AB754" s="83"/>
      <c r="AC754" s="83"/>
      <c r="AD754" s="83"/>
      <c r="AE754" s="83"/>
      <c r="AF754" s="83"/>
      <c r="AG754" s="83"/>
      <c r="AH754" s="83"/>
      <c r="AI754" s="83"/>
      <c r="AJ754" s="83"/>
      <c r="AK754" s="83"/>
      <c r="AL754" s="83"/>
      <c r="AM754" s="83"/>
      <c r="AN754" s="83"/>
      <c r="AO754" s="83"/>
      <c r="AP754" s="83"/>
      <c r="AQ754" s="83"/>
      <c r="AR754" s="83"/>
      <c r="AS754" s="83"/>
      <c r="AT754" s="83"/>
      <c r="AU754" s="83"/>
      <c r="AV754" s="83"/>
      <c r="AW754" s="83"/>
      <c r="AX754" s="83"/>
      <c r="AY754" s="83"/>
      <c r="AZ754" s="83"/>
      <c r="BA754" s="83"/>
      <c r="BB754" s="83"/>
      <c r="BC754" s="83"/>
      <c r="BD754" s="83"/>
      <c r="BE754" s="83"/>
      <c r="BF754" s="83"/>
      <c r="BG754" s="83"/>
      <c r="BH754" s="83"/>
      <c r="BI754" s="83"/>
      <c r="BJ754" s="83"/>
      <c r="BK754" s="83"/>
      <c r="BL754" s="83"/>
      <c r="BM754" s="83"/>
      <c r="BN754" s="83"/>
      <c r="BO754" s="83"/>
      <c r="BP754" s="83"/>
      <c r="BQ754" s="83"/>
      <c r="BR754" s="83"/>
      <c r="BS754" s="83"/>
      <c r="BT754" s="83"/>
      <c r="BU754" s="83"/>
      <c r="BV754" s="83"/>
      <c r="BW754" s="83"/>
      <c r="BX754" s="83"/>
      <c r="BY754" s="83"/>
      <c r="BZ754" s="83"/>
      <c r="CA754" s="83"/>
      <c r="CB754" s="83"/>
      <c r="CC754" s="83"/>
      <c r="CD754" s="83"/>
      <c r="CE754" s="83"/>
      <c r="CF754" s="83"/>
      <c r="CG754" s="83"/>
      <c r="CH754" s="83"/>
      <c r="CI754" s="83"/>
      <c r="CJ754" s="83"/>
      <c r="CK754" s="83"/>
      <c r="CL754" s="83"/>
      <c r="CM754" s="83"/>
      <c r="CN754" s="83"/>
      <c r="CO754" s="83"/>
      <c r="CP754" s="83"/>
      <c r="CQ754" s="83"/>
      <c r="CR754" s="83"/>
      <c r="CS754" s="83"/>
      <c r="CT754" s="83"/>
      <c r="CU754" s="83"/>
      <c r="CV754" s="83"/>
      <c r="CW754" s="83"/>
      <c r="CX754" s="83"/>
      <c r="CY754" s="83"/>
      <c r="CZ754" s="83"/>
      <c r="DA754" s="83"/>
      <c r="DB754" s="83"/>
      <c r="DC754" s="83"/>
    </row>
    <row r="755" spans="1:107" x14ac:dyDescent="0.3">
      <c r="A755" s="83"/>
      <c r="B755" s="83"/>
      <c r="C755" s="83"/>
      <c r="D755" s="83"/>
      <c r="E755" s="83"/>
      <c r="F755" s="83"/>
      <c r="G755" s="83"/>
      <c r="H755" s="83"/>
      <c r="I755" s="83"/>
      <c r="J755" s="83"/>
      <c r="K755" s="83"/>
      <c r="L755" s="83"/>
      <c r="M755" s="83"/>
      <c r="N755" s="83"/>
      <c r="O755" s="83"/>
      <c r="P755" s="83"/>
      <c r="Q755" s="83"/>
      <c r="R755" s="83"/>
      <c r="S755" s="83"/>
      <c r="T755" s="83"/>
      <c r="U755" s="83"/>
      <c r="V755" s="83"/>
      <c r="W755" s="83"/>
      <c r="X755" s="83"/>
      <c r="Y755" s="83"/>
      <c r="Z755" s="83"/>
      <c r="AA755" s="83"/>
      <c r="AB755" s="83"/>
      <c r="AC755" s="83"/>
      <c r="AD755" s="83"/>
      <c r="AE755" s="83"/>
      <c r="AF755" s="83"/>
      <c r="AG755" s="83"/>
      <c r="AH755" s="83"/>
      <c r="AI755" s="83"/>
      <c r="AJ755" s="83"/>
      <c r="AK755" s="83"/>
      <c r="AL755" s="83"/>
      <c r="AM755" s="83"/>
      <c r="AN755" s="83"/>
      <c r="AO755" s="83"/>
      <c r="AP755" s="83"/>
      <c r="AQ755" s="83"/>
      <c r="AR755" s="83"/>
      <c r="AS755" s="83"/>
      <c r="AT755" s="83"/>
      <c r="AU755" s="83"/>
      <c r="AV755" s="83"/>
      <c r="AW755" s="83"/>
      <c r="AX755" s="83"/>
      <c r="AY755" s="83"/>
      <c r="AZ755" s="83"/>
      <c r="BA755" s="83"/>
      <c r="BB755" s="83"/>
      <c r="BC755" s="83"/>
      <c r="BD755" s="83"/>
      <c r="BE755" s="83"/>
      <c r="BF755" s="83"/>
      <c r="BG755" s="83"/>
      <c r="BH755" s="83"/>
      <c r="BI755" s="83"/>
      <c r="BJ755" s="83"/>
      <c r="BK755" s="83"/>
      <c r="BL755" s="83"/>
      <c r="BM755" s="83"/>
      <c r="BN755" s="83"/>
      <c r="BO755" s="83"/>
      <c r="BP755" s="83"/>
      <c r="BQ755" s="83"/>
      <c r="BR755" s="83"/>
      <c r="BS755" s="83"/>
      <c r="BT755" s="83"/>
      <c r="BU755" s="83"/>
      <c r="BV755" s="83"/>
      <c r="BW755" s="83"/>
      <c r="BX755" s="83"/>
      <c r="BY755" s="83"/>
      <c r="BZ755" s="83"/>
      <c r="CA755" s="83"/>
      <c r="CB755" s="83"/>
      <c r="CC755" s="83"/>
      <c r="CD755" s="83"/>
      <c r="CE755" s="83"/>
      <c r="CF755" s="83"/>
      <c r="CG755" s="83"/>
      <c r="CH755" s="83"/>
      <c r="CI755" s="83"/>
      <c r="CJ755" s="83"/>
      <c r="CK755" s="83"/>
      <c r="CL755" s="83"/>
      <c r="CM755" s="83"/>
      <c r="CN755" s="83"/>
      <c r="CO755" s="83"/>
      <c r="CP755" s="83"/>
      <c r="CQ755" s="83"/>
      <c r="CR755" s="83"/>
      <c r="CS755" s="83"/>
      <c r="CT755" s="83"/>
      <c r="CU755" s="83"/>
      <c r="CV755" s="83"/>
      <c r="CW755" s="83"/>
      <c r="CX755" s="83"/>
      <c r="CY755" s="83"/>
      <c r="CZ755" s="83"/>
      <c r="DA755" s="83"/>
      <c r="DB755" s="83"/>
      <c r="DC755" s="83"/>
    </row>
    <row r="756" spans="1:107" x14ac:dyDescent="0.3">
      <c r="A756" s="83"/>
      <c r="B756" s="83"/>
      <c r="C756" s="83"/>
      <c r="D756" s="83"/>
      <c r="E756" s="83"/>
      <c r="F756" s="83"/>
      <c r="G756" s="83"/>
      <c r="H756" s="83"/>
      <c r="I756" s="83"/>
      <c r="J756" s="83"/>
      <c r="K756" s="83"/>
      <c r="L756" s="83"/>
      <c r="M756" s="83"/>
      <c r="N756" s="83"/>
      <c r="O756" s="83"/>
      <c r="P756" s="83"/>
      <c r="Q756" s="83"/>
      <c r="R756" s="83"/>
      <c r="S756" s="83"/>
      <c r="T756" s="83"/>
      <c r="U756" s="83"/>
      <c r="V756" s="83"/>
      <c r="W756" s="83"/>
      <c r="X756" s="83"/>
      <c r="Y756" s="83"/>
      <c r="Z756" s="83"/>
      <c r="AA756" s="83"/>
      <c r="AB756" s="83"/>
      <c r="AC756" s="83"/>
      <c r="AD756" s="83"/>
      <c r="AE756" s="83"/>
      <c r="AF756" s="83"/>
      <c r="AG756" s="83"/>
      <c r="AH756" s="83"/>
      <c r="AI756" s="83"/>
      <c r="AJ756" s="83"/>
      <c r="AK756" s="83"/>
      <c r="AL756" s="83"/>
      <c r="AM756" s="83"/>
      <c r="AN756" s="83"/>
      <c r="AO756" s="83"/>
      <c r="AP756" s="83"/>
      <c r="AQ756" s="83"/>
      <c r="AR756" s="83"/>
      <c r="AS756" s="83"/>
      <c r="AT756" s="83"/>
      <c r="AU756" s="83"/>
      <c r="AV756" s="83"/>
      <c r="AW756" s="83"/>
      <c r="AX756" s="83"/>
      <c r="AY756" s="83"/>
      <c r="AZ756" s="83"/>
      <c r="BA756" s="83"/>
      <c r="BB756" s="83"/>
      <c r="BC756" s="83"/>
      <c r="BD756" s="83"/>
      <c r="BE756" s="83"/>
      <c r="BF756" s="83"/>
      <c r="BG756" s="83"/>
      <c r="BH756" s="83"/>
      <c r="BI756" s="83"/>
      <c r="BJ756" s="83"/>
      <c r="BK756" s="83"/>
      <c r="BL756" s="83"/>
      <c r="BM756" s="83"/>
      <c r="BN756" s="83"/>
      <c r="BO756" s="83"/>
      <c r="BP756" s="83"/>
      <c r="BQ756" s="83"/>
      <c r="BR756" s="83"/>
      <c r="BS756" s="83"/>
      <c r="BT756" s="83"/>
      <c r="BU756" s="83"/>
      <c r="BV756" s="83"/>
      <c r="BW756" s="83"/>
      <c r="BX756" s="83"/>
      <c r="BY756" s="83"/>
      <c r="BZ756" s="83"/>
      <c r="CA756" s="83"/>
      <c r="CB756" s="83"/>
      <c r="CC756" s="83"/>
      <c r="CD756" s="83"/>
      <c r="CE756" s="83"/>
      <c r="CF756" s="83"/>
      <c r="CG756" s="83"/>
      <c r="CH756" s="83"/>
      <c r="CI756" s="83"/>
      <c r="CJ756" s="83"/>
      <c r="CK756" s="83"/>
      <c r="CL756" s="83"/>
      <c r="CM756" s="83"/>
      <c r="CN756" s="83"/>
      <c r="CO756" s="83"/>
      <c r="CP756" s="83"/>
      <c r="CQ756" s="83"/>
      <c r="CR756" s="83"/>
      <c r="CS756" s="83"/>
      <c r="CT756" s="83"/>
      <c r="CU756" s="83"/>
      <c r="CV756" s="83"/>
      <c r="CW756" s="83"/>
      <c r="CX756" s="83"/>
      <c r="CY756" s="83"/>
      <c r="CZ756" s="83"/>
      <c r="DA756" s="83"/>
      <c r="DB756" s="83"/>
      <c r="DC756" s="83"/>
    </row>
    <row r="757" spans="1:107" x14ac:dyDescent="0.3">
      <c r="A757" s="83"/>
      <c r="B757" s="83"/>
      <c r="C757" s="83"/>
      <c r="D757" s="83"/>
      <c r="E757" s="83"/>
      <c r="F757" s="83"/>
      <c r="G757" s="83"/>
      <c r="H757" s="83"/>
      <c r="I757" s="83"/>
      <c r="J757" s="83"/>
      <c r="K757" s="83"/>
      <c r="L757" s="83"/>
      <c r="M757" s="83"/>
      <c r="N757" s="83"/>
      <c r="O757" s="83"/>
      <c r="P757" s="83"/>
      <c r="Q757" s="83"/>
      <c r="R757" s="83"/>
      <c r="S757" s="83"/>
      <c r="T757" s="83"/>
      <c r="U757" s="83"/>
      <c r="V757" s="83"/>
      <c r="W757" s="83"/>
      <c r="X757" s="83"/>
      <c r="Y757" s="83"/>
      <c r="Z757" s="83"/>
      <c r="AA757" s="83"/>
      <c r="AB757" s="83"/>
      <c r="AC757" s="83"/>
      <c r="AD757" s="83"/>
      <c r="AE757" s="83"/>
      <c r="AF757" s="83"/>
      <c r="AG757" s="83"/>
      <c r="AH757" s="83"/>
      <c r="AI757" s="83"/>
      <c r="AJ757" s="83"/>
      <c r="AK757" s="83"/>
      <c r="AL757" s="83"/>
      <c r="AM757" s="83"/>
      <c r="AN757" s="83"/>
      <c r="AO757" s="83"/>
      <c r="AP757" s="83"/>
      <c r="AQ757" s="83"/>
      <c r="AR757" s="83"/>
      <c r="AS757" s="83"/>
      <c r="AT757" s="83"/>
      <c r="AU757" s="83"/>
      <c r="AV757" s="83"/>
      <c r="AW757" s="83"/>
      <c r="AX757" s="83"/>
      <c r="AY757" s="83"/>
      <c r="AZ757" s="83"/>
      <c r="BA757" s="83"/>
      <c r="BB757" s="83"/>
      <c r="BC757" s="83"/>
      <c r="BD757" s="83"/>
      <c r="BE757" s="83"/>
      <c r="BF757" s="83"/>
      <c r="BG757" s="83"/>
      <c r="BH757" s="83"/>
      <c r="BI757" s="83"/>
      <c r="BJ757" s="83"/>
      <c r="BK757" s="83"/>
      <c r="BL757" s="83"/>
      <c r="BM757" s="83"/>
      <c r="BN757" s="83"/>
      <c r="BO757" s="83"/>
      <c r="BP757" s="83"/>
      <c r="BQ757" s="83"/>
      <c r="BR757" s="83"/>
      <c r="BS757" s="83"/>
      <c r="BT757" s="83"/>
      <c r="BU757" s="83"/>
      <c r="BV757" s="83"/>
      <c r="BW757" s="83"/>
      <c r="BX757" s="83"/>
      <c r="BY757" s="83"/>
      <c r="BZ757" s="83"/>
      <c r="CA757" s="83"/>
      <c r="CB757" s="83"/>
      <c r="CC757" s="83"/>
      <c r="CD757" s="83"/>
      <c r="CE757" s="83"/>
      <c r="CF757" s="83"/>
      <c r="CG757" s="83"/>
      <c r="CH757" s="83"/>
      <c r="CI757" s="83"/>
      <c r="CJ757" s="83"/>
      <c r="CK757" s="83"/>
      <c r="CL757" s="83"/>
      <c r="CM757" s="83"/>
      <c r="CN757" s="83"/>
      <c r="CO757" s="83"/>
      <c r="CP757" s="83"/>
      <c r="CQ757" s="83"/>
      <c r="CR757" s="83"/>
      <c r="CS757" s="83"/>
      <c r="CT757" s="83"/>
      <c r="CU757" s="83"/>
      <c r="CV757" s="83"/>
      <c r="CW757" s="83"/>
      <c r="CX757" s="83"/>
      <c r="CY757" s="83"/>
      <c r="CZ757" s="83"/>
      <c r="DA757" s="83"/>
      <c r="DB757" s="83"/>
      <c r="DC757" s="83"/>
    </row>
    <row r="758" spans="1:107" x14ac:dyDescent="0.3">
      <c r="A758" s="83"/>
      <c r="B758" s="83"/>
      <c r="C758" s="83"/>
      <c r="D758" s="83"/>
      <c r="E758" s="83"/>
      <c r="F758" s="83"/>
      <c r="G758" s="83"/>
      <c r="H758" s="83"/>
      <c r="I758" s="83"/>
      <c r="J758" s="83"/>
      <c r="K758" s="83"/>
      <c r="L758" s="83"/>
      <c r="M758" s="83"/>
      <c r="N758" s="83"/>
      <c r="O758" s="83"/>
      <c r="P758" s="83"/>
      <c r="Q758" s="83"/>
      <c r="R758" s="83"/>
      <c r="S758" s="83"/>
      <c r="T758" s="83"/>
      <c r="U758" s="83"/>
      <c r="V758" s="83"/>
      <c r="W758" s="83"/>
      <c r="X758" s="83"/>
      <c r="Y758" s="83"/>
      <c r="Z758" s="83"/>
      <c r="AA758" s="83"/>
      <c r="AB758" s="83"/>
      <c r="AC758" s="83"/>
      <c r="AD758" s="83"/>
      <c r="AE758" s="83"/>
      <c r="AF758" s="83"/>
      <c r="AG758" s="83"/>
      <c r="AH758" s="83"/>
      <c r="AI758" s="83"/>
      <c r="AJ758" s="83"/>
      <c r="AK758" s="83"/>
      <c r="AL758" s="83"/>
      <c r="AM758" s="83"/>
      <c r="AN758" s="83"/>
      <c r="AO758" s="83"/>
      <c r="AP758" s="83"/>
      <c r="AQ758" s="83"/>
      <c r="AR758" s="83"/>
      <c r="AS758" s="83"/>
      <c r="AT758" s="83"/>
      <c r="AU758" s="83"/>
      <c r="AV758" s="83"/>
      <c r="AW758" s="83"/>
      <c r="AX758" s="83"/>
      <c r="AY758" s="83"/>
      <c r="AZ758" s="83"/>
      <c r="BA758" s="83"/>
      <c r="BB758" s="83"/>
      <c r="BC758" s="83"/>
      <c r="BD758" s="83"/>
      <c r="BE758" s="83"/>
      <c r="BF758" s="83"/>
      <c r="BG758" s="83"/>
      <c r="BH758" s="83"/>
      <c r="BI758" s="83"/>
      <c r="BJ758" s="83"/>
      <c r="BK758" s="83"/>
      <c r="BL758" s="83"/>
      <c r="BM758" s="83"/>
      <c r="BN758" s="83"/>
      <c r="BO758" s="83"/>
      <c r="BP758" s="83"/>
      <c r="BQ758" s="83"/>
      <c r="BR758" s="83"/>
      <c r="BS758" s="83"/>
      <c r="BT758" s="83"/>
      <c r="BU758" s="83"/>
      <c r="BV758" s="83"/>
      <c r="BW758" s="83"/>
      <c r="BX758" s="83"/>
      <c r="BY758" s="83"/>
      <c r="BZ758" s="83"/>
      <c r="CA758" s="83"/>
      <c r="CB758" s="83"/>
      <c r="CC758" s="83"/>
      <c r="CD758" s="83"/>
      <c r="CE758" s="83"/>
      <c r="CF758" s="83"/>
      <c r="CG758" s="83"/>
      <c r="CH758" s="83"/>
      <c r="CI758" s="83"/>
      <c r="CJ758" s="83"/>
      <c r="CK758" s="83"/>
      <c r="CL758" s="83"/>
      <c r="CM758" s="83"/>
      <c r="CN758" s="83"/>
      <c r="CO758" s="83"/>
      <c r="CP758" s="83"/>
      <c r="CQ758" s="83"/>
      <c r="CR758" s="83"/>
      <c r="CS758" s="83"/>
      <c r="CT758" s="83"/>
      <c r="CU758" s="83"/>
      <c r="CV758" s="83"/>
      <c r="CW758" s="83"/>
      <c r="CX758" s="83"/>
      <c r="CY758" s="83"/>
      <c r="CZ758" s="83"/>
      <c r="DA758" s="83"/>
      <c r="DB758" s="83"/>
      <c r="DC758" s="83"/>
    </row>
    <row r="759" spans="1:107" x14ac:dyDescent="0.3">
      <c r="A759" s="83"/>
      <c r="B759" s="83"/>
      <c r="C759" s="83"/>
      <c r="D759" s="83"/>
      <c r="E759" s="83"/>
      <c r="F759" s="83"/>
      <c r="G759" s="83"/>
      <c r="H759" s="83"/>
      <c r="I759" s="83"/>
      <c r="J759" s="83"/>
      <c r="K759" s="83"/>
      <c r="L759" s="83"/>
      <c r="M759" s="83"/>
      <c r="N759" s="83"/>
      <c r="O759" s="83"/>
      <c r="P759" s="83"/>
      <c r="Q759" s="83"/>
      <c r="R759" s="83"/>
      <c r="S759" s="83"/>
      <c r="T759" s="83"/>
      <c r="U759" s="83"/>
      <c r="V759" s="83"/>
      <c r="W759" s="83"/>
      <c r="X759" s="83"/>
      <c r="Y759" s="83"/>
      <c r="Z759" s="83"/>
      <c r="AA759" s="83"/>
      <c r="AB759" s="83"/>
      <c r="AC759" s="83"/>
      <c r="AD759" s="83"/>
      <c r="AE759" s="83"/>
      <c r="AF759" s="83"/>
      <c r="AG759" s="83"/>
      <c r="AH759" s="83"/>
      <c r="AI759" s="83"/>
      <c r="AJ759" s="83"/>
      <c r="AK759" s="83"/>
      <c r="AL759" s="83"/>
      <c r="AM759" s="83"/>
      <c r="AN759" s="83"/>
      <c r="AO759" s="83"/>
      <c r="AP759" s="83"/>
      <c r="AQ759" s="83"/>
      <c r="AR759" s="83"/>
      <c r="AS759" s="83"/>
      <c r="AT759" s="83"/>
      <c r="AU759" s="83"/>
      <c r="AV759" s="83"/>
      <c r="AW759" s="83"/>
      <c r="AX759" s="83"/>
      <c r="AY759" s="83"/>
      <c r="AZ759" s="83"/>
      <c r="BA759" s="83"/>
      <c r="BB759" s="83"/>
      <c r="BC759" s="83"/>
      <c r="BD759" s="83"/>
      <c r="BE759" s="83"/>
      <c r="BF759" s="83"/>
      <c r="BG759" s="83"/>
      <c r="BH759" s="83"/>
      <c r="BI759" s="83"/>
      <c r="BJ759" s="83"/>
      <c r="BK759" s="83"/>
      <c r="BL759" s="83"/>
      <c r="BM759" s="83"/>
      <c r="BN759" s="83"/>
      <c r="BO759" s="83"/>
      <c r="BP759" s="83"/>
      <c r="BQ759" s="83"/>
      <c r="BR759" s="83"/>
      <c r="BS759" s="83"/>
      <c r="BT759" s="83"/>
      <c r="BU759" s="83"/>
      <c r="BV759" s="83"/>
      <c r="BW759" s="83"/>
      <c r="BX759" s="83"/>
      <c r="BY759" s="83"/>
      <c r="BZ759" s="83"/>
      <c r="CA759" s="83"/>
      <c r="CB759" s="83"/>
      <c r="CC759" s="83"/>
      <c r="CD759" s="83"/>
      <c r="CE759" s="83"/>
      <c r="CF759" s="83"/>
      <c r="CG759" s="83"/>
      <c r="CH759" s="83"/>
      <c r="CI759" s="83"/>
      <c r="CJ759" s="83"/>
      <c r="CK759" s="83"/>
      <c r="CL759" s="83"/>
      <c r="CM759" s="83"/>
      <c r="CN759" s="83"/>
      <c r="CO759" s="83"/>
      <c r="CP759" s="83"/>
      <c r="CQ759" s="83"/>
      <c r="CR759" s="83"/>
      <c r="CS759" s="83"/>
      <c r="CT759" s="83"/>
      <c r="CU759" s="83"/>
      <c r="CV759" s="83"/>
      <c r="CW759" s="83"/>
      <c r="CX759" s="83"/>
      <c r="CY759" s="83"/>
      <c r="CZ759" s="83"/>
      <c r="DA759" s="83"/>
      <c r="DB759" s="83"/>
      <c r="DC759" s="83"/>
    </row>
    <row r="760" spans="1:107" x14ac:dyDescent="0.3">
      <c r="A760" s="83"/>
      <c r="B760" s="83"/>
      <c r="C760" s="83"/>
      <c r="D760" s="83"/>
      <c r="E760" s="83"/>
      <c r="F760" s="83"/>
      <c r="G760" s="83"/>
      <c r="H760" s="83"/>
      <c r="I760" s="83"/>
      <c r="J760" s="83"/>
      <c r="K760" s="83"/>
      <c r="L760" s="83"/>
      <c r="M760" s="83"/>
      <c r="N760" s="83"/>
      <c r="O760" s="83"/>
      <c r="P760" s="83"/>
      <c r="Q760" s="83"/>
      <c r="R760" s="83"/>
      <c r="S760" s="83"/>
      <c r="T760" s="83"/>
      <c r="U760" s="83"/>
      <c r="V760" s="83"/>
      <c r="W760" s="83"/>
      <c r="X760" s="83"/>
      <c r="Y760" s="83"/>
      <c r="Z760" s="83"/>
      <c r="AA760" s="83"/>
      <c r="AB760" s="83"/>
      <c r="AC760" s="83"/>
      <c r="AD760" s="83"/>
      <c r="AE760" s="83"/>
      <c r="AF760" s="83"/>
      <c r="AG760" s="83"/>
      <c r="AH760" s="83"/>
      <c r="AI760" s="83"/>
      <c r="AJ760" s="83"/>
      <c r="AK760" s="83"/>
      <c r="AL760" s="83"/>
      <c r="AM760" s="83"/>
      <c r="AN760" s="83"/>
      <c r="AO760" s="83"/>
      <c r="AP760" s="83"/>
      <c r="AQ760" s="83"/>
      <c r="AR760" s="83"/>
      <c r="AS760" s="83"/>
      <c r="AT760" s="83"/>
      <c r="AU760" s="83"/>
      <c r="AV760" s="83"/>
      <c r="AW760" s="83"/>
      <c r="AX760" s="83"/>
      <c r="AY760" s="83"/>
      <c r="AZ760" s="83"/>
      <c r="BA760" s="83"/>
      <c r="BB760" s="83"/>
      <c r="BC760" s="83"/>
      <c r="BD760" s="83"/>
      <c r="BE760" s="83"/>
      <c r="BF760" s="83"/>
      <c r="BG760" s="83"/>
      <c r="BH760" s="83"/>
      <c r="BI760" s="83"/>
      <c r="BJ760" s="83"/>
      <c r="BK760" s="83"/>
      <c r="BL760" s="83"/>
      <c r="BM760" s="83"/>
      <c r="BN760" s="83"/>
      <c r="BO760" s="83"/>
      <c r="BP760" s="83"/>
      <c r="BQ760" s="83"/>
      <c r="BR760" s="83"/>
      <c r="BS760" s="83"/>
      <c r="BT760" s="83"/>
      <c r="BU760" s="83"/>
      <c r="BV760" s="83"/>
      <c r="BW760" s="83"/>
      <c r="BX760" s="83"/>
      <c r="BY760" s="83"/>
      <c r="BZ760" s="83"/>
      <c r="CA760" s="83"/>
      <c r="CB760" s="83"/>
      <c r="CC760" s="83"/>
      <c r="CD760" s="83"/>
      <c r="CE760" s="83"/>
      <c r="CF760" s="83"/>
      <c r="CG760" s="83"/>
      <c r="CH760" s="83"/>
      <c r="CI760" s="83"/>
      <c r="CJ760" s="83"/>
      <c r="CK760" s="83"/>
      <c r="CL760" s="83"/>
      <c r="CM760" s="83"/>
      <c r="CN760" s="83"/>
      <c r="CO760" s="83"/>
      <c r="CP760" s="83"/>
      <c r="CQ760" s="83"/>
      <c r="CR760" s="83"/>
      <c r="CS760" s="83"/>
      <c r="CT760" s="83"/>
      <c r="CU760" s="83"/>
      <c r="CV760" s="83"/>
      <c r="CW760" s="83"/>
      <c r="CX760" s="83"/>
      <c r="CY760" s="83"/>
      <c r="CZ760" s="83"/>
      <c r="DA760" s="83"/>
      <c r="DB760" s="83"/>
      <c r="DC760" s="83"/>
    </row>
    <row r="761" spans="1:107" x14ac:dyDescent="0.3">
      <c r="A761" s="83"/>
      <c r="B761" s="83"/>
      <c r="C761" s="83"/>
      <c r="D761" s="83"/>
      <c r="E761" s="83"/>
      <c r="F761" s="83"/>
      <c r="G761" s="83"/>
      <c r="H761" s="83"/>
      <c r="I761" s="83"/>
      <c r="J761" s="83"/>
      <c r="K761" s="83"/>
      <c r="L761" s="83"/>
      <c r="M761" s="83"/>
      <c r="N761" s="83"/>
      <c r="O761" s="83"/>
      <c r="P761" s="83"/>
      <c r="Q761" s="83"/>
      <c r="R761" s="83"/>
      <c r="S761" s="83"/>
      <c r="T761" s="83"/>
      <c r="U761" s="83"/>
      <c r="V761" s="83"/>
      <c r="W761" s="83"/>
      <c r="X761" s="83"/>
      <c r="Y761" s="83"/>
      <c r="Z761" s="83"/>
      <c r="AA761" s="83"/>
      <c r="AB761" s="83"/>
      <c r="AC761" s="83"/>
      <c r="AD761" s="83"/>
      <c r="AE761" s="83"/>
      <c r="AF761" s="83"/>
      <c r="AG761" s="83"/>
      <c r="AH761" s="83"/>
      <c r="AI761" s="83"/>
      <c r="AJ761" s="83"/>
      <c r="AK761" s="83"/>
      <c r="AL761" s="83"/>
      <c r="AM761" s="83"/>
      <c r="AN761" s="83"/>
      <c r="AO761" s="83"/>
      <c r="AP761" s="83"/>
      <c r="AQ761" s="83"/>
      <c r="AR761" s="83"/>
      <c r="AS761" s="83"/>
      <c r="AT761" s="83"/>
      <c r="AU761" s="83"/>
      <c r="AV761" s="83"/>
      <c r="AW761" s="83"/>
      <c r="AX761" s="83"/>
      <c r="AY761" s="83"/>
      <c r="AZ761" s="83"/>
      <c r="BA761" s="83"/>
      <c r="BB761" s="83"/>
      <c r="BC761" s="83"/>
      <c r="BD761" s="83"/>
      <c r="BE761" s="83"/>
      <c r="BF761" s="83"/>
      <c r="BG761" s="83"/>
      <c r="BH761" s="83"/>
      <c r="BI761" s="83"/>
      <c r="BJ761" s="83"/>
      <c r="BK761" s="83"/>
      <c r="BL761" s="83"/>
      <c r="BM761" s="83"/>
      <c r="BN761" s="83"/>
      <c r="BO761" s="83"/>
      <c r="BP761" s="83"/>
      <c r="BQ761" s="83"/>
      <c r="BR761" s="83"/>
      <c r="BS761" s="83"/>
      <c r="BT761" s="83"/>
      <c r="BU761" s="83"/>
      <c r="BV761" s="83"/>
      <c r="BW761" s="83"/>
      <c r="BX761" s="83"/>
      <c r="BY761" s="83"/>
      <c r="BZ761" s="83"/>
      <c r="CA761" s="83"/>
      <c r="CB761" s="83"/>
      <c r="CC761" s="83"/>
      <c r="CD761" s="83"/>
      <c r="CE761" s="83"/>
      <c r="CF761" s="83"/>
      <c r="CG761" s="83"/>
      <c r="CH761" s="83"/>
      <c r="CI761" s="83"/>
      <c r="CJ761" s="83"/>
      <c r="CK761" s="83"/>
      <c r="CL761" s="83"/>
      <c r="CM761" s="83"/>
      <c r="CN761" s="83"/>
      <c r="CO761" s="83"/>
      <c r="CP761" s="83"/>
      <c r="CQ761" s="83"/>
      <c r="CR761" s="83"/>
      <c r="CS761" s="83"/>
      <c r="CT761" s="83"/>
      <c r="CU761" s="83"/>
      <c r="CV761" s="83"/>
      <c r="CW761" s="83"/>
      <c r="CX761" s="83"/>
      <c r="CY761" s="83"/>
      <c r="CZ761" s="83"/>
      <c r="DA761" s="83"/>
      <c r="DB761" s="83"/>
      <c r="DC761" s="83"/>
    </row>
    <row r="762" spans="1:107" x14ac:dyDescent="0.3">
      <c r="A762" s="83"/>
      <c r="B762" s="83"/>
      <c r="C762" s="83"/>
      <c r="D762" s="83"/>
      <c r="E762" s="83"/>
      <c r="F762" s="83"/>
      <c r="G762" s="83"/>
      <c r="H762" s="83"/>
      <c r="I762" s="83"/>
      <c r="J762" s="83"/>
      <c r="K762" s="83"/>
      <c r="L762" s="83"/>
      <c r="M762" s="83"/>
      <c r="N762" s="83"/>
      <c r="O762" s="83"/>
      <c r="P762" s="83"/>
      <c r="Q762" s="83"/>
      <c r="R762" s="83"/>
      <c r="S762" s="83"/>
      <c r="T762" s="83"/>
      <c r="U762" s="83"/>
      <c r="V762" s="83"/>
      <c r="W762" s="83"/>
      <c r="X762" s="83"/>
      <c r="Y762" s="83"/>
      <c r="Z762" s="83"/>
      <c r="AA762" s="83"/>
      <c r="AB762" s="83"/>
      <c r="AC762" s="83"/>
      <c r="AD762" s="83"/>
      <c r="AE762" s="83"/>
      <c r="AF762" s="83"/>
      <c r="AG762" s="83"/>
      <c r="AH762" s="83"/>
      <c r="AI762" s="83"/>
      <c r="AJ762" s="83"/>
      <c r="AK762" s="83"/>
      <c r="AL762" s="83"/>
      <c r="AM762" s="83"/>
      <c r="AN762" s="83"/>
      <c r="AO762" s="83"/>
      <c r="AP762" s="83"/>
      <c r="AQ762" s="83"/>
      <c r="AR762" s="83"/>
      <c r="AS762" s="83"/>
      <c r="AT762" s="83"/>
      <c r="AU762" s="83"/>
      <c r="AV762" s="83"/>
      <c r="AW762" s="83"/>
      <c r="AX762" s="83"/>
      <c r="AY762" s="83"/>
      <c r="AZ762" s="83"/>
      <c r="BA762" s="83"/>
      <c r="BB762" s="83"/>
      <c r="BC762" s="83"/>
      <c r="BD762" s="83"/>
      <c r="BE762" s="83"/>
      <c r="BF762" s="83"/>
      <c r="BG762" s="83"/>
      <c r="BH762" s="83"/>
      <c r="BI762" s="83"/>
      <c r="BJ762" s="83"/>
      <c r="BK762" s="83"/>
      <c r="BL762" s="83"/>
      <c r="BM762" s="83"/>
      <c r="BN762" s="83"/>
      <c r="BO762" s="83"/>
      <c r="BP762" s="83"/>
      <c r="BQ762" s="83"/>
      <c r="BR762" s="83"/>
      <c r="BS762" s="83"/>
      <c r="BT762" s="83"/>
      <c r="BU762" s="83"/>
      <c r="BV762" s="83"/>
      <c r="BW762" s="83"/>
      <c r="BX762" s="83"/>
      <c r="BY762" s="83"/>
      <c r="BZ762" s="83"/>
      <c r="CA762" s="83"/>
      <c r="CB762" s="83"/>
      <c r="CC762" s="83"/>
      <c r="CD762" s="83"/>
      <c r="CE762" s="83"/>
      <c r="CF762" s="83"/>
      <c r="CG762" s="83"/>
      <c r="CH762" s="83"/>
      <c r="CI762" s="83"/>
      <c r="CJ762" s="83"/>
      <c r="CK762" s="83"/>
      <c r="CL762" s="83"/>
      <c r="CM762" s="83"/>
      <c r="CN762" s="83"/>
      <c r="CO762" s="83"/>
      <c r="CP762" s="83"/>
      <c r="CQ762" s="83"/>
      <c r="CR762" s="83"/>
      <c r="CS762" s="83"/>
      <c r="CT762" s="83"/>
      <c r="CU762" s="83"/>
      <c r="CV762" s="83"/>
      <c r="CW762" s="83"/>
      <c r="CX762" s="83"/>
      <c r="CY762" s="83"/>
      <c r="CZ762" s="83"/>
      <c r="DA762" s="83"/>
      <c r="DB762" s="83"/>
      <c r="DC762" s="83"/>
    </row>
    <row r="763" spans="1:107" x14ac:dyDescent="0.3">
      <c r="A763" s="83"/>
      <c r="B763" s="83"/>
      <c r="C763" s="83"/>
      <c r="D763" s="83"/>
      <c r="E763" s="83"/>
      <c r="F763" s="83"/>
      <c r="G763" s="83"/>
      <c r="H763" s="83"/>
      <c r="I763" s="83"/>
      <c r="J763" s="83"/>
      <c r="K763" s="83"/>
      <c r="L763" s="83"/>
      <c r="M763" s="83"/>
      <c r="N763" s="83"/>
      <c r="O763" s="83"/>
      <c r="P763" s="83"/>
      <c r="Q763" s="83"/>
      <c r="R763" s="83"/>
      <c r="S763" s="83"/>
      <c r="T763" s="83"/>
      <c r="U763" s="83"/>
      <c r="V763" s="83"/>
      <c r="W763" s="83"/>
      <c r="X763" s="83"/>
      <c r="Y763" s="83"/>
      <c r="Z763" s="83"/>
      <c r="AA763" s="83"/>
      <c r="AB763" s="83"/>
      <c r="AC763" s="83"/>
      <c r="AD763" s="83"/>
      <c r="AE763" s="83"/>
      <c r="AF763" s="83"/>
      <c r="AG763" s="83"/>
      <c r="AH763" s="83"/>
      <c r="AI763" s="83"/>
      <c r="AJ763" s="83"/>
      <c r="AK763" s="83"/>
      <c r="AL763" s="83"/>
      <c r="AM763" s="83"/>
      <c r="AN763" s="83"/>
      <c r="AO763" s="83"/>
      <c r="AP763" s="83"/>
      <c r="AQ763" s="83"/>
      <c r="AR763" s="83"/>
      <c r="AS763" s="83"/>
      <c r="AT763" s="83"/>
      <c r="AU763" s="83"/>
      <c r="AV763" s="83"/>
      <c r="AW763" s="83"/>
      <c r="AX763" s="83"/>
      <c r="AY763" s="83"/>
      <c r="AZ763" s="83"/>
      <c r="BA763" s="83"/>
      <c r="BB763" s="83"/>
      <c r="BC763" s="83"/>
      <c r="BD763" s="83"/>
      <c r="BE763" s="83"/>
      <c r="BF763" s="83"/>
      <c r="BG763" s="83"/>
      <c r="BH763" s="83"/>
      <c r="BI763" s="83"/>
      <c r="BJ763" s="83"/>
      <c r="BK763" s="83"/>
      <c r="BL763" s="83"/>
      <c r="BM763" s="83"/>
      <c r="BN763" s="83"/>
      <c r="BO763" s="83"/>
      <c r="BP763" s="83"/>
      <c r="BQ763" s="83"/>
      <c r="BR763" s="83"/>
      <c r="BS763" s="83"/>
      <c r="BT763" s="83"/>
      <c r="BU763" s="83"/>
      <c r="BV763" s="83"/>
      <c r="BW763" s="83"/>
      <c r="BX763" s="83"/>
      <c r="BY763" s="83"/>
      <c r="BZ763" s="83"/>
      <c r="CA763" s="83"/>
      <c r="CB763" s="83"/>
      <c r="CC763" s="83"/>
      <c r="CD763" s="83"/>
      <c r="CE763" s="83"/>
      <c r="CF763" s="83"/>
      <c r="CG763" s="83"/>
      <c r="CH763" s="83"/>
      <c r="CI763" s="83"/>
      <c r="CJ763" s="83"/>
      <c r="CK763" s="83"/>
      <c r="CL763" s="83"/>
      <c r="CM763" s="83"/>
      <c r="CN763" s="83"/>
      <c r="CO763" s="83"/>
      <c r="CP763" s="83"/>
      <c r="CQ763" s="83"/>
      <c r="CR763" s="83"/>
      <c r="CS763" s="83"/>
      <c r="CT763" s="83"/>
      <c r="CU763" s="83"/>
      <c r="CV763" s="83"/>
      <c r="CW763" s="83"/>
      <c r="CX763" s="83"/>
      <c r="CY763" s="83"/>
      <c r="CZ763" s="83"/>
      <c r="DA763" s="83"/>
      <c r="DB763" s="83"/>
      <c r="DC763" s="83"/>
    </row>
    <row r="764" spans="1:107" x14ac:dyDescent="0.3">
      <c r="A764" s="83"/>
      <c r="B764" s="83"/>
      <c r="C764" s="83"/>
      <c r="D764" s="83"/>
      <c r="E764" s="83"/>
      <c r="F764" s="83"/>
      <c r="G764" s="83"/>
      <c r="H764" s="83"/>
      <c r="I764" s="83"/>
      <c r="J764" s="83"/>
      <c r="K764" s="83"/>
      <c r="L764" s="83"/>
      <c r="M764" s="83"/>
      <c r="N764" s="83"/>
      <c r="O764" s="83"/>
      <c r="P764" s="83"/>
      <c r="Q764" s="83"/>
      <c r="R764" s="83"/>
      <c r="S764" s="83"/>
      <c r="T764" s="83"/>
      <c r="U764" s="83"/>
      <c r="V764" s="83"/>
      <c r="W764" s="83"/>
      <c r="X764" s="83"/>
      <c r="Y764" s="83"/>
      <c r="Z764" s="83"/>
      <c r="AA764" s="83"/>
      <c r="AB764" s="83"/>
      <c r="AC764" s="83"/>
      <c r="AD764" s="83"/>
      <c r="AE764" s="83"/>
      <c r="AF764" s="83"/>
      <c r="AG764" s="83"/>
      <c r="AH764" s="83"/>
      <c r="AI764" s="83"/>
      <c r="AJ764" s="83"/>
      <c r="AK764" s="83"/>
      <c r="AL764" s="83"/>
      <c r="AM764" s="83"/>
      <c r="AN764" s="83"/>
      <c r="AO764" s="83"/>
      <c r="AP764" s="83"/>
      <c r="AQ764" s="83"/>
      <c r="AR764" s="83"/>
      <c r="AS764" s="83"/>
      <c r="AT764" s="83"/>
      <c r="AU764" s="83"/>
      <c r="AV764" s="83"/>
      <c r="AW764" s="83"/>
      <c r="AX764" s="83"/>
      <c r="AY764" s="83"/>
      <c r="AZ764" s="83"/>
      <c r="BA764" s="83"/>
      <c r="BB764" s="83"/>
      <c r="BC764" s="83"/>
      <c r="BD764" s="83"/>
      <c r="BE764" s="83"/>
      <c r="BF764" s="83"/>
      <c r="BG764" s="83"/>
      <c r="BH764" s="83"/>
      <c r="BI764" s="83"/>
      <c r="BJ764" s="83"/>
      <c r="BK764" s="83"/>
      <c r="BL764" s="83"/>
      <c r="BM764" s="83"/>
      <c r="BN764" s="83"/>
      <c r="BO764" s="83"/>
      <c r="BP764" s="83"/>
      <c r="BQ764" s="83"/>
      <c r="BR764" s="83"/>
      <c r="BS764" s="83"/>
      <c r="BT764" s="83"/>
      <c r="BU764" s="83"/>
      <c r="BV764" s="83"/>
      <c r="BW764" s="83"/>
      <c r="BX764" s="83"/>
      <c r="BY764" s="83"/>
      <c r="BZ764" s="83"/>
      <c r="CA764" s="83"/>
      <c r="CB764" s="83"/>
      <c r="CC764" s="83"/>
      <c r="CD764" s="83"/>
      <c r="CE764" s="83"/>
      <c r="CF764" s="83"/>
      <c r="CG764" s="83"/>
      <c r="CH764" s="83"/>
      <c r="CI764" s="83"/>
      <c r="CJ764" s="83"/>
      <c r="CK764" s="83"/>
      <c r="CL764" s="83"/>
      <c r="CM764" s="83"/>
      <c r="CN764" s="83"/>
      <c r="CO764" s="83"/>
      <c r="CP764" s="83"/>
      <c r="CQ764" s="83"/>
      <c r="CR764" s="83"/>
      <c r="CS764" s="83"/>
      <c r="CT764" s="83"/>
      <c r="CU764" s="83"/>
      <c r="CV764" s="83"/>
      <c r="CW764" s="83"/>
      <c r="CX764" s="83"/>
      <c r="CY764" s="83"/>
      <c r="CZ764" s="83"/>
      <c r="DA764" s="83"/>
      <c r="DB764" s="83"/>
      <c r="DC764" s="83"/>
    </row>
    <row r="765" spans="1:107" x14ac:dyDescent="0.3">
      <c r="A765" s="83"/>
      <c r="B765" s="83"/>
      <c r="C765" s="83"/>
      <c r="D765" s="83"/>
      <c r="E765" s="83"/>
      <c r="F765" s="83"/>
      <c r="G765" s="83"/>
      <c r="H765" s="83"/>
      <c r="I765" s="83"/>
      <c r="J765" s="83"/>
      <c r="K765" s="83"/>
      <c r="L765" s="83"/>
      <c r="M765" s="83"/>
      <c r="N765" s="83"/>
      <c r="O765" s="83"/>
      <c r="P765" s="83"/>
      <c r="Q765" s="83"/>
      <c r="R765" s="83"/>
      <c r="S765" s="83"/>
      <c r="T765" s="83"/>
      <c r="U765" s="83"/>
      <c r="V765" s="83"/>
      <c r="W765" s="83"/>
      <c r="X765" s="83"/>
      <c r="Y765" s="83"/>
      <c r="Z765" s="83"/>
      <c r="AA765" s="83"/>
      <c r="AB765" s="83"/>
      <c r="AC765" s="83"/>
      <c r="AD765" s="83"/>
      <c r="AE765" s="83"/>
      <c r="AF765" s="83"/>
      <c r="AG765" s="83"/>
      <c r="AH765" s="83"/>
      <c r="AI765" s="83"/>
      <c r="AJ765" s="83"/>
      <c r="AK765" s="83"/>
      <c r="AL765" s="83"/>
      <c r="AM765" s="83"/>
      <c r="AN765" s="83"/>
      <c r="AO765" s="83"/>
      <c r="AP765" s="83"/>
      <c r="AQ765" s="83"/>
      <c r="AR765" s="83"/>
      <c r="AS765" s="83"/>
      <c r="AT765" s="83"/>
      <c r="AU765" s="83"/>
      <c r="AV765" s="83"/>
      <c r="AW765" s="83"/>
      <c r="AX765" s="83"/>
      <c r="AY765" s="83"/>
      <c r="AZ765" s="83"/>
      <c r="BA765" s="83"/>
      <c r="BB765" s="83"/>
      <c r="BC765" s="83"/>
      <c r="BD765" s="83"/>
      <c r="BE765" s="83"/>
      <c r="BF765" s="83"/>
      <c r="BG765" s="83"/>
      <c r="BH765" s="83"/>
      <c r="BI765" s="83"/>
      <c r="BJ765" s="83"/>
      <c r="BK765" s="83"/>
      <c r="BL765" s="83"/>
      <c r="BM765" s="83"/>
      <c r="BN765" s="83"/>
      <c r="BO765" s="83"/>
      <c r="BP765" s="83"/>
      <c r="BQ765" s="83"/>
      <c r="BR765" s="83"/>
      <c r="BS765" s="83"/>
      <c r="BT765" s="83"/>
      <c r="BU765" s="83"/>
      <c r="BV765" s="83"/>
      <c r="BW765" s="83"/>
      <c r="BX765" s="83"/>
      <c r="BY765" s="83"/>
      <c r="BZ765" s="83"/>
      <c r="CA765" s="83"/>
      <c r="CB765" s="83"/>
      <c r="CC765" s="83"/>
      <c r="CD765" s="83"/>
      <c r="CE765" s="83"/>
      <c r="CF765" s="83"/>
      <c r="CG765" s="83"/>
      <c r="CH765" s="83"/>
      <c r="CI765" s="83"/>
      <c r="CJ765" s="83"/>
      <c r="CK765" s="83"/>
      <c r="CL765" s="83"/>
      <c r="CM765" s="83"/>
      <c r="CN765" s="83"/>
      <c r="CO765" s="83"/>
      <c r="CP765" s="83"/>
      <c r="CQ765" s="83"/>
      <c r="CR765" s="83"/>
      <c r="CS765" s="83"/>
      <c r="CT765" s="83"/>
      <c r="CU765" s="83"/>
      <c r="CV765" s="83"/>
      <c r="CW765" s="83"/>
      <c r="CX765" s="83"/>
      <c r="CY765" s="83"/>
      <c r="CZ765" s="83"/>
      <c r="DA765" s="83"/>
      <c r="DB765" s="83"/>
      <c r="DC765" s="83"/>
    </row>
    <row r="766" spans="1:107" x14ac:dyDescent="0.3">
      <c r="A766" s="83"/>
      <c r="B766" s="83"/>
      <c r="C766" s="83"/>
      <c r="D766" s="83"/>
      <c r="E766" s="83"/>
      <c r="F766" s="83"/>
      <c r="G766" s="83"/>
      <c r="H766" s="83"/>
      <c r="I766" s="83"/>
      <c r="J766" s="83"/>
      <c r="K766" s="83"/>
      <c r="L766" s="83"/>
      <c r="M766" s="83"/>
      <c r="N766" s="83"/>
      <c r="O766" s="83"/>
      <c r="P766" s="83"/>
      <c r="Q766" s="83"/>
      <c r="R766" s="83"/>
      <c r="S766" s="83"/>
      <c r="T766" s="83"/>
      <c r="U766" s="83"/>
      <c r="V766" s="83"/>
      <c r="W766" s="83"/>
      <c r="X766" s="83"/>
      <c r="Y766" s="83"/>
      <c r="Z766" s="83"/>
      <c r="AA766" s="83"/>
      <c r="AB766" s="83"/>
      <c r="AC766" s="83"/>
      <c r="AD766" s="83"/>
      <c r="AE766" s="83"/>
      <c r="AF766" s="83"/>
      <c r="AG766" s="83"/>
      <c r="AH766" s="83"/>
      <c r="AI766" s="83"/>
      <c r="AJ766" s="83"/>
      <c r="AK766" s="83"/>
      <c r="AL766" s="83"/>
      <c r="AM766" s="83"/>
      <c r="AN766" s="83"/>
      <c r="AO766" s="83"/>
      <c r="AP766" s="83"/>
      <c r="AQ766" s="83"/>
      <c r="AR766" s="83"/>
      <c r="AS766" s="83"/>
      <c r="AT766" s="83"/>
      <c r="AU766" s="83"/>
      <c r="AV766" s="83"/>
      <c r="AW766" s="83"/>
      <c r="AX766" s="83"/>
      <c r="AY766" s="83"/>
      <c r="AZ766" s="83"/>
      <c r="BA766" s="83"/>
      <c r="BB766" s="83"/>
      <c r="BC766" s="83"/>
      <c r="BD766" s="83"/>
      <c r="BE766" s="83"/>
      <c r="BF766" s="83"/>
      <c r="BG766" s="83"/>
      <c r="BH766" s="83"/>
      <c r="BI766" s="83"/>
      <c r="BJ766" s="83"/>
      <c r="BK766" s="83"/>
      <c r="BL766" s="83"/>
      <c r="BM766" s="83"/>
      <c r="BN766" s="83"/>
      <c r="BO766" s="83"/>
      <c r="BP766" s="83"/>
      <c r="BQ766" s="83"/>
      <c r="BR766" s="83"/>
      <c r="BS766" s="83"/>
      <c r="BT766" s="83"/>
      <c r="BU766" s="83"/>
      <c r="BV766" s="83"/>
      <c r="BW766" s="83"/>
      <c r="BX766" s="83"/>
      <c r="BY766" s="83"/>
      <c r="BZ766" s="83"/>
      <c r="CA766" s="83"/>
      <c r="CB766" s="83"/>
      <c r="CC766" s="83"/>
      <c r="CD766" s="83"/>
      <c r="CE766" s="83"/>
      <c r="CF766" s="83"/>
      <c r="CG766" s="83"/>
      <c r="CH766" s="83"/>
      <c r="CI766" s="83"/>
      <c r="CJ766" s="83"/>
      <c r="CK766" s="83"/>
      <c r="CL766" s="83"/>
      <c r="CM766" s="83"/>
      <c r="CN766" s="83"/>
      <c r="CO766" s="83"/>
      <c r="CP766" s="83"/>
      <c r="CQ766" s="83"/>
      <c r="CR766" s="83"/>
      <c r="CS766" s="83"/>
      <c r="CT766" s="83"/>
      <c r="CU766" s="83"/>
      <c r="CV766" s="83"/>
      <c r="CW766" s="83"/>
      <c r="CX766" s="83"/>
      <c r="CY766" s="83"/>
      <c r="CZ766" s="83"/>
      <c r="DA766" s="83"/>
      <c r="DB766" s="83"/>
      <c r="DC766" s="83"/>
    </row>
    <row r="767" spans="1:107" x14ac:dyDescent="0.3">
      <c r="A767" s="83"/>
      <c r="B767" s="83"/>
      <c r="C767" s="83"/>
      <c r="D767" s="83"/>
      <c r="E767" s="83"/>
      <c r="F767" s="83"/>
      <c r="G767" s="83"/>
      <c r="H767" s="83"/>
      <c r="I767" s="83"/>
      <c r="J767" s="83"/>
      <c r="K767" s="83"/>
      <c r="L767" s="83"/>
      <c r="M767" s="83"/>
      <c r="N767" s="83"/>
      <c r="O767" s="83"/>
      <c r="P767" s="83"/>
      <c r="Q767" s="83"/>
      <c r="R767" s="83"/>
      <c r="S767" s="83"/>
      <c r="T767" s="83"/>
      <c r="U767" s="83"/>
      <c r="V767" s="83"/>
      <c r="W767" s="83"/>
      <c r="X767" s="83"/>
      <c r="Y767" s="83"/>
      <c r="Z767" s="83"/>
      <c r="AA767" s="83"/>
      <c r="AB767" s="83"/>
      <c r="AC767" s="83"/>
      <c r="AD767" s="83"/>
      <c r="AE767" s="83"/>
      <c r="AF767" s="83"/>
      <c r="AG767" s="83"/>
      <c r="AH767" s="83"/>
      <c r="AI767" s="83"/>
      <c r="AJ767" s="83"/>
      <c r="AK767" s="83"/>
      <c r="AL767" s="83"/>
      <c r="AM767" s="83"/>
      <c r="AN767" s="83"/>
      <c r="AO767" s="83"/>
      <c r="AP767" s="83"/>
      <c r="AQ767" s="83"/>
      <c r="AR767" s="83"/>
      <c r="AS767" s="83"/>
      <c r="AT767" s="83"/>
      <c r="AU767" s="83"/>
      <c r="AV767" s="83"/>
      <c r="AW767" s="83"/>
      <c r="AX767" s="83"/>
      <c r="AY767" s="83"/>
      <c r="AZ767" s="83"/>
      <c r="BA767" s="83"/>
      <c r="BB767" s="83"/>
      <c r="BC767" s="83"/>
      <c r="BD767" s="83"/>
      <c r="BE767" s="83"/>
      <c r="BF767" s="83"/>
      <c r="BG767" s="83"/>
      <c r="BH767" s="83"/>
      <c r="BI767" s="83"/>
      <c r="BJ767" s="83"/>
      <c r="BK767" s="83"/>
      <c r="BL767" s="83"/>
      <c r="BM767" s="83"/>
      <c r="BN767" s="83"/>
      <c r="BO767" s="83"/>
      <c r="BP767" s="83"/>
      <c r="BQ767" s="83"/>
      <c r="BR767" s="83"/>
      <c r="BS767" s="83"/>
      <c r="BT767" s="83"/>
      <c r="BU767" s="83"/>
      <c r="BV767" s="83"/>
      <c r="BW767" s="83"/>
      <c r="BX767" s="83"/>
      <c r="BY767" s="83"/>
      <c r="BZ767" s="83"/>
      <c r="CA767" s="83"/>
      <c r="CB767" s="83"/>
      <c r="CC767" s="83"/>
      <c r="CD767" s="83"/>
      <c r="CE767" s="83"/>
      <c r="CF767" s="83"/>
      <c r="CG767" s="83"/>
      <c r="CH767" s="83"/>
      <c r="CI767" s="83"/>
      <c r="CJ767" s="83"/>
      <c r="CK767" s="83"/>
      <c r="CL767" s="83"/>
      <c r="CM767" s="83"/>
      <c r="CN767" s="83"/>
      <c r="CO767" s="83"/>
      <c r="CP767" s="83"/>
      <c r="CQ767" s="83"/>
      <c r="CR767" s="83"/>
      <c r="CS767" s="83"/>
      <c r="CT767" s="83"/>
      <c r="CU767" s="83"/>
      <c r="CV767" s="83"/>
      <c r="CW767" s="83"/>
      <c r="CX767" s="83"/>
      <c r="CY767" s="83"/>
      <c r="CZ767" s="83"/>
      <c r="DA767" s="83"/>
      <c r="DB767" s="83"/>
      <c r="DC767" s="83"/>
    </row>
    <row r="768" spans="1:107" x14ac:dyDescent="0.3">
      <c r="A768" s="83"/>
      <c r="B768" s="83"/>
      <c r="C768" s="83"/>
      <c r="D768" s="83"/>
      <c r="E768" s="83"/>
      <c r="F768" s="83"/>
      <c r="G768" s="83"/>
      <c r="H768" s="83"/>
      <c r="I768" s="83"/>
      <c r="J768" s="83"/>
      <c r="K768" s="83"/>
      <c r="L768" s="83"/>
      <c r="M768" s="83"/>
      <c r="N768" s="83"/>
      <c r="O768" s="83"/>
      <c r="P768" s="83"/>
      <c r="Q768" s="83"/>
      <c r="R768" s="83"/>
      <c r="S768" s="83"/>
      <c r="T768" s="83"/>
      <c r="U768" s="83"/>
      <c r="V768" s="83"/>
      <c r="W768" s="83"/>
      <c r="X768" s="83"/>
      <c r="Y768" s="83"/>
      <c r="Z768" s="83"/>
      <c r="AA768" s="83"/>
      <c r="AB768" s="83"/>
      <c r="AC768" s="83"/>
      <c r="AD768" s="83"/>
      <c r="AE768" s="83"/>
      <c r="AF768" s="83"/>
      <c r="AG768" s="83"/>
      <c r="AH768" s="83"/>
      <c r="AI768" s="83"/>
      <c r="AJ768" s="83"/>
      <c r="AK768" s="83"/>
      <c r="AL768" s="83"/>
      <c r="AM768" s="83"/>
      <c r="AN768" s="83"/>
      <c r="AO768" s="83"/>
      <c r="AP768" s="83"/>
      <c r="AQ768" s="83"/>
      <c r="AR768" s="83"/>
      <c r="AS768" s="83"/>
      <c r="AT768" s="83"/>
      <c r="AU768" s="83"/>
      <c r="AV768" s="83"/>
      <c r="AW768" s="83"/>
      <c r="AX768" s="83"/>
      <c r="AY768" s="83"/>
      <c r="AZ768" s="83"/>
      <c r="BA768" s="83"/>
      <c r="BB768" s="83"/>
      <c r="BC768" s="83"/>
      <c r="BD768" s="83"/>
      <c r="BE768" s="83"/>
      <c r="BF768" s="83"/>
      <c r="BG768" s="83"/>
      <c r="BH768" s="83"/>
      <c r="BI768" s="83"/>
      <c r="BJ768" s="83"/>
      <c r="BK768" s="83"/>
      <c r="BL768" s="83"/>
      <c r="BM768" s="83"/>
      <c r="BN768" s="83"/>
      <c r="BO768" s="83"/>
      <c r="BP768" s="83"/>
      <c r="BQ768" s="83"/>
      <c r="BR768" s="83"/>
      <c r="BS768" s="83"/>
      <c r="BT768" s="83"/>
      <c r="BU768" s="83"/>
      <c r="BV768" s="83"/>
      <c r="BW768" s="83"/>
      <c r="BX768" s="83"/>
      <c r="BY768" s="83"/>
      <c r="BZ768" s="83"/>
      <c r="CA768" s="83"/>
      <c r="CB768" s="83"/>
      <c r="CC768" s="83"/>
      <c r="CD768" s="83"/>
      <c r="CE768" s="83"/>
      <c r="CF768" s="83"/>
      <c r="CG768" s="83"/>
      <c r="CH768" s="83"/>
      <c r="CI768" s="83"/>
      <c r="CJ768" s="83"/>
      <c r="CK768" s="83"/>
      <c r="CL768" s="83"/>
      <c r="CM768" s="83"/>
      <c r="CN768" s="83"/>
      <c r="CO768" s="83"/>
      <c r="CP768" s="83"/>
      <c r="CQ768" s="83"/>
      <c r="CR768" s="83"/>
      <c r="CS768" s="83"/>
      <c r="CT768" s="83"/>
      <c r="CU768" s="83"/>
      <c r="CV768" s="83"/>
      <c r="CW768" s="83"/>
      <c r="CX768" s="83"/>
      <c r="CY768" s="83"/>
      <c r="CZ768" s="83"/>
      <c r="DA768" s="83"/>
      <c r="DB768" s="83"/>
      <c r="DC768" s="83"/>
    </row>
    <row r="769" spans="1:107" x14ac:dyDescent="0.3">
      <c r="A769" s="83"/>
      <c r="B769" s="83"/>
      <c r="C769" s="83"/>
      <c r="D769" s="83"/>
      <c r="E769" s="83"/>
      <c r="F769" s="83"/>
      <c r="G769" s="83"/>
      <c r="H769" s="83"/>
      <c r="I769" s="83"/>
      <c r="J769" s="83"/>
      <c r="K769" s="83"/>
      <c r="L769" s="83"/>
      <c r="M769" s="83"/>
      <c r="N769" s="83"/>
      <c r="O769" s="83"/>
      <c r="P769" s="83"/>
      <c r="Q769" s="83"/>
      <c r="R769" s="83"/>
      <c r="S769" s="83"/>
      <c r="T769" s="83"/>
      <c r="U769" s="83"/>
      <c r="V769" s="83"/>
      <c r="W769" s="83"/>
      <c r="X769" s="83"/>
      <c r="Y769" s="83"/>
      <c r="Z769" s="83"/>
      <c r="AA769" s="83"/>
      <c r="AB769" s="83"/>
      <c r="AC769" s="83"/>
      <c r="AD769" s="83"/>
      <c r="AE769" s="83"/>
      <c r="AF769" s="83"/>
      <c r="AG769" s="83"/>
      <c r="AH769" s="83"/>
      <c r="AI769" s="83"/>
      <c r="AJ769" s="83"/>
      <c r="AK769" s="83"/>
      <c r="AL769" s="83"/>
      <c r="AM769" s="83"/>
      <c r="AN769" s="83"/>
      <c r="AO769" s="83"/>
      <c r="AP769" s="83"/>
      <c r="AQ769" s="83"/>
      <c r="AR769" s="83"/>
      <c r="AS769" s="83"/>
      <c r="AT769" s="83"/>
      <c r="AU769" s="83"/>
      <c r="AV769" s="83"/>
      <c r="AW769" s="83"/>
      <c r="AX769" s="83"/>
      <c r="AY769" s="83"/>
      <c r="AZ769" s="83"/>
      <c r="BA769" s="83"/>
      <c r="BB769" s="83"/>
      <c r="BC769" s="83"/>
      <c r="BD769" s="83"/>
      <c r="BE769" s="83"/>
      <c r="BF769" s="83"/>
      <c r="BG769" s="83"/>
      <c r="BH769" s="83"/>
      <c r="BI769" s="83"/>
      <c r="BJ769" s="83"/>
      <c r="BK769" s="83"/>
      <c r="BL769" s="83"/>
      <c r="BM769" s="83"/>
      <c r="BN769" s="83"/>
      <c r="BO769" s="83"/>
      <c r="BP769" s="83"/>
      <c r="BQ769" s="83"/>
      <c r="BR769" s="83"/>
      <c r="BS769" s="83"/>
      <c r="BT769" s="83"/>
      <c r="BU769" s="83"/>
      <c r="BV769" s="83"/>
      <c r="BW769" s="83"/>
      <c r="BX769" s="83"/>
      <c r="BY769" s="83"/>
      <c r="BZ769" s="83"/>
      <c r="CA769" s="83"/>
      <c r="CB769" s="83"/>
      <c r="CC769" s="83"/>
      <c r="CD769" s="83"/>
      <c r="CE769" s="83"/>
      <c r="CF769" s="83"/>
      <c r="CG769" s="83"/>
      <c r="CH769" s="83"/>
      <c r="CI769" s="83"/>
      <c r="CJ769" s="83"/>
      <c r="CK769" s="83"/>
      <c r="CL769" s="83"/>
      <c r="CM769" s="83"/>
      <c r="CN769" s="83"/>
      <c r="CO769" s="83"/>
      <c r="CP769" s="83"/>
      <c r="CQ769" s="83"/>
      <c r="CR769" s="83"/>
      <c r="CS769" s="83"/>
      <c r="CT769" s="83"/>
      <c r="CU769" s="83"/>
      <c r="CV769" s="83"/>
      <c r="CW769" s="83"/>
      <c r="CX769" s="83"/>
      <c r="CY769" s="83"/>
      <c r="CZ769" s="83"/>
      <c r="DA769" s="83"/>
      <c r="DB769" s="83"/>
      <c r="DC769" s="83"/>
    </row>
    <row r="770" spans="1:107" x14ac:dyDescent="0.3">
      <c r="A770" s="83"/>
      <c r="B770" s="83"/>
      <c r="C770" s="83"/>
      <c r="D770" s="83"/>
      <c r="E770" s="83"/>
      <c r="F770" s="83"/>
      <c r="G770" s="83"/>
      <c r="H770" s="83"/>
      <c r="I770" s="83"/>
      <c r="J770" s="83"/>
      <c r="K770" s="83"/>
      <c r="L770" s="83"/>
      <c r="M770" s="83"/>
      <c r="N770" s="83"/>
      <c r="O770" s="83"/>
      <c r="P770" s="83"/>
      <c r="Q770" s="83"/>
      <c r="R770" s="83"/>
      <c r="S770" s="83"/>
      <c r="T770" s="83"/>
      <c r="U770" s="83"/>
      <c r="V770" s="83"/>
      <c r="W770" s="83"/>
      <c r="X770" s="83"/>
      <c r="Y770" s="83"/>
      <c r="Z770" s="83"/>
      <c r="AA770" s="83"/>
      <c r="AB770" s="83"/>
      <c r="AC770" s="83"/>
      <c r="AD770" s="83"/>
      <c r="AE770" s="83"/>
      <c r="AF770" s="83"/>
      <c r="AG770" s="83"/>
      <c r="AH770" s="83"/>
      <c r="AI770" s="83"/>
      <c r="AJ770" s="83"/>
      <c r="AK770" s="83"/>
      <c r="AL770" s="83"/>
      <c r="AM770" s="83"/>
      <c r="AN770" s="83"/>
      <c r="AO770" s="83"/>
      <c r="AP770" s="83"/>
      <c r="AQ770" s="83"/>
      <c r="AR770" s="83"/>
      <c r="AS770" s="83"/>
      <c r="AT770" s="83"/>
      <c r="AU770" s="83"/>
      <c r="AV770" s="83"/>
      <c r="AW770" s="83"/>
      <c r="AX770" s="83"/>
      <c r="AY770" s="83"/>
      <c r="AZ770" s="83"/>
      <c r="BA770" s="83"/>
      <c r="BB770" s="83"/>
      <c r="BC770" s="83"/>
      <c r="BD770" s="83"/>
      <c r="BE770" s="83"/>
      <c r="BF770" s="83"/>
      <c r="BG770" s="83"/>
      <c r="BH770" s="83"/>
      <c r="BI770" s="83"/>
      <c r="BJ770" s="83"/>
      <c r="BK770" s="83"/>
      <c r="BL770" s="83"/>
      <c r="BM770" s="83"/>
      <c r="BN770" s="83"/>
      <c r="BO770" s="83"/>
      <c r="BP770" s="83"/>
      <c r="BQ770" s="83"/>
      <c r="BR770" s="83"/>
      <c r="BS770" s="83"/>
      <c r="BT770" s="83"/>
      <c r="BU770" s="83"/>
      <c r="BV770" s="83"/>
      <c r="BW770" s="83"/>
      <c r="BX770" s="83"/>
      <c r="BY770" s="83"/>
      <c r="BZ770" s="83"/>
      <c r="CA770" s="83"/>
      <c r="CB770" s="83"/>
      <c r="CC770" s="83"/>
      <c r="CD770" s="83"/>
      <c r="CE770" s="83"/>
      <c r="CF770" s="83"/>
      <c r="CG770" s="83"/>
      <c r="CH770" s="83"/>
      <c r="CI770" s="83"/>
      <c r="CJ770" s="83"/>
      <c r="CK770" s="83"/>
      <c r="CL770" s="83"/>
      <c r="CM770" s="83"/>
      <c r="CN770" s="83"/>
      <c r="CO770" s="83"/>
      <c r="CP770" s="83"/>
      <c r="CQ770" s="83"/>
      <c r="CR770" s="83"/>
      <c r="CS770" s="83"/>
      <c r="CT770" s="83"/>
      <c r="CU770" s="83"/>
      <c r="CV770" s="83"/>
      <c r="CW770" s="83"/>
      <c r="CX770" s="83"/>
      <c r="CY770" s="83"/>
      <c r="CZ770" s="83"/>
      <c r="DA770" s="83"/>
      <c r="DB770" s="83"/>
      <c r="DC770" s="83"/>
    </row>
    <row r="771" spans="1:107" x14ac:dyDescent="0.3">
      <c r="A771" s="83"/>
      <c r="B771" s="83"/>
      <c r="C771" s="83"/>
      <c r="D771" s="83"/>
      <c r="E771" s="83"/>
      <c r="F771" s="83"/>
      <c r="G771" s="83"/>
      <c r="H771" s="83"/>
      <c r="I771" s="83"/>
      <c r="J771" s="83"/>
      <c r="K771" s="83"/>
      <c r="L771" s="83"/>
      <c r="M771" s="83"/>
      <c r="N771" s="83"/>
      <c r="O771" s="83"/>
      <c r="P771" s="83"/>
      <c r="Q771" s="83"/>
      <c r="R771" s="83"/>
      <c r="S771" s="83"/>
      <c r="T771" s="83"/>
      <c r="U771" s="83"/>
      <c r="V771" s="83"/>
      <c r="W771" s="83"/>
      <c r="X771" s="83"/>
      <c r="Y771" s="83"/>
      <c r="Z771" s="83"/>
      <c r="AA771" s="83"/>
      <c r="AB771" s="83"/>
      <c r="AC771" s="83"/>
      <c r="AD771" s="83"/>
      <c r="AE771" s="83"/>
      <c r="AF771" s="83"/>
      <c r="AG771" s="83"/>
      <c r="AH771" s="83"/>
      <c r="AI771" s="83"/>
      <c r="AJ771" s="83"/>
      <c r="AK771" s="83"/>
      <c r="AL771" s="83"/>
      <c r="AM771" s="83"/>
      <c r="AN771" s="83"/>
      <c r="AO771" s="83"/>
      <c r="AP771" s="83"/>
      <c r="AQ771" s="83"/>
      <c r="AR771" s="83"/>
      <c r="AS771" s="83"/>
      <c r="AT771" s="83"/>
      <c r="AU771" s="83"/>
      <c r="AV771" s="83"/>
      <c r="AW771" s="83"/>
      <c r="AX771" s="83"/>
      <c r="AY771" s="83"/>
      <c r="AZ771" s="83"/>
      <c r="BA771" s="83"/>
      <c r="BB771" s="83"/>
      <c r="BC771" s="83"/>
      <c r="BD771" s="83"/>
      <c r="BE771" s="83"/>
      <c r="BF771" s="83"/>
      <c r="BG771" s="83"/>
      <c r="BH771" s="83"/>
      <c r="BI771" s="83"/>
      <c r="BJ771" s="83"/>
      <c r="BK771" s="83"/>
      <c r="BL771" s="83"/>
      <c r="BM771" s="83"/>
      <c r="BN771" s="83"/>
      <c r="BO771" s="83"/>
      <c r="BP771" s="83"/>
      <c r="BQ771" s="83"/>
      <c r="BR771" s="83"/>
      <c r="BS771" s="83"/>
      <c r="BT771" s="83"/>
      <c r="BU771" s="83"/>
      <c r="BV771" s="83"/>
      <c r="BW771" s="83"/>
      <c r="BX771" s="83"/>
      <c r="BY771" s="83"/>
      <c r="BZ771" s="83"/>
      <c r="CA771" s="83"/>
      <c r="CB771" s="83"/>
      <c r="CC771" s="83"/>
      <c r="CD771" s="83"/>
      <c r="CE771" s="83"/>
      <c r="CF771" s="83"/>
      <c r="CG771" s="83"/>
      <c r="CH771" s="83"/>
      <c r="CI771" s="83"/>
      <c r="CJ771" s="83"/>
      <c r="CK771" s="83"/>
      <c r="CL771" s="83"/>
      <c r="CM771" s="83"/>
      <c r="CN771" s="83"/>
      <c r="CO771" s="83"/>
      <c r="CP771" s="83"/>
      <c r="CQ771" s="83"/>
      <c r="CR771" s="83"/>
      <c r="CS771" s="83"/>
      <c r="CT771" s="83"/>
      <c r="CU771" s="83"/>
      <c r="CV771" s="83"/>
      <c r="CW771" s="83"/>
      <c r="CX771" s="83"/>
      <c r="CY771" s="83"/>
      <c r="CZ771" s="83"/>
      <c r="DA771" s="83"/>
      <c r="DB771" s="83"/>
      <c r="DC771" s="83"/>
    </row>
    <row r="772" spans="1:107" x14ac:dyDescent="0.3">
      <c r="A772" s="83"/>
      <c r="B772" s="83"/>
      <c r="C772" s="83"/>
      <c r="D772" s="83"/>
      <c r="E772" s="83"/>
      <c r="F772" s="83"/>
      <c r="G772" s="83"/>
      <c r="H772" s="83"/>
      <c r="I772" s="83"/>
      <c r="J772" s="83"/>
      <c r="K772" s="83"/>
      <c r="L772" s="83"/>
      <c r="M772" s="83"/>
      <c r="N772" s="83"/>
      <c r="O772" s="83"/>
      <c r="P772" s="83"/>
      <c r="Q772" s="83"/>
      <c r="R772" s="83"/>
      <c r="S772" s="83"/>
      <c r="T772" s="83"/>
      <c r="U772" s="83"/>
      <c r="V772" s="83"/>
      <c r="W772" s="83"/>
      <c r="X772" s="83"/>
      <c r="Y772" s="83"/>
      <c r="Z772" s="83"/>
      <c r="AA772" s="83"/>
      <c r="AB772" s="83"/>
      <c r="AC772" s="83"/>
      <c r="AD772" s="83"/>
      <c r="AE772" s="83"/>
      <c r="AF772" s="83"/>
      <c r="AG772" s="83"/>
      <c r="AH772" s="83"/>
      <c r="AI772" s="83"/>
      <c r="AJ772" s="83"/>
      <c r="AK772" s="83"/>
      <c r="AL772" s="83"/>
      <c r="AM772" s="83"/>
      <c r="AN772" s="83"/>
      <c r="AO772" s="83"/>
      <c r="AP772" s="83"/>
      <c r="AQ772" s="83"/>
      <c r="AR772" s="83"/>
      <c r="AS772" s="83"/>
      <c r="AT772" s="83"/>
      <c r="AU772" s="83"/>
      <c r="AV772" s="83"/>
      <c r="AW772" s="83"/>
      <c r="AX772" s="83"/>
      <c r="AY772" s="83"/>
      <c r="AZ772" s="83"/>
      <c r="BA772" s="83"/>
      <c r="BB772" s="83"/>
      <c r="BC772" s="83"/>
      <c r="BD772" s="83"/>
      <c r="BE772" s="83"/>
      <c r="BF772" s="83"/>
      <c r="BG772" s="83"/>
      <c r="BH772" s="83"/>
      <c r="BI772" s="83"/>
      <c r="BJ772" s="83"/>
      <c r="BK772" s="83"/>
      <c r="BL772" s="83"/>
      <c r="BM772" s="83"/>
      <c r="BN772" s="83"/>
      <c r="BO772" s="83"/>
      <c r="BP772" s="83"/>
      <c r="BQ772" s="83"/>
      <c r="BR772" s="83"/>
      <c r="BS772" s="83"/>
      <c r="BT772" s="83"/>
      <c r="BU772" s="83"/>
      <c r="BV772" s="83"/>
      <c r="BW772" s="83"/>
      <c r="BX772" s="83"/>
      <c r="BY772" s="83"/>
      <c r="BZ772" s="83"/>
      <c r="CA772" s="83"/>
      <c r="CB772" s="83"/>
      <c r="CC772" s="83"/>
      <c r="CD772" s="83"/>
      <c r="CE772" s="83"/>
      <c r="CF772" s="83"/>
      <c r="CG772" s="83"/>
      <c r="CH772" s="83"/>
      <c r="CI772" s="83"/>
      <c r="CJ772" s="83"/>
      <c r="CK772" s="83"/>
      <c r="CL772" s="83"/>
      <c r="CM772" s="83"/>
      <c r="CN772" s="83"/>
      <c r="CO772" s="83"/>
      <c r="CP772" s="83"/>
      <c r="CQ772" s="83"/>
      <c r="CR772" s="83"/>
      <c r="CS772" s="83"/>
      <c r="CT772" s="83"/>
      <c r="CU772" s="83"/>
      <c r="CV772" s="83"/>
      <c r="CW772" s="83"/>
      <c r="CX772" s="83"/>
      <c r="CY772" s="83"/>
      <c r="CZ772" s="83"/>
      <c r="DA772" s="83"/>
      <c r="DB772" s="83"/>
      <c r="DC772" s="83"/>
    </row>
    <row r="773" spans="1:107" x14ac:dyDescent="0.3">
      <c r="A773" s="83"/>
      <c r="B773" s="83"/>
      <c r="C773" s="83"/>
      <c r="D773" s="83"/>
      <c r="E773" s="83"/>
      <c r="F773" s="83"/>
      <c r="G773" s="83"/>
      <c r="H773" s="83"/>
      <c r="I773" s="83"/>
      <c r="J773" s="83"/>
      <c r="K773" s="83"/>
      <c r="L773" s="83"/>
      <c r="M773" s="83"/>
      <c r="N773" s="83"/>
      <c r="O773" s="83"/>
      <c r="P773" s="83"/>
      <c r="Q773" s="83"/>
      <c r="R773" s="83"/>
      <c r="S773" s="83"/>
      <c r="T773" s="83"/>
      <c r="U773" s="83"/>
      <c r="V773" s="83"/>
      <c r="W773" s="83"/>
      <c r="X773" s="83"/>
      <c r="Y773" s="83"/>
      <c r="Z773" s="83"/>
      <c r="AA773" s="83"/>
      <c r="AB773" s="83"/>
      <c r="AC773" s="83"/>
      <c r="AD773" s="83"/>
      <c r="AE773" s="83"/>
      <c r="AF773" s="83"/>
      <c r="AG773" s="83"/>
      <c r="AH773" s="83"/>
      <c r="AI773" s="83"/>
      <c r="AJ773" s="83"/>
      <c r="AK773" s="83"/>
      <c r="AL773" s="83"/>
      <c r="AM773" s="83"/>
      <c r="AN773" s="83"/>
      <c r="AO773" s="83"/>
      <c r="AP773" s="83"/>
      <c r="AQ773" s="83"/>
      <c r="AR773" s="83"/>
      <c r="AS773" s="83"/>
      <c r="AT773" s="83"/>
      <c r="AU773" s="83"/>
      <c r="AV773" s="83"/>
      <c r="AW773" s="83"/>
      <c r="AX773" s="83"/>
      <c r="AY773" s="83"/>
      <c r="AZ773" s="83"/>
      <c r="BA773" s="83"/>
      <c r="BB773" s="83"/>
      <c r="BC773" s="83"/>
      <c r="BD773" s="83"/>
      <c r="BE773" s="83"/>
      <c r="BF773" s="83"/>
      <c r="BG773" s="83"/>
      <c r="BH773" s="83"/>
      <c r="BI773" s="83"/>
      <c r="BJ773" s="83"/>
      <c r="BK773" s="83"/>
      <c r="BL773" s="83"/>
      <c r="BM773" s="83"/>
      <c r="BN773" s="83"/>
      <c r="BO773" s="83"/>
      <c r="BP773" s="83"/>
      <c r="BQ773" s="83"/>
      <c r="BR773" s="83"/>
      <c r="BS773" s="83"/>
      <c r="BT773" s="83"/>
      <c r="BU773" s="83"/>
      <c r="BV773" s="83"/>
      <c r="BW773" s="83"/>
      <c r="BX773" s="83"/>
      <c r="BY773" s="83"/>
      <c r="BZ773" s="83"/>
      <c r="CA773" s="83"/>
      <c r="CB773" s="83"/>
      <c r="CC773" s="83"/>
      <c r="CD773" s="83"/>
      <c r="CE773" s="83"/>
      <c r="CF773" s="83"/>
      <c r="CG773" s="83"/>
      <c r="CH773" s="83"/>
      <c r="CI773" s="83"/>
      <c r="CJ773" s="83"/>
      <c r="CK773" s="83"/>
      <c r="CL773" s="83"/>
      <c r="CM773" s="83"/>
      <c r="CN773" s="83"/>
      <c r="CO773" s="83"/>
      <c r="CP773" s="83"/>
      <c r="CQ773" s="83"/>
      <c r="CR773" s="83"/>
      <c r="CS773" s="83"/>
      <c r="CT773" s="83"/>
      <c r="CU773" s="83"/>
      <c r="CV773" s="83"/>
      <c r="CW773" s="83"/>
      <c r="CX773" s="83"/>
      <c r="CY773" s="83"/>
      <c r="CZ773" s="83"/>
      <c r="DA773" s="83"/>
      <c r="DB773" s="83"/>
      <c r="DC773" s="83"/>
    </row>
    <row r="774" spans="1:107" x14ac:dyDescent="0.3">
      <c r="A774" s="83"/>
      <c r="B774" s="83"/>
      <c r="C774" s="83"/>
      <c r="D774" s="83"/>
      <c r="E774" s="83"/>
      <c r="F774" s="83"/>
      <c r="G774" s="83"/>
      <c r="H774" s="83"/>
      <c r="I774" s="83"/>
      <c r="J774" s="83"/>
      <c r="K774" s="83"/>
      <c r="L774" s="83"/>
      <c r="M774" s="83"/>
      <c r="N774" s="83"/>
      <c r="O774" s="83"/>
      <c r="P774" s="83"/>
      <c r="Q774" s="83"/>
      <c r="R774" s="83"/>
      <c r="S774" s="83"/>
      <c r="T774" s="83"/>
      <c r="U774" s="83"/>
      <c r="V774" s="83"/>
      <c r="W774" s="83"/>
      <c r="X774" s="83"/>
      <c r="Y774" s="83"/>
      <c r="Z774" s="83"/>
      <c r="AA774" s="83"/>
      <c r="AB774" s="83"/>
      <c r="AC774" s="83"/>
      <c r="AD774" s="83"/>
      <c r="AE774" s="83"/>
      <c r="AF774" s="83"/>
      <c r="AG774" s="83"/>
      <c r="AH774" s="83"/>
      <c r="AI774" s="83"/>
      <c r="AJ774" s="83"/>
      <c r="AK774" s="83"/>
      <c r="AL774" s="83"/>
      <c r="AM774" s="83"/>
      <c r="AN774" s="83"/>
      <c r="AO774" s="83"/>
      <c r="AP774" s="83"/>
      <c r="AQ774" s="83"/>
      <c r="AR774" s="83"/>
      <c r="AS774" s="83"/>
      <c r="AT774" s="83"/>
      <c r="AU774" s="83"/>
      <c r="AV774" s="83"/>
      <c r="AW774" s="83"/>
      <c r="AX774" s="83"/>
      <c r="AY774" s="83"/>
      <c r="AZ774" s="83"/>
      <c r="BA774" s="83"/>
      <c r="BB774" s="83"/>
      <c r="BC774" s="83"/>
      <c r="BD774" s="83"/>
      <c r="BE774" s="83"/>
      <c r="BF774" s="83"/>
      <c r="BG774" s="83"/>
      <c r="BH774" s="83"/>
      <c r="BI774" s="83"/>
      <c r="BJ774" s="83"/>
      <c r="BK774" s="83"/>
      <c r="BL774" s="83"/>
      <c r="BM774" s="83"/>
      <c r="BN774" s="83"/>
      <c r="BO774" s="83"/>
      <c r="BP774" s="83"/>
      <c r="BQ774" s="83"/>
      <c r="BR774" s="83"/>
      <c r="BS774" s="83"/>
      <c r="BT774" s="83"/>
      <c r="BU774" s="83"/>
      <c r="BV774" s="83"/>
      <c r="BW774" s="83"/>
      <c r="BX774" s="83"/>
      <c r="BY774" s="83"/>
      <c r="BZ774" s="83"/>
      <c r="CA774" s="83"/>
      <c r="CB774" s="83"/>
      <c r="CC774" s="83"/>
      <c r="CD774" s="83"/>
      <c r="CE774" s="83"/>
      <c r="CF774" s="83"/>
      <c r="CG774" s="83"/>
      <c r="CH774" s="83"/>
      <c r="CI774" s="83"/>
      <c r="CJ774" s="83"/>
      <c r="CK774" s="83"/>
      <c r="CL774" s="83"/>
      <c r="CM774" s="83"/>
      <c r="CN774" s="83"/>
      <c r="CO774" s="83"/>
      <c r="CP774" s="83"/>
      <c r="CQ774" s="83"/>
      <c r="CR774" s="83"/>
      <c r="CS774" s="83"/>
      <c r="CT774" s="83"/>
      <c r="CU774" s="83"/>
      <c r="CV774" s="83"/>
      <c r="CW774" s="83"/>
      <c r="CX774" s="83"/>
      <c r="CY774" s="83"/>
      <c r="CZ774" s="83"/>
      <c r="DA774" s="83"/>
      <c r="DB774" s="83"/>
      <c r="DC774" s="83"/>
    </row>
    <row r="775" spans="1:107" x14ac:dyDescent="0.3">
      <c r="A775" s="83"/>
      <c r="B775" s="83"/>
      <c r="C775" s="83"/>
      <c r="D775" s="83"/>
      <c r="E775" s="83"/>
      <c r="F775" s="83"/>
      <c r="G775" s="83"/>
      <c r="H775" s="83"/>
      <c r="I775" s="83"/>
      <c r="J775" s="83"/>
      <c r="K775" s="83"/>
      <c r="L775" s="83"/>
      <c r="M775" s="83"/>
      <c r="N775" s="83"/>
      <c r="O775" s="83"/>
      <c r="P775" s="83"/>
      <c r="Q775" s="83"/>
      <c r="R775" s="83"/>
      <c r="S775" s="83"/>
      <c r="T775" s="83"/>
      <c r="U775" s="83"/>
      <c r="V775" s="83"/>
      <c r="W775" s="83"/>
      <c r="X775" s="83"/>
      <c r="Y775" s="83"/>
      <c r="Z775" s="83"/>
      <c r="AA775" s="83"/>
      <c r="AB775" s="83"/>
      <c r="AC775" s="83"/>
      <c r="AD775" s="83"/>
      <c r="AE775" s="83"/>
      <c r="AF775" s="83"/>
      <c r="AG775" s="83"/>
      <c r="AH775" s="83"/>
      <c r="AI775" s="83"/>
      <c r="AJ775" s="83"/>
      <c r="AK775" s="83"/>
      <c r="AL775" s="83"/>
      <c r="AM775" s="83"/>
      <c r="AN775" s="83"/>
      <c r="AO775" s="83"/>
      <c r="AP775" s="83"/>
      <c r="AQ775" s="83"/>
      <c r="AR775" s="83"/>
      <c r="AS775" s="83"/>
      <c r="AT775" s="83"/>
      <c r="AU775" s="83"/>
      <c r="AV775" s="83"/>
      <c r="AW775" s="83"/>
      <c r="AX775" s="83"/>
      <c r="AY775" s="83"/>
      <c r="AZ775" s="83"/>
      <c r="BA775" s="83"/>
      <c r="BB775" s="83"/>
      <c r="BC775" s="83"/>
      <c r="BD775" s="83"/>
      <c r="BE775" s="83"/>
      <c r="BF775" s="83"/>
      <c r="BG775" s="83"/>
      <c r="BH775" s="83"/>
      <c r="BI775" s="83"/>
      <c r="BJ775" s="83"/>
      <c r="BK775" s="83"/>
      <c r="BL775" s="83"/>
      <c r="BM775" s="83"/>
      <c r="BN775" s="83"/>
      <c r="BO775" s="83"/>
      <c r="BP775" s="83"/>
      <c r="BQ775" s="83"/>
      <c r="BR775" s="83"/>
      <c r="BS775" s="83"/>
      <c r="BT775" s="83"/>
      <c r="BU775" s="83"/>
      <c r="BV775" s="83"/>
      <c r="BW775" s="83"/>
      <c r="BX775" s="83"/>
      <c r="BY775" s="83"/>
      <c r="BZ775" s="83"/>
      <c r="CA775" s="83"/>
      <c r="CB775" s="83"/>
      <c r="CC775" s="83"/>
      <c r="CD775" s="83"/>
      <c r="CE775" s="83"/>
      <c r="CF775" s="83"/>
      <c r="CG775" s="83"/>
      <c r="CH775" s="83"/>
      <c r="CI775" s="83"/>
      <c r="CJ775" s="83"/>
      <c r="CK775" s="83"/>
      <c r="CL775" s="83"/>
      <c r="CM775" s="83"/>
      <c r="CN775" s="83"/>
      <c r="CO775" s="83"/>
      <c r="CP775" s="83"/>
      <c r="CQ775" s="83"/>
      <c r="CR775" s="83"/>
      <c r="CS775" s="83"/>
      <c r="CT775" s="83"/>
      <c r="CU775" s="83"/>
      <c r="CV775" s="83"/>
      <c r="CW775" s="83"/>
      <c r="CX775" s="83"/>
      <c r="CY775" s="83"/>
      <c r="CZ775" s="83"/>
      <c r="DA775" s="83"/>
      <c r="DB775" s="83"/>
      <c r="DC775" s="83"/>
    </row>
    <row r="776" spans="1:107" x14ac:dyDescent="0.3">
      <c r="A776" s="83"/>
      <c r="B776" s="83"/>
      <c r="C776" s="83"/>
      <c r="D776" s="83"/>
      <c r="E776" s="83"/>
      <c r="F776" s="83"/>
      <c r="G776" s="83"/>
      <c r="H776" s="83"/>
      <c r="I776" s="83"/>
      <c r="J776" s="83"/>
      <c r="K776" s="83"/>
      <c r="L776" s="83"/>
      <c r="M776" s="83"/>
      <c r="N776" s="83"/>
      <c r="O776" s="83"/>
      <c r="P776" s="83"/>
      <c r="Q776" s="83"/>
      <c r="R776" s="83"/>
      <c r="S776" s="83"/>
      <c r="T776" s="83"/>
      <c r="U776" s="83"/>
      <c r="V776" s="83"/>
      <c r="W776" s="83"/>
      <c r="X776" s="83"/>
      <c r="Y776" s="83"/>
      <c r="Z776" s="83"/>
      <c r="AA776" s="83"/>
      <c r="AB776" s="83"/>
      <c r="AC776" s="83"/>
      <c r="AD776" s="83"/>
      <c r="AE776" s="83"/>
      <c r="AF776" s="83"/>
      <c r="AG776" s="83"/>
      <c r="AH776" s="83"/>
      <c r="AI776" s="83"/>
      <c r="AJ776" s="83"/>
      <c r="AK776" s="83"/>
      <c r="AL776" s="83"/>
      <c r="AM776" s="83"/>
      <c r="AN776" s="83"/>
      <c r="AO776" s="83"/>
      <c r="AP776" s="83"/>
      <c r="AQ776" s="83"/>
      <c r="AR776" s="83"/>
      <c r="AS776" s="83"/>
      <c r="AT776" s="83"/>
      <c r="AU776" s="83"/>
      <c r="AV776" s="83"/>
      <c r="AW776" s="83"/>
      <c r="AX776" s="83"/>
      <c r="AY776" s="83"/>
      <c r="AZ776" s="83"/>
      <c r="BA776" s="83"/>
      <c r="BB776" s="83"/>
      <c r="BC776" s="83"/>
      <c r="BD776" s="83"/>
      <c r="BE776" s="83"/>
      <c r="BF776" s="83"/>
      <c r="BG776" s="83"/>
      <c r="BH776" s="83"/>
      <c r="BI776" s="83"/>
      <c r="BJ776" s="83"/>
      <c r="BK776" s="83"/>
      <c r="BL776" s="83"/>
      <c r="BM776" s="83"/>
      <c r="BN776" s="83"/>
      <c r="BO776" s="83"/>
      <c r="BP776" s="83"/>
      <c r="BQ776" s="83"/>
      <c r="BR776" s="83"/>
      <c r="BS776" s="83"/>
      <c r="BT776" s="83"/>
      <c r="BU776" s="83"/>
      <c r="BV776" s="83"/>
      <c r="BW776" s="83"/>
      <c r="BX776" s="83"/>
      <c r="BY776" s="83"/>
      <c r="BZ776" s="83"/>
      <c r="CA776" s="83"/>
      <c r="CB776" s="83"/>
      <c r="CC776" s="83"/>
      <c r="CD776" s="83"/>
      <c r="CE776" s="83"/>
      <c r="CF776" s="83"/>
      <c r="CG776" s="83"/>
      <c r="CH776" s="83"/>
      <c r="CI776" s="83"/>
      <c r="CJ776" s="83"/>
      <c r="CK776" s="83"/>
      <c r="CL776" s="83"/>
      <c r="CM776" s="83"/>
      <c r="CN776" s="83"/>
      <c r="CO776" s="83"/>
      <c r="CP776" s="83"/>
      <c r="CQ776" s="83"/>
      <c r="CR776" s="83"/>
      <c r="CS776" s="83"/>
      <c r="CT776" s="83"/>
      <c r="CU776" s="83"/>
      <c r="CV776" s="83"/>
      <c r="CW776" s="83"/>
      <c r="CX776" s="83"/>
      <c r="CY776" s="83"/>
      <c r="CZ776" s="83"/>
      <c r="DA776" s="83"/>
      <c r="DB776" s="83"/>
      <c r="DC776" s="83"/>
    </row>
    <row r="777" spans="1:107" x14ac:dyDescent="0.3">
      <c r="A777" s="83"/>
      <c r="B777" s="83"/>
      <c r="C777" s="83"/>
      <c r="D777" s="83"/>
      <c r="E777" s="83"/>
      <c r="F777" s="83"/>
      <c r="G777" s="83"/>
      <c r="H777" s="83"/>
      <c r="I777" s="83"/>
      <c r="J777" s="83"/>
      <c r="K777" s="83"/>
      <c r="L777" s="83"/>
      <c r="M777" s="83"/>
      <c r="N777" s="83"/>
      <c r="O777" s="83"/>
      <c r="P777" s="83"/>
      <c r="Q777" s="83"/>
      <c r="R777" s="83"/>
      <c r="S777" s="83"/>
      <c r="T777" s="83"/>
      <c r="U777" s="83"/>
      <c r="V777" s="83"/>
      <c r="W777" s="83"/>
      <c r="X777" s="83"/>
      <c r="Y777" s="83"/>
      <c r="Z777" s="83"/>
      <c r="AA777" s="83"/>
      <c r="AB777" s="83"/>
      <c r="AC777" s="83"/>
      <c r="AD777" s="83"/>
      <c r="AE777" s="83"/>
      <c r="AF777" s="83"/>
      <c r="AG777" s="83"/>
      <c r="AH777" s="83"/>
      <c r="AI777" s="83"/>
      <c r="AJ777" s="83"/>
      <c r="AK777" s="83"/>
      <c r="AL777" s="83"/>
      <c r="AM777" s="83"/>
      <c r="AN777" s="83"/>
      <c r="AO777" s="83"/>
      <c r="AP777" s="83"/>
      <c r="AQ777" s="83"/>
      <c r="AR777" s="83"/>
      <c r="AS777" s="83"/>
      <c r="AT777" s="83"/>
      <c r="AU777" s="83"/>
      <c r="AV777" s="83"/>
      <c r="AW777" s="83"/>
      <c r="AX777" s="83"/>
      <c r="AY777" s="83"/>
      <c r="AZ777" s="83"/>
      <c r="BA777" s="83"/>
      <c r="BB777" s="83"/>
      <c r="BC777" s="83"/>
      <c r="BD777" s="83"/>
      <c r="BE777" s="83"/>
      <c r="BF777" s="83"/>
      <c r="BG777" s="83"/>
      <c r="BH777" s="83"/>
      <c r="BI777" s="83"/>
      <c r="BJ777" s="83"/>
      <c r="BK777" s="83"/>
      <c r="BL777" s="83"/>
      <c r="BM777" s="83"/>
      <c r="BN777" s="83"/>
      <c r="BO777" s="83"/>
      <c r="BP777" s="83"/>
      <c r="BQ777" s="83"/>
      <c r="BR777" s="83"/>
      <c r="BS777" s="83"/>
      <c r="BT777" s="83"/>
      <c r="BU777" s="83"/>
      <c r="BV777" s="83"/>
      <c r="BW777" s="83"/>
      <c r="BX777" s="83"/>
      <c r="BY777" s="83"/>
      <c r="BZ777" s="83"/>
      <c r="CA777" s="83"/>
      <c r="CB777" s="83"/>
      <c r="CC777" s="83"/>
      <c r="CD777" s="83"/>
      <c r="CE777" s="83"/>
      <c r="CF777" s="83"/>
      <c r="CG777" s="83"/>
      <c r="CH777" s="83"/>
      <c r="CI777" s="83"/>
      <c r="CJ777" s="83"/>
      <c r="CK777" s="83"/>
      <c r="CL777" s="83"/>
      <c r="CM777" s="83"/>
      <c r="CN777" s="83"/>
      <c r="CO777" s="83"/>
      <c r="CP777" s="83"/>
      <c r="CQ777" s="83"/>
      <c r="CR777" s="83"/>
      <c r="CS777" s="83"/>
      <c r="CT777" s="83"/>
      <c r="CU777" s="83"/>
      <c r="CV777" s="83"/>
      <c r="CW777" s="83"/>
      <c r="CX777" s="83"/>
      <c r="CY777" s="83"/>
      <c r="CZ777" s="83"/>
      <c r="DA777" s="83"/>
      <c r="DB777" s="83"/>
      <c r="DC777" s="83"/>
    </row>
    <row r="778" spans="1:107" x14ac:dyDescent="0.3">
      <c r="A778" s="83"/>
      <c r="B778" s="83"/>
      <c r="C778" s="83"/>
      <c r="D778" s="83"/>
      <c r="E778" s="83"/>
      <c r="F778" s="83"/>
      <c r="G778" s="83"/>
      <c r="H778" s="83"/>
      <c r="I778" s="83"/>
      <c r="J778" s="83"/>
      <c r="K778" s="83"/>
      <c r="L778" s="83"/>
      <c r="M778" s="83"/>
      <c r="N778" s="83"/>
      <c r="O778" s="83"/>
      <c r="P778" s="83"/>
      <c r="Q778" s="83"/>
      <c r="R778" s="83"/>
      <c r="S778" s="83"/>
      <c r="T778" s="83"/>
      <c r="U778" s="83"/>
      <c r="V778" s="83"/>
      <c r="W778" s="83"/>
      <c r="X778" s="83"/>
      <c r="Y778" s="83"/>
      <c r="Z778" s="83"/>
      <c r="AA778" s="83"/>
      <c r="AB778" s="83"/>
      <c r="AC778" s="83"/>
      <c r="AD778" s="83"/>
      <c r="AE778" s="83"/>
      <c r="AF778" s="83"/>
      <c r="AG778" s="83"/>
      <c r="AH778" s="83"/>
      <c r="AI778" s="83"/>
      <c r="AJ778" s="83"/>
      <c r="AK778" s="83"/>
      <c r="AL778" s="83"/>
      <c r="AM778" s="83"/>
      <c r="AN778" s="83"/>
      <c r="AO778" s="83"/>
      <c r="AP778" s="83"/>
      <c r="AQ778" s="83"/>
      <c r="AR778" s="83"/>
      <c r="AS778" s="83"/>
      <c r="AT778" s="83"/>
      <c r="AU778" s="83"/>
      <c r="AV778" s="83"/>
      <c r="AW778" s="83"/>
      <c r="AX778" s="83"/>
      <c r="AY778" s="83"/>
      <c r="AZ778" s="83"/>
      <c r="BA778" s="83"/>
      <c r="BB778" s="83"/>
      <c r="BC778" s="83"/>
      <c r="BD778" s="83"/>
      <c r="BE778" s="83"/>
      <c r="BF778" s="83"/>
      <c r="BG778" s="83"/>
      <c r="BH778" s="83"/>
      <c r="BI778" s="83"/>
      <c r="BJ778" s="83"/>
      <c r="BK778" s="83"/>
      <c r="BL778" s="83"/>
      <c r="BM778" s="83"/>
      <c r="BN778" s="83"/>
      <c r="BO778" s="83"/>
      <c r="BP778" s="83"/>
      <c r="BQ778" s="83"/>
      <c r="BR778" s="83"/>
      <c r="BS778" s="83"/>
      <c r="BT778" s="83"/>
      <c r="BU778" s="83"/>
      <c r="BV778" s="83"/>
      <c r="BW778" s="83"/>
      <c r="BX778" s="83"/>
      <c r="BY778" s="83"/>
      <c r="BZ778" s="83"/>
      <c r="CA778" s="83"/>
      <c r="CB778" s="83"/>
      <c r="CC778" s="83"/>
      <c r="CD778" s="83"/>
      <c r="CE778" s="83"/>
      <c r="CF778" s="83"/>
      <c r="CG778" s="83"/>
      <c r="CH778" s="83"/>
      <c r="CI778" s="83"/>
      <c r="CJ778" s="83"/>
      <c r="CK778" s="83"/>
      <c r="CL778" s="83"/>
      <c r="CM778" s="83"/>
      <c r="CN778" s="83"/>
      <c r="CO778" s="83"/>
      <c r="CP778" s="83"/>
      <c r="CQ778" s="83"/>
      <c r="CR778" s="83"/>
      <c r="CS778" s="83"/>
      <c r="CT778" s="83"/>
      <c r="CU778" s="83"/>
      <c r="CV778" s="83"/>
      <c r="CW778" s="83"/>
      <c r="CX778" s="83"/>
      <c r="CY778" s="83"/>
      <c r="CZ778" s="83"/>
      <c r="DA778" s="83"/>
      <c r="DB778" s="83"/>
      <c r="DC778" s="83"/>
    </row>
    <row r="779" spans="1:107" x14ac:dyDescent="0.3">
      <c r="A779" s="83"/>
      <c r="B779" s="83"/>
      <c r="C779" s="83"/>
      <c r="D779" s="83"/>
      <c r="E779" s="83"/>
      <c r="F779" s="83"/>
      <c r="G779" s="83"/>
      <c r="H779" s="83"/>
      <c r="I779" s="83"/>
      <c r="J779" s="83"/>
      <c r="K779" s="83"/>
      <c r="L779" s="83"/>
      <c r="M779" s="83"/>
      <c r="N779" s="83"/>
      <c r="O779" s="83"/>
      <c r="P779" s="83"/>
      <c r="Q779" s="83"/>
      <c r="R779" s="83"/>
      <c r="S779" s="83"/>
      <c r="T779" s="83"/>
      <c r="U779" s="83"/>
      <c r="V779" s="83"/>
      <c r="W779" s="83"/>
      <c r="X779" s="83"/>
      <c r="Y779" s="83"/>
      <c r="Z779" s="83"/>
      <c r="AA779" s="83"/>
      <c r="AB779" s="83"/>
      <c r="AC779" s="83"/>
      <c r="AD779" s="83"/>
      <c r="AE779" s="83"/>
      <c r="AF779" s="83"/>
      <c r="AG779" s="83"/>
      <c r="AH779" s="83"/>
      <c r="AI779" s="83"/>
      <c r="AJ779" s="83"/>
      <c r="AK779" s="83"/>
      <c r="AL779" s="83"/>
      <c r="AM779" s="83"/>
      <c r="AN779" s="83"/>
      <c r="AO779" s="83"/>
      <c r="AP779" s="83"/>
      <c r="AQ779" s="83"/>
      <c r="AR779" s="83"/>
      <c r="AS779" s="83"/>
      <c r="AT779" s="83"/>
      <c r="AU779" s="83"/>
      <c r="AV779" s="83"/>
      <c r="AW779" s="83"/>
      <c r="AX779" s="83"/>
      <c r="AY779" s="83"/>
      <c r="AZ779" s="83"/>
      <c r="BA779" s="83"/>
      <c r="BB779" s="83"/>
      <c r="BC779" s="83"/>
      <c r="BD779" s="83"/>
      <c r="BE779" s="83"/>
      <c r="BF779" s="83"/>
      <c r="BG779" s="83"/>
      <c r="BH779" s="83"/>
      <c r="BI779" s="83"/>
      <c r="BJ779" s="83"/>
      <c r="BK779" s="83"/>
      <c r="BL779" s="83"/>
      <c r="BM779" s="83"/>
      <c r="BN779" s="83"/>
      <c r="BO779" s="83"/>
      <c r="BP779" s="83"/>
      <c r="BQ779" s="83"/>
      <c r="BR779" s="83"/>
      <c r="BS779" s="83"/>
      <c r="BT779" s="83"/>
      <c r="BU779" s="83"/>
      <c r="BV779" s="83"/>
      <c r="BW779" s="83"/>
      <c r="BX779" s="83"/>
      <c r="BY779" s="83"/>
      <c r="BZ779" s="83"/>
      <c r="CA779" s="83"/>
      <c r="CB779" s="83"/>
      <c r="CC779" s="83"/>
      <c r="CD779" s="83"/>
      <c r="CE779" s="83"/>
      <c r="CF779" s="83"/>
      <c r="CG779" s="83"/>
      <c r="CH779" s="83"/>
      <c r="CI779" s="83"/>
      <c r="CJ779" s="83"/>
      <c r="CK779" s="83"/>
      <c r="CL779" s="83"/>
      <c r="CM779" s="83"/>
      <c r="CN779" s="83"/>
      <c r="CO779" s="83"/>
      <c r="CP779" s="83"/>
      <c r="CQ779" s="83"/>
      <c r="CR779" s="83"/>
      <c r="CS779" s="83"/>
      <c r="CT779" s="83"/>
      <c r="CU779" s="83"/>
      <c r="CV779" s="83"/>
      <c r="CW779" s="83"/>
      <c r="CX779" s="83"/>
      <c r="CY779" s="83"/>
      <c r="CZ779" s="83"/>
      <c r="DA779" s="83"/>
      <c r="DB779" s="83"/>
      <c r="DC779" s="83"/>
    </row>
    <row r="780" spans="1:107" x14ac:dyDescent="0.3">
      <c r="A780" s="83"/>
      <c r="B780" s="83"/>
      <c r="C780" s="83"/>
      <c r="D780" s="83"/>
      <c r="E780" s="83"/>
      <c r="F780" s="83"/>
      <c r="G780" s="83"/>
      <c r="H780" s="83"/>
      <c r="I780" s="83"/>
      <c r="J780" s="83"/>
      <c r="K780" s="83"/>
      <c r="L780" s="83"/>
      <c r="M780" s="83"/>
      <c r="N780" s="83"/>
      <c r="O780" s="83"/>
      <c r="P780" s="83"/>
      <c r="Q780" s="83"/>
      <c r="R780" s="83"/>
      <c r="S780" s="83"/>
      <c r="T780" s="83"/>
      <c r="U780" s="83"/>
      <c r="V780" s="83"/>
      <c r="W780" s="83"/>
      <c r="X780" s="83"/>
      <c r="Y780" s="83"/>
      <c r="Z780" s="83"/>
      <c r="AA780" s="83"/>
      <c r="AB780" s="83"/>
      <c r="AC780" s="83"/>
      <c r="AD780" s="83"/>
      <c r="AE780" s="83"/>
      <c r="AF780" s="83"/>
      <c r="AG780" s="83"/>
      <c r="AH780" s="83"/>
      <c r="AI780" s="83"/>
      <c r="AJ780" s="83"/>
      <c r="AK780" s="83"/>
      <c r="AL780" s="83"/>
      <c r="AM780" s="83"/>
      <c r="AN780" s="83"/>
      <c r="AO780" s="83"/>
      <c r="AP780" s="83"/>
      <c r="AQ780" s="83"/>
      <c r="AR780" s="83"/>
      <c r="AS780" s="83"/>
      <c r="AT780" s="83"/>
      <c r="AU780" s="83"/>
      <c r="AV780" s="83"/>
      <c r="AW780" s="83"/>
      <c r="AX780" s="83"/>
      <c r="AY780" s="83"/>
      <c r="AZ780" s="83"/>
      <c r="BA780" s="83"/>
      <c r="BB780" s="83"/>
      <c r="BC780" s="83"/>
      <c r="BD780" s="83"/>
      <c r="BE780" s="83"/>
      <c r="BF780" s="83"/>
      <c r="BG780" s="83"/>
      <c r="BH780" s="83"/>
      <c r="BI780" s="83"/>
      <c r="BJ780" s="83"/>
      <c r="BK780" s="83"/>
      <c r="BL780" s="83"/>
      <c r="BM780" s="83"/>
      <c r="BN780" s="83"/>
      <c r="BO780" s="83"/>
      <c r="BP780" s="83"/>
      <c r="BQ780" s="83"/>
      <c r="BR780" s="83"/>
      <c r="BS780" s="83"/>
      <c r="BT780" s="83"/>
      <c r="BU780" s="83"/>
      <c r="BV780" s="83"/>
      <c r="BW780" s="83"/>
      <c r="BX780" s="83"/>
      <c r="BY780" s="83"/>
      <c r="BZ780" s="83"/>
      <c r="CA780" s="83"/>
      <c r="CB780" s="83"/>
      <c r="CC780" s="83"/>
      <c r="CD780" s="83"/>
      <c r="CE780" s="83"/>
      <c r="CF780" s="83"/>
      <c r="CG780" s="83"/>
      <c r="CH780" s="83"/>
      <c r="CI780" s="83"/>
      <c r="CJ780" s="83"/>
      <c r="CK780" s="83"/>
      <c r="CL780" s="83"/>
      <c r="CM780" s="83"/>
      <c r="CN780" s="83"/>
      <c r="CO780" s="83"/>
      <c r="CP780" s="83"/>
      <c r="CQ780" s="83"/>
      <c r="CR780" s="83"/>
      <c r="CS780" s="83"/>
      <c r="CT780" s="83"/>
      <c r="CU780" s="83"/>
      <c r="CV780" s="83"/>
      <c r="CW780" s="83"/>
      <c r="CX780" s="83"/>
      <c r="CY780" s="83"/>
      <c r="CZ780" s="83"/>
      <c r="DA780" s="83"/>
      <c r="DB780" s="83"/>
      <c r="DC780" s="83"/>
    </row>
    <row r="781" spans="1:107" x14ac:dyDescent="0.3">
      <c r="A781" s="83"/>
      <c r="B781" s="83"/>
      <c r="C781" s="83"/>
      <c r="D781" s="83"/>
      <c r="E781" s="83"/>
      <c r="F781" s="83"/>
      <c r="G781" s="83"/>
      <c r="H781" s="83"/>
      <c r="I781" s="83"/>
      <c r="J781" s="83"/>
      <c r="K781" s="83"/>
      <c r="L781" s="83"/>
      <c r="M781" s="83"/>
      <c r="N781" s="83"/>
      <c r="O781" s="83"/>
      <c r="P781" s="83"/>
      <c r="Q781" s="83"/>
      <c r="R781" s="83"/>
      <c r="S781" s="83"/>
      <c r="T781" s="83"/>
      <c r="U781" s="83"/>
      <c r="V781" s="83"/>
      <c r="W781" s="83"/>
      <c r="X781" s="83"/>
      <c r="Y781" s="83"/>
      <c r="Z781" s="83"/>
      <c r="AA781" s="83"/>
      <c r="AB781" s="83"/>
      <c r="AC781" s="83"/>
      <c r="AD781" s="83"/>
      <c r="AE781" s="83"/>
      <c r="AF781" s="83"/>
      <c r="AG781" s="83"/>
      <c r="AH781" s="83"/>
      <c r="AI781" s="83"/>
      <c r="AJ781" s="83"/>
      <c r="AK781" s="83"/>
      <c r="AL781" s="83"/>
      <c r="AM781" s="83"/>
      <c r="AN781" s="83"/>
      <c r="AO781" s="83"/>
      <c r="AP781" s="83"/>
      <c r="AQ781" s="83"/>
      <c r="AR781" s="83"/>
      <c r="AS781" s="83"/>
      <c r="AT781" s="83"/>
      <c r="AU781" s="83"/>
      <c r="AV781" s="83"/>
      <c r="AW781" s="83"/>
      <c r="AX781" s="83"/>
      <c r="AY781" s="83"/>
      <c r="AZ781" s="83"/>
      <c r="BA781" s="83"/>
      <c r="BB781" s="83"/>
      <c r="BC781" s="83"/>
      <c r="BD781" s="83"/>
      <c r="BE781" s="83"/>
      <c r="BF781" s="83"/>
      <c r="BG781" s="83"/>
      <c r="BH781" s="83"/>
      <c r="BI781" s="83"/>
      <c r="BJ781" s="83"/>
      <c r="BK781" s="83"/>
      <c r="BL781" s="83"/>
      <c r="BM781" s="83"/>
      <c r="BN781" s="83"/>
      <c r="BO781" s="83"/>
      <c r="BP781" s="83"/>
      <c r="BQ781" s="83"/>
      <c r="BR781" s="83"/>
      <c r="BS781" s="83"/>
      <c r="BT781" s="83"/>
      <c r="BU781" s="83"/>
      <c r="BV781" s="83"/>
      <c r="BW781" s="83"/>
      <c r="BX781" s="83"/>
      <c r="BY781" s="83"/>
      <c r="BZ781" s="83"/>
      <c r="CA781" s="83"/>
      <c r="CB781" s="83"/>
      <c r="CC781" s="83"/>
      <c r="CD781" s="83"/>
      <c r="CE781" s="83"/>
      <c r="CF781" s="83"/>
      <c r="CG781" s="83"/>
      <c r="CH781" s="83"/>
      <c r="CI781" s="83"/>
      <c r="CJ781" s="83"/>
      <c r="CK781" s="83"/>
      <c r="CL781" s="83"/>
      <c r="CM781" s="83"/>
      <c r="CN781" s="83"/>
      <c r="CO781" s="83"/>
      <c r="CP781" s="83"/>
      <c r="CQ781" s="83"/>
      <c r="CR781" s="83"/>
      <c r="CS781" s="83"/>
      <c r="CT781" s="83"/>
      <c r="CU781" s="83"/>
      <c r="CV781" s="83"/>
      <c r="CW781" s="83"/>
      <c r="CX781" s="83"/>
      <c r="CY781" s="83"/>
      <c r="CZ781" s="83"/>
      <c r="DA781" s="83"/>
      <c r="DB781" s="83"/>
      <c r="DC781" s="83"/>
    </row>
    <row r="782" spans="1:107" x14ac:dyDescent="0.3">
      <c r="A782" s="83"/>
      <c r="B782" s="83"/>
      <c r="C782" s="83"/>
      <c r="D782" s="83"/>
      <c r="E782" s="83"/>
      <c r="F782" s="83"/>
      <c r="G782" s="83"/>
      <c r="H782" s="83"/>
      <c r="I782" s="83"/>
      <c r="J782" s="83"/>
      <c r="K782" s="83"/>
      <c r="L782" s="83"/>
      <c r="M782" s="83"/>
      <c r="N782" s="83"/>
      <c r="O782" s="83"/>
      <c r="P782" s="83"/>
      <c r="Q782" s="83"/>
      <c r="R782" s="83"/>
      <c r="S782" s="83"/>
      <c r="T782" s="83"/>
      <c r="U782" s="83"/>
      <c r="V782" s="83"/>
      <c r="W782" s="83"/>
      <c r="X782" s="83"/>
      <c r="Y782" s="83"/>
      <c r="Z782" s="83"/>
      <c r="AA782" s="83"/>
      <c r="AB782" s="83"/>
      <c r="AC782" s="83"/>
      <c r="AD782" s="83"/>
      <c r="AE782" s="83"/>
      <c r="AF782" s="83"/>
      <c r="AG782" s="83"/>
      <c r="AH782" s="83"/>
      <c r="AI782" s="83"/>
      <c r="AJ782" s="83"/>
      <c r="AK782" s="83"/>
      <c r="AL782" s="83"/>
      <c r="AM782" s="83"/>
      <c r="AN782" s="83"/>
      <c r="AO782" s="83"/>
      <c r="AP782" s="83"/>
      <c r="AQ782" s="83"/>
      <c r="AR782" s="83"/>
      <c r="AS782" s="83"/>
      <c r="AT782" s="83"/>
      <c r="AU782" s="83"/>
      <c r="AV782" s="83"/>
      <c r="AW782" s="83"/>
      <c r="AX782" s="83"/>
      <c r="AY782" s="83"/>
      <c r="AZ782" s="83"/>
      <c r="BA782" s="83"/>
      <c r="BB782" s="83"/>
      <c r="BC782" s="83"/>
      <c r="BD782" s="83"/>
      <c r="BE782" s="83"/>
      <c r="BF782" s="83"/>
      <c r="BG782" s="83"/>
      <c r="BH782" s="83"/>
      <c r="BI782" s="83"/>
      <c r="BJ782" s="83"/>
      <c r="BK782" s="83"/>
      <c r="BL782" s="83"/>
      <c r="BM782" s="83"/>
      <c r="BN782" s="83"/>
      <c r="BO782" s="83"/>
      <c r="BP782" s="83"/>
      <c r="BQ782" s="83"/>
      <c r="BR782" s="83"/>
      <c r="BS782" s="83"/>
      <c r="BT782" s="83"/>
      <c r="BU782" s="83"/>
      <c r="BV782" s="83"/>
      <c r="BW782" s="83"/>
      <c r="BX782" s="83"/>
      <c r="BY782" s="83"/>
      <c r="BZ782" s="83"/>
      <c r="CA782" s="83"/>
      <c r="CB782" s="83"/>
      <c r="CC782" s="83"/>
      <c r="CD782" s="83"/>
      <c r="CE782" s="83"/>
      <c r="CF782" s="83"/>
      <c r="CG782" s="83"/>
      <c r="CH782" s="83"/>
      <c r="CI782" s="83"/>
      <c r="CJ782" s="83"/>
      <c r="CK782" s="83"/>
      <c r="CL782" s="83"/>
      <c r="CM782" s="83"/>
      <c r="CN782" s="83"/>
      <c r="CO782" s="83"/>
      <c r="CP782" s="83"/>
      <c r="CQ782" s="83"/>
      <c r="CR782" s="83"/>
      <c r="CS782" s="83"/>
      <c r="CT782" s="83"/>
      <c r="CU782" s="83"/>
      <c r="CV782" s="83"/>
      <c r="CW782" s="83"/>
      <c r="CX782" s="83"/>
      <c r="CY782" s="83"/>
      <c r="CZ782" s="83"/>
      <c r="DA782" s="83"/>
      <c r="DB782" s="83"/>
      <c r="DC782" s="83"/>
    </row>
    <row r="783" spans="1:107" x14ac:dyDescent="0.3">
      <c r="A783" s="83"/>
      <c r="B783" s="83"/>
      <c r="C783" s="83"/>
      <c r="D783" s="83"/>
      <c r="E783" s="83"/>
      <c r="F783" s="83"/>
      <c r="G783" s="83"/>
      <c r="H783" s="83"/>
      <c r="I783" s="83"/>
      <c r="J783" s="83"/>
      <c r="K783" s="83"/>
      <c r="L783" s="83"/>
      <c r="M783" s="83"/>
      <c r="N783" s="83"/>
      <c r="O783" s="83"/>
      <c r="P783" s="83"/>
      <c r="Q783" s="83"/>
      <c r="R783" s="83"/>
      <c r="S783" s="83"/>
      <c r="T783" s="83"/>
      <c r="U783" s="83"/>
      <c r="V783" s="83"/>
      <c r="W783" s="83"/>
      <c r="X783" s="83"/>
      <c r="Y783" s="83"/>
      <c r="Z783" s="83"/>
      <c r="AA783" s="83"/>
      <c r="AB783" s="83"/>
      <c r="AC783" s="83"/>
      <c r="AD783" s="83"/>
      <c r="AE783" s="83"/>
      <c r="AF783" s="83"/>
      <c r="AG783" s="83"/>
      <c r="AH783" s="83"/>
      <c r="AI783" s="83"/>
      <c r="AJ783" s="83"/>
      <c r="AK783" s="83"/>
      <c r="AL783" s="83"/>
      <c r="AM783" s="83"/>
      <c r="AN783" s="83"/>
      <c r="AO783" s="83"/>
      <c r="AP783" s="83"/>
      <c r="AQ783" s="83"/>
      <c r="AR783" s="83"/>
      <c r="AS783" s="83"/>
      <c r="AT783" s="83"/>
      <c r="AU783" s="83"/>
      <c r="AV783" s="83"/>
      <c r="AW783" s="83"/>
      <c r="AX783" s="83"/>
      <c r="AY783" s="83"/>
      <c r="AZ783" s="83"/>
      <c r="BA783" s="83"/>
      <c r="BB783" s="83"/>
      <c r="BC783" s="83"/>
      <c r="BD783" s="83"/>
      <c r="BE783" s="83"/>
      <c r="BF783" s="83"/>
      <c r="BG783" s="83"/>
      <c r="BH783" s="83"/>
      <c r="BI783" s="83"/>
      <c r="BJ783" s="83"/>
      <c r="BK783" s="83"/>
      <c r="BL783" s="83"/>
      <c r="BM783" s="83"/>
      <c r="BN783" s="83"/>
      <c r="BO783" s="83"/>
      <c r="BP783" s="83"/>
      <c r="BQ783" s="83"/>
      <c r="BR783" s="83"/>
      <c r="BS783" s="83"/>
      <c r="BT783" s="83"/>
      <c r="BU783" s="83"/>
      <c r="BV783" s="83"/>
      <c r="BW783" s="83"/>
      <c r="BX783" s="83"/>
      <c r="BY783" s="83"/>
      <c r="BZ783" s="83"/>
      <c r="CA783" s="83"/>
      <c r="CB783" s="83"/>
      <c r="CC783" s="83"/>
      <c r="CD783" s="83"/>
      <c r="CE783" s="83"/>
      <c r="CF783" s="83"/>
      <c r="CG783" s="83"/>
      <c r="CH783" s="83"/>
      <c r="CI783" s="83"/>
      <c r="CJ783" s="83"/>
      <c r="CK783" s="83"/>
      <c r="CL783" s="83"/>
      <c r="CM783" s="83"/>
      <c r="CN783" s="83"/>
      <c r="CO783" s="83"/>
      <c r="CP783" s="83"/>
      <c r="CQ783" s="83"/>
      <c r="CR783" s="83"/>
      <c r="CS783" s="83"/>
      <c r="CT783" s="83"/>
      <c r="CU783" s="83"/>
      <c r="CV783" s="83"/>
      <c r="CW783" s="83"/>
      <c r="CX783" s="83"/>
      <c r="CY783" s="83"/>
      <c r="CZ783" s="83"/>
      <c r="DA783" s="83"/>
      <c r="DB783" s="83"/>
      <c r="DC783" s="83"/>
    </row>
    <row r="784" spans="1:107" x14ac:dyDescent="0.3">
      <c r="A784" s="83"/>
      <c r="B784" s="83"/>
      <c r="C784" s="83"/>
      <c r="D784" s="83"/>
      <c r="E784" s="83"/>
      <c r="F784" s="83"/>
      <c r="G784" s="83"/>
      <c r="H784" s="83"/>
      <c r="I784" s="83"/>
      <c r="J784" s="83"/>
      <c r="K784" s="83"/>
      <c r="L784" s="83"/>
      <c r="M784" s="83"/>
      <c r="N784" s="83"/>
      <c r="O784" s="83"/>
      <c r="P784" s="83"/>
      <c r="Q784" s="83"/>
      <c r="R784" s="83"/>
      <c r="S784" s="83"/>
      <c r="T784" s="83"/>
      <c r="U784" s="83"/>
      <c r="V784" s="83"/>
      <c r="W784" s="83"/>
      <c r="X784" s="83"/>
      <c r="Y784" s="83"/>
      <c r="Z784" s="83"/>
      <c r="AA784" s="83"/>
      <c r="AB784" s="83"/>
      <c r="AC784" s="83"/>
      <c r="AD784" s="83"/>
      <c r="AE784" s="83"/>
      <c r="AF784" s="83"/>
      <c r="AG784" s="83"/>
      <c r="AH784" s="83"/>
      <c r="AI784" s="83"/>
      <c r="AJ784" s="83"/>
      <c r="AK784" s="83"/>
      <c r="AL784" s="83"/>
      <c r="AM784" s="83"/>
      <c r="AN784" s="83"/>
      <c r="AO784" s="83"/>
      <c r="AP784" s="83"/>
      <c r="AQ784" s="83"/>
      <c r="AR784" s="83"/>
      <c r="AS784" s="83"/>
      <c r="AT784" s="83"/>
      <c r="AU784" s="83"/>
      <c r="AV784" s="83"/>
      <c r="AW784" s="83"/>
      <c r="AX784" s="83"/>
      <c r="AY784" s="83"/>
      <c r="AZ784" s="83"/>
      <c r="BA784" s="83"/>
      <c r="BB784" s="83"/>
      <c r="BC784" s="83"/>
      <c r="BD784" s="83"/>
      <c r="BE784" s="83"/>
      <c r="BF784" s="83"/>
      <c r="BG784" s="83"/>
      <c r="BH784" s="83"/>
      <c r="BI784" s="83"/>
      <c r="BJ784" s="83"/>
      <c r="BK784" s="83"/>
      <c r="BL784" s="83"/>
      <c r="BM784" s="83"/>
      <c r="BN784" s="83"/>
      <c r="BO784" s="83"/>
      <c r="BP784" s="83"/>
      <c r="BQ784" s="83"/>
      <c r="BR784" s="83"/>
      <c r="BS784" s="83"/>
      <c r="BT784" s="83"/>
      <c r="BU784" s="83"/>
      <c r="BV784" s="83"/>
      <c r="BW784" s="83"/>
      <c r="BX784" s="83"/>
      <c r="BY784" s="83"/>
      <c r="BZ784" s="83"/>
      <c r="CA784" s="83"/>
      <c r="CB784" s="83"/>
      <c r="CC784" s="83"/>
      <c r="CD784" s="83"/>
      <c r="CE784" s="83"/>
      <c r="CF784" s="83"/>
      <c r="CG784" s="83"/>
      <c r="CH784" s="83"/>
      <c r="CI784" s="83"/>
      <c r="CJ784" s="83"/>
      <c r="CK784" s="83"/>
      <c r="CL784" s="83"/>
      <c r="CM784" s="83"/>
      <c r="CN784" s="83"/>
      <c r="CO784" s="83"/>
      <c r="CP784" s="83"/>
      <c r="CQ784" s="83"/>
      <c r="CR784" s="83"/>
      <c r="CS784" s="83"/>
      <c r="CT784" s="83"/>
      <c r="CU784" s="83"/>
      <c r="CV784" s="83"/>
      <c r="CW784" s="83"/>
      <c r="CX784" s="83"/>
      <c r="CY784" s="83"/>
      <c r="CZ784" s="83"/>
      <c r="DA784" s="83"/>
      <c r="DB784" s="83"/>
      <c r="DC784" s="83"/>
    </row>
    <row r="785" spans="1:107" x14ac:dyDescent="0.3">
      <c r="A785" s="83"/>
      <c r="B785" s="83"/>
      <c r="C785" s="83"/>
      <c r="D785" s="83"/>
      <c r="E785" s="83"/>
      <c r="F785" s="83"/>
      <c r="G785" s="83"/>
      <c r="H785" s="83"/>
      <c r="I785" s="83"/>
      <c r="J785" s="83"/>
      <c r="K785" s="83"/>
      <c r="L785" s="83"/>
      <c r="M785" s="83"/>
      <c r="N785" s="83"/>
      <c r="O785" s="83"/>
      <c r="P785" s="83"/>
      <c r="Q785" s="83"/>
      <c r="R785" s="83"/>
      <c r="S785" s="83"/>
      <c r="T785" s="83"/>
      <c r="U785" s="83"/>
      <c r="V785" s="83"/>
      <c r="W785" s="83"/>
      <c r="X785" s="83"/>
      <c r="Y785" s="83"/>
      <c r="Z785" s="83"/>
      <c r="AA785" s="83"/>
      <c r="AB785" s="83"/>
      <c r="AC785" s="83"/>
      <c r="AD785" s="83"/>
      <c r="AE785" s="83"/>
      <c r="AF785" s="83"/>
      <c r="AG785" s="83"/>
      <c r="AH785" s="83"/>
      <c r="AI785" s="83"/>
      <c r="AJ785" s="83"/>
      <c r="AK785" s="83"/>
      <c r="AL785" s="83"/>
      <c r="AM785" s="83"/>
      <c r="AN785" s="83"/>
      <c r="AO785" s="83"/>
      <c r="AP785" s="83"/>
      <c r="AQ785" s="83"/>
      <c r="AR785" s="83"/>
      <c r="AS785" s="83"/>
      <c r="AT785" s="83"/>
      <c r="AU785" s="83"/>
      <c r="AV785" s="83"/>
      <c r="AW785" s="83"/>
      <c r="AX785" s="83"/>
      <c r="AY785" s="83"/>
      <c r="AZ785" s="83"/>
      <c r="BA785" s="83"/>
      <c r="BB785" s="83"/>
      <c r="BC785" s="83"/>
      <c r="BD785" s="83"/>
      <c r="BE785" s="83"/>
      <c r="BF785" s="83"/>
      <c r="BG785" s="83"/>
      <c r="BH785" s="83"/>
      <c r="BI785" s="83"/>
      <c r="BJ785" s="83"/>
      <c r="BK785" s="83"/>
      <c r="BL785" s="83"/>
      <c r="BM785" s="83"/>
      <c r="BN785" s="83"/>
      <c r="BO785" s="83"/>
      <c r="BP785" s="83"/>
      <c r="BQ785" s="83"/>
      <c r="BR785" s="83"/>
      <c r="BS785" s="83"/>
      <c r="BT785" s="83"/>
      <c r="BU785" s="83"/>
      <c r="BV785" s="83"/>
      <c r="BW785" s="83"/>
      <c r="BX785" s="83"/>
      <c r="BY785" s="83"/>
      <c r="BZ785" s="83"/>
      <c r="CA785" s="83"/>
      <c r="CB785" s="83"/>
      <c r="CC785" s="83"/>
      <c r="CD785" s="83"/>
      <c r="CE785" s="83"/>
      <c r="CF785" s="83"/>
      <c r="CG785" s="83"/>
      <c r="CH785" s="83"/>
      <c r="CI785" s="83"/>
      <c r="CJ785" s="83"/>
      <c r="CK785" s="83"/>
      <c r="CL785" s="83"/>
      <c r="CM785" s="83"/>
      <c r="CN785" s="83"/>
      <c r="CO785" s="83"/>
      <c r="CP785" s="83"/>
      <c r="CQ785" s="83"/>
      <c r="CR785" s="83"/>
      <c r="CS785" s="83"/>
      <c r="CT785" s="83"/>
      <c r="CU785" s="83"/>
      <c r="CV785" s="83"/>
      <c r="CW785" s="83"/>
      <c r="CX785" s="83"/>
      <c r="CY785" s="83"/>
      <c r="CZ785" s="83"/>
      <c r="DA785" s="83"/>
      <c r="DB785" s="83"/>
      <c r="DC785" s="83"/>
    </row>
    <row r="786" spans="1:107" x14ac:dyDescent="0.3">
      <c r="A786" s="83"/>
      <c r="B786" s="83"/>
      <c r="C786" s="83"/>
      <c r="D786" s="83"/>
      <c r="E786" s="83"/>
      <c r="F786" s="83"/>
      <c r="G786" s="83"/>
      <c r="H786" s="83"/>
      <c r="I786" s="83"/>
      <c r="J786" s="83"/>
      <c r="K786" s="83"/>
      <c r="L786" s="83"/>
      <c r="M786" s="83"/>
      <c r="N786" s="83"/>
      <c r="O786" s="83"/>
      <c r="P786" s="83"/>
      <c r="Q786" s="83"/>
      <c r="R786" s="83"/>
      <c r="S786" s="83"/>
      <c r="T786" s="83"/>
      <c r="U786" s="83"/>
      <c r="V786" s="83"/>
      <c r="W786" s="83"/>
      <c r="X786" s="83"/>
      <c r="Y786" s="83"/>
      <c r="Z786" s="83"/>
      <c r="AA786" s="83"/>
      <c r="AB786" s="83"/>
      <c r="AC786" s="83"/>
      <c r="AD786" s="83"/>
      <c r="AE786" s="83"/>
      <c r="AF786" s="83"/>
      <c r="AG786" s="83"/>
      <c r="AH786" s="83"/>
      <c r="AI786" s="83"/>
      <c r="AJ786" s="83"/>
      <c r="AK786" s="83"/>
      <c r="AL786" s="83"/>
      <c r="AM786" s="83"/>
      <c r="AN786" s="83"/>
      <c r="AO786" s="83"/>
      <c r="AP786" s="83"/>
      <c r="AQ786" s="83"/>
      <c r="AR786" s="83"/>
      <c r="AS786" s="83"/>
      <c r="AT786" s="83"/>
      <c r="AU786" s="83"/>
      <c r="AV786" s="83"/>
      <c r="AW786" s="83"/>
      <c r="AX786" s="83"/>
      <c r="AY786" s="83"/>
      <c r="AZ786" s="83"/>
      <c r="BA786" s="83"/>
      <c r="BB786" s="83"/>
      <c r="BC786" s="83"/>
      <c r="BD786" s="83"/>
      <c r="BE786" s="83"/>
      <c r="BF786" s="83"/>
      <c r="BG786" s="83"/>
      <c r="BH786" s="83"/>
      <c r="BI786" s="83"/>
      <c r="BJ786" s="83"/>
      <c r="BK786" s="83"/>
      <c r="BL786" s="83"/>
      <c r="BM786" s="83"/>
      <c r="BN786" s="83"/>
      <c r="BO786" s="83"/>
      <c r="BP786" s="83"/>
      <c r="BQ786" s="83"/>
      <c r="BR786" s="83"/>
      <c r="BS786" s="83"/>
      <c r="BT786" s="83"/>
      <c r="BU786" s="83"/>
      <c r="BV786" s="83"/>
      <c r="BW786" s="83"/>
      <c r="BX786" s="83"/>
      <c r="BY786" s="83"/>
      <c r="BZ786" s="83"/>
      <c r="CA786" s="83"/>
      <c r="CB786" s="83"/>
      <c r="CC786" s="83"/>
      <c r="CD786" s="83"/>
      <c r="CE786" s="83"/>
      <c r="CF786" s="83"/>
      <c r="CG786" s="83"/>
      <c r="CH786" s="83"/>
      <c r="CI786" s="83"/>
      <c r="CJ786" s="83"/>
      <c r="CK786" s="83"/>
      <c r="CL786" s="83"/>
      <c r="CM786" s="83"/>
      <c r="CN786" s="83"/>
      <c r="CO786" s="83"/>
      <c r="CP786" s="83"/>
      <c r="CQ786" s="83"/>
      <c r="CR786" s="83"/>
      <c r="CS786" s="83"/>
      <c r="CT786" s="83"/>
      <c r="CU786" s="83"/>
      <c r="CV786" s="83"/>
      <c r="CW786" s="83"/>
      <c r="CX786" s="83"/>
      <c r="CY786" s="83"/>
      <c r="CZ786" s="83"/>
      <c r="DA786" s="83"/>
      <c r="DB786" s="83"/>
      <c r="DC786" s="83"/>
    </row>
    <row r="787" spans="1:107" x14ac:dyDescent="0.3">
      <c r="A787" s="83"/>
      <c r="B787" s="83"/>
      <c r="C787" s="83"/>
      <c r="D787" s="83"/>
      <c r="E787" s="83"/>
      <c r="F787" s="83"/>
      <c r="G787" s="83"/>
      <c r="H787" s="83"/>
      <c r="I787" s="83"/>
      <c r="J787" s="83"/>
      <c r="K787" s="83"/>
      <c r="L787" s="83"/>
      <c r="M787" s="83"/>
      <c r="N787" s="83"/>
      <c r="O787" s="83"/>
      <c r="P787" s="83"/>
      <c r="Q787" s="83"/>
      <c r="R787" s="83"/>
      <c r="S787" s="83"/>
      <c r="T787" s="83"/>
      <c r="U787" s="83"/>
      <c r="V787" s="83"/>
      <c r="W787" s="83"/>
      <c r="X787" s="83"/>
      <c r="Y787" s="83"/>
      <c r="Z787" s="83"/>
      <c r="AA787" s="83"/>
      <c r="AB787" s="83"/>
      <c r="AC787" s="83"/>
      <c r="AD787" s="83"/>
      <c r="AE787" s="83"/>
      <c r="AF787" s="83"/>
      <c r="AG787" s="83"/>
      <c r="AH787" s="83"/>
      <c r="AI787" s="83"/>
      <c r="AJ787" s="83"/>
      <c r="AK787" s="83"/>
      <c r="AL787" s="83"/>
      <c r="AM787" s="83"/>
      <c r="AN787" s="83"/>
      <c r="AO787" s="83"/>
      <c r="AP787" s="83"/>
      <c r="AQ787" s="83"/>
      <c r="AR787" s="83"/>
      <c r="AS787" s="83"/>
      <c r="AT787" s="83"/>
      <c r="AU787" s="83"/>
      <c r="AV787" s="83"/>
      <c r="AW787" s="83"/>
      <c r="AX787" s="83"/>
      <c r="AY787" s="83"/>
      <c r="AZ787" s="83"/>
      <c r="BA787" s="83"/>
      <c r="BB787" s="83"/>
      <c r="BC787" s="83"/>
      <c r="BD787" s="83"/>
      <c r="BE787" s="83"/>
      <c r="BF787" s="83"/>
      <c r="BG787" s="83"/>
      <c r="BH787" s="83"/>
      <c r="BI787" s="83"/>
      <c r="BJ787" s="83"/>
      <c r="BK787" s="83"/>
      <c r="BL787" s="83"/>
      <c r="BM787" s="83"/>
      <c r="BN787" s="83"/>
      <c r="BO787" s="83"/>
      <c r="BP787" s="83"/>
      <c r="BQ787" s="83"/>
      <c r="BR787" s="83"/>
      <c r="BS787" s="83"/>
      <c r="BT787" s="83"/>
      <c r="BU787" s="83"/>
      <c r="BV787" s="83"/>
      <c r="BW787" s="83"/>
      <c r="BX787" s="83"/>
      <c r="BY787" s="83"/>
      <c r="BZ787" s="83"/>
      <c r="CA787" s="83"/>
      <c r="CB787" s="83"/>
      <c r="CC787" s="83"/>
      <c r="CD787" s="83"/>
      <c r="CE787" s="83"/>
      <c r="CF787" s="83"/>
      <c r="CG787" s="83"/>
      <c r="CH787" s="83"/>
      <c r="CI787" s="83"/>
      <c r="CJ787" s="83"/>
      <c r="CK787" s="83"/>
      <c r="CL787" s="83"/>
      <c r="CM787" s="83"/>
      <c r="CN787" s="83"/>
      <c r="CO787" s="83"/>
      <c r="CP787" s="83"/>
      <c r="CQ787" s="83"/>
      <c r="CR787" s="83"/>
      <c r="CS787" s="83"/>
      <c r="CT787" s="83"/>
      <c r="CU787" s="83"/>
      <c r="CV787" s="83"/>
      <c r="CW787" s="83"/>
      <c r="CX787" s="83"/>
      <c r="CY787" s="83"/>
      <c r="CZ787" s="83"/>
      <c r="DA787" s="83"/>
      <c r="DB787" s="83"/>
      <c r="DC787" s="83"/>
    </row>
    <row r="788" spans="1:107" x14ac:dyDescent="0.3">
      <c r="A788" s="83"/>
      <c r="B788" s="83"/>
      <c r="C788" s="83"/>
      <c r="D788" s="83"/>
      <c r="E788" s="83"/>
      <c r="F788" s="83"/>
      <c r="G788" s="83"/>
      <c r="H788" s="83"/>
      <c r="I788" s="83"/>
      <c r="J788" s="83"/>
      <c r="K788" s="83"/>
      <c r="L788" s="83"/>
      <c r="M788" s="83"/>
      <c r="N788" s="83"/>
      <c r="O788" s="83"/>
      <c r="P788" s="83"/>
      <c r="Q788" s="83"/>
      <c r="R788" s="83"/>
      <c r="S788" s="83"/>
      <c r="T788" s="83"/>
      <c r="U788" s="83"/>
      <c r="V788" s="83"/>
      <c r="W788" s="83"/>
      <c r="X788" s="83"/>
      <c r="Y788" s="83"/>
      <c r="Z788" s="83"/>
      <c r="AA788" s="83"/>
      <c r="AB788" s="83"/>
      <c r="AC788" s="83"/>
      <c r="AD788" s="83"/>
      <c r="AE788" s="83"/>
      <c r="AF788" s="83"/>
      <c r="AG788" s="83"/>
      <c r="AH788" s="83"/>
      <c r="AI788" s="83"/>
      <c r="AJ788" s="83"/>
      <c r="AK788" s="83"/>
      <c r="AL788" s="83"/>
      <c r="AM788" s="83"/>
      <c r="AN788" s="83"/>
      <c r="AO788" s="83"/>
      <c r="AP788" s="83"/>
      <c r="AQ788" s="83"/>
      <c r="AR788" s="83"/>
      <c r="AS788" s="83"/>
      <c r="AT788" s="83"/>
      <c r="AU788" s="83"/>
      <c r="AV788" s="83"/>
      <c r="AW788" s="83"/>
      <c r="AX788" s="83"/>
      <c r="AY788" s="83"/>
      <c r="AZ788" s="83"/>
      <c r="BA788" s="83"/>
      <c r="BB788" s="83"/>
      <c r="BC788" s="83"/>
      <c r="BD788" s="83"/>
      <c r="BE788" s="83"/>
      <c r="BF788" s="83"/>
      <c r="BG788" s="83"/>
      <c r="BH788" s="83"/>
      <c r="BI788" s="83"/>
      <c r="BJ788" s="83"/>
      <c r="BK788" s="83"/>
      <c r="BL788" s="83"/>
      <c r="BM788" s="83"/>
      <c r="BN788" s="83"/>
      <c r="BO788" s="83"/>
      <c r="BP788" s="83"/>
      <c r="BQ788" s="83"/>
      <c r="BR788" s="83"/>
      <c r="BS788" s="83"/>
      <c r="BT788" s="83"/>
      <c r="BU788" s="83"/>
      <c r="BV788" s="83"/>
      <c r="BW788" s="83"/>
      <c r="BX788" s="83"/>
      <c r="BY788" s="83"/>
      <c r="BZ788" s="83"/>
      <c r="CA788" s="83"/>
      <c r="CB788" s="83"/>
      <c r="CC788" s="83"/>
      <c r="CD788" s="83"/>
      <c r="CE788" s="83"/>
      <c r="CF788" s="83"/>
      <c r="CG788" s="83"/>
      <c r="CH788" s="83"/>
      <c r="CI788" s="83"/>
      <c r="CJ788" s="83"/>
      <c r="CK788" s="83"/>
      <c r="CL788" s="83"/>
      <c r="CM788" s="83"/>
      <c r="CN788" s="83"/>
      <c r="CO788" s="83"/>
      <c r="CP788" s="83"/>
      <c r="CQ788" s="83"/>
      <c r="CR788" s="83"/>
      <c r="CS788" s="83"/>
      <c r="CT788" s="83"/>
      <c r="CU788" s="83"/>
      <c r="CV788" s="83"/>
      <c r="CW788" s="83"/>
      <c r="CX788" s="83"/>
      <c r="CY788" s="83"/>
      <c r="CZ788" s="83"/>
      <c r="DA788" s="83"/>
      <c r="DB788" s="83"/>
      <c r="DC788" s="83"/>
    </row>
    <row r="789" spans="1:107" x14ac:dyDescent="0.3">
      <c r="A789" s="83"/>
      <c r="B789" s="83"/>
      <c r="C789" s="83"/>
      <c r="D789" s="83"/>
      <c r="E789" s="83"/>
      <c r="F789" s="83"/>
      <c r="G789" s="83"/>
      <c r="H789" s="83"/>
      <c r="I789" s="83"/>
      <c r="J789" s="83"/>
      <c r="K789" s="83"/>
      <c r="L789" s="83"/>
      <c r="M789" s="83"/>
      <c r="N789" s="83"/>
      <c r="O789" s="83"/>
      <c r="P789" s="83"/>
      <c r="Q789" s="83"/>
      <c r="R789" s="83"/>
      <c r="S789" s="83"/>
      <c r="T789" s="83"/>
      <c r="U789" s="83"/>
      <c r="V789" s="83"/>
      <c r="W789" s="83"/>
      <c r="X789" s="83"/>
      <c r="Y789" s="83"/>
      <c r="Z789" s="83"/>
      <c r="AA789" s="83"/>
      <c r="AB789" s="83"/>
      <c r="AC789" s="83"/>
      <c r="AD789" s="83"/>
      <c r="AE789" s="83"/>
      <c r="AF789" s="83"/>
      <c r="AG789" s="83"/>
      <c r="AH789" s="83"/>
      <c r="AI789" s="83"/>
      <c r="AJ789" s="83"/>
      <c r="AK789" s="83"/>
      <c r="AL789" s="83"/>
      <c r="AM789" s="83"/>
      <c r="AN789" s="83"/>
      <c r="AO789" s="83"/>
      <c r="AP789" s="83"/>
      <c r="AQ789" s="83"/>
      <c r="AR789" s="83"/>
      <c r="AS789" s="83"/>
      <c r="AT789" s="83"/>
      <c r="AU789" s="83"/>
      <c r="AV789" s="83"/>
      <c r="AW789" s="83"/>
      <c r="AX789" s="83"/>
      <c r="AY789" s="83"/>
      <c r="AZ789" s="83"/>
      <c r="BA789" s="83"/>
      <c r="BB789" s="83"/>
      <c r="BC789" s="83"/>
      <c r="BD789" s="83"/>
      <c r="BE789" s="83"/>
      <c r="BF789" s="83"/>
      <c r="BG789" s="83"/>
      <c r="BH789" s="83"/>
      <c r="BI789" s="83"/>
      <c r="BJ789" s="83"/>
      <c r="BK789" s="83"/>
      <c r="BL789" s="83"/>
      <c r="BM789" s="83"/>
      <c r="BN789" s="83"/>
      <c r="BO789" s="83"/>
      <c r="BP789" s="83"/>
      <c r="BQ789" s="83"/>
      <c r="BR789" s="83"/>
      <c r="BS789" s="83"/>
      <c r="BT789" s="83"/>
      <c r="BU789" s="83"/>
      <c r="BV789" s="83"/>
      <c r="BW789" s="83"/>
      <c r="BX789" s="83"/>
      <c r="BY789" s="83"/>
      <c r="BZ789" s="83"/>
      <c r="CA789" s="83"/>
      <c r="CB789" s="83"/>
      <c r="CC789" s="83"/>
      <c r="CD789" s="83"/>
      <c r="CE789" s="83"/>
      <c r="CF789" s="83"/>
      <c r="CG789" s="83"/>
      <c r="CH789" s="83"/>
      <c r="CI789" s="83"/>
      <c r="CJ789" s="83"/>
      <c r="CK789" s="83"/>
      <c r="CL789" s="83"/>
      <c r="CM789" s="83"/>
      <c r="CN789" s="83"/>
      <c r="CO789" s="83"/>
      <c r="CP789" s="83"/>
      <c r="CQ789" s="83"/>
      <c r="CR789" s="83"/>
      <c r="CS789" s="83"/>
      <c r="CT789" s="83"/>
      <c r="CU789" s="83"/>
      <c r="CV789" s="83"/>
      <c r="CW789" s="83"/>
      <c r="CX789" s="83"/>
      <c r="CY789" s="83"/>
      <c r="CZ789" s="83"/>
      <c r="DA789" s="83"/>
      <c r="DB789" s="83"/>
      <c r="DC789" s="83"/>
    </row>
    <row r="790" spans="1:107" x14ac:dyDescent="0.3">
      <c r="A790" s="83"/>
      <c r="B790" s="83"/>
      <c r="C790" s="83"/>
      <c r="D790" s="83"/>
      <c r="E790" s="83"/>
      <c r="F790" s="83"/>
      <c r="G790" s="83"/>
      <c r="H790" s="83"/>
      <c r="I790" s="83"/>
      <c r="J790" s="83"/>
      <c r="K790" s="83"/>
      <c r="L790" s="83"/>
      <c r="M790" s="83"/>
      <c r="N790" s="83"/>
      <c r="O790" s="83"/>
      <c r="P790" s="83"/>
      <c r="Q790" s="83"/>
      <c r="R790" s="83"/>
      <c r="S790" s="83"/>
      <c r="T790" s="83"/>
      <c r="U790" s="83"/>
      <c r="V790" s="83"/>
      <c r="W790" s="83"/>
      <c r="X790" s="83"/>
      <c r="Y790" s="83"/>
      <c r="Z790" s="83"/>
      <c r="AA790" s="83"/>
      <c r="AB790" s="83"/>
      <c r="AC790" s="83"/>
      <c r="AD790" s="83"/>
      <c r="AE790" s="83"/>
      <c r="AF790" s="83"/>
      <c r="AG790" s="83"/>
      <c r="AH790" s="83"/>
      <c r="AI790" s="83"/>
      <c r="AJ790" s="83"/>
      <c r="AK790" s="83"/>
      <c r="AL790" s="83"/>
      <c r="AM790" s="83"/>
      <c r="AN790" s="83"/>
      <c r="AO790" s="83"/>
      <c r="AP790" s="83"/>
      <c r="AQ790" s="83"/>
      <c r="AR790" s="83"/>
      <c r="AS790" s="83"/>
      <c r="AT790" s="83"/>
      <c r="AU790" s="83"/>
      <c r="AV790" s="83"/>
      <c r="AW790" s="83"/>
      <c r="AX790" s="83"/>
      <c r="AY790" s="83"/>
      <c r="AZ790" s="83"/>
      <c r="BA790" s="83"/>
      <c r="BB790" s="83"/>
      <c r="BC790" s="83"/>
      <c r="BD790" s="83"/>
      <c r="BE790" s="83"/>
      <c r="BF790" s="83"/>
      <c r="BG790" s="83"/>
      <c r="BH790" s="83"/>
      <c r="BI790" s="83"/>
      <c r="BJ790" s="83"/>
      <c r="BK790" s="83"/>
      <c r="BL790" s="83"/>
      <c r="BM790" s="83"/>
      <c r="BN790" s="83"/>
      <c r="BO790" s="83"/>
      <c r="BP790" s="83"/>
      <c r="BQ790" s="83"/>
      <c r="BR790" s="83"/>
      <c r="BS790" s="83"/>
      <c r="BT790" s="83"/>
      <c r="BU790" s="83"/>
      <c r="BV790" s="83"/>
      <c r="BW790" s="83"/>
      <c r="BX790" s="83"/>
      <c r="BY790" s="83"/>
      <c r="BZ790" s="83"/>
      <c r="CA790" s="83"/>
      <c r="CB790" s="83"/>
      <c r="CC790" s="83"/>
      <c r="CD790" s="83"/>
      <c r="CE790" s="83"/>
      <c r="CF790" s="83"/>
      <c r="CG790" s="83"/>
      <c r="CH790" s="83"/>
      <c r="CI790" s="83"/>
      <c r="CJ790" s="83"/>
      <c r="CK790" s="83"/>
      <c r="CL790" s="83"/>
      <c r="CM790" s="83"/>
      <c r="CN790" s="83"/>
      <c r="CO790" s="83"/>
      <c r="CP790" s="83"/>
      <c r="CQ790" s="83"/>
      <c r="CR790" s="83"/>
      <c r="CS790" s="83"/>
      <c r="CT790" s="83"/>
      <c r="CU790" s="83"/>
      <c r="CV790" s="83"/>
      <c r="CW790" s="83"/>
      <c r="CX790" s="83"/>
      <c r="CY790" s="83"/>
      <c r="CZ790" s="83"/>
      <c r="DA790" s="83"/>
      <c r="DB790" s="83"/>
      <c r="DC790" s="83"/>
    </row>
    <row r="791" spans="1:107" x14ac:dyDescent="0.3">
      <c r="A791" s="83"/>
      <c r="B791" s="83"/>
      <c r="C791" s="83"/>
      <c r="D791" s="83"/>
      <c r="E791" s="83"/>
      <c r="F791" s="83"/>
      <c r="G791" s="83"/>
      <c r="H791" s="83"/>
      <c r="I791" s="83"/>
      <c r="J791" s="83"/>
      <c r="K791" s="83"/>
      <c r="L791" s="83"/>
      <c r="M791" s="83"/>
      <c r="N791" s="83"/>
      <c r="O791" s="83"/>
      <c r="P791" s="83"/>
      <c r="Q791" s="83"/>
      <c r="R791" s="83"/>
      <c r="S791" s="83"/>
      <c r="T791" s="83"/>
      <c r="U791" s="83"/>
      <c r="V791" s="83"/>
      <c r="W791" s="83"/>
      <c r="X791" s="83"/>
      <c r="Y791" s="83"/>
      <c r="Z791" s="83"/>
      <c r="AA791" s="83"/>
      <c r="AB791" s="83"/>
      <c r="AC791" s="83"/>
      <c r="AD791" s="83"/>
      <c r="AE791" s="83"/>
      <c r="AF791" s="83"/>
      <c r="AG791" s="83"/>
      <c r="AH791" s="83"/>
      <c r="AI791" s="83"/>
      <c r="AJ791" s="83"/>
      <c r="AK791" s="83"/>
      <c r="AL791" s="83"/>
      <c r="AM791" s="83"/>
      <c r="AN791" s="83"/>
      <c r="AO791" s="83"/>
      <c r="AP791" s="83"/>
      <c r="AQ791" s="83"/>
      <c r="AR791" s="83"/>
      <c r="AS791" s="83"/>
      <c r="AT791" s="83"/>
      <c r="AU791" s="83"/>
      <c r="AV791" s="83"/>
      <c r="AW791" s="83"/>
      <c r="AX791" s="83"/>
      <c r="AY791" s="83"/>
      <c r="AZ791" s="83"/>
      <c r="BA791" s="83"/>
      <c r="BB791" s="83"/>
      <c r="BC791" s="83"/>
      <c r="BD791" s="83"/>
      <c r="BE791" s="83"/>
      <c r="BF791" s="83"/>
      <c r="BG791" s="83"/>
      <c r="BH791" s="83"/>
      <c r="BI791" s="83"/>
      <c r="BJ791" s="83"/>
      <c r="BK791" s="83"/>
      <c r="BL791" s="83"/>
      <c r="BM791" s="83"/>
      <c r="BN791" s="83"/>
      <c r="BO791" s="83"/>
      <c r="BP791" s="83"/>
      <c r="BQ791" s="83"/>
      <c r="BR791" s="83"/>
      <c r="BS791" s="83"/>
      <c r="BT791" s="83"/>
      <c r="BU791" s="83"/>
      <c r="BV791" s="83"/>
      <c r="BW791" s="83"/>
      <c r="BX791" s="83"/>
      <c r="BY791" s="83"/>
      <c r="BZ791" s="83"/>
      <c r="CA791" s="83"/>
      <c r="CB791" s="83"/>
      <c r="CC791" s="83"/>
      <c r="CD791" s="83"/>
      <c r="CE791" s="83"/>
      <c r="CF791" s="83"/>
      <c r="CG791" s="83"/>
      <c r="CH791" s="83"/>
      <c r="CI791" s="83"/>
      <c r="CJ791" s="83"/>
      <c r="CK791" s="83"/>
      <c r="CL791" s="83"/>
      <c r="CM791" s="83"/>
      <c r="CN791" s="83"/>
      <c r="CO791" s="83"/>
      <c r="CP791" s="83"/>
      <c r="CQ791" s="83"/>
      <c r="CR791" s="83"/>
      <c r="CS791" s="83"/>
      <c r="CT791" s="83"/>
      <c r="CU791" s="83"/>
      <c r="CV791" s="83"/>
      <c r="CW791" s="83"/>
      <c r="CX791" s="83"/>
      <c r="CY791" s="83"/>
      <c r="CZ791" s="83"/>
      <c r="DA791" s="83"/>
      <c r="DB791" s="83"/>
      <c r="DC791" s="83"/>
    </row>
    <row r="792" spans="1:107" x14ac:dyDescent="0.3">
      <c r="A792" s="83"/>
      <c r="B792" s="83"/>
      <c r="C792" s="83"/>
      <c r="D792" s="83"/>
      <c r="E792" s="83"/>
      <c r="F792" s="83"/>
      <c r="G792" s="83"/>
      <c r="H792" s="83"/>
      <c r="I792" s="83"/>
      <c r="J792" s="83"/>
      <c r="K792" s="83"/>
      <c r="L792" s="83"/>
      <c r="M792" s="83"/>
      <c r="N792" s="83"/>
      <c r="O792" s="83"/>
      <c r="P792" s="83"/>
      <c r="Q792" s="83"/>
      <c r="R792" s="83"/>
      <c r="S792" s="83"/>
      <c r="T792" s="83"/>
      <c r="U792" s="83"/>
      <c r="V792" s="83"/>
      <c r="W792" s="83"/>
      <c r="X792" s="83"/>
      <c r="Y792" s="83"/>
      <c r="Z792" s="83"/>
      <c r="AA792" s="83"/>
      <c r="AB792" s="83"/>
      <c r="AC792" s="83"/>
      <c r="AD792" s="83"/>
      <c r="AE792" s="83"/>
      <c r="AF792" s="83"/>
      <c r="AG792" s="83"/>
      <c r="AH792" s="83"/>
      <c r="AI792" s="83"/>
      <c r="AJ792" s="83"/>
      <c r="AK792" s="83"/>
      <c r="AL792" s="83"/>
      <c r="AM792" s="83"/>
      <c r="AN792" s="83"/>
      <c r="AO792" s="83"/>
      <c r="AP792" s="83"/>
      <c r="AQ792" s="83"/>
      <c r="AR792" s="83"/>
      <c r="AS792" s="83"/>
      <c r="AT792" s="83"/>
      <c r="AU792" s="83"/>
      <c r="AV792" s="83"/>
      <c r="AW792" s="83"/>
      <c r="AX792" s="83"/>
      <c r="AY792" s="83"/>
      <c r="AZ792" s="83"/>
      <c r="BA792" s="83"/>
      <c r="BB792" s="83"/>
      <c r="BC792" s="83"/>
      <c r="BD792" s="83"/>
      <c r="BE792" s="83"/>
      <c r="BF792" s="83"/>
      <c r="BG792" s="83"/>
      <c r="BH792" s="83"/>
      <c r="BI792" s="83"/>
      <c r="BJ792" s="83"/>
      <c r="BK792" s="83"/>
      <c r="BL792" s="83"/>
      <c r="BM792" s="83"/>
      <c r="BN792" s="83"/>
      <c r="BO792" s="83"/>
      <c r="BP792" s="83"/>
      <c r="BQ792" s="83"/>
      <c r="BR792" s="83"/>
      <c r="BS792" s="83"/>
      <c r="BT792" s="83"/>
      <c r="BU792" s="83"/>
      <c r="BV792" s="83"/>
      <c r="BW792" s="83"/>
      <c r="BX792" s="83"/>
      <c r="BY792" s="83"/>
      <c r="BZ792" s="83"/>
      <c r="CA792" s="83"/>
      <c r="CB792" s="83"/>
      <c r="CC792" s="83"/>
      <c r="CD792" s="83"/>
      <c r="CE792" s="83"/>
      <c r="CF792" s="83"/>
      <c r="CG792" s="83"/>
      <c r="CH792" s="83"/>
      <c r="CI792" s="83"/>
      <c r="CJ792" s="83"/>
      <c r="CK792" s="83"/>
      <c r="CL792" s="83"/>
      <c r="CM792" s="83"/>
      <c r="CN792" s="83"/>
      <c r="CO792" s="83"/>
      <c r="CP792" s="83"/>
      <c r="CQ792" s="83"/>
      <c r="CR792" s="83"/>
      <c r="CS792" s="83"/>
      <c r="CT792" s="83"/>
      <c r="CU792" s="83"/>
      <c r="CV792" s="83"/>
      <c r="CW792" s="83"/>
      <c r="CX792" s="83"/>
      <c r="CY792" s="83"/>
      <c r="CZ792" s="83"/>
      <c r="DA792" s="83"/>
      <c r="DB792" s="83"/>
      <c r="DC792" s="83"/>
    </row>
    <row r="793" spans="1:107" x14ac:dyDescent="0.3">
      <c r="A793" s="83"/>
      <c r="B793" s="83"/>
      <c r="C793" s="83"/>
      <c r="D793" s="83"/>
      <c r="E793" s="83"/>
      <c r="F793" s="83"/>
      <c r="G793" s="83"/>
      <c r="H793" s="83"/>
      <c r="I793" s="83"/>
      <c r="J793" s="83"/>
      <c r="K793" s="83"/>
      <c r="L793" s="83"/>
      <c r="M793" s="83"/>
      <c r="N793" s="83"/>
      <c r="O793" s="83"/>
      <c r="P793" s="83"/>
      <c r="Q793" s="83"/>
      <c r="R793" s="83"/>
      <c r="S793" s="83"/>
      <c r="T793" s="83"/>
      <c r="U793" s="83"/>
      <c r="V793" s="83"/>
      <c r="W793" s="83"/>
      <c r="X793" s="83"/>
      <c r="Y793" s="83"/>
      <c r="Z793" s="83"/>
      <c r="AA793" s="83"/>
      <c r="AB793" s="83"/>
      <c r="AC793" s="83"/>
      <c r="AD793" s="83"/>
      <c r="AE793" s="83"/>
      <c r="AF793" s="83"/>
      <c r="AG793" s="83"/>
      <c r="AH793" s="83"/>
      <c r="AI793" s="83"/>
      <c r="AJ793" s="83"/>
      <c r="AK793" s="83"/>
      <c r="AL793" s="83"/>
      <c r="AM793" s="83"/>
      <c r="AN793" s="83"/>
      <c r="AO793" s="83"/>
      <c r="AP793" s="83"/>
      <c r="AQ793" s="83"/>
      <c r="AR793" s="83"/>
      <c r="AS793" s="83"/>
      <c r="AT793" s="83"/>
      <c r="AU793" s="83"/>
      <c r="AV793" s="83"/>
      <c r="AW793" s="83"/>
      <c r="AX793" s="83"/>
      <c r="AY793" s="83"/>
      <c r="AZ793" s="83"/>
      <c r="BA793" s="83"/>
      <c r="BB793" s="83"/>
      <c r="BC793" s="83"/>
      <c r="BD793" s="83"/>
      <c r="BE793" s="83"/>
      <c r="BF793" s="83"/>
      <c r="BG793" s="83"/>
      <c r="BH793" s="83"/>
      <c r="BI793" s="83"/>
      <c r="BJ793" s="83"/>
      <c r="BK793" s="83"/>
      <c r="BL793" s="83"/>
      <c r="BM793" s="83"/>
      <c r="BN793" s="83"/>
      <c r="BO793" s="83"/>
      <c r="BP793" s="83"/>
      <c r="BQ793" s="83"/>
      <c r="BR793" s="83"/>
      <c r="BS793" s="83"/>
      <c r="BT793" s="83"/>
      <c r="BU793" s="83"/>
      <c r="BV793" s="83"/>
      <c r="BW793" s="83"/>
      <c r="BX793" s="83"/>
      <c r="BY793" s="83"/>
      <c r="BZ793" s="83"/>
      <c r="CA793" s="83"/>
      <c r="CB793" s="83"/>
      <c r="CC793" s="83"/>
      <c r="CD793" s="83"/>
      <c r="CE793" s="83"/>
      <c r="CF793" s="83"/>
      <c r="CG793" s="83"/>
      <c r="CH793" s="83"/>
      <c r="CI793" s="83"/>
      <c r="CJ793" s="83"/>
      <c r="CK793" s="83"/>
      <c r="CL793" s="83"/>
      <c r="CM793" s="83"/>
      <c r="CN793" s="83"/>
      <c r="CO793" s="83"/>
      <c r="CP793" s="83"/>
      <c r="CQ793" s="83"/>
      <c r="CR793" s="83"/>
      <c r="CS793" s="83"/>
      <c r="CT793" s="83"/>
      <c r="CU793" s="83"/>
      <c r="CV793" s="83"/>
      <c r="CW793" s="83"/>
      <c r="CX793" s="83"/>
      <c r="CY793" s="83"/>
      <c r="CZ793" s="83"/>
      <c r="DA793" s="83"/>
      <c r="DB793" s="83"/>
      <c r="DC793" s="83"/>
    </row>
    <row r="794" spans="1:107" x14ac:dyDescent="0.3">
      <c r="A794" s="83"/>
      <c r="B794" s="83"/>
      <c r="C794" s="83"/>
      <c r="D794" s="83"/>
      <c r="E794" s="83"/>
      <c r="F794" s="83"/>
      <c r="G794" s="83"/>
      <c r="H794" s="83"/>
      <c r="I794" s="83"/>
      <c r="J794" s="83"/>
      <c r="K794" s="83"/>
      <c r="L794" s="83"/>
      <c r="M794" s="83"/>
      <c r="N794" s="83"/>
      <c r="O794" s="83"/>
      <c r="P794" s="83"/>
      <c r="Q794" s="83"/>
      <c r="R794" s="83"/>
      <c r="S794" s="83"/>
      <c r="T794" s="83"/>
      <c r="U794" s="83"/>
      <c r="V794" s="83"/>
      <c r="W794" s="83"/>
      <c r="X794" s="83"/>
      <c r="Y794" s="83"/>
      <c r="Z794" s="83"/>
      <c r="AA794" s="83"/>
      <c r="AB794" s="83"/>
      <c r="AC794" s="83"/>
      <c r="AD794" s="83"/>
      <c r="AE794" s="83"/>
      <c r="AF794" s="83"/>
      <c r="AG794" s="83"/>
      <c r="AH794" s="83"/>
      <c r="AI794" s="83"/>
      <c r="AJ794" s="83"/>
      <c r="AK794" s="83"/>
      <c r="AL794" s="83"/>
      <c r="AM794" s="83"/>
      <c r="AN794" s="83"/>
      <c r="AO794" s="83"/>
      <c r="AP794" s="83"/>
      <c r="AQ794" s="83"/>
      <c r="AR794" s="83"/>
      <c r="AS794" s="83"/>
      <c r="AT794" s="83"/>
      <c r="AU794" s="83"/>
      <c r="AV794" s="83"/>
      <c r="AW794" s="83"/>
      <c r="AX794" s="83"/>
      <c r="AY794" s="83"/>
      <c r="AZ794" s="83"/>
      <c r="BA794" s="83"/>
      <c r="BB794" s="83"/>
      <c r="BC794" s="83"/>
      <c r="BD794" s="83"/>
      <c r="BE794" s="83"/>
      <c r="BF794" s="83"/>
      <c r="BG794" s="83"/>
      <c r="BH794" s="83"/>
      <c r="BI794" s="83"/>
      <c r="BJ794" s="83"/>
      <c r="BK794" s="83"/>
      <c r="BL794" s="83"/>
      <c r="BM794" s="83"/>
      <c r="BN794" s="83"/>
      <c r="BO794" s="83"/>
      <c r="BP794" s="83"/>
      <c r="BQ794" s="83"/>
      <c r="BR794" s="83"/>
      <c r="BS794" s="83"/>
      <c r="BT794" s="83"/>
      <c r="BU794" s="83"/>
      <c r="BV794" s="83"/>
      <c r="BW794" s="83"/>
      <c r="BX794" s="83"/>
      <c r="BY794" s="83"/>
      <c r="BZ794" s="83"/>
      <c r="CA794" s="83"/>
      <c r="CB794" s="83"/>
      <c r="CC794" s="83"/>
      <c r="CD794" s="83"/>
      <c r="CE794" s="83"/>
      <c r="CF794" s="83"/>
      <c r="CG794" s="83"/>
      <c r="CH794" s="83"/>
      <c r="CI794" s="83"/>
      <c r="CJ794" s="83"/>
      <c r="CK794" s="83"/>
      <c r="CL794" s="83"/>
      <c r="CM794" s="83"/>
      <c r="CN794" s="83"/>
      <c r="CO794" s="83"/>
      <c r="CP794" s="83"/>
      <c r="CQ794" s="83"/>
      <c r="CR794" s="83"/>
      <c r="CS794" s="83"/>
      <c r="CT794" s="83"/>
      <c r="CU794" s="83"/>
      <c r="CV794" s="83"/>
      <c r="CW794" s="83"/>
      <c r="CX794" s="83"/>
      <c r="CY794" s="83"/>
      <c r="CZ794" s="83"/>
      <c r="DA794" s="83"/>
      <c r="DB794" s="83"/>
      <c r="DC794" s="83"/>
    </row>
    <row r="795" spans="1:107" x14ac:dyDescent="0.3">
      <c r="A795" s="83"/>
      <c r="B795" s="83"/>
      <c r="C795" s="83"/>
      <c r="D795" s="83"/>
      <c r="E795" s="83"/>
      <c r="F795" s="83"/>
      <c r="G795" s="83"/>
      <c r="H795" s="83"/>
      <c r="I795" s="83"/>
      <c r="J795" s="83"/>
      <c r="K795" s="83"/>
      <c r="L795" s="83"/>
      <c r="M795" s="83"/>
      <c r="N795" s="83"/>
      <c r="O795" s="83"/>
      <c r="P795" s="83"/>
      <c r="Q795" s="83"/>
      <c r="R795" s="83"/>
      <c r="S795" s="83"/>
      <c r="T795" s="83"/>
      <c r="U795" s="83"/>
      <c r="V795" s="83"/>
      <c r="W795" s="83"/>
      <c r="X795" s="83"/>
      <c r="Y795" s="83"/>
      <c r="Z795" s="83"/>
      <c r="AA795" s="83"/>
      <c r="AB795" s="83"/>
      <c r="AC795" s="83"/>
      <c r="AD795" s="83"/>
      <c r="AE795" s="83"/>
      <c r="AF795" s="83"/>
      <c r="AG795" s="83"/>
      <c r="AH795" s="83"/>
      <c r="AI795" s="83"/>
      <c r="AJ795" s="83"/>
      <c r="AK795" s="83"/>
      <c r="AL795" s="83"/>
      <c r="AM795" s="83"/>
      <c r="AN795" s="83"/>
      <c r="AO795" s="83"/>
      <c r="AP795" s="83"/>
      <c r="AQ795" s="83"/>
      <c r="AR795" s="83"/>
      <c r="AS795" s="83"/>
      <c r="AT795" s="83"/>
      <c r="AU795" s="83"/>
      <c r="AV795" s="83"/>
      <c r="AW795" s="83"/>
      <c r="AX795" s="83"/>
      <c r="AY795" s="83"/>
      <c r="AZ795" s="83"/>
      <c r="BA795" s="83"/>
      <c r="BB795" s="83"/>
      <c r="BC795" s="83"/>
      <c r="BD795" s="83"/>
      <c r="BE795" s="83"/>
      <c r="BF795" s="83"/>
      <c r="BG795" s="83"/>
      <c r="BH795" s="83"/>
      <c r="BI795" s="83"/>
      <c r="BJ795" s="83"/>
      <c r="BK795" s="83"/>
      <c r="BL795" s="83"/>
      <c r="BM795" s="83"/>
      <c r="BN795" s="83"/>
      <c r="BO795" s="83"/>
      <c r="BP795" s="83"/>
      <c r="BQ795" s="83"/>
      <c r="BR795" s="83"/>
      <c r="BS795" s="83"/>
      <c r="BT795" s="83"/>
      <c r="BU795" s="83"/>
      <c r="BV795" s="83"/>
      <c r="BW795" s="83"/>
      <c r="BX795" s="83"/>
      <c r="BY795" s="83"/>
      <c r="BZ795" s="83"/>
      <c r="CA795" s="83"/>
      <c r="CB795" s="83"/>
      <c r="CC795" s="83"/>
      <c r="CD795" s="83"/>
      <c r="CE795" s="83"/>
      <c r="CF795" s="83"/>
      <c r="CG795" s="83"/>
      <c r="CH795" s="83"/>
      <c r="CI795" s="83"/>
      <c r="CJ795" s="83"/>
      <c r="CK795" s="83"/>
      <c r="CL795" s="83"/>
      <c r="CM795" s="83"/>
      <c r="CN795" s="83"/>
      <c r="CO795" s="83"/>
      <c r="CP795" s="83"/>
      <c r="CQ795" s="83"/>
      <c r="CR795" s="83"/>
      <c r="CS795" s="83"/>
      <c r="CT795" s="83"/>
      <c r="CU795" s="83"/>
      <c r="CV795" s="83"/>
      <c r="CW795" s="83"/>
      <c r="CX795" s="83"/>
      <c r="CY795" s="83"/>
      <c r="CZ795" s="83"/>
      <c r="DA795" s="83"/>
      <c r="DB795" s="83"/>
      <c r="DC795" s="83"/>
    </row>
    <row r="796" spans="1:107" x14ac:dyDescent="0.3">
      <c r="A796" s="83"/>
      <c r="B796" s="83"/>
      <c r="C796" s="83"/>
      <c r="D796" s="83"/>
      <c r="E796" s="83"/>
      <c r="F796" s="83"/>
      <c r="G796" s="83"/>
      <c r="H796" s="83"/>
      <c r="I796" s="83"/>
      <c r="J796" s="83"/>
      <c r="K796" s="83"/>
      <c r="L796" s="83"/>
      <c r="M796" s="83"/>
      <c r="N796" s="83"/>
      <c r="O796" s="83"/>
      <c r="P796" s="83"/>
      <c r="Q796" s="83"/>
      <c r="R796" s="83"/>
      <c r="S796" s="83"/>
      <c r="T796" s="83"/>
      <c r="U796" s="83"/>
      <c r="V796" s="83"/>
      <c r="W796" s="83"/>
      <c r="X796" s="83"/>
      <c r="Y796" s="83"/>
      <c r="Z796" s="83"/>
      <c r="AA796" s="83"/>
      <c r="AB796" s="83"/>
      <c r="AC796" s="83"/>
      <c r="AD796" s="83"/>
      <c r="AE796" s="83"/>
      <c r="AF796" s="83"/>
      <c r="AG796" s="83"/>
      <c r="AH796" s="83"/>
      <c r="AI796" s="83"/>
      <c r="AJ796" s="83"/>
      <c r="AK796" s="83"/>
      <c r="AL796" s="83"/>
      <c r="AM796" s="83"/>
      <c r="AN796" s="83"/>
      <c r="AO796" s="83"/>
      <c r="AP796" s="83"/>
      <c r="AQ796" s="83"/>
      <c r="AR796" s="83"/>
      <c r="AS796" s="83"/>
      <c r="AT796" s="83"/>
      <c r="AU796" s="83"/>
      <c r="AV796" s="83"/>
      <c r="AW796" s="83"/>
      <c r="AX796" s="83"/>
      <c r="AY796" s="83"/>
      <c r="AZ796" s="83"/>
      <c r="BA796" s="83"/>
      <c r="BB796" s="83"/>
      <c r="BC796" s="83"/>
      <c r="BD796" s="83"/>
      <c r="BE796" s="83"/>
      <c r="BF796" s="83"/>
      <c r="BG796" s="83"/>
      <c r="BH796" s="83"/>
      <c r="BI796" s="83"/>
      <c r="BJ796" s="83"/>
      <c r="BK796" s="83"/>
      <c r="BL796" s="83"/>
      <c r="BM796" s="83"/>
      <c r="BN796" s="83"/>
      <c r="BO796" s="83"/>
      <c r="BP796" s="83"/>
      <c r="BQ796" s="83"/>
      <c r="BR796" s="83"/>
      <c r="BS796" s="83"/>
      <c r="BT796" s="83"/>
      <c r="BU796" s="83"/>
      <c r="BV796" s="83"/>
      <c r="BW796" s="83"/>
      <c r="BX796" s="83"/>
      <c r="BY796" s="83"/>
      <c r="BZ796" s="83"/>
      <c r="CA796" s="83"/>
      <c r="CB796" s="83"/>
      <c r="CC796" s="83"/>
      <c r="CD796" s="83"/>
      <c r="CE796" s="83"/>
      <c r="CF796" s="83"/>
      <c r="CG796" s="83"/>
      <c r="CH796" s="83"/>
      <c r="CI796" s="83"/>
      <c r="CJ796" s="83"/>
      <c r="CK796" s="83"/>
      <c r="CL796" s="83"/>
      <c r="CM796" s="83"/>
      <c r="CN796" s="83"/>
      <c r="CO796" s="83"/>
      <c r="CP796" s="83"/>
      <c r="CQ796" s="83"/>
      <c r="CR796" s="83"/>
      <c r="CS796" s="83"/>
      <c r="CT796" s="83"/>
      <c r="CU796" s="83"/>
      <c r="CV796" s="83"/>
      <c r="CW796" s="83"/>
      <c r="CX796" s="83"/>
      <c r="CY796" s="83"/>
      <c r="CZ796" s="83"/>
      <c r="DA796" s="83"/>
      <c r="DB796" s="83"/>
      <c r="DC796" s="83"/>
    </row>
    <row r="797" spans="1:107" x14ac:dyDescent="0.3">
      <c r="A797" s="83"/>
      <c r="B797" s="83"/>
      <c r="C797" s="83"/>
      <c r="D797" s="83"/>
      <c r="E797" s="83"/>
      <c r="F797" s="83"/>
      <c r="G797" s="83"/>
      <c r="H797" s="83"/>
      <c r="I797" s="83"/>
      <c r="J797" s="83"/>
      <c r="K797" s="83"/>
      <c r="L797" s="83"/>
      <c r="M797" s="83"/>
      <c r="N797" s="83"/>
      <c r="O797" s="83"/>
      <c r="P797" s="83"/>
      <c r="Q797" s="83"/>
      <c r="R797" s="83"/>
      <c r="S797" s="83"/>
      <c r="T797" s="83"/>
      <c r="U797" s="83"/>
      <c r="V797" s="83"/>
      <c r="W797" s="83"/>
      <c r="X797" s="83"/>
      <c r="Y797" s="83"/>
      <c r="Z797" s="83"/>
      <c r="AA797" s="83"/>
      <c r="AB797" s="83"/>
      <c r="AC797" s="83"/>
      <c r="AD797" s="83"/>
      <c r="AE797" s="83"/>
      <c r="AF797" s="83"/>
      <c r="AG797" s="83"/>
      <c r="AH797" s="83"/>
      <c r="AI797" s="83"/>
      <c r="AJ797" s="83"/>
      <c r="AK797" s="83"/>
      <c r="AL797" s="83"/>
      <c r="AM797" s="83"/>
      <c r="AN797" s="83"/>
      <c r="AO797" s="83"/>
      <c r="AP797" s="83"/>
      <c r="AQ797" s="83"/>
      <c r="AR797" s="83"/>
      <c r="AS797" s="83"/>
      <c r="AT797" s="83"/>
      <c r="AU797" s="83"/>
      <c r="AV797" s="83"/>
      <c r="AW797" s="83"/>
      <c r="AX797" s="83"/>
      <c r="AY797" s="83"/>
      <c r="AZ797" s="83"/>
      <c r="BA797" s="83"/>
      <c r="BB797" s="83"/>
      <c r="BC797" s="83"/>
      <c r="BD797" s="83"/>
      <c r="BE797" s="83"/>
      <c r="BF797" s="83"/>
      <c r="BG797" s="83"/>
      <c r="BH797" s="83"/>
      <c r="BI797" s="83"/>
      <c r="BJ797" s="83"/>
      <c r="BK797" s="83"/>
      <c r="BL797" s="83"/>
      <c r="BM797" s="83"/>
      <c r="BN797" s="83"/>
      <c r="BO797" s="83"/>
      <c r="BP797" s="83"/>
      <c r="BQ797" s="83"/>
      <c r="BR797" s="83"/>
      <c r="BS797" s="83"/>
      <c r="BT797" s="83"/>
      <c r="BU797" s="83"/>
      <c r="BV797" s="83"/>
      <c r="BW797" s="83"/>
      <c r="BX797" s="83"/>
      <c r="BY797" s="83"/>
      <c r="BZ797" s="83"/>
      <c r="CA797" s="83"/>
      <c r="CB797" s="83"/>
      <c r="CC797" s="83"/>
      <c r="CD797" s="83"/>
      <c r="CE797" s="83"/>
      <c r="CF797" s="83"/>
      <c r="CG797" s="83"/>
      <c r="CH797" s="83"/>
      <c r="CI797" s="83"/>
      <c r="CJ797" s="83"/>
      <c r="CK797" s="83"/>
      <c r="CL797" s="83"/>
      <c r="CM797" s="83"/>
      <c r="CN797" s="83"/>
      <c r="CO797" s="83"/>
      <c r="CP797" s="83"/>
      <c r="CQ797" s="83"/>
      <c r="CR797" s="83"/>
      <c r="CS797" s="83"/>
      <c r="CT797" s="83"/>
      <c r="CU797" s="83"/>
      <c r="CV797" s="83"/>
      <c r="CW797" s="83"/>
      <c r="CX797" s="83"/>
      <c r="CY797" s="83"/>
      <c r="CZ797" s="83"/>
      <c r="DA797" s="83"/>
      <c r="DB797" s="83"/>
      <c r="DC797" s="83"/>
    </row>
    <row r="798" spans="1:107" x14ac:dyDescent="0.3">
      <c r="A798" s="83"/>
      <c r="B798" s="83"/>
      <c r="C798" s="83"/>
      <c r="D798" s="83"/>
      <c r="E798" s="83"/>
      <c r="F798" s="83"/>
      <c r="G798" s="83"/>
      <c r="H798" s="83"/>
      <c r="I798" s="83"/>
      <c r="J798" s="83"/>
      <c r="K798" s="83"/>
      <c r="L798" s="83"/>
      <c r="M798" s="83"/>
      <c r="N798" s="83"/>
      <c r="O798" s="83"/>
      <c r="P798" s="83"/>
      <c r="Q798" s="83"/>
      <c r="R798" s="83"/>
      <c r="S798" s="83"/>
      <c r="T798" s="83"/>
      <c r="U798" s="83"/>
      <c r="V798" s="83"/>
      <c r="W798" s="83"/>
      <c r="X798" s="83"/>
      <c r="Y798" s="83"/>
      <c r="Z798" s="83"/>
      <c r="AA798" s="83"/>
      <c r="AB798" s="83"/>
      <c r="AC798" s="83"/>
      <c r="AD798" s="83"/>
      <c r="AE798" s="83"/>
      <c r="AF798" s="83"/>
      <c r="AG798" s="83"/>
      <c r="AH798" s="83"/>
      <c r="AI798" s="83"/>
      <c r="AJ798" s="83"/>
      <c r="AK798" s="83"/>
      <c r="AL798" s="83"/>
      <c r="AM798" s="83"/>
      <c r="AN798" s="83"/>
      <c r="AO798" s="83"/>
      <c r="AP798" s="83"/>
      <c r="AQ798" s="83"/>
      <c r="AR798" s="83"/>
      <c r="AS798" s="83"/>
      <c r="AT798" s="83"/>
      <c r="AU798" s="83"/>
      <c r="AV798" s="83"/>
      <c r="AW798" s="83"/>
      <c r="AX798" s="83"/>
      <c r="AY798" s="83"/>
      <c r="AZ798" s="83"/>
      <c r="BA798" s="83"/>
      <c r="BB798" s="83"/>
      <c r="BC798" s="83"/>
      <c r="BD798" s="83"/>
      <c r="BE798" s="83"/>
      <c r="BF798" s="83"/>
      <c r="BG798" s="83"/>
      <c r="BH798" s="83"/>
      <c r="BI798" s="83"/>
      <c r="BJ798" s="83"/>
      <c r="BK798" s="83"/>
      <c r="BL798" s="83"/>
      <c r="BM798" s="83"/>
      <c r="BN798" s="83"/>
      <c r="BO798" s="83"/>
      <c r="BP798" s="83"/>
      <c r="BQ798" s="83"/>
      <c r="BR798" s="83"/>
      <c r="BS798" s="83"/>
      <c r="BT798" s="83"/>
      <c r="BU798" s="83"/>
      <c r="BV798" s="83"/>
      <c r="BW798" s="83"/>
      <c r="BX798" s="83"/>
      <c r="BY798" s="83"/>
      <c r="BZ798" s="83"/>
      <c r="CA798" s="83"/>
      <c r="CB798" s="83"/>
      <c r="CC798" s="83"/>
      <c r="CD798" s="83"/>
      <c r="CE798" s="83"/>
      <c r="CF798" s="83"/>
      <c r="CG798" s="83"/>
      <c r="CH798" s="83"/>
      <c r="CI798" s="83"/>
      <c r="CJ798" s="83"/>
      <c r="CK798" s="83"/>
      <c r="CL798" s="83"/>
      <c r="CM798" s="83"/>
      <c r="CN798" s="83"/>
      <c r="CO798" s="83"/>
      <c r="CP798" s="83"/>
      <c r="CQ798" s="83"/>
      <c r="CR798" s="83"/>
      <c r="CS798" s="83"/>
      <c r="CT798" s="83"/>
      <c r="CU798" s="83"/>
      <c r="CV798" s="83"/>
      <c r="CW798" s="83"/>
      <c r="CX798" s="83"/>
      <c r="CY798" s="83"/>
      <c r="CZ798" s="83"/>
      <c r="DA798" s="83"/>
      <c r="DB798" s="83"/>
      <c r="DC798" s="83"/>
    </row>
    <row r="799" spans="1:107" x14ac:dyDescent="0.3">
      <c r="A799" s="83"/>
      <c r="B799" s="83"/>
      <c r="C799" s="83"/>
      <c r="D799" s="83"/>
      <c r="E799" s="83"/>
      <c r="F799" s="83"/>
      <c r="G799" s="83"/>
      <c r="H799" s="83"/>
      <c r="I799" s="83"/>
      <c r="J799" s="83"/>
      <c r="K799" s="83"/>
      <c r="L799" s="83"/>
      <c r="M799" s="83"/>
      <c r="N799" s="83"/>
      <c r="O799" s="83"/>
      <c r="P799" s="83"/>
      <c r="Q799" s="83"/>
      <c r="R799" s="83"/>
      <c r="S799" s="83"/>
      <c r="T799" s="83"/>
      <c r="U799" s="83"/>
      <c r="V799" s="83"/>
      <c r="W799" s="83"/>
      <c r="X799" s="83"/>
      <c r="Y799" s="83"/>
      <c r="Z799" s="83"/>
      <c r="AA799" s="83"/>
      <c r="AB799" s="83"/>
      <c r="AC799" s="83"/>
      <c r="AD799" s="83"/>
      <c r="AE799" s="83"/>
      <c r="AF799" s="83"/>
      <c r="AG799" s="83"/>
      <c r="AH799" s="83"/>
      <c r="AI799" s="83"/>
      <c r="AJ799" s="83"/>
      <c r="AK799" s="83"/>
      <c r="AL799" s="83"/>
      <c r="AM799" s="83"/>
      <c r="AN799" s="83"/>
      <c r="AO799" s="83"/>
      <c r="AP799" s="83"/>
      <c r="AQ799" s="83"/>
      <c r="AR799" s="83"/>
      <c r="AS799" s="83"/>
      <c r="AT799" s="83"/>
      <c r="AU799" s="83"/>
      <c r="AV799" s="83"/>
      <c r="AW799" s="83"/>
      <c r="AX799" s="83"/>
      <c r="AY799" s="83"/>
      <c r="AZ799" s="83"/>
      <c r="BA799" s="83"/>
      <c r="BB799" s="83"/>
      <c r="BC799" s="83"/>
      <c r="BD799" s="83"/>
      <c r="BE799" s="83"/>
      <c r="BF799" s="83"/>
      <c r="BG799" s="83"/>
      <c r="BH799" s="83"/>
      <c r="BI799" s="83"/>
      <c r="BJ799" s="83"/>
      <c r="BK799" s="83"/>
      <c r="BL799" s="83"/>
      <c r="BM799" s="83"/>
      <c r="BN799" s="83"/>
      <c r="BO799" s="83"/>
      <c r="BP799" s="83"/>
      <c r="BQ799" s="83"/>
      <c r="BR799" s="83"/>
      <c r="BS799" s="83"/>
      <c r="BT799" s="83"/>
      <c r="BU799" s="83"/>
      <c r="BV799" s="83"/>
      <c r="BW799" s="83"/>
      <c r="BX799" s="83"/>
      <c r="BY799" s="83"/>
      <c r="BZ799" s="83"/>
      <c r="CA799" s="83"/>
      <c r="CB799" s="83"/>
      <c r="CC799" s="83"/>
      <c r="CD799" s="83"/>
      <c r="CE799" s="83"/>
      <c r="CF799" s="83"/>
      <c r="CG799" s="83"/>
      <c r="CH799" s="83"/>
      <c r="CI799" s="83"/>
      <c r="CJ799" s="83"/>
      <c r="CK799" s="83"/>
      <c r="CL799" s="83"/>
      <c r="CM799" s="83"/>
      <c r="CN799" s="83"/>
      <c r="CO799" s="83"/>
      <c r="CP799" s="83"/>
      <c r="CQ799" s="83"/>
      <c r="CR799" s="83"/>
      <c r="CS799" s="83"/>
      <c r="CT799" s="83"/>
      <c r="CU799" s="83"/>
      <c r="CV799" s="83"/>
      <c r="CW799" s="83"/>
      <c r="CX799" s="83"/>
      <c r="CY799" s="83"/>
      <c r="CZ799" s="83"/>
      <c r="DA799" s="83"/>
      <c r="DB799" s="83"/>
      <c r="DC799" s="83"/>
    </row>
    <row r="800" spans="1:107" x14ac:dyDescent="0.3">
      <c r="A800" s="83"/>
      <c r="B800" s="83"/>
      <c r="C800" s="83"/>
      <c r="D800" s="83"/>
      <c r="E800" s="83"/>
      <c r="F800" s="83"/>
      <c r="G800" s="83"/>
      <c r="H800" s="83"/>
      <c r="I800" s="83"/>
      <c r="J800" s="83"/>
      <c r="K800" s="83"/>
      <c r="L800" s="83"/>
      <c r="M800" s="83"/>
      <c r="N800" s="83"/>
      <c r="O800" s="83"/>
      <c r="P800" s="83"/>
      <c r="Q800" s="83"/>
      <c r="R800" s="83"/>
      <c r="S800" s="83"/>
      <c r="T800" s="83"/>
      <c r="U800" s="83"/>
      <c r="V800" s="83"/>
      <c r="W800" s="83"/>
      <c r="X800" s="83"/>
      <c r="Y800" s="83"/>
      <c r="Z800" s="83"/>
      <c r="AA800" s="83"/>
      <c r="AB800" s="83"/>
      <c r="AC800" s="83"/>
      <c r="AD800" s="83"/>
      <c r="AE800" s="83"/>
      <c r="AF800" s="83"/>
      <c r="AG800" s="83"/>
      <c r="AH800" s="83"/>
      <c r="AI800" s="83"/>
      <c r="AJ800" s="83"/>
      <c r="AK800" s="83"/>
      <c r="AL800" s="83"/>
      <c r="AM800" s="83"/>
      <c r="AN800" s="83"/>
      <c r="AO800" s="83"/>
      <c r="AP800" s="83"/>
      <c r="AQ800" s="83"/>
      <c r="AR800" s="83"/>
      <c r="AS800" s="83"/>
      <c r="AT800" s="83"/>
      <c r="AU800" s="83"/>
      <c r="AV800" s="83"/>
      <c r="AW800" s="83"/>
      <c r="AX800" s="83"/>
      <c r="AY800" s="83"/>
      <c r="AZ800" s="83"/>
      <c r="BA800" s="83"/>
      <c r="BB800" s="83"/>
      <c r="BC800" s="83"/>
      <c r="BD800" s="83"/>
      <c r="BE800" s="83"/>
      <c r="BF800" s="83"/>
      <c r="BG800" s="83"/>
      <c r="BH800" s="83"/>
      <c r="BI800" s="83"/>
      <c r="BJ800" s="83"/>
      <c r="BK800" s="83"/>
      <c r="BL800" s="83"/>
      <c r="BM800" s="83"/>
      <c r="BN800" s="83"/>
      <c r="BO800" s="83"/>
      <c r="BP800" s="83"/>
      <c r="BQ800" s="83"/>
      <c r="BR800" s="83"/>
      <c r="BS800" s="83"/>
      <c r="BT800" s="83"/>
      <c r="BU800" s="83"/>
      <c r="BV800" s="83"/>
      <c r="BW800" s="83"/>
      <c r="BX800" s="83"/>
      <c r="BY800" s="83"/>
      <c r="BZ800" s="83"/>
      <c r="CA800" s="83"/>
      <c r="CB800" s="83"/>
      <c r="CC800" s="83"/>
      <c r="CD800" s="83"/>
      <c r="CE800" s="83"/>
      <c r="CF800" s="83"/>
      <c r="CG800" s="83"/>
      <c r="CH800" s="83"/>
      <c r="CI800" s="83"/>
      <c r="CJ800" s="83"/>
      <c r="CK800" s="83"/>
      <c r="CL800" s="83"/>
      <c r="CM800" s="83"/>
      <c r="CN800" s="83"/>
      <c r="CO800" s="83"/>
      <c r="CP800" s="83"/>
      <c r="CQ800" s="83"/>
      <c r="CR800" s="83"/>
      <c r="CS800" s="83"/>
      <c r="CT800" s="83"/>
      <c r="CU800" s="83"/>
      <c r="CV800" s="83"/>
      <c r="CW800" s="83"/>
      <c r="CX800" s="83"/>
      <c r="CY800" s="83"/>
      <c r="CZ800" s="83"/>
      <c r="DA800" s="83"/>
      <c r="DB800" s="83"/>
      <c r="DC800" s="83"/>
    </row>
    <row r="801" spans="1:107" x14ac:dyDescent="0.3">
      <c r="A801" s="83"/>
      <c r="B801" s="83"/>
      <c r="C801" s="83"/>
      <c r="D801" s="83"/>
      <c r="E801" s="83"/>
      <c r="F801" s="83"/>
      <c r="G801" s="83"/>
      <c r="H801" s="83"/>
      <c r="I801" s="83"/>
      <c r="J801" s="83"/>
      <c r="K801" s="83"/>
      <c r="L801" s="83"/>
      <c r="M801" s="83"/>
      <c r="N801" s="83"/>
      <c r="O801" s="83"/>
      <c r="P801" s="83"/>
      <c r="Q801" s="83"/>
      <c r="R801" s="83"/>
      <c r="S801" s="83"/>
      <c r="T801" s="83"/>
      <c r="U801" s="83"/>
      <c r="V801" s="83"/>
      <c r="W801" s="83"/>
      <c r="X801" s="83"/>
      <c r="Y801" s="83"/>
      <c r="Z801" s="83"/>
      <c r="AA801" s="83"/>
      <c r="AB801" s="83"/>
      <c r="AC801" s="83"/>
      <c r="AD801" s="83"/>
      <c r="AE801" s="83"/>
      <c r="AF801" s="83"/>
      <c r="AG801" s="83"/>
      <c r="AH801" s="83"/>
      <c r="AI801" s="83"/>
      <c r="AJ801" s="83"/>
      <c r="AK801" s="83"/>
      <c r="AL801" s="83"/>
      <c r="AM801" s="83"/>
      <c r="AN801" s="83"/>
      <c r="AO801" s="83"/>
      <c r="AP801" s="83"/>
      <c r="AQ801" s="83"/>
      <c r="AR801" s="83"/>
      <c r="AS801" s="83"/>
      <c r="AT801" s="83"/>
      <c r="AU801" s="83"/>
      <c r="AV801" s="83"/>
      <c r="AW801" s="83"/>
      <c r="AX801" s="83"/>
      <c r="AY801" s="83"/>
      <c r="AZ801" s="83"/>
      <c r="BA801" s="83"/>
      <c r="BB801" s="83"/>
      <c r="BC801" s="83"/>
      <c r="BD801" s="83"/>
      <c r="BE801" s="83"/>
      <c r="BF801" s="83"/>
      <c r="BG801" s="83"/>
      <c r="BH801" s="83"/>
      <c r="BI801" s="83"/>
      <c r="BJ801" s="83"/>
      <c r="BK801" s="83"/>
      <c r="BL801" s="83"/>
      <c r="BM801" s="83"/>
      <c r="BN801" s="83"/>
      <c r="BO801" s="83"/>
      <c r="BP801" s="83"/>
      <c r="BQ801" s="83"/>
      <c r="BR801" s="83"/>
      <c r="BS801" s="83"/>
      <c r="BT801" s="83"/>
      <c r="BU801" s="83"/>
      <c r="BV801" s="83"/>
      <c r="BW801" s="83"/>
      <c r="BX801" s="83"/>
      <c r="BY801" s="83"/>
      <c r="BZ801" s="83"/>
      <c r="CA801" s="83"/>
      <c r="CB801" s="83"/>
      <c r="CC801" s="83"/>
      <c r="CD801" s="83"/>
      <c r="CE801" s="83"/>
      <c r="CF801" s="83"/>
      <c r="CG801" s="83"/>
      <c r="CH801" s="83"/>
      <c r="CI801" s="83"/>
      <c r="CJ801" s="83"/>
      <c r="CK801" s="83"/>
      <c r="CL801" s="83"/>
      <c r="CM801" s="83"/>
      <c r="CN801" s="83"/>
      <c r="CO801" s="83"/>
      <c r="CP801" s="83"/>
      <c r="CQ801" s="83"/>
      <c r="CR801" s="83"/>
      <c r="CS801" s="83"/>
      <c r="CT801" s="83"/>
      <c r="CU801" s="83"/>
      <c r="CV801" s="83"/>
      <c r="CW801" s="83"/>
      <c r="CX801" s="83"/>
      <c r="CY801" s="83"/>
      <c r="CZ801" s="83"/>
      <c r="DA801" s="83"/>
      <c r="DB801" s="83"/>
      <c r="DC801" s="83"/>
    </row>
    <row r="802" spans="1:107" x14ac:dyDescent="0.3">
      <c r="A802" s="83"/>
      <c r="B802" s="83"/>
      <c r="C802" s="83"/>
      <c r="D802" s="83"/>
      <c r="E802" s="83"/>
      <c r="F802" s="83"/>
      <c r="G802" s="83"/>
      <c r="H802" s="83"/>
      <c r="I802" s="83"/>
      <c r="J802" s="83"/>
      <c r="K802" s="83"/>
      <c r="L802" s="83"/>
      <c r="M802" s="83"/>
      <c r="N802" s="83"/>
      <c r="O802" s="83"/>
      <c r="P802" s="83"/>
      <c r="Q802" s="83"/>
      <c r="R802" s="83"/>
      <c r="S802" s="83"/>
      <c r="T802" s="83"/>
      <c r="U802" s="83"/>
      <c r="V802" s="83"/>
      <c r="W802" s="83"/>
      <c r="X802" s="83"/>
      <c r="Y802" s="83"/>
      <c r="Z802" s="83"/>
      <c r="AA802" s="83"/>
      <c r="AB802" s="83"/>
      <c r="AC802" s="83"/>
      <c r="AD802" s="83"/>
      <c r="AE802" s="83"/>
      <c r="AF802" s="83"/>
      <c r="AG802" s="83"/>
      <c r="AH802" s="83"/>
      <c r="AI802" s="83"/>
      <c r="AJ802" s="83"/>
      <c r="AK802" s="83"/>
      <c r="AL802" s="83"/>
      <c r="AM802" s="83"/>
      <c r="AN802" s="83"/>
      <c r="AO802" s="83"/>
      <c r="AP802" s="83"/>
      <c r="AQ802" s="83"/>
      <c r="AR802" s="83"/>
      <c r="AS802" s="83"/>
      <c r="AT802" s="83"/>
      <c r="AU802" s="83"/>
      <c r="AV802" s="83"/>
      <c r="AW802" s="83"/>
      <c r="AX802" s="83"/>
      <c r="AY802" s="83"/>
      <c r="AZ802" s="83"/>
      <c r="BA802" s="83"/>
      <c r="BB802" s="83"/>
      <c r="BC802" s="83"/>
      <c r="BD802" s="83"/>
      <c r="BE802" s="83"/>
      <c r="BF802" s="83"/>
      <c r="BG802" s="83"/>
      <c r="BH802" s="83"/>
      <c r="BI802" s="83"/>
      <c r="BJ802" s="83"/>
      <c r="BK802" s="83"/>
      <c r="BL802" s="83"/>
      <c r="BM802" s="83"/>
      <c r="BN802" s="83"/>
      <c r="BO802" s="83"/>
      <c r="BP802" s="83"/>
      <c r="BQ802" s="83"/>
      <c r="BR802" s="83"/>
      <c r="BS802" s="83"/>
      <c r="BT802" s="83"/>
      <c r="BU802" s="83"/>
      <c r="BV802" s="83"/>
      <c r="BW802" s="83"/>
      <c r="BX802" s="83"/>
      <c r="BY802" s="83"/>
      <c r="BZ802" s="83"/>
      <c r="CA802" s="83"/>
      <c r="CB802" s="83"/>
      <c r="CC802" s="83"/>
      <c r="CD802" s="83"/>
      <c r="CE802" s="83"/>
      <c r="CF802" s="83"/>
      <c r="CG802" s="83"/>
      <c r="CH802" s="83"/>
      <c r="CI802" s="83"/>
      <c r="CJ802" s="83"/>
      <c r="CK802" s="83"/>
      <c r="CL802" s="83"/>
      <c r="CM802" s="83"/>
      <c r="CN802" s="83"/>
      <c r="CO802" s="83"/>
      <c r="CP802" s="83"/>
      <c r="CQ802" s="83"/>
      <c r="CR802" s="83"/>
      <c r="CS802" s="83"/>
      <c r="CT802" s="83"/>
      <c r="CU802" s="83"/>
      <c r="CV802" s="83"/>
      <c r="CW802" s="83"/>
      <c r="CX802" s="83"/>
      <c r="CY802" s="83"/>
      <c r="CZ802" s="83"/>
      <c r="DA802" s="83"/>
      <c r="DB802" s="83"/>
      <c r="DC802" s="83"/>
    </row>
    <row r="803" spans="1:107" x14ac:dyDescent="0.3">
      <c r="A803" s="83"/>
      <c r="B803" s="83"/>
      <c r="C803" s="83"/>
      <c r="D803" s="83"/>
      <c r="E803" s="83"/>
      <c r="F803" s="83"/>
      <c r="G803" s="83"/>
      <c r="H803" s="83"/>
      <c r="I803" s="83"/>
      <c r="J803" s="83"/>
      <c r="K803" s="83"/>
      <c r="L803" s="83"/>
      <c r="M803" s="83"/>
      <c r="N803" s="83"/>
      <c r="O803" s="83"/>
      <c r="P803" s="83"/>
      <c r="Q803" s="83"/>
      <c r="R803" s="83"/>
      <c r="S803" s="83"/>
      <c r="T803" s="83"/>
      <c r="U803" s="83"/>
      <c r="V803" s="83"/>
      <c r="W803" s="83"/>
      <c r="X803" s="83"/>
      <c r="Y803" s="83"/>
      <c r="Z803" s="83"/>
      <c r="AA803" s="83"/>
      <c r="AB803" s="83"/>
      <c r="AC803" s="83"/>
      <c r="AD803" s="83"/>
      <c r="AE803" s="83"/>
      <c r="AF803" s="83"/>
      <c r="AG803" s="83"/>
      <c r="AH803" s="83"/>
      <c r="AI803" s="83"/>
      <c r="AJ803" s="83"/>
      <c r="AK803" s="83"/>
      <c r="AL803" s="83"/>
      <c r="AM803" s="83"/>
      <c r="AN803" s="83"/>
      <c r="AO803" s="83"/>
      <c r="AP803" s="83"/>
      <c r="AQ803" s="83"/>
      <c r="AR803" s="83"/>
      <c r="AS803" s="83"/>
      <c r="AT803" s="83"/>
      <c r="AU803" s="83"/>
      <c r="AV803" s="83"/>
      <c r="AW803" s="83"/>
      <c r="AX803" s="83"/>
      <c r="AY803" s="83"/>
      <c r="AZ803" s="83"/>
      <c r="BA803" s="83"/>
      <c r="BB803" s="83"/>
      <c r="BC803" s="83"/>
      <c r="BD803" s="83"/>
      <c r="BE803" s="83"/>
      <c r="BF803" s="83"/>
      <c r="BG803" s="83"/>
      <c r="BH803" s="83"/>
      <c r="BI803" s="83"/>
      <c r="BJ803" s="83"/>
      <c r="BK803" s="83"/>
      <c r="BL803" s="83"/>
      <c r="BM803" s="83"/>
      <c r="BN803" s="83"/>
      <c r="BO803" s="83"/>
      <c r="BP803" s="83"/>
      <c r="BQ803" s="83"/>
      <c r="BR803" s="83"/>
      <c r="BS803" s="83"/>
      <c r="BT803" s="83"/>
      <c r="BU803" s="83"/>
      <c r="BV803" s="83"/>
      <c r="BW803" s="83"/>
      <c r="BX803" s="83"/>
      <c r="BY803" s="83"/>
      <c r="BZ803" s="83"/>
      <c r="CA803" s="83"/>
      <c r="CB803" s="83"/>
      <c r="CC803" s="83"/>
      <c r="CD803" s="83"/>
      <c r="CE803" s="83"/>
      <c r="CF803" s="83"/>
      <c r="CG803" s="83"/>
      <c r="CH803" s="83"/>
      <c r="CI803" s="83"/>
      <c r="CJ803" s="83"/>
      <c r="CK803" s="83"/>
      <c r="CL803" s="83"/>
      <c r="CM803" s="83"/>
      <c r="CN803" s="83"/>
      <c r="CO803" s="83"/>
      <c r="CP803" s="83"/>
      <c r="CQ803" s="83"/>
      <c r="CR803" s="83"/>
      <c r="CS803" s="83"/>
      <c r="CT803" s="83"/>
      <c r="CU803" s="83"/>
      <c r="CV803" s="83"/>
      <c r="CW803" s="83"/>
      <c r="CX803" s="83"/>
      <c r="CY803" s="83"/>
      <c r="CZ803" s="83"/>
      <c r="DA803" s="83"/>
      <c r="DB803" s="83"/>
      <c r="DC803" s="83"/>
    </row>
    <row r="804" spans="1:107" x14ac:dyDescent="0.3">
      <c r="A804" s="83"/>
      <c r="B804" s="83"/>
      <c r="C804" s="83"/>
      <c r="D804" s="83"/>
      <c r="E804" s="83"/>
      <c r="F804" s="83"/>
      <c r="G804" s="83"/>
      <c r="H804" s="83"/>
      <c r="I804" s="83"/>
      <c r="J804" s="83"/>
      <c r="K804" s="83"/>
      <c r="L804" s="83"/>
      <c r="M804" s="83"/>
      <c r="N804" s="83"/>
      <c r="O804" s="83"/>
      <c r="P804" s="83"/>
      <c r="Q804" s="83"/>
      <c r="R804" s="83"/>
      <c r="S804" s="83"/>
      <c r="T804" s="83"/>
      <c r="U804" s="83"/>
      <c r="V804" s="83"/>
      <c r="W804" s="83"/>
      <c r="X804" s="83"/>
      <c r="Y804" s="83"/>
      <c r="Z804" s="83"/>
      <c r="AA804" s="83"/>
      <c r="AB804" s="83"/>
      <c r="AC804" s="83"/>
      <c r="AD804" s="83"/>
      <c r="AE804" s="83"/>
      <c r="AF804" s="83"/>
      <c r="AG804" s="83"/>
      <c r="AH804" s="83"/>
      <c r="AI804" s="83"/>
      <c r="AJ804" s="83"/>
      <c r="AK804" s="83"/>
      <c r="AL804" s="83"/>
      <c r="AM804" s="83"/>
      <c r="AN804" s="83"/>
      <c r="AO804" s="83"/>
      <c r="AP804" s="83"/>
      <c r="AQ804" s="83"/>
      <c r="AR804" s="83"/>
      <c r="AS804" s="83"/>
      <c r="AT804" s="83"/>
      <c r="AU804" s="83"/>
      <c r="AV804" s="83"/>
      <c r="AW804" s="83"/>
      <c r="AX804" s="83"/>
      <c r="AY804" s="83"/>
      <c r="AZ804" s="83"/>
      <c r="BA804" s="83"/>
      <c r="BB804" s="83"/>
      <c r="BC804" s="83"/>
      <c r="BD804" s="83"/>
      <c r="BE804" s="83"/>
      <c r="BF804" s="83"/>
      <c r="BG804" s="83"/>
      <c r="BH804" s="83"/>
      <c r="BI804" s="83"/>
      <c r="BJ804" s="83"/>
      <c r="BK804" s="83"/>
      <c r="BL804" s="83"/>
      <c r="BM804" s="83"/>
      <c r="BN804" s="83"/>
      <c r="BO804" s="83"/>
      <c r="BP804" s="83"/>
      <c r="BQ804" s="83"/>
      <c r="BR804" s="83"/>
      <c r="BS804" s="83"/>
      <c r="BT804" s="83"/>
      <c r="BU804" s="83"/>
      <c r="BV804" s="83"/>
      <c r="BW804" s="83"/>
      <c r="BX804" s="83"/>
      <c r="BY804" s="83"/>
      <c r="BZ804" s="83"/>
      <c r="CA804" s="83"/>
      <c r="CB804" s="83"/>
      <c r="CC804" s="83"/>
      <c r="CD804" s="83"/>
      <c r="CE804" s="83"/>
      <c r="CF804" s="83"/>
      <c r="CG804" s="83"/>
      <c r="CH804" s="83"/>
      <c r="CI804" s="83"/>
      <c r="CJ804" s="83"/>
      <c r="CK804" s="83"/>
      <c r="CL804" s="83"/>
      <c r="CM804" s="83"/>
      <c r="CN804" s="83"/>
      <c r="CO804" s="83"/>
      <c r="CP804" s="83"/>
      <c r="CQ804" s="83"/>
      <c r="CR804" s="83"/>
      <c r="CS804" s="83"/>
      <c r="CT804" s="83"/>
      <c r="CU804" s="83"/>
      <c r="CV804" s="83"/>
      <c r="CW804" s="83"/>
      <c r="CX804" s="83"/>
      <c r="CY804" s="83"/>
      <c r="CZ804" s="83"/>
      <c r="DA804" s="83"/>
      <c r="DB804" s="83"/>
      <c r="DC804" s="83"/>
    </row>
    <row r="805" spans="1:107" x14ac:dyDescent="0.3">
      <c r="A805" s="83"/>
      <c r="B805" s="83"/>
      <c r="C805" s="83"/>
      <c r="D805" s="83"/>
      <c r="E805" s="83"/>
      <c r="F805" s="83"/>
      <c r="G805" s="83"/>
      <c r="H805" s="83"/>
      <c r="I805" s="83"/>
      <c r="J805" s="83"/>
      <c r="K805" s="83"/>
      <c r="L805" s="83"/>
      <c r="M805" s="83"/>
      <c r="N805" s="83"/>
      <c r="O805" s="83"/>
      <c r="P805" s="83"/>
      <c r="Q805" s="83"/>
      <c r="R805" s="83"/>
      <c r="S805" s="83"/>
      <c r="T805" s="83"/>
      <c r="U805" s="83"/>
      <c r="V805" s="83"/>
      <c r="W805" s="83"/>
      <c r="X805" s="83"/>
      <c r="Y805" s="83"/>
      <c r="Z805" s="83"/>
      <c r="AA805" s="83"/>
      <c r="AB805" s="83"/>
      <c r="AC805" s="83"/>
      <c r="AD805" s="83"/>
      <c r="AE805" s="83"/>
      <c r="AF805" s="83"/>
      <c r="AG805" s="83"/>
      <c r="AH805" s="83"/>
      <c r="AI805" s="83"/>
      <c r="AJ805" s="83"/>
      <c r="AK805" s="83"/>
      <c r="AL805" s="83"/>
      <c r="AM805" s="83"/>
      <c r="AN805" s="83"/>
      <c r="AO805" s="83"/>
      <c r="AP805" s="83"/>
      <c r="AQ805" s="83"/>
      <c r="AR805" s="83"/>
      <c r="AS805" s="83"/>
      <c r="AT805" s="83"/>
      <c r="AU805" s="83"/>
      <c r="AV805" s="83"/>
      <c r="AW805" s="83"/>
      <c r="AX805" s="83"/>
      <c r="AY805" s="83"/>
      <c r="AZ805" s="83"/>
      <c r="BA805" s="83"/>
      <c r="BB805" s="83"/>
      <c r="BC805" s="83"/>
      <c r="BD805" s="83"/>
      <c r="BE805" s="83"/>
      <c r="BF805" s="83"/>
      <c r="BG805" s="83"/>
      <c r="BH805" s="83"/>
      <c r="BI805" s="83"/>
      <c r="BJ805" s="83"/>
      <c r="BK805" s="83"/>
      <c r="BL805" s="83"/>
      <c r="BM805" s="83"/>
      <c r="BN805" s="83"/>
      <c r="BO805" s="83"/>
      <c r="BP805" s="83"/>
      <c r="BQ805" s="83"/>
      <c r="BR805" s="83"/>
      <c r="BS805" s="83"/>
      <c r="BT805" s="83"/>
      <c r="BU805" s="83"/>
      <c r="BV805" s="83"/>
      <c r="BW805" s="83"/>
      <c r="BX805" s="83"/>
      <c r="BY805" s="83"/>
      <c r="BZ805" s="83"/>
      <c r="CA805" s="83"/>
      <c r="CB805" s="83"/>
      <c r="CC805" s="83"/>
      <c r="CD805" s="83"/>
      <c r="CE805" s="83"/>
      <c r="CF805" s="83"/>
      <c r="CG805" s="83"/>
      <c r="CH805" s="83"/>
      <c r="CI805" s="83"/>
      <c r="CJ805" s="83"/>
      <c r="CK805" s="83"/>
      <c r="CL805" s="83"/>
      <c r="CM805" s="83"/>
      <c r="CN805" s="83"/>
      <c r="CO805" s="83"/>
      <c r="CP805" s="83"/>
      <c r="CQ805" s="83"/>
      <c r="CR805" s="83"/>
      <c r="CS805" s="83"/>
      <c r="CT805" s="83"/>
      <c r="CU805" s="83"/>
      <c r="CV805" s="83"/>
      <c r="CW805" s="83"/>
      <c r="CX805" s="83"/>
      <c r="CY805" s="83"/>
      <c r="CZ805" s="83"/>
      <c r="DA805" s="83"/>
      <c r="DB805" s="83"/>
      <c r="DC805" s="83"/>
    </row>
    <row r="806" spans="1:107" x14ac:dyDescent="0.3">
      <c r="A806" s="83"/>
      <c r="B806" s="83"/>
      <c r="C806" s="83"/>
      <c r="D806" s="83"/>
      <c r="E806" s="83"/>
      <c r="F806" s="83"/>
      <c r="G806" s="83"/>
      <c r="H806" s="83"/>
      <c r="I806" s="83"/>
      <c r="J806" s="83"/>
      <c r="K806" s="83"/>
      <c r="L806" s="83"/>
      <c r="M806" s="83"/>
      <c r="N806" s="83"/>
      <c r="O806" s="83"/>
      <c r="P806" s="83"/>
      <c r="Q806" s="83"/>
      <c r="R806" s="83"/>
      <c r="S806" s="83"/>
      <c r="T806" s="83"/>
      <c r="U806" s="83"/>
      <c r="V806" s="83"/>
      <c r="W806" s="83"/>
      <c r="X806" s="83"/>
      <c r="Y806" s="83"/>
      <c r="Z806" s="83"/>
      <c r="AA806" s="83"/>
      <c r="AB806" s="83"/>
      <c r="AC806" s="83"/>
      <c r="AD806" s="83"/>
      <c r="AE806" s="83"/>
      <c r="AF806" s="83"/>
      <c r="AG806" s="83"/>
      <c r="AH806" s="83"/>
      <c r="AI806" s="83"/>
      <c r="AJ806" s="83"/>
      <c r="AK806" s="83"/>
      <c r="AL806" s="83"/>
      <c r="AM806" s="83"/>
      <c r="AN806" s="83"/>
      <c r="AO806" s="83"/>
      <c r="AP806" s="83"/>
      <c r="AQ806" s="83"/>
      <c r="AR806" s="83"/>
      <c r="AS806" s="83"/>
      <c r="AT806" s="83"/>
      <c r="AU806" s="83"/>
      <c r="AV806" s="83"/>
      <c r="AW806" s="83"/>
      <c r="AX806" s="83"/>
      <c r="AY806" s="83"/>
      <c r="AZ806" s="83"/>
      <c r="BA806" s="83"/>
      <c r="BB806" s="83"/>
      <c r="BC806" s="83"/>
      <c r="BD806" s="83"/>
      <c r="BE806" s="83"/>
      <c r="BF806" s="83"/>
      <c r="BG806" s="83"/>
      <c r="BH806" s="83"/>
      <c r="BI806" s="83"/>
      <c r="BJ806" s="83"/>
      <c r="BK806" s="83"/>
      <c r="BL806" s="83"/>
      <c r="BM806" s="83"/>
      <c r="BN806" s="83"/>
      <c r="BO806" s="83"/>
      <c r="BP806" s="83"/>
      <c r="BQ806" s="83"/>
      <c r="BR806" s="83"/>
      <c r="BS806" s="83"/>
      <c r="BT806" s="83"/>
      <c r="BU806" s="83"/>
      <c r="BV806" s="83"/>
      <c r="BW806" s="83"/>
      <c r="BX806" s="83"/>
      <c r="BY806" s="83"/>
      <c r="BZ806" s="83"/>
      <c r="CA806" s="83"/>
      <c r="CB806" s="83"/>
      <c r="CC806" s="83"/>
      <c r="CD806" s="83"/>
      <c r="CE806" s="83"/>
      <c r="CF806" s="83"/>
      <c r="CG806" s="83"/>
      <c r="CH806" s="83"/>
      <c r="CI806" s="83"/>
      <c r="CJ806" s="83"/>
      <c r="CK806" s="83"/>
      <c r="CL806" s="83"/>
      <c r="CM806" s="83"/>
      <c r="CN806" s="83"/>
      <c r="CO806" s="83"/>
      <c r="CP806" s="83"/>
      <c r="CQ806" s="83"/>
      <c r="CR806" s="83"/>
      <c r="CS806" s="83"/>
      <c r="CT806" s="83"/>
      <c r="CU806" s="83"/>
      <c r="CV806" s="83"/>
      <c r="CW806" s="83"/>
      <c r="CX806" s="83"/>
      <c r="CY806" s="83"/>
      <c r="CZ806" s="83"/>
      <c r="DA806" s="83"/>
      <c r="DB806" s="83"/>
      <c r="DC806" s="83"/>
    </row>
    <row r="807" spans="1:107" x14ac:dyDescent="0.3">
      <c r="A807" s="83"/>
      <c r="B807" s="83"/>
      <c r="C807" s="83"/>
      <c r="D807" s="83"/>
      <c r="E807" s="83"/>
      <c r="F807" s="83"/>
      <c r="G807" s="83"/>
      <c r="H807" s="83"/>
      <c r="I807" s="83"/>
      <c r="J807" s="83"/>
      <c r="K807" s="83"/>
      <c r="L807" s="83"/>
      <c r="M807" s="83"/>
      <c r="N807" s="83"/>
      <c r="O807" s="83"/>
      <c r="P807" s="83"/>
      <c r="Q807" s="83"/>
      <c r="R807" s="83"/>
      <c r="S807" s="83"/>
      <c r="T807" s="83"/>
      <c r="U807" s="83"/>
      <c r="V807" s="83"/>
      <c r="W807" s="83"/>
      <c r="X807" s="83"/>
      <c r="Y807" s="83"/>
      <c r="Z807" s="83"/>
      <c r="AA807" s="83"/>
      <c r="AB807" s="83"/>
      <c r="AC807" s="83"/>
      <c r="AD807" s="83"/>
      <c r="AE807" s="83"/>
      <c r="AF807" s="83"/>
      <c r="AG807" s="83"/>
      <c r="AH807" s="83"/>
      <c r="AI807" s="83"/>
      <c r="AJ807" s="83"/>
      <c r="AK807" s="83"/>
      <c r="AL807" s="83"/>
      <c r="AM807" s="83"/>
      <c r="AN807" s="83"/>
      <c r="AO807" s="83"/>
      <c r="AP807" s="83"/>
      <c r="AQ807" s="83"/>
      <c r="AR807" s="83"/>
      <c r="AS807" s="83"/>
      <c r="AT807" s="83"/>
      <c r="AU807" s="83"/>
      <c r="AV807" s="83"/>
      <c r="AW807" s="83"/>
      <c r="AX807" s="83"/>
      <c r="AY807" s="83"/>
      <c r="AZ807" s="83"/>
      <c r="BA807" s="83"/>
      <c r="BB807" s="83"/>
      <c r="BC807" s="83"/>
      <c r="BD807" s="83"/>
      <c r="BE807" s="83"/>
      <c r="BF807" s="83"/>
      <c r="BG807" s="83"/>
      <c r="BH807" s="83"/>
      <c r="BI807" s="83"/>
      <c r="BJ807" s="83"/>
      <c r="BK807" s="83"/>
      <c r="BL807" s="83"/>
      <c r="BM807" s="83"/>
      <c r="BN807" s="83"/>
      <c r="BO807" s="83"/>
      <c r="BP807" s="83"/>
      <c r="BQ807" s="83"/>
      <c r="BR807" s="83"/>
      <c r="BS807" s="83"/>
      <c r="BT807" s="83"/>
      <c r="BU807" s="83"/>
      <c r="BV807" s="83"/>
      <c r="BW807" s="83"/>
      <c r="BX807" s="83"/>
      <c r="BY807" s="83"/>
      <c r="BZ807" s="83"/>
      <c r="CA807" s="83"/>
      <c r="CB807" s="83"/>
      <c r="CC807" s="83"/>
      <c r="CD807" s="83"/>
      <c r="CE807" s="83"/>
      <c r="CF807" s="83"/>
      <c r="CG807" s="83"/>
      <c r="CH807" s="83"/>
      <c r="CI807" s="83"/>
      <c r="CJ807" s="83"/>
      <c r="CK807" s="83"/>
      <c r="CL807" s="83"/>
      <c r="CM807" s="83"/>
      <c r="CN807" s="83"/>
      <c r="CO807" s="83"/>
      <c r="CP807" s="83"/>
      <c r="CQ807" s="83"/>
      <c r="CR807" s="83"/>
      <c r="CS807" s="83"/>
      <c r="CT807" s="83"/>
      <c r="CU807" s="83"/>
      <c r="CV807" s="83"/>
      <c r="CW807" s="83"/>
      <c r="CX807" s="83"/>
      <c r="CY807" s="83"/>
      <c r="CZ807" s="83"/>
      <c r="DA807" s="83"/>
      <c r="DB807" s="83"/>
      <c r="DC807" s="83"/>
    </row>
    <row r="808" spans="1:107" x14ac:dyDescent="0.3">
      <c r="A808" s="83"/>
      <c r="B808" s="83"/>
      <c r="C808" s="83"/>
      <c r="D808" s="83"/>
      <c r="E808" s="83"/>
      <c r="F808" s="83"/>
      <c r="G808" s="83"/>
      <c r="H808" s="83"/>
      <c r="I808" s="83"/>
      <c r="J808" s="83"/>
      <c r="K808" s="83"/>
      <c r="L808" s="83"/>
      <c r="M808" s="83"/>
      <c r="N808" s="83"/>
      <c r="O808" s="83"/>
      <c r="P808" s="83"/>
      <c r="Q808" s="83"/>
      <c r="R808" s="83"/>
      <c r="S808" s="83"/>
      <c r="T808" s="83"/>
      <c r="U808" s="83"/>
      <c r="V808" s="83"/>
      <c r="W808" s="83"/>
      <c r="X808" s="83"/>
      <c r="Y808" s="83"/>
      <c r="Z808" s="83"/>
      <c r="AA808" s="83"/>
      <c r="AB808" s="83"/>
      <c r="AC808" s="83"/>
      <c r="AD808" s="83"/>
      <c r="AE808" s="83"/>
      <c r="AF808" s="83"/>
      <c r="AG808" s="83"/>
      <c r="AH808" s="83"/>
      <c r="AI808" s="83"/>
      <c r="AJ808" s="83"/>
      <c r="AK808" s="83"/>
      <c r="AL808" s="83"/>
      <c r="AM808" s="83"/>
      <c r="AN808" s="83"/>
      <c r="AO808" s="83"/>
      <c r="AP808" s="83"/>
      <c r="AQ808" s="83"/>
      <c r="AR808" s="83"/>
      <c r="AS808" s="83"/>
      <c r="AT808" s="83"/>
      <c r="AU808" s="83"/>
      <c r="AV808" s="83"/>
      <c r="AW808" s="83"/>
      <c r="AX808" s="83"/>
      <c r="AY808" s="83"/>
      <c r="AZ808" s="83"/>
      <c r="BA808" s="83"/>
      <c r="BB808" s="83"/>
      <c r="BC808" s="83"/>
      <c r="BD808" s="83"/>
      <c r="BE808" s="83"/>
      <c r="BF808" s="83"/>
      <c r="BG808" s="83"/>
      <c r="BH808" s="83"/>
      <c r="BI808" s="83"/>
      <c r="BJ808" s="83"/>
      <c r="BK808" s="83"/>
      <c r="BL808" s="83"/>
      <c r="BM808" s="83"/>
      <c r="BN808" s="83"/>
      <c r="BO808" s="83"/>
      <c r="BP808" s="83"/>
      <c r="BQ808" s="83"/>
      <c r="BR808" s="83"/>
      <c r="BS808" s="83"/>
      <c r="BT808" s="83"/>
      <c r="BU808" s="83"/>
      <c r="BV808" s="83"/>
      <c r="BW808" s="83"/>
      <c r="BX808" s="83"/>
      <c r="BY808" s="83"/>
      <c r="BZ808" s="83"/>
      <c r="CA808" s="83"/>
      <c r="CB808" s="83"/>
      <c r="CC808" s="83"/>
      <c r="CD808" s="83"/>
      <c r="CE808" s="83"/>
      <c r="CF808" s="83"/>
      <c r="CG808" s="83"/>
      <c r="CH808" s="83"/>
      <c r="CI808" s="83"/>
      <c r="CJ808" s="83"/>
      <c r="CK808" s="83"/>
      <c r="CL808" s="83"/>
      <c r="CM808" s="83"/>
      <c r="CN808" s="83"/>
      <c r="CO808" s="83"/>
      <c r="CP808" s="83"/>
      <c r="CQ808" s="83"/>
      <c r="CR808" s="83"/>
      <c r="CS808" s="83"/>
      <c r="CT808" s="83"/>
      <c r="CU808" s="83"/>
      <c r="CV808" s="83"/>
      <c r="CW808" s="83"/>
      <c r="CX808" s="83"/>
      <c r="CY808" s="83"/>
      <c r="CZ808" s="83"/>
      <c r="DA808" s="83"/>
      <c r="DB808" s="83"/>
      <c r="DC808" s="83"/>
    </row>
    <row r="809" spans="1:107" x14ac:dyDescent="0.3">
      <c r="A809" s="83"/>
      <c r="B809" s="83"/>
      <c r="C809" s="83"/>
      <c r="D809" s="83"/>
      <c r="E809" s="83"/>
      <c r="F809" s="83"/>
      <c r="G809" s="83"/>
      <c r="H809" s="83"/>
      <c r="I809" s="83"/>
      <c r="J809" s="83"/>
      <c r="K809" s="83"/>
      <c r="L809" s="83"/>
      <c r="M809" s="83"/>
      <c r="N809" s="83"/>
      <c r="O809" s="83"/>
      <c r="P809" s="83"/>
      <c r="Q809" s="83"/>
      <c r="R809" s="83"/>
      <c r="S809" s="83"/>
      <c r="T809" s="83"/>
      <c r="U809" s="83"/>
      <c r="V809" s="83"/>
      <c r="W809" s="83"/>
      <c r="X809" s="83"/>
      <c r="Y809" s="83"/>
      <c r="Z809" s="83"/>
      <c r="AA809" s="83"/>
      <c r="AB809" s="83"/>
      <c r="AC809" s="83"/>
      <c r="AD809" s="83"/>
      <c r="AE809" s="83"/>
      <c r="AF809" s="83"/>
      <c r="AG809" s="83"/>
      <c r="AH809" s="83"/>
      <c r="AI809" s="83"/>
      <c r="AJ809" s="83"/>
      <c r="AK809" s="83"/>
      <c r="AL809" s="83"/>
      <c r="AM809" s="83"/>
      <c r="AN809" s="83"/>
      <c r="AO809" s="83"/>
      <c r="AP809" s="83"/>
      <c r="AQ809" s="83"/>
      <c r="AR809" s="83"/>
      <c r="AS809" s="83"/>
      <c r="AT809" s="83"/>
      <c r="AU809" s="83"/>
      <c r="AV809" s="83"/>
      <c r="AW809" s="83"/>
      <c r="AX809" s="83"/>
      <c r="AY809" s="83"/>
      <c r="AZ809" s="83"/>
      <c r="BA809" s="83"/>
      <c r="BB809" s="83"/>
      <c r="BC809" s="83"/>
      <c r="BD809" s="83"/>
      <c r="BE809" s="83"/>
      <c r="BF809" s="83"/>
      <c r="BG809" s="83"/>
      <c r="BH809" s="83"/>
      <c r="BI809" s="83"/>
      <c r="BJ809" s="83"/>
      <c r="BK809" s="83"/>
      <c r="BL809" s="83"/>
      <c r="BM809" s="83"/>
      <c r="BN809" s="83"/>
      <c r="BO809" s="83"/>
      <c r="BP809" s="83"/>
      <c r="BQ809" s="83"/>
      <c r="BR809" s="83"/>
      <c r="BS809" s="83"/>
      <c r="BT809" s="83"/>
      <c r="BU809" s="83"/>
      <c r="BV809" s="83"/>
      <c r="BW809" s="83"/>
      <c r="BX809" s="83"/>
      <c r="BY809" s="83"/>
      <c r="BZ809" s="83"/>
      <c r="CA809" s="83"/>
      <c r="CB809" s="83"/>
      <c r="CC809" s="83"/>
      <c r="CD809" s="83"/>
      <c r="CE809" s="83"/>
      <c r="CF809" s="83"/>
      <c r="CG809" s="83"/>
      <c r="CH809" s="83"/>
      <c r="CI809" s="83"/>
      <c r="CJ809" s="83"/>
      <c r="CK809" s="83"/>
      <c r="CL809" s="83"/>
      <c r="CM809" s="83"/>
      <c r="CN809" s="83"/>
      <c r="CO809" s="83"/>
      <c r="CP809" s="83"/>
      <c r="CQ809" s="83"/>
      <c r="CR809" s="83"/>
      <c r="CS809" s="83"/>
      <c r="CT809" s="83"/>
      <c r="CU809" s="83"/>
      <c r="CV809" s="83"/>
      <c r="CW809" s="83"/>
      <c r="CX809" s="83"/>
      <c r="CY809" s="83"/>
      <c r="CZ809" s="83"/>
      <c r="DA809" s="83"/>
      <c r="DB809" s="83"/>
      <c r="DC809" s="83"/>
    </row>
    <row r="810" spans="1:107" x14ac:dyDescent="0.3">
      <c r="A810" s="83"/>
      <c r="B810" s="83"/>
      <c r="C810" s="83"/>
      <c r="D810" s="83"/>
      <c r="E810" s="83"/>
      <c r="F810" s="83"/>
      <c r="G810" s="83"/>
      <c r="H810" s="83"/>
      <c r="I810" s="83"/>
      <c r="J810" s="83"/>
      <c r="K810" s="83"/>
      <c r="L810" s="83"/>
      <c r="M810" s="83"/>
      <c r="N810" s="83"/>
      <c r="O810" s="83"/>
      <c r="P810" s="83"/>
      <c r="Q810" s="83"/>
      <c r="R810" s="83"/>
      <c r="S810" s="83"/>
      <c r="T810" s="83"/>
      <c r="U810" s="83"/>
      <c r="V810" s="83"/>
      <c r="W810" s="83"/>
      <c r="X810" s="83"/>
      <c r="Y810" s="83"/>
      <c r="Z810" s="83"/>
      <c r="AA810" s="83"/>
      <c r="AB810" s="83"/>
      <c r="AC810" s="83"/>
      <c r="AD810" s="83"/>
      <c r="AE810" s="83"/>
      <c r="AF810" s="83"/>
      <c r="AG810" s="83"/>
      <c r="AH810" s="83"/>
      <c r="AI810" s="83"/>
      <c r="AJ810" s="83"/>
      <c r="AK810" s="83"/>
      <c r="AL810" s="83"/>
      <c r="AM810" s="83"/>
      <c r="AN810" s="83"/>
      <c r="AO810" s="83"/>
      <c r="AP810" s="83"/>
      <c r="AQ810" s="83"/>
      <c r="AR810" s="83"/>
      <c r="AS810" s="83"/>
      <c r="AT810" s="83"/>
      <c r="AU810" s="83"/>
      <c r="AV810" s="83"/>
      <c r="AW810" s="83"/>
      <c r="AX810" s="83"/>
      <c r="AY810" s="83"/>
      <c r="AZ810" s="83"/>
      <c r="BA810" s="83"/>
      <c r="BB810" s="83"/>
      <c r="BC810" s="83"/>
      <c r="BD810" s="83"/>
      <c r="BE810" s="83"/>
      <c r="BF810" s="83"/>
      <c r="BG810" s="83"/>
      <c r="BH810" s="83"/>
      <c r="BI810" s="83"/>
      <c r="BJ810" s="83"/>
      <c r="BK810" s="83"/>
      <c r="BL810" s="83"/>
      <c r="BM810" s="83"/>
      <c r="BN810" s="83"/>
      <c r="BO810" s="83"/>
      <c r="BP810" s="83"/>
      <c r="BQ810" s="83"/>
      <c r="BR810" s="83"/>
      <c r="BS810" s="83"/>
      <c r="BT810" s="83"/>
      <c r="BU810" s="83"/>
      <c r="BV810" s="83"/>
      <c r="BW810" s="83"/>
      <c r="BX810" s="83"/>
      <c r="BY810" s="83"/>
      <c r="BZ810" s="83"/>
      <c r="CA810" s="83"/>
      <c r="CB810" s="83"/>
      <c r="CC810" s="83"/>
      <c r="CD810" s="83"/>
      <c r="CE810" s="83"/>
      <c r="CF810" s="83"/>
      <c r="CG810" s="83"/>
      <c r="CH810" s="83"/>
      <c r="CI810" s="83"/>
      <c r="CJ810" s="83"/>
      <c r="CK810" s="83"/>
      <c r="CL810" s="83"/>
      <c r="CM810" s="83"/>
      <c r="CN810" s="83"/>
      <c r="CO810" s="83"/>
      <c r="CP810" s="83"/>
      <c r="CQ810" s="83"/>
      <c r="CR810" s="83"/>
      <c r="CS810" s="83"/>
      <c r="CT810" s="83"/>
      <c r="CU810" s="83"/>
      <c r="CV810" s="83"/>
      <c r="CW810" s="83"/>
      <c r="CX810" s="83"/>
      <c r="CY810" s="83"/>
      <c r="CZ810" s="83"/>
      <c r="DA810" s="83"/>
      <c r="DB810" s="83"/>
      <c r="DC810" s="83"/>
    </row>
    <row r="811" spans="1:107" x14ac:dyDescent="0.3">
      <c r="A811" s="83"/>
      <c r="B811" s="83"/>
      <c r="C811" s="83"/>
      <c r="D811" s="83"/>
      <c r="E811" s="83"/>
      <c r="F811" s="83"/>
      <c r="G811" s="83"/>
      <c r="H811" s="83"/>
      <c r="I811" s="83"/>
      <c r="J811" s="83"/>
      <c r="K811" s="83"/>
      <c r="L811" s="83"/>
      <c r="M811" s="83"/>
      <c r="N811" s="83"/>
      <c r="O811" s="83"/>
      <c r="P811" s="83"/>
      <c r="Q811" s="83"/>
      <c r="R811" s="83"/>
      <c r="S811" s="83"/>
      <c r="T811" s="83"/>
      <c r="U811" s="83"/>
      <c r="V811" s="83"/>
      <c r="W811" s="83"/>
      <c r="X811" s="83"/>
      <c r="Y811" s="83"/>
      <c r="Z811" s="83"/>
      <c r="AA811" s="83"/>
      <c r="AB811" s="83"/>
      <c r="AC811" s="83"/>
      <c r="AD811" s="83"/>
      <c r="AE811" s="83"/>
      <c r="AF811" s="83"/>
      <c r="AG811" s="83"/>
      <c r="AH811" s="83"/>
      <c r="AI811" s="83"/>
      <c r="AJ811" s="83"/>
      <c r="AK811" s="83"/>
      <c r="AL811" s="83"/>
      <c r="AM811" s="83"/>
      <c r="AN811" s="83"/>
      <c r="AO811" s="83"/>
      <c r="AP811" s="83"/>
      <c r="AQ811" s="83"/>
      <c r="AR811" s="83"/>
      <c r="AS811" s="83"/>
      <c r="AT811" s="83"/>
      <c r="AU811" s="83"/>
      <c r="AV811" s="83"/>
      <c r="AW811" s="83"/>
      <c r="AX811" s="83"/>
      <c r="AY811" s="83"/>
      <c r="AZ811" s="83"/>
      <c r="BA811" s="83"/>
      <c r="BB811" s="83"/>
      <c r="BC811" s="83"/>
      <c r="BD811" s="83"/>
      <c r="BE811" s="83"/>
      <c r="BF811" s="83"/>
      <c r="BG811" s="83"/>
      <c r="BH811" s="83"/>
      <c r="BI811" s="83"/>
      <c r="BJ811" s="83"/>
      <c r="BK811" s="83"/>
      <c r="BL811" s="83"/>
      <c r="BM811" s="83"/>
      <c r="BN811" s="83"/>
      <c r="BO811" s="83"/>
      <c r="BP811" s="83"/>
      <c r="BQ811" s="83"/>
      <c r="BR811" s="83"/>
      <c r="BS811" s="83"/>
      <c r="BT811" s="83"/>
      <c r="BU811" s="83"/>
      <c r="BV811" s="83"/>
      <c r="BW811" s="83"/>
      <c r="BX811" s="83"/>
      <c r="BY811" s="83"/>
      <c r="BZ811" s="83"/>
      <c r="CA811" s="83"/>
      <c r="CB811" s="83"/>
      <c r="CC811" s="83"/>
      <c r="CD811" s="83"/>
      <c r="CE811" s="83"/>
      <c r="CF811" s="83"/>
      <c r="CG811" s="83"/>
      <c r="CH811" s="83"/>
      <c r="CI811" s="83"/>
      <c r="CJ811" s="83"/>
      <c r="CK811" s="83"/>
      <c r="CL811" s="83"/>
      <c r="CM811" s="83"/>
      <c r="CN811" s="83"/>
      <c r="CO811" s="83"/>
      <c r="CP811" s="83"/>
      <c r="CQ811" s="83"/>
      <c r="CR811" s="83"/>
      <c r="CS811" s="83"/>
      <c r="CT811" s="83"/>
      <c r="CU811" s="83"/>
      <c r="CV811" s="83"/>
      <c r="CW811" s="83"/>
      <c r="CX811" s="83"/>
      <c r="CY811" s="83"/>
      <c r="CZ811" s="83"/>
      <c r="DA811" s="83"/>
      <c r="DB811" s="83"/>
      <c r="DC811" s="83"/>
    </row>
    <row r="812" spans="1:107" x14ac:dyDescent="0.3">
      <c r="A812" s="83"/>
      <c r="B812" s="83"/>
      <c r="C812" s="83"/>
      <c r="D812" s="83"/>
      <c r="E812" s="83"/>
      <c r="F812" s="83"/>
      <c r="G812" s="83"/>
      <c r="H812" s="83"/>
      <c r="I812" s="83"/>
      <c r="J812" s="83"/>
      <c r="K812" s="83"/>
      <c r="L812" s="83"/>
      <c r="M812" s="83"/>
      <c r="N812" s="83"/>
      <c r="O812" s="83"/>
      <c r="P812" s="83"/>
      <c r="Q812" s="83"/>
      <c r="R812" s="83"/>
      <c r="S812" s="83"/>
      <c r="T812" s="83"/>
      <c r="U812" s="83"/>
      <c r="V812" s="83"/>
      <c r="W812" s="83"/>
      <c r="X812" s="83"/>
      <c r="Y812" s="83"/>
      <c r="Z812" s="83"/>
      <c r="AA812" s="83"/>
      <c r="AB812" s="83"/>
      <c r="AC812" s="83"/>
      <c r="AD812" s="83"/>
      <c r="AE812" s="83"/>
      <c r="AF812" s="83"/>
      <c r="AG812" s="83"/>
      <c r="AH812" s="83"/>
      <c r="AI812" s="83"/>
      <c r="AJ812" s="83"/>
      <c r="AK812" s="83"/>
      <c r="AL812" s="83"/>
      <c r="AM812" s="83"/>
      <c r="AN812" s="83"/>
      <c r="AO812" s="83"/>
      <c r="AP812" s="83"/>
      <c r="AQ812" s="83"/>
      <c r="AR812" s="83"/>
      <c r="AS812" s="83"/>
      <c r="AT812" s="83"/>
      <c r="AU812" s="83"/>
      <c r="AV812" s="83"/>
      <c r="AW812" s="83"/>
      <c r="AX812" s="83"/>
      <c r="AY812" s="83"/>
      <c r="AZ812" s="83"/>
      <c r="BA812" s="83"/>
      <c r="BB812" s="83"/>
      <c r="BC812" s="83"/>
      <c r="BD812" s="83"/>
      <c r="BE812" s="83"/>
      <c r="BF812" s="83"/>
      <c r="BG812" s="83"/>
      <c r="BH812" s="83"/>
      <c r="BI812" s="83"/>
      <c r="BJ812" s="83"/>
      <c r="BK812" s="83"/>
      <c r="BL812" s="83"/>
      <c r="BM812" s="83"/>
      <c r="BN812" s="83"/>
      <c r="BO812" s="83"/>
      <c r="BP812" s="83"/>
      <c r="BQ812" s="83"/>
      <c r="BR812" s="83"/>
      <c r="BS812" s="83"/>
      <c r="BT812" s="83"/>
      <c r="BU812" s="83"/>
      <c r="BV812" s="83"/>
      <c r="BW812" s="83"/>
      <c r="BX812" s="83"/>
      <c r="BY812" s="83"/>
      <c r="BZ812" s="83"/>
      <c r="CA812" s="83"/>
      <c r="CB812" s="83"/>
      <c r="CC812" s="83"/>
      <c r="CD812" s="83"/>
      <c r="CE812" s="83"/>
      <c r="CF812" s="83"/>
      <c r="CG812" s="83"/>
      <c r="CH812" s="83"/>
      <c r="CI812" s="83"/>
      <c r="CJ812" s="83"/>
      <c r="CK812" s="83"/>
      <c r="CL812" s="83"/>
      <c r="CM812" s="83"/>
      <c r="CN812" s="83"/>
      <c r="CO812" s="83"/>
      <c r="CP812" s="83"/>
      <c r="CQ812" s="83"/>
      <c r="CR812" s="83"/>
      <c r="CS812" s="83"/>
      <c r="CT812" s="83"/>
      <c r="CU812" s="83"/>
      <c r="CV812" s="83"/>
      <c r="CW812" s="83"/>
      <c r="CX812" s="83"/>
      <c r="CY812" s="83"/>
      <c r="CZ812" s="83"/>
      <c r="DA812" s="83"/>
      <c r="DB812" s="83"/>
      <c r="DC812" s="83"/>
    </row>
    <row r="813" spans="1:107" x14ac:dyDescent="0.3">
      <c r="A813" s="83"/>
      <c r="B813" s="83"/>
      <c r="C813" s="83"/>
      <c r="D813" s="83"/>
      <c r="E813" s="83"/>
      <c r="F813" s="83"/>
      <c r="G813" s="83"/>
      <c r="H813" s="83"/>
      <c r="I813" s="83"/>
      <c r="J813" s="83"/>
      <c r="K813" s="83"/>
      <c r="L813" s="83"/>
      <c r="M813" s="83"/>
      <c r="N813" s="83"/>
      <c r="O813" s="83"/>
      <c r="P813" s="83"/>
      <c r="Q813" s="83"/>
      <c r="R813" s="83"/>
      <c r="S813" s="83"/>
      <c r="T813" s="83"/>
      <c r="U813" s="83"/>
      <c r="V813" s="83"/>
      <c r="W813" s="83"/>
      <c r="X813" s="83"/>
      <c r="Y813" s="83"/>
      <c r="Z813" s="83"/>
      <c r="AA813" s="83"/>
      <c r="AB813" s="83"/>
      <c r="AC813" s="83"/>
      <c r="AD813" s="83"/>
      <c r="AE813" s="83"/>
      <c r="AF813" s="83"/>
      <c r="AG813" s="83"/>
      <c r="AH813" s="83"/>
      <c r="AI813" s="83"/>
      <c r="AJ813" s="83"/>
      <c r="AK813" s="83"/>
      <c r="AL813" s="83"/>
      <c r="AM813" s="83"/>
      <c r="AN813" s="83"/>
      <c r="AO813" s="83"/>
      <c r="AP813" s="83"/>
      <c r="AQ813" s="83"/>
      <c r="AR813" s="83"/>
      <c r="AS813" s="83"/>
      <c r="AT813" s="83"/>
      <c r="AU813" s="83"/>
      <c r="AV813" s="83"/>
      <c r="AW813" s="83"/>
      <c r="AX813" s="83"/>
      <c r="AY813" s="83"/>
      <c r="AZ813" s="83"/>
      <c r="BA813" s="83"/>
      <c r="BB813" s="83"/>
      <c r="BC813" s="83"/>
      <c r="BD813" s="83"/>
      <c r="BE813" s="83"/>
      <c r="BF813" s="83"/>
      <c r="BG813" s="83"/>
      <c r="BH813" s="83"/>
      <c r="BI813" s="83"/>
      <c r="BJ813" s="83"/>
      <c r="BK813" s="83"/>
      <c r="BL813" s="83"/>
      <c r="BM813" s="83"/>
      <c r="BN813" s="83"/>
      <c r="BO813" s="83"/>
      <c r="BP813" s="83"/>
      <c r="BQ813" s="83"/>
      <c r="BR813" s="83"/>
      <c r="BS813" s="83"/>
      <c r="BT813" s="83"/>
      <c r="BU813" s="83"/>
      <c r="BV813" s="83"/>
      <c r="BW813" s="83"/>
      <c r="BX813" s="83"/>
      <c r="BY813" s="83"/>
      <c r="BZ813" s="83"/>
      <c r="CA813" s="83"/>
      <c r="CB813" s="83"/>
      <c r="CC813" s="83"/>
      <c r="CD813" s="83"/>
      <c r="CE813" s="83"/>
      <c r="CF813" s="83"/>
      <c r="CG813" s="83"/>
      <c r="CH813" s="83"/>
      <c r="CI813" s="83"/>
      <c r="CJ813" s="83"/>
      <c r="CK813" s="83"/>
      <c r="CL813" s="83"/>
      <c r="CM813" s="83"/>
      <c r="CN813" s="83"/>
      <c r="CO813" s="83"/>
      <c r="CP813" s="83"/>
      <c r="CQ813" s="83"/>
      <c r="CR813" s="83"/>
      <c r="CS813" s="83"/>
      <c r="CT813" s="83"/>
      <c r="CU813" s="83"/>
      <c r="CV813" s="83"/>
      <c r="CW813" s="83"/>
      <c r="CX813" s="83"/>
      <c r="CY813" s="83"/>
      <c r="CZ813" s="83"/>
      <c r="DA813" s="83"/>
      <c r="DB813" s="83"/>
      <c r="DC813" s="83"/>
    </row>
    <row r="814" spans="1:107" x14ac:dyDescent="0.3">
      <c r="A814" s="83"/>
      <c r="B814" s="83"/>
      <c r="C814" s="83"/>
      <c r="D814" s="83"/>
      <c r="E814" s="83"/>
      <c r="F814" s="83"/>
      <c r="G814" s="83"/>
      <c r="H814" s="83"/>
      <c r="I814" s="83"/>
      <c r="J814" s="83"/>
      <c r="K814" s="83"/>
      <c r="L814" s="83"/>
      <c r="M814" s="83"/>
      <c r="N814" s="83"/>
      <c r="O814" s="83"/>
      <c r="P814" s="83"/>
      <c r="Q814" s="83"/>
      <c r="R814" s="83"/>
      <c r="S814" s="83"/>
      <c r="T814" s="83"/>
      <c r="U814" s="83"/>
      <c r="V814" s="83"/>
      <c r="W814" s="83"/>
      <c r="X814" s="83"/>
      <c r="Y814" s="83"/>
      <c r="Z814" s="83"/>
      <c r="AA814" s="83"/>
      <c r="AB814" s="83"/>
      <c r="AC814" s="83"/>
      <c r="AD814" s="83"/>
      <c r="AE814" s="83"/>
      <c r="AF814" s="83"/>
      <c r="AG814" s="83"/>
      <c r="AH814" s="83"/>
      <c r="AI814" s="83"/>
      <c r="AJ814" s="83"/>
      <c r="AK814" s="83"/>
      <c r="AL814" s="83"/>
      <c r="AM814" s="83"/>
      <c r="AN814" s="83"/>
      <c r="AO814" s="83"/>
      <c r="AP814" s="83"/>
      <c r="AQ814" s="83"/>
      <c r="AR814" s="83"/>
      <c r="AS814" s="83"/>
      <c r="AT814" s="83"/>
      <c r="AU814" s="83"/>
      <c r="AV814" s="83"/>
      <c r="AW814" s="83"/>
      <c r="AX814" s="83"/>
      <c r="AY814" s="83"/>
      <c r="AZ814" s="83"/>
      <c r="BA814" s="83"/>
      <c r="BB814" s="83"/>
      <c r="BC814" s="83"/>
      <c r="BD814" s="83"/>
      <c r="BE814" s="83"/>
      <c r="BF814" s="83"/>
      <c r="BG814" s="83"/>
      <c r="BH814" s="83"/>
      <c r="BI814" s="83"/>
      <c r="BJ814" s="83"/>
      <c r="BK814" s="83"/>
      <c r="BL814" s="83"/>
      <c r="BM814" s="83"/>
      <c r="BN814" s="83"/>
      <c r="BO814" s="83"/>
      <c r="BP814" s="83"/>
      <c r="BQ814" s="83"/>
      <c r="BR814" s="83"/>
      <c r="BS814" s="83"/>
      <c r="BT814" s="83"/>
      <c r="BU814" s="83"/>
      <c r="BV814" s="83"/>
      <c r="BW814" s="83"/>
      <c r="BX814" s="83"/>
      <c r="BY814" s="83"/>
      <c r="BZ814" s="83"/>
      <c r="CA814" s="83"/>
      <c r="CB814" s="83"/>
      <c r="CC814" s="83"/>
      <c r="CD814" s="83"/>
      <c r="CE814" s="83"/>
      <c r="CF814" s="83"/>
      <c r="CG814" s="83"/>
      <c r="CH814" s="83"/>
      <c r="CI814" s="83"/>
      <c r="CJ814" s="83"/>
      <c r="CK814" s="83"/>
      <c r="CL814" s="83"/>
      <c r="CM814" s="83"/>
      <c r="CN814" s="83"/>
      <c r="CO814" s="83"/>
      <c r="CP814" s="83"/>
      <c r="CQ814" s="83"/>
      <c r="CR814" s="83"/>
      <c r="CS814" s="83"/>
      <c r="CT814" s="83"/>
      <c r="CU814" s="83"/>
      <c r="CV814" s="83"/>
      <c r="CW814" s="83"/>
      <c r="CX814" s="83"/>
      <c r="CY814" s="83"/>
      <c r="CZ814" s="83"/>
      <c r="DA814" s="83"/>
      <c r="DB814" s="83"/>
      <c r="DC814" s="83"/>
    </row>
    <row r="815" spans="1:107" x14ac:dyDescent="0.3">
      <c r="A815" s="83"/>
      <c r="B815" s="83"/>
      <c r="C815" s="83"/>
      <c r="D815" s="83"/>
      <c r="E815" s="83"/>
      <c r="F815" s="83"/>
      <c r="G815" s="83"/>
      <c r="H815" s="83"/>
      <c r="I815" s="83"/>
      <c r="J815" s="83"/>
      <c r="K815" s="83"/>
      <c r="L815" s="83"/>
      <c r="M815" s="83"/>
      <c r="N815" s="83"/>
      <c r="O815" s="83"/>
      <c r="P815" s="83"/>
      <c r="Q815" s="83"/>
      <c r="R815" s="83"/>
      <c r="S815" s="83"/>
      <c r="T815" s="83"/>
      <c r="U815" s="83"/>
      <c r="V815" s="83"/>
      <c r="W815" s="83"/>
      <c r="X815" s="83"/>
      <c r="Y815" s="83"/>
      <c r="Z815" s="83"/>
      <c r="AA815" s="83"/>
      <c r="AB815" s="83"/>
      <c r="AC815" s="83"/>
      <c r="AD815" s="83"/>
      <c r="AE815" s="83"/>
      <c r="AF815" s="83"/>
      <c r="AG815" s="83"/>
      <c r="AH815" s="83"/>
      <c r="AI815" s="83"/>
      <c r="AJ815" s="83"/>
      <c r="AK815" s="83"/>
      <c r="AL815" s="83"/>
      <c r="AM815" s="83"/>
      <c r="AN815" s="83"/>
      <c r="AO815" s="83"/>
      <c r="AP815" s="83"/>
      <c r="AQ815" s="83"/>
      <c r="AR815" s="83"/>
      <c r="AS815" s="83"/>
      <c r="AT815" s="83"/>
      <c r="AU815" s="83"/>
      <c r="AV815" s="83"/>
      <c r="AW815" s="83"/>
      <c r="AX815" s="83"/>
      <c r="AY815" s="83"/>
      <c r="AZ815" s="83"/>
      <c r="BA815" s="83"/>
      <c r="BB815" s="83"/>
      <c r="BC815" s="83"/>
      <c r="BD815" s="83"/>
      <c r="BE815" s="83"/>
      <c r="BF815" s="83"/>
      <c r="BG815" s="83"/>
      <c r="BH815" s="83"/>
      <c r="BI815" s="83"/>
      <c r="BJ815" s="83"/>
      <c r="BK815" s="83"/>
      <c r="BL815" s="83"/>
      <c r="BM815" s="83"/>
      <c r="BN815" s="83"/>
      <c r="BO815" s="83"/>
      <c r="BP815" s="83"/>
      <c r="BQ815" s="83"/>
      <c r="BR815" s="83"/>
      <c r="BS815" s="83"/>
      <c r="BT815" s="83"/>
      <c r="BU815" s="83"/>
      <c r="BV815" s="83"/>
      <c r="BW815" s="83"/>
      <c r="BX815" s="83"/>
      <c r="BY815" s="83"/>
      <c r="BZ815" s="83"/>
      <c r="CA815" s="83"/>
      <c r="CB815" s="83"/>
      <c r="CC815" s="83"/>
      <c r="CD815" s="83"/>
      <c r="CE815" s="83"/>
      <c r="CF815" s="83"/>
      <c r="CG815" s="83"/>
      <c r="CH815" s="83"/>
      <c r="CI815" s="83"/>
      <c r="CJ815" s="83"/>
      <c r="CK815" s="83"/>
      <c r="CL815" s="83"/>
      <c r="CM815" s="83"/>
      <c r="CN815" s="83"/>
      <c r="CO815" s="83"/>
      <c r="CP815" s="83"/>
      <c r="CQ815" s="83"/>
      <c r="CR815" s="83"/>
      <c r="CS815" s="83"/>
      <c r="CT815" s="83"/>
      <c r="CU815" s="83"/>
      <c r="CV815" s="83"/>
      <c r="CW815" s="83"/>
      <c r="CX815" s="83"/>
      <c r="CY815" s="83"/>
      <c r="CZ815" s="83"/>
      <c r="DA815" s="83"/>
      <c r="DB815" s="83"/>
      <c r="DC815" s="83"/>
    </row>
    <row r="816" spans="1:107" x14ac:dyDescent="0.3">
      <c r="A816" s="83"/>
      <c r="B816" s="83"/>
      <c r="C816" s="83"/>
      <c r="D816" s="83"/>
      <c r="E816" s="83"/>
      <c r="F816" s="83"/>
      <c r="G816" s="83"/>
      <c r="H816" s="83"/>
      <c r="I816" s="83"/>
      <c r="J816" s="83"/>
      <c r="K816" s="83"/>
      <c r="L816" s="83"/>
      <c r="M816" s="83"/>
      <c r="N816" s="83"/>
      <c r="O816" s="83"/>
      <c r="P816" s="83"/>
      <c r="Q816" s="83"/>
      <c r="R816" s="83"/>
      <c r="S816" s="83"/>
      <c r="T816" s="83"/>
      <c r="U816" s="83"/>
      <c r="V816" s="83"/>
      <c r="W816" s="83"/>
      <c r="X816" s="83"/>
      <c r="Y816" s="83"/>
      <c r="Z816" s="83"/>
      <c r="AA816" s="83"/>
      <c r="AB816" s="83"/>
      <c r="AC816" s="83"/>
      <c r="AD816" s="83"/>
      <c r="AE816" s="83"/>
      <c r="AF816" s="83"/>
      <c r="AG816" s="83"/>
      <c r="AH816" s="83"/>
      <c r="AI816" s="83"/>
      <c r="AJ816" s="83"/>
      <c r="AK816" s="83"/>
      <c r="AL816" s="83"/>
      <c r="AM816" s="83"/>
      <c r="AN816" s="83"/>
      <c r="AO816" s="83"/>
      <c r="AP816" s="83"/>
      <c r="AQ816" s="83"/>
      <c r="AR816" s="83"/>
      <c r="AS816" s="83"/>
      <c r="AT816" s="83"/>
      <c r="AU816" s="83"/>
      <c r="AV816" s="83"/>
      <c r="AW816" s="83"/>
      <c r="AX816" s="83"/>
      <c r="AY816" s="83"/>
      <c r="AZ816" s="83"/>
      <c r="BA816" s="83"/>
      <c r="BB816" s="83"/>
      <c r="BC816" s="83"/>
      <c r="BD816" s="83"/>
      <c r="BE816" s="83"/>
      <c r="BF816" s="83"/>
      <c r="BG816" s="83"/>
      <c r="BH816" s="83"/>
      <c r="BI816" s="83"/>
      <c r="BJ816" s="83"/>
      <c r="BK816" s="83"/>
      <c r="BL816" s="83"/>
      <c r="BM816" s="83"/>
      <c r="BN816" s="83"/>
      <c r="BO816" s="83"/>
      <c r="BP816" s="83"/>
      <c r="BQ816" s="83"/>
      <c r="BR816" s="83"/>
      <c r="BS816" s="83"/>
      <c r="BT816" s="83"/>
      <c r="BU816" s="83"/>
      <c r="BV816" s="83"/>
      <c r="BW816" s="83"/>
      <c r="BX816" s="83"/>
      <c r="BY816" s="83"/>
      <c r="BZ816" s="83"/>
      <c r="CA816" s="83"/>
      <c r="CB816" s="83"/>
      <c r="CC816" s="83"/>
      <c r="CD816" s="83"/>
      <c r="CE816" s="83"/>
      <c r="CF816" s="83"/>
      <c r="CG816" s="83"/>
      <c r="CH816" s="83"/>
      <c r="CI816" s="83"/>
      <c r="CJ816" s="83"/>
      <c r="CK816" s="83"/>
      <c r="CL816" s="83"/>
      <c r="CM816" s="83"/>
      <c r="CN816" s="83"/>
      <c r="CO816" s="83"/>
      <c r="CP816" s="83"/>
      <c r="CQ816" s="83"/>
      <c r="CR816" s="83"/>
      <c r="CS816" s="83"/>
      <c r="CT816" s="83"/>
      <c r="CU816" s="83"/>
      <c r="CV816" s="83"/>
      <c r="CW816" s="83"/>
      <c r="CX816" s="83"/>
      <c r="CY816" s="83"/>
      <c r="CZ816" s="83"/>
      <c r="DA816" s="83"/>
      <c r="DB816" s="83"/>
      <c r="DC816" s="83"/>
    </row>
    <row r="817" spans="1:107" x14ac:dyDescent="0.3">
      <c r="A817" s="83"/>
      <c r="B817" s="83"/>
      <c r="C817" s="83"/>
      <c r="D817" s="83"/>
      <c r="E817" s="83"/>
      <c r="F817" s="83"/>
      <c r="G817" s="83"/>
      <c r="H817" s="83"/>
      <c r="I817" s="83"/>
      <c r="J817" s="83"/>
      <c r="K817" s="83"/>
      <c r="L817" s="83"/>
      <c r="M817" s="83"/>
      <c r="N817" s="83"/>
      <c r="O817" s="83"/>
      <c r="P817" s="83"/>
      <c r="Q817" s="83"/>
      <c r="R817" s="83"/>
      <c r="S817" s="83"/>
      <c r="T817" s="83"/>
      <c r="U817" s="83"/>
      <c r="V817" s="83"/>
      <c r="W817" s="83"/>
      <c r="X817" s="83"/>
      <c r="Y817" s="83"/>
      <c r="Z817" s="83"/>
      <c r="AA817" s="83"/>
      <c r="AB817" s="83"/>
      <c r="AC817" s="83"/>
      <c r="AD817" s="83"/>
      <c r="AE817" s="83"/>
      <c r="AF817" s="83"/>
      <c r="AG817" s="83"/>
      <c r="AH817" s="83"/>
      <c r="AI817" s="83"/>
      <c r="AJ817" s="83"/>
      <c r="AK817" s="83"/>
      <c r="AL817" s="83"/>
      <c r="AM817" s="83"/>
      <c r="AN817" s="83"/>
      <c r="AO817" s="83"/>
      <c r="AP817" s="83"/>
      <c r="AQ817" s="83"/>
      <c r="AR817" s="83"/>
      <c r="AS817" s="83"/>
      <c r="AT817" s="83"/>
      <c r="AU817" s="83"/>
      <c r="AV817" s="83"/>
      <c r="AW817" s="83"/>
      <c r="AX817" s="83"/>
      <c r="AY817" s="83"/>
      <c r="AZ817" s="83"/>
      <c r="BA817" s="83"/>
      <c r="BB817" s="83"/>
      <c r="BC817" s="83"/>
      <c r="BD817" s="83"/>
      <c r="BE817" s="83"/>
      <c r="BF817" s="83"/>
      <c r="BG817" s="83"/>
      <c r="BH817" s="83"/>
      <c r="BI817" s="83"/>
      <c r="BJ817" s="83"/>
      <c r="BK817" s="83"/>
      <c r="BL817" s="83"/>
      <c r="BM817" s="83"/>
      <c r="BN817" s="83"/>
      <c r="BO817" s="83"/>
      <c r="BP817" s="83"/>
      <c r="BQ817" s="83"/>
      <c r="BR817" s="83"/>
      <c r="BS817" s="83"/>
      <c r="BT817" s="83"/>
      <c r="BU817" s="83"/>
      <c r="BV817" s="83"/>
      <c r="BW817" s="83"/>
      <c r="BX817" s="83"/>
      <c r="BY817" s="83"/>
      <c r="BZ817" s="83"/>
      <c r="CA817" s="83"/>
      <c r="CB817" s="83"/>
      <c r="CC817" s="83"/>
      <c r="CD817" s="83"/>
      <c r="CE817" s="83"/>
      <c r="CF817" s="83"/>
      <c r="CG817" s="83"/>
      <c r="CH817" s="83"/>
      <c r="CI817" s="83"/>
      <c r="CJ817" s="83"/>
      <c r="CK817" s="83"/>
      <c r="CL817" s="83"/>
      <c r="CM817" s="83"/>
      <c r="CN817" s="83"/>
      <c r="CO817" s="83"/>
      <c r="CP817" s="83"/>
      <c r="CQ817" s="83"/>
      <c r="CR817" s="83"/>
      <c r="CS817" s="83"/>
      <c r="CT817" s="83"/>
      <c r="CU817" s="83"/>
      <c r="CV817" s="83"/>
      <c r="CW817" s="83"/>
      <c r="CX817" s="83"/>
      <c r="CY817" s="83"/>
      <c r="CZ817" s="83"/>
      <c r="DA817" s="83"/>
      <c r="DB817" s="83"/>
      <c r="DC817" s="83"/>
    </row>
    <row r="818" spans="1:107" x14ac:dyDescent="0.3">
      <c r="A818" s="83"/>
      <c r="B818" s="83"/>
      <c r="C818" s="83"/>
      <c r="D818" s="83"/>
      <c r="E818" s="83"/>
      <c r="F818" s="83"/>
      <c r="G818" s="83"/>
      <c r="H818" s="83"/>
      <c r="I818" s="83"/>
      <c r="J818" s="83"/>
      <c r="K818" s="83"/>
      <c r="L818" s="83"/>
      <c r="M818" s="83"/>
      <c r="N818" s="83"/>
      <c r="O818" s="83"/>
      <c r="P818" s="83"/>
      <c r="Q818" s="83"/>
      <c r="R818" s="83"/>
      <c r="S818" s="83"/>
      <c r="T818" s="83"/>
      <c r="U818" s="83"/>
      <c r="V818" s="83"/>
      <c r="W818" s="83"/>
      <c r="X818" s="83"/>
      <c r="Y818" s="83"/>
      <c r="Z818" s="83"/>
      <c r="AA818" s="83"/>
      <c r="AB818" s="83"/>
      <c r="AC818" s="83"/>
      <c r="AD818" s="83"/>
      <c r="AE818" s="83"/>
      <c r="AF818" s="83"/>
      <c r="AG818" s="83"/>
      <c r="AH818" s="83"/>
      <c r="AI818" s="83"/>
      <c r="AJ818" s="83"/>
      <c r="AK818" s="83"/>
      <c r="AL818" s="83"/>
      <c r="AM818" s="83"/>
      <c r="AN818" s="83"/>
      <c r="AO818" s="83"/>
      <c r="AP818" s="83"/>
      <c r="AQ818" s="83"/>
      <c r="AR818" s="83"/>
      <c r="AS818" s="83"/>
      <c r="AT818" s="83"/>
      <c r="AU818" s="83"/>
      <c r="AV818" s="83"/>
      <c r="AW818" s="83"/>
      <c r="AX818" s="83"/>
      <c r="AY818" s="83"/>
      <c r="AZ818" s="83"/>
      <c r="BA818" s="83"/>
      <c r="BB818" s="83"/>
      <c r="BC818" s="83"/>
      <c r="BD818" s="83"/>
      <c r="BE818" s="83"/>
      <c r="BF818" s="83"/>
      <c r="BG818" s="83"/>
      <c r="BH818" s="83"/>
      <c r="BI818" s="83"/>
      <c r="BJ818" s="83"/>
      <c r="BK818" s="83"/>
      <c r="BL818" s="83"/>
      <c r="BM818" s="83"/>
      <c r="BN818" s="83"/>
      <c r="BO818" s="83"/>
      <c r="BP818" s="83"/>
      <c r="BQ818" s="83"/>
      <c r="BR818" s="83"/>
      <c r="BS818" s="83"/>
      <c r="BT818" s="83"/>
      <c r="BU818" s="83"/>
      <c r="BV818" s="83"/>
      <c r="BW818" s="83"/>
      <c r="BX818" s="83"/>
      <c r="BY818" s="83"/>
      <c r="BZ818" s="83"/>
      <c r="CA818" s="83"/>
      <c r="CB818" s="83"/>
      <c r="CC818" s="83"/>
      <c r="CD818" s="83"/>
      <c r="CE818" s="83"/>
      <c r="CF818" s="83"/>
      <c r="CG818" s="83"/>
      <c r="CH818" s="83"/>
      <c r="CI818" s="83"/>
      <c r="CJ818" s="83"/>
      <c r="CK818" s="83"/>
      <c r="CL818" s="83"/>
      <c r="CM818" s="83"/>
      <c r="CN818" s="83"/>
      <c r="CO818" s="83"/>
      <c r="CP818" s="83"/>
      <c r="CQ818" s="83"/>
      <c r="CR818" s="83"/>
      <c r="CS818" s="83"/>
      <c r="CT818" s="83"/>
      <c r="CU818" s="83"/>
      <c r="CV818" s="83"/>
      <c r="CW818" s="83"/>
      <c r="CX818" s="83"/>
      <c r="CY818" s="83"/>
      <c r="CZ818" s="83"/>
      <c r="DA818" s="83"/>
      <c r="DB818" s="83"/>
      <c r="DC818" s="83"/>
    </row>
    <row r="819" spans="1:107" x14ac:dyDescent="0.3">
      <c r="A819" s="83"/>
      <c r="B819" s="83"/>
      <c r="C819" s="83"/>
      <c r="D819" s="83"/>
      <c r="E819" s="83"/>
      <c r="F819" s="83"/>
      <c r="G819" s="83"/>
      <c r="H819" s="83"/>
      <c r="I819" s="83"/>
      <c r="J819" s="83"/>
      <c r="K819" s="83"/>
      <c r="L819" s="83"/>
      <c r="M819" s="83"/>
      <c r="N819" s="83"/>
      <c r="O819" s="83"/>
      <c r="P819" s="83"/>
      <c r="Q819" s="83"/>
      <c r="R819" s="83"/>
      <c r="S819" s="83"/>
      <c r="T819" s="83"/>
      <c r="U819" s="83"/>
      <c r="V819" s="83"/>
      <c r="W819" s="83"/>
      <c r="X819" s="83"/>
      <c r="Y819" s="83"/>
      <c r="Z819" s="83"/>
      <c r="AA819" s="83"/>
      <c r="AB819" s="83"/>
      <c r="AC819" s="83"/>
      <c r="AD819" s="83"/>
      <c r="AE819" s="83"/>
      <c r="AF819" s="83"/>
      <c r="AG819" s="83"/>
      <c r="AH819" s="83"/>
      <c r="AI819" s="83"/>
      <c r="AJ819" s="83"/>
      <c r="AK819" s="83"/>
      <c r="AL819" s="83"/>
      <c r="AM819" s="83"/>
      <c r="AN819" s="83"/>
      <c r="AO819" s="83"/>
      <c r="AP819" s="83"/>
      <c r="AQ819" s="83"/>
      <c r="AR819" s="83"/>
      <c r="AS819" s="83"/>
      <c r="AT819" s="83"/>
      <c r="AU819" s="83"/>
      <c r="AV819" s="83"/>
      <c r="AW819" s="83"/>
      <c r="AX819" s="83"/>
      <c r="AY819" s="83"/>
      <c r="AZ819" s="83"/>
      <c r="BA819" s="83"/>
      <c r="BB819" s="83"/>
      <c r="BC819" s="83"/>
      <c r="BD819" s="83"/>
      <c r="BE819" s="83"/>
      <c r="BF819" s="83"/>
      <c r="BG819" s="83"/>
      <c r="BH819" s="83"/>
      <c r="BI819" s="83"/>
      <c r="BJ819" s="83"/>
      <c r="BK819" s="83"/>
      <c r="BL819" s="83"/>
      <c r="BM819" s="83"/>
      <c r="BN819" s="83"/>
      <c r="BO819" s="83"/>
      <c r="BP819" s="83"/>
      <c r="BQ819" s="83"/>
      <c r="BR819" s="83"/>
      <c r="BS819" s="83"/>
      <c r="BT819" s="83"/>
      <c r="BU819" s="83"/>
      <c r="BV819" s="83"/>
      <c r="BW819" s="83"/>
      <c r="BX819" s="83"/>
      <c r="BY819" s="83"/>
      <c r="BZ819" s="83"/>
      <c r="CA819" s="83"/>
      <c r="CB819" s="83"/>
      <c r="CC819" s="83"/>
      <c r="CD819" s="83"/>
      <c r="CE819" s="83"/>
      <c r="CF819" s="83"/>
      <c r="CG819" s="83"/>
      <c r="CH819" s="83"/>
      <c r="CI819" s="83"/>
      <c r="CJ819" s="83"/>
      <c r="CK819" s="83"/>
      <c r="CL819" s="83"/>
      <c r="CM819" s="83"/>
      <c r="CN819" s="83"/>
      <c r="CO819" s="83"/>
      <c r="CP819" s="83"/>
      <c r="CQ819" s="83"/>
      <c r="CR819" s="83"/>
      <c r="CS819" s="83"/>
      <c r="CT819" s="83"/>
      <c r="CU819" s="83"/>
      <c r="CV819" s="83"/>
      <c r="CW819" s="83"/>
      <c r="CX819" s="83"/>
      <c r="CY819" s="83"/>
      <c r="CZ819" s="83"/>
      <c r="DA819" s="83"/>
      <c r="DB819" s="83"/>
      <c r="DC819" s="83"/>
    </row>
    <row r="820" spans="1:107" x14ac:dyDescent="0.3">
      <c r="A820" s="83"/>
      <c r="B820" s="83"/>
      <c r="C820" s="83"/>
      <c r="D820" s="83"/>
      <c r="E820" s="83"/>
      <c r="F820" s="83"/>
      <c r="G820" s="83"/>
      <c r="H820" s="83"/>
      <c r="I820" s="83"/>
      <c r="J820" s="83"/>
      <c r="K820" s="83"/>
      <c r="L820" s="83"/>
      <c r="M820" s="83"/>
      <c r="N820" s="83"/>
      <c r="O820" s="83"/>
      <c r="P820" s="83"/>
      <c r="Q820" s="83"/>
      <c r="R820" s="83"/>
      <c r="S820" s="83"/>
      <c r="T820" s="83"/>
      <c r="U820" s="83"/>
      <c r="V820" s="83"/>
      <c r="W820" s="83"/>
      <c r="X820" s="83"/>
      <c r="Y820" s="83"/>
      <c r="Z820" s="83"/>
      <c r="AA820" s="83"/>
      <c r="AB820" s="83"/>
      <c r="AC820" s="83"/>
      <c r="AD820" s="83"/>
      <c r="AE820" s="83"/>
      <c r="AF820" s="83"/>
      <c r="AG820" s="83"/>
      <c r="AH820" s="83"/>
      <c r="AI820" s="83"/>
      <c r="AJ820" s="83"/>
      <c r="AK820" s="83"/>
      <c r="AL820" s="83"/>
      <c r="AM820" s="83"/>
      <c r="AN820" s="83"/>
      <c r="AO820" s="83"/>
      <c r="AP820" s="83"/>
      <c r="AQ820" s="83"/>
      <c r="AR820" s="83"/>
      <c r="AS820" s="83"/>
      <c r="AT820" s="83"/>
      <c r="AU820" s="83"/>
      <c r="AV820" s="83"/>
      <c r="AW820" s="83"/>
      <c r="AX820" s="83"/>
      <c r="AY820" s="83"/>
      <c r="AZ820" s="83"/>
      <c r="BA820" s="83"/>
      <c r="BB820" s="83"/>
      <c r="BC820" s="83"/>
      <c r="BD820" s="83"/>
      <c r="BE820" s="83"/>
      <c r="BF820" s="83"/>
      <c r="BG820" s="83"/>
      <c r="BH820" s="83"/>
      <c r="BI820" s="83"/>
      <c r="BJ820" s="83"/>
      <c r="BK820" s="83"/>
      <c r="BL820" s="83"/>
      <c r="BM820" s="83"/>
      <c r="BN820" s="83"/>
      <c r="BO820" s="83"/>
      <c r="BP820" s="83"/>
      <c r="BQ820" s="83"/>
      <c r="BR820" s="83"/>
      <c r="BS820" s="83"/>
      <c r="BT820" s="83"/>
      <c r="BU820" s="83"/>
      <c r="BV820" s="83"/>
      <c r="BW820" s="83"/>
      <c r="BX820" s="83"/>
      <c r="BY820" s="83"/>
      <c r="BZ820" s="83"/>
      <c r="CA820" s="83"/>
      <c r="CB820" s="83"/>
      <c r="CC820" s="83"/>
      <c r="CD820" s="83"/>
      <c r="CE820" s="83"/>
      <c r="CF820" s="83"/>
      <c r="CG820" s="83"/>
      <c r="CH820" s="83"/>
      <c r="CI820" s="83"/>
      <c r="CJ820" s="83"/>
      <c r="CK820" s="83"/>
      <c r="CL820" s="83"/>
      <c r="CM820" s="83"/>
      <c r="CN820" s="83"/>
      <c r="CO820" s="83"/>
      <c r="CP820" s="83"/>
      <c r="CQ820" s="83"/>
      <c r="CR820" s="83"/>
      <c r="CS820" s="83"/>
      <c r="CT820" s="83"/>
      <c r="CU820" s="83"/>
      <c r="CV820" s="83"/>
      <c r="CW820" s="83"/>
      <c r="CX820" s="83"/>
      <c r="CY820" s="83"/>
      <c r="CZ820" s="83"/>
      <c r="DA820" s="83"/>
      <c r="DB820" s="83"/>
      <c r="DC820" s="83"/>
    </row>
    <row r="821" spans="1:107" x14ac:dyDescent="0.3">
      <c r="A821" s="83"/>
      <c r="B821" s="83"/>
      <c r="C821" s="83"/>
      <c r="D821" s="83"/>
      <c r="E821" s="83"/>
      <c r="F821" s="83"/>
      <c r="G821" s="83"/>
      <c r="H821" s="83"/>
      <c r="I821" s="83"/>
      <c r="J821" s="83"/>
      <c r="K821" s="83"/>
      <c r="L821" s="83"/>
      <c r="M821" s="83"/>
      <c r="N821" s="83"/>
      <c r="O821" s="83"/>
      <c r="P821" s="83"/>
      <c r="Q821" s="83"/>
      <c r="R821" s="83"/>
      <c r="S821" s="83"/>
      <c r="T821" s="83"/>
      <c r="U821" s="83"/>
      <c r="V821" s="83"/>
      <c r="W821" s="83"/>
      <c r="X821" s="83"/>
      <c r="Y821" s="83"/>
      <c r="Z821" s="83"/>
      <c r="AA821" s="83"/>
      <c r="AB821" s="83"/>
      <c r="AC821" s="83"/>
      <c r="AD821" s="83"/>
      <c r="AE821" s="83"/>
      <c r="AF821" s="83"/>
      <c r="AG821" s="83"/>
      <c r="AH821" s="83"/>
      <c r="AI821" s="83"/>
      <c r="AJ821" s="83"/>
      <c r="AK821" s="83"/>
      <c r="AL821" s="83"/>
      <c r="AM821" s="83"/>
      <c r="AN821" s="83"/>
      <c r="AO821" s="83"/>
      <c r="AP821" s="83"/>
      <c r="AQ821" s="83"/>
      <c r="AR821" s="83"/>
      <c r="AS821" s="83"/>
      <c r="AT821" s="83"/>
      <c r="AU821" s="83"/>
      <c r="AV821" s="83"/>
      <c r="AW821" s="83"/>
      <c r="AX821" s="83"/>
      <c r="AY821" s="83"/>
      <c r="AZ821" s="83"/>
      <c r="BA821" s="83"/>
      <c r="BB821" s="83"/>
      <c r="BC821" s="83"/>
      <c r="BD821" s="83"/>
      <c r="BE821" s="83"/>
      <c r="BF821" s="83"/>
      <c r="BG821" s="83"/>
      <c r="BH821" s="83"/>
      <c r="BI821" s="83"/>
      <c r="BJ821" s="83"/>
      <c r="BK821" s="83"/>
      <c r="BL821" s="83"/>
      <c r="BM821" s="83"/>
      <c r="BN821" s="83"/>
      <c r="BO821" s="83"/>
      <c r="BP821" s="83"/>
      <c r="BQ821" s="83"/>
      <c r="BR821" s="83"/>
      <c r="BS821" s="83"/>
      <c r="BT821" s="83"/>
      <c r="BU821" s="83"/>
      <c r="BV821" s="83"/>
      <c r="BW821" s="83"/>
      <c r="BX821" s="83"/>
      <c r="BY821" s="83"/>
      <c r="BZ821" s="83"/>
      <c r="CA821" s="83"/>
      <c r="CB821" s="83"/>
      <c r="CC821" s="83"/>
      <c r="CD821" s="83"/>
      <c r="CE821" s="83"/>
      <c r="CF821" s="83"/>
      <c r="CG821" s="83"/>
      <c r="CH821" s="83"/>
      <c r="CI821" s="83"/>
      <c r="CJ821" s="83"/>
      <c r="CK821" s="83"/>
      <c r="CL821" s="83"/>
      <c r="CM821" s="83"/>
      <c r="CN821" s="83"/>
      <c r="CO821" s="83"/>
      <c r="CP821" s="83"/>
      <c r="CQ821" s="83"/>
      <c r="CR821" s="83"/>
      <c r="CS821" s="83"/>
      <c r="CT821" s="83"/>
      <c r="CU821" s="83"/>
      <c r="CV821" s="83"/>
      <c r="CW821" s="83"/>
      <c r="CX821" s="83"/>
      <c r="CY821" s="83"/>
      <c r="CZ821" s="83"/>
      <c r="DA821" s="83"/>
      <c r="DB821" s="83"/>
      <c r="DC821" s="83"/>
    </row>
    <row r="822" spans="1:107" x14ac:dyDescent="0.3">
      <c r="A822" s="83"/>
      <c r="B822" s="83"/>
      <c r="C822" s="83"/>
      <c r="D822" s="83"/>
      <c r="E822" s="83"/>
      <c r="F822" s="83"/>
      <c r="G822" s="83"/>
      <c r="H822" s="83"/>
      <c r="I822" s="83"/>
      <c r="J822" s="83"/>
      <c r="K822" s="83"/>
      <c r="L822" s="83"/>
      <c r="M822" s="83"/>
      <c r="N822" s="83"/>
      <c r="O822" s="83"/>
      <c r="P822" s="83"/>
      <c r="Q822" s="83"/>
      <c r="R822" s="83"/>
      <c r="S822" s="83"/>
      <c r="T822" s="83"/>
      <c r="U822" s="83"/>
      <c r="V822" s="83"/>
      <c r="W822" s="83"/>
      <c r="X822" s="83"/>
      <c r="Y822" s="83"/>
      <c r="Z822" s="83"/>
      <c r="AA822" s="83"/>
      <c r="AB822" s="83"/>
      <c r="AC822" s="83"/>
      <c r="AD822" s="83"/>
      <c r="AE822" s="83"/>
      <c r="AF822" s="83"/>
      <c r="AG822" s="83"/>
      <c r="AH822" s="83"/>
      <c r="AI822" s="83"/>
      <c r="AJ822" s="83"/>
      <c r="AK822" s="83"/>
      <c r="AL822" s="83"/>
      <c r="AM822" s="83"/>
      <c r="AN822" s="83"/>
      <c r="AO822" s="83"/>
      <c r="AP822" s="83"/>
      <c r="AQ822" s="83"/>
      <c r="AR822" s="83"/>
      <c r="AS822" s="83"/>
      <c r="AT822" s="83"/>
      <c r="AU822" s="83"/>
      <c r="AV822" s="83"/>
      <c r="AW822" s="83"/>
      <c r="AX822" s="83"/>
      <c r="AY822" s="83"/>
      <c r="AZ822" s="83"/>
      <c r="BA822" s="83"/>
      <c r="BB822" s="83"/>
      <c r="BC822" s="83"/>
      <c r="BD822" s="83"/>
      <c r="BE822" s="83"/>
      <c r="BF822" s="83"/>
      <c r="BG822" s="83"/>
      <c r="BH822" s="83"/>
      <c r="BI822" s="83"/>
      <c r="BJ822" s="83"/>
      <c r="BK822" s="83"/>
      <c r="BL822" s="83"/>
      <c r="BM822" s="83"/>
      <c r="BN822" s="83"/>
      <c r="BO822" s="83"/>
      <c r="BP822" s="83"/>
      <c r="BQ822" s="83"/>
      <c r="BR822" s="83"/>
      <c r="BS822" s="83"/>
      <c r="BT822" s="83"/>
      <c r="BU822" s="83"/>
      <c r="BV822" s="83"/>
      <c r="BW822" s="83"/>
      <c r="BX822" s="83"/>
      <c r="BY822" s="83"/>
      <c r="BZ822" s="83"/>
      <c r="CA822" s="83"/>
      <c r="CB822" s="83"/>
      <c r="CC822" s="83"/>
      <c r="CD822" s="83"/>
      <c r="CE822" s="83"/>
      <c r="CF822" s="83"/>
      <c r="CG822" s="83"/>
      <c r="CH822" s="83"/>
      <c r="CI822" s="83"/>
      <c r="CJ822" s="83"/>
      <c r="CK822" s="83"/>
      <c r="CL822" s="83"/>
      <c r="CM822" s="83"/>
      <c r="CN822" s="83"/>
      <c r="CO822" s="83"/>
      <c r="CP822" s="83"/>
      <c r="CQ822" s="83"/>
      <c r="CR822" s="83"/>
      <c r="CS822" s="83"/>
      <c r="CT822" s="83"/>
      <c r="CU822" s="83"/>
      <c r="CV822" s="83"/>
      <c r="CW822" s="83"/>
      <c r="CX822" s="83"/>
      <c r="CY822" s="83"/>
      <c r="CZ822" s="83"/>
      <c r="DA822" s="83"/>
      <c r="DB822" s="83"/>
      <c r="DC822" s="83"/>
    </row>
    <row r="823" spans="1:107" x14ac:dyDescent="0.3">
      <c r="A823" s="83"/>
      <c r="B823" s="83"/>
      <c r="C823" s="83"/>
      <c r="D823" s="83"/>
      <c r="E823" s="83"/>
      <c r="F823" s="83"/>
      <c r="G823" s="83"/>
      <c r="H823" s="83"/>
      <c r="I823" s="83"/>
      <c r="J823" s="83"/>
      <c r="K823" s="83"/>
      <c r="L823" s="83"/>
      <c r="M823" s="83"/>
      <c r="N823" s="83"/>
      <c r="O823" s="83"/>
      <c r="P823" s="83"/>
      <c r="Q823" s="83"/>
      <c r="R823" s="83"/>
      <c r="S823" s="83"/>
      <c r="T823" s="83"/>
      <c r="U823" s="83"/>
      <c r="V823" s="83"/>
      <c r="W823" s="83"/>
      <c r="X823" s="83"/>
      <c r="Y823" s="83"/>
      <c r="Z823" s="83"/>
      <c r="AA823" s="83"/>
      <c r="AB823" s="83"/>
      <c r="AC823" s="83"/>
      <c r="AD823" s="83"/>
      <c r="AE823" s="83"/>
      <c r="AF823" s="83"/>
      <c r="AG823" s="83"/>
      <c r="AH823" s="83"/>
      <c r="AI823" s="83"/>
      <c r="AJ823" s="83"/>
      <c r="AK823" s="83"/>
      <c r="AL823" s="83"/>
      <c r="AM823" s="83"/>
      <c r="AN823" s="83"/>
      <c r="AO823" s="83"/>
      <c r="AP823" s="83"/>
      <c r="AQ823" s="83"/>
      <c r="AR823" s="83"/>
      <c r="AS823" s="83"/>
      <c r="AT823" s="83"/>
      <c r="AU823" s="83"/>
      <c r="AV823" s="83"/>
      <c r="AW823" s="83"/>
      <c r="AX823" s="83"/>
      <c r="AY823" s="83"/>
      <c r="AZ823" s="83"/>
      <c r="BA823" s="83"/>
      <c r="BB823" s="83"/>
      <c r="BC823" s="83"/>
      <c r="BD823" s="83"/>
      <c r="BE823" s="83"/>
      <c r="BF823" s="83"/>
      <c r="BG823" s="83"/>
      <c r="BH823" s="83"/>
      <c r="BI823" s="83"/>
      <c r="BJ823" s="83"/>
      <c r="BK823" s="83"/>
      <c r="BL823" s="83"/>
      <c r="BM823" s="83"/>
      <c r="BN823" s="83"/>
      <c r="BO823" s="83"/>
      <c r="BP823" s="83"/>
      <c r="BQ823" s="83"/>
      <c r="BR823" s="83"/>
      <c r="BS823" s="83"/>
      <c r="BT823" s="83"/>
      <c r="BU823" s="83"/>
      <c r="BV823" s="83"/>
      <c r="BW823" s="83"/>
      <c r="BX823" s="83"/>
      <c r="BY823" s="83"/>
      <c r="BZ823" s="83"/>
      <c r="CA823" s="83"/>
      <c r="CB823" s="83"/>
      <c r="CC823" s="83"/>
      <c r="CD823" s="83"/>
      <c r="CE823" s="83"/>
      <c r="CF823" s="83"/>
      <c r="CG823" s="83"/>
      <c r="CH823" s="83"/>
      <c r="CI823" s="83"/>
      <c r="CJ823" s="83"/>
      <c r="CK823" s="83"/>
      <c r="CL823" s="83"/>
      <c r="CM823" s="83"/>
      <c r="CN823" s="83"/>
      <c r="CO823" s="83"/>
      <c r="CP823" s="83"/>
      <c r="CQ823" s="83"/>
      <c r="CR823" s="83"/>
      <c r="CS823" s="83"/>
      <c r="CT823" s="83"/>
      <c r="CU823" s="83"/>
      <c r="CV823" s="83"/>
      <c r="CW823" s="83"/>
      <c r="CX823" s="83"/>
      <c r="CY823" s="83"/>
      <c r="CZ823" s="83"/>
      <c r="DA823" s="83"/>
      <c r="DB823" s="83"/>
      <c r="DC823" s="83"/>
    </row>
    <row r="824" spans="1:107" x14ac:dyDescent="0.3">
      <c r="A824" s="83"/>
      <c r="B824" s="83"/>
      <c r="C824" s="83"/>
      <c r="D824" s="83"/>
      <c r="E824" s="83"/>
      <c r="F824" s="83"/>
      <c r="G824" s="83"/>
      <c r="H824" s="83"/>
      <c r="I824" s="83"/>
      <c r="J824" s="83"/>
      <c r="K824" s="83"/>
      <c r="L824" s="83"/>
      <c r="M824" s="83"/>
      <c r="N824" s="83"/>
      <c r="O824" s="83"/>
      <c r="P824" s="83"/>
      <c r="Q824" s="83"/>
      <c r="R824" s="83"/>
      <c r="S824" s="83"/>
      <c r="T824" s="83"/>
      <c r="U824" s="83"/>
      <c r="V824" s="83"/>
      <c r="W824" s="83"/>
      <c r="X824" s="83"/>
      <c r="Y824" s="83"/>
      <c r="Z824" s="83"/>
      <c r="AA824" s="83"/>
      <c r="AB824" s="83"/>
      <c r="AC824" s="83"/>
      <c r="AD824" s="83"/>
      <c r="AE824" s="83"/>
      <c r="AF824" s="83"/>
      <c r="AG824" s="83"/>
      <c r="AH824" s="83"/>
      <c r="AI824" s="83"/>
      <c r="AJ824" s="83"/>
      <c r="AK824" s="83"/>
      <c r="AL824" s="83"/>
      <c r="AM824" s="83"/>
      <c r="AN824" s="83"/>
      <c r="AO824" s="83"/>
      <c r="AP824" s="83"/>
      <c r="AQ824" s="83"/>
      <c r="AR824" s="83"/>
      <c r="AS824" s="83"/>
      <c r="AT824" s="83"/>
      <c r="AU824" s="83"/>
      <c r="AV824" s="83"/>
      <c r="AW824" s="83"/>
      <c r="AX824" s="83"/>
      <c r="AY824" s="83"/>
      <c r="AZ824" s="83"/>
      <c r="BA824" s="83"/>
      <c r="BB824" s="83"/>
      <c r="BC824" s="83"/>
      <c r="BD824" s="83"/>
      <c r="BE824" s="83"/>
      <c r="BF824" s="83"/>
      <c r="BG824" s="83"/>
      <c r="BH824" s="83"/>
      <c r="BI824" s="83"/>
      <c r="BJ824" s="83"/>
      <c r="BK824" s="83"/>
      <c r="BL824" s="83"/>
      <c r="BM824" s="83"/>
      <c r="BN824" s="83"/>
      <c r="BO824" s="83"/>
      <c r="BP824" s="83"/>
      <c r="BQ824" s="83"/>
      <c r="BR824" s="83"/>
      <c r="BS824" s="83"/>
      <c r="BT824" s="83"/>
      <c r="BU824" s="83"/>
      <c r="BV824" s="83"/>
      <c r="BW824" s="83"/>
      <c r="BX824" s="83"/>
      <c r="BY824" s="83"/>
      <c r="BZ824" s="83"/>
      <c r="CA824" s="83"/>
      <c r="CB824" s="83"/>
      <c r="CC824" s="83"/>
      <c r="CD824" s="83"/>
      <c r="CE824" s="83"/>
      <c r="CF824" s="83"/>
      <c r="CG824" s="83"/>
      <c r="CH824" s="83"/>
      <c r="CI824" s="83"/>
      <c r="CJ824" s="83"/>
      <c r="CK824" s="83"/>
      <c r="CL824" s="83"/>
      <c r="CM824" s="83"/>
      <c r="CN824" s="83"/>
      <c r="CO824" s="83"/>
      <c r="CP824" s="83"/>
      <c r="CQ824" s="83"/>
      <c r="CR824" s="83"/>
      <c r="CS824" s="83"/>
      <c r="CT824" s="83"/>
      <c r="CU824" s="83"/>
      <c r="CV824" s="83"/>
      <c r="CW824" s="83"/>
      <c r="CX824" s="83"/>
      <c r="CY824" s="83"/>
      <c r="CZ824" s="83"/>
      <c r="DA824" s="83"/>
      <c r="DB824" s="83"/>
      <c r="DC824" s="83"/>
    </row>
    <row r="825" spans="1:107" x14ac:dyDescent="0.3">
      <c r="A825" s="83"/>
      <c r="B825" s="83"/>
      <c r="C825" s="83"/>
      <c r="D825" s="83"/>
      <c r="E825" s="83"/>
      <c r="F825" s="83"/>
      <c r="G825" s="83"/>
      <c r="H825" s="83"/>
      <c r="I825" s="83"/>
      <c r="J825" s="83"/>
      <c r="K825" s="83"/>
      <c r="L825" s="83"/>
      <c r="M825" s="83"/>
      <c r="N825" s="83"/>
      <c r="O825" s="83"/>
      <c r="P825" s="83"/>
      <c r="Q825" s="83"/>
      <c r="R825" s="83"/>
      <c r="S825" s="83"/>
      <c r="T825" s="83"/>
      <c r="U825" s="83"/>
      <c r="V825" s="83"/>
      <c r="W825" s="83"/>
      <c r="X825" s="83"/>
      <c r="Y825" s="83"/>
      <c r="Z825" s="83"/>
      <c r="AA825" s="83"/>
      <c r="AB825" s="83"/>
      <c r="AC825" s="83"/>
      <c r="AD825" s="83"/>
      <c r="AE825" s="83"/>
      <c r="AF825" s="83"/>
      <c r="AG825" s="83"/>
      <c r="AH825" s="83"/>
      <c r="AI825" s="83"/>
      <c r="AJ825" s="83"/>
      <c r="AK825" s="83"/>
      <c r="AL825" s="83"/>
      <c r="AM825" s="83"/>
      <c r="AN825" s="83"/>
      <c r="AO825" s="83"/>
      <c r="AP825" s="83"/>
      <c r="AQ825" s="83"/>
      <c r="AR825" s="83"/>
      <c r="AS825" s="83"/>
      <c r="AT825" s="83"/>
      <c r="AU825" s="83"/>
      <c r="AV825" s="83"/>
      <c r="AW825" s="83"/>
      <c r="AX825" s="83"/>
      <c r="AY825" s="83"/>
      <c r="AZ825" s="83"/>
      <c r="BA825" s="83"/>
      <c r="BB825" s="83"/>
      <c r="BC825" s="83"/>
      <c r="BD825" s="83"/>
      <c r="BE825" s="83"/>
      <c r="BF825" s="83"/>
      <c r="BG825" s="83"/>
      <c r="BH825" s="83"/>
      <c r="BI825" s="83"/>
      <c r="BJ825" s="83"/>
      <c r="BK825" s="83"/>
      <c r="BL825" s="83"/>
      <c r="BM825" s="83"/>
      <c r="BN825" s="83"/>
      <c r="BO825" s="83"/>
      <c r="BP825" s="83"/>
      <c r="BQ825" s="83"/>
      <c r="BR825" s="83"/>
      <c r="BS825" s="83"/>
      <c r="BT825" s="83"/>
      <c r="BU825" s="83"/>
      <c r="BV825" s="83"/>
      <c r="BW825" s="83"/>
      <c r="BX825" s="83"/>
      <c r="BY825" s="83"/>
      <c r="BZ825" s="83"/>
      <c r="CA825" s="83"/>
      <c r="CB825" s="83"/>
      <c r="CC825" s="83"/>
      <c r="CD825" s="83"/>
      <c r="CE825" s="83"/>
      <c r="CF825" s="83"/>
      <c r="CG825" s="83"/>
      <c r="CH825" s="83"/>
      <c r="CI825" s="83"/>
      <c r="CJ825" s="83"/>
      <c r="CK825" s="83"/>
      <c r="CL825" s="83"/>
      <c r="CM825" s="83"/>
      <c r="CN825" s="83"/>
      <c r="CO825" s="83"/>
      <c r="CP825" s="83"/>
      <c r="CQ825" s="83"/>
      <c r="CR825" s="83"/>
      <c r="CS825" s="83"/>
      <c r="CT825" s="83"/>
      <c r="CU825" s="83"/>
      <c r="CV825" s="83"/>
      <c r="CW825" s="83"/>
      <c r="CX825" s="83"/>
      <c r="CY825" s="83"/>
      <c r="CZ825" s="83"/>
      <c r="DA825" s="83"/>
      <c r="DB825" s="83"/>
      <c r="DC825" s="83"/>
    </row>
    <row r="826" spans="1:107" x14ac:dyDescent="0.3">
      <c r="A826" s="83"/>
      <c r="B826" s="83"/>
      <c r="C826" s="83"/>
      <c r="D826" s="83"/>
      <c r="E826" s="83"/>
      <c r="F826" s="83"/>
      <c r="G826" s="83"/>
      <c r="H826" s="83"/>
      <c r="I826" s="83"/>
      <c r="J826" s="83"/>
      <c r="K826" s="83"/>
      <c r="L826" s="83"/>
      <c r="M826" s="83"/>
      <c r="N826" s="83"/>
      <c r="O826" s="83"/>
      <c r="P826" s="83"/>
      <c r="Q826" s="83"/>
      <c r="R826" s="83"/>
      <c r="S826" s="83"/>
      <c r="T826" s="83"/>
      <c r="U826" s="83"/>
      <c r="V826" s="83"/>
      <c r="W826" s="83"/>
      <c r="X826" s="83"/>
      <c r="Y826" s="83"/>
      <c r="Z826" s="83"/>
      <c r="AA826" s="83"/>
      <c r="AB826" s="83"/>
      <c r="AC826" s="83"/>
      <c r="AD826" s="83"/>
      <c r="AE826" s="83"/>
      <c r="AF826" s="83"/>
      <c r="AG826" s="83"/>
      <c r="AH826" s="83"/>
      <c r="AI826" s="83"/>
      <c r="AJ826" s="83"/>
      <c r="AK826" s="83"/>
      <c r="AL826" s="83"/>
      <c r="AM826" s="83"/>
      <c r="AN826" s="83"/>
      <c r="AO826" s="83"/>
      <c r="AP826" s="83"/>
      <c r="AQ826" s="83"/>
      <c r="AR826" s="83"/>
      <c r="AS826" s="83"/>
      <c r="AT826" s="83"/>
      <c r="AU826" s="83"/>
      <c r="AV826" s="83"/>
      <c r="AW826" s="83"/>
      <c r="AX826" s="83"/>
      <c r="AY826" s="83"/>
      <c r="AZ826" s="83"/>
      <c r="BA826" s="83"/>
      <c r="BB826" s="83"/>
      <c r="BC826" s="83"/>
      <c r="BD826" s="83"/>
      <c r="BE826" s="83"/>
      <c r="BF826" s="83"/>
      <c r="BG826" s="83"/>
      <c r="BH826" s="83"/>
      <c r="BI826" s="83"/>
      <c r="BJ826" s="83"/>
      <c r="BK826" s="83"/>
      <c r="BL826" s="83"/>
      <c r="BM826" s="83"/>
      <c r="BN826" s="83"/>
      <c r="BO826" s="83"/>
      <c r="BP826" s="83"/>
      <c r="BQ826" s="83"/>
      <c r="BR826" s="83"/>
      <c r="BS826" s="83"/>
      <c r="BT826" s="83"/>
      <c r="BU826" s="83"/>
      <c r="BV826" s="83"/>
      <c r="BW826" s="83"/>
      <c r="BX826" s="83"/>
      <c r="BY826" s="83"/>
      <c r="BZ826" s="83"/>
      <c r="CA826" s="83"/>
      <c r="CB826" s="83"/>
      <c r="CC826" s="83"/>
      <c r="CD826" s="83"/>
      <c r="CE826" s="83"/>
      <c r="CF826" s="83"/>
      <c r="CG826" s="83"/>
      <c r="CH826" s="83"/>
      <c r="CI826" s="83"/>
      <c r="CJ826" s="83"/>
      <c r="CK826" s="83"/>
      <c r="CL826" s="83"/>
      <c r="CM826" s="83"/>
      <c r="CN826" s="83"/>
      <c r="CO826" s="83"/>
      <c r="CP826" s="83"/>
      <c r="CQ826" s="83"/>
      <c r="CR826" s="83"/>
      <c r="CS826" s="83"/>
      <c r="CT826" s="83"/>
      <c r="CU826" s="83"/>
      <c r="CV826" s="83"/>
      <c r="CW826" s="83"/>
      <c r="CX826" s="83"/>
      <c r="CY826" s="83"/>
      <c r="CZ826" s="83"/>
      <c r="DA826" s="83"/>
      <c r="DB826" s="83"/>
      <c r="DC826" s="83"/>
    </row>
    <row r="827" spans="1:107" x14ac:dyDescent="0.3">
      <c r="A827" s="83"/>
      <c r="B827" s="83"/>
      <c r="C827" s="83"/>
      <c r="D827" s="83"/>
      <c r="E827" s="83"/>
      <c r="F827" s="83"/>
      <c r="G827" s="83"/>
      <c r="H827" s="83"/>
      <c r="I827" s="83"/>
      <c r="J827" s="83"/>
      <c r="K827" s="83"/>
      <c r="L827" s="83"/>
      <c r="M827" s="83"/>
      <c r="N827" s="83"/>
      <c r="O827" s="83"/>
      <c r="P827" s="83"/>
      <c r="Q827" s="83"/>
      <c r="R827" s="83"/>
      <c r="S827" s="83"/>
      <c r="T827" s="83"/>
      <c r="U827" s="83"/>
      <c r="V827" s="83"/>
      <c r="W827" s="83"/>
      <c r="X827" s="83"/>
      <c r="Y827" s="83"/>
      <c r="Z827" s="83"/>
      <c r="AA827" s="83"/>
      <c r="AB827" s="83"/>
      <c r="AC827" s="83"/>
      <c r="AD827" s="83"/>
      <c r="AE827" s="83"/>
      <c r="AF827" s="83"/>
      <c r="AG827" s="83"/>
      <c r="AH827" s="83"/>
      <c r="AI827" s="83"/>
      <c r="AJ827" s="83"/>
      <c r="AK827" s="83"/>
      <c r="AL827" s="83"/>
      <c r="AM827" s="83"/>
      <c r="AN827" s="83"/>
      <c r="AO827" s="83"/>
      <c r="AP827" s="83"/>
      <c r="AQ827" s="83"/>
      <c r="AR827" s="83"/>
      <c r="AS827" s="83"/>
      <c r="AT827" s="83"/>
      <c r="AU827" s="83"/>
      <c r="AV827" s="83"/>
      <c r="AW827" s="83"/>
      <c r="AX827" s="83"/>
      <c r="AY827" s="83"/>
      <c r="AZ827" s="83"/>
      <c r="BA827" s="83"/>
      <c r="BB827" s="83"/>
      <c r="BC827" s="83"/>
      <c r="BD827" s="83"/>
      <c r="BE827" s="83"/>
      <c r="BF827" s="83"/>
      <c r="BG827" s="83"/>
      <c r="BH827" s="83"/>
      <c r="BI827" s="83"/>
      <c r="BJ827" s="83"/>
      <c r="BK827" s="83"/>
      <c r="BL827" s="83"/>
      <c r="BM827" s="83"/>
      <c r="BN827" s="83"/>
      <c r="BO827" s="83"/>
      <c r="BP827" s="83"/>
      <c r="BQ827" s="83"/>
      <c r="BR827" s="83"/>
      <c r="BS827" s="83"/>
      <c r="BT827" s="83"/>
      <c r="BU827" s="83"/>
      <c r="BV827" s="83"/>
      <c r="BW827" s="83"/>
      <c r="BX827" s="83"/>
      <c r="BY827" s="83"/>
      <c r="BZ827" s="83"/>
      <c r="CA827" s="83"/>
      <c r="CB827" s="83"/>
      <c r="CC827" s="83"/>
      <c r="CD827" s="83"/>
      <c r="CE827" s="83"/>
      <c r="CF827" s="83"/>
      <c r="CG827" s="83"/>
      <c r="CH827" s="83"/>
      <c r="CI827" s="83"/>
      <c r="CJ827" s="83"/>
      <c r="CK827" s="83"/>
      <c r="CL827" s="83"/>
      <c r="CM827" s="83"/>
      <c r="CN827" s="83"/>
      <c r="CO827" s="83"/>
      <c r="CP827" s="83"/>
      <c r="CQ827" s="83"/>
      <c r="CR827" s="83"/>
      <c r="CS827" s="83"/>
      <c r="CT827" s="83"/>
      <c r="CU827" s="83"/>
      <c r="CV827" s="83"/>
      <c r="CW827" s="83"/>
      <c r="CX827" s="83"/>
      <c r="CY827" s="83"/>
      <c r="CZ827" s="83"/>
      <c r="DA827" s="83"/>
      <c r="DB827" s="83"/>
      <c r="DC827" s="83"/>
    </row>
    <row r="828" spans="1:107" x14ac:dyDescent="0.3">
      <c r="A828" s="83"/>
      <c r="B828" s="83"/>
      <c r="C828" s="83"/>
      <c r="D828" s="83"/>
      <c r="E828" s="83"/>
      <c r="F828" s="83"/>
      <c r="G828" s="83"/>
      <c r="H828" s="83"/>
      <c r="I828" s="83"/>
      <c r="J828" s="83"/>
      <c r="K828" s="83"/>
      <c r="L828" s="83"/>
      <c r="M828" s="83"/>
      <c r="N828" s="83"/>
      <c r="O828" s="83"/>
      <c r="P828" s="83"/>
      <c r="Q828" s="83"/>
      <c r="R828" s="83"/>
      <c r="S828" s="83"/>
      <c r="T828" s="83"/>
      <c r="U828" s="83"/>
      <c r="V828" s="83"/>
      <c r="W828" s="83"/>
      <c r="X828" s="83"/>
      <c r="Y828" s="83"/>
      <c r="Z828" s="83"/>
      <c r="AA828" s="83"/>
      <c r="AB828" s="83"/>
      <c r="AC828" s="83"/>
      <c r="AD828" s="83"/>
      <c r="AE828" s="83"/>
      <c r="AF828" s="83"/>
      <c r="AG828" s="83"/>
      <c r="AH828" s="83"/>
      <c r="AI828" s="83"/>
      <c r="AJ828" s="83"/>
      <c r="AK828" s="83"/>
      <c r="AL828" s="83"/>
      <c r="AM828" s="83"/>
      <c r="AN828" s="83"/>
      <c r="AO828" s="83"/>
      <c r="AP828" s="83"/>
      <c r="AQ828" s="83"/>
      <c r="AR828" s="83"/>
      <c r="AS828" s="83"/>
      <c r="AT828" s="83"/>
      <c r="AU828" s="83"/>
      <c r="AV828" s="83"/>
      <c r="AW828" s="83"/>
      <c r="AX828" s="83"/>
      <c r="AY828" s="83"/>
      <c r="AZ828" s="83"/>
      <c r="BA828" s="83"/>
      <c r="BB828" s="83"/>
      <c r="BC828" s="83"/>
      <c r="BD828" s="83"/>
      <c r="BE828" s="83"/>
      <c r="BF828" s="83"/>
      <c r="BG828" s="83"/>
      <c r="BH828" s="83"/>
      <c r="BI828" s="83"/>
      <c r="BJ828" s="83"/>
      <c r="BK828" s="83"/>
      <c r="BL828" s="83"/>
      <c r="BM828" s="83"/>
      <c r="BN828" s="83"/>
      <c r="BO828" s="83"/>
      <c r="BP828" s="83"/>
      <c r="BQ828" s="83"/>
      <c r="BR828" s="83"/>
      <c r="BS828" s="83"/>
      <c r="BT828" s="83"/>
      <c r="BU828" s="83"/>
      <c r="BV828" s="83"/>
      <c r="BW828" s="83"/>
      <c r="BX828" s="83"/>
      <c r="BY828" s="83"/>
      <c r="BZ828" s="83"/>
      <c r="CA828" s="83"/>
      <c r="CB828" s="83"/>
      <c r="CC828" s="83"/>
      <c r="CD828" s="83"/>
      <c r="CE828" s="83"/>
      <c r="CF828" s="83"/>
      <c r="CG828" s="83"/>
      <c r="CH828" s="83"/>
      <c r="CI828" s="83"/>
      <c r="CJ828" s="83"/>
      <c r="CK828" s="83"/>
      <c r="CL828" s="83"/>
      <c r="CM828" s="83"/>
      <c r="CN828" s="83"/>
      <c r="CO828" s="83"/>
      <c r="CP828" s="83"/>
      <c r="CQ828" s="83"/>
      <c r="CR828" s="83"/>
      <c r="CS828" s="83"/>
      <c r="CT828" s="83"/>
      <c r="CU828" s="83"/>
      <c r="CV828" s="83"/>
      <c r="CW828" s="83"/>
      <c r="CX828" s="83"/>
      <c r="CY828" s="83"/>
      <c r="CZ828" s="83"/>
      <c r="DA828" s="83"/>
      <c r="DB828" s="83"/>
      <c r="DC828" s="83"/>
    </row>
    <row r="829" spans="1:107" x14ac:dyDescent="0.3">
      <c r="A829" s="83"/>
      <c r="B829" s="83"/>
      <c r="C829" s="83"/>
      <c r="D829" s="83"/>
      <c r="E829" s="83"/>
      <c r="F829" s="83"/>
      <c r="G829" s="83"/>
      <c r="H829" s="83"/>
      <c r="I829" s="83"/>
      <c r="J829" s="83"/>
      <c r="K829" s="83"/>
      <c r="L829" s="83"/>
      <c r="M829" s="83"/>
      <c r="N829" s="83"/>
      <c r="O829" s="83"/>
      <c r="P829" s="83"/>
      <c r="Q829" s="83"/>
      <c r="R829" s="83"/>
      <c r="S829" s="83"/>
      <c r="T829" s="83"/>
      <c r="U829" s="83"/>
      <c r="V829" s="83"/>
      <c r="W829" s="83"/>
      <c r="X829" s="83"/>
      <c r="Y829" s="83"/>
      <c r="Z829" s="83"/>
      <c r="AA829" s="83"/>
      <c r="AB829" s="83"/>
      <c r="AC829" s="83"/>
      <c r="AD829" s="83"/>
      <c r="AE829" s="83"/>
      <c r="AF829" s="83"/>
      <c r="AG829" s="83"/>
      <c r="AH829" s="83"/>
      <c r="AI829" s="83"/>
      <c r="AJ829" s="83"/>
      <c r="AK829" s="83"/>
      <c r="AL829" s="83"/>
      <c r="AM829" s="83"/>
      <c r="AN829" s="83"/>
      <c r="AO829" s="83"/>
      <c r="AP829" s="83"/>
      <c r="AQ829" s="83"/>
      <c r="AR829" s="83"/>
      <c r="AS829" s="83"/>
      <c r="AT829" s="83"/>
      <c r="AU829" s="83"/>
      <c r="AV829" s="83"/>
      <c r="AW829" s="83"/>
      <c r="AX829" s="83"/>
      <c r="AY829" s="83"/>
      <c r="AZ829" s="83"/>
      <c r="BA829" s="83"/>
      <c r="BB829" s="83"/>
      <c r="BC829" s="83"/>
      <c r="BD829" s="83"/>
      <c r="BE829" s="83"/>
      <c r="BF829" s="83"/>
      <c r="BG829" s="83"/>
      <c r="BH829" s="83"/>
      <c r="BI829" s="83"/>
      <c r="BJ829" s="83"/>
      <c r="BK829" s="83"/>
      <c r="BL829" s="83"/>
      <c r="BM829" s="83"/>
      <c r="BN829" s="83"/>
      <c r="BO829" s="83"/>
      <c r="BP829" s="83"/>
      <c r="BQ829" s="83"/>
      <c r="BR829" s="83"/>
      <c r="BS829" s="83"/>
      <c r="BT829" s="83"/>
      <c r="BU829" s="83"/>
      <c r="BV829" s="83"/>
      <c r="BW829" s="83"/>
      <c r="BX829" s="83"/>
      <c r="BY829" s="83"/>
      <c r="BZ829" s="83"/>
      <c r="CA829" s="83"/>
      <c r="CB829" s="83"/>
      <c r="CC829" s="83"/>
      <c r="CD829" s="83"/>
      <c r="CE829" s="83"/>
      <c r="CF829" s="83"/>
      <c r="CG829" s="83"/>
      <c r="CH829" s="83"/>
      <c r="CI829" s="83"/>
      <c r="CJ829" s="83"/>
      <c r="CK829" s="83"/>
      <c r="CL829" s="83"/>
      <c r="CM829" s="83"/>
      <c r="CN829" s="83"/>
      <c r="CO829" s="83"/>
      <c r="CP829" s="83"/>
      <c r="CQ829" s="83"/>
      <c r="CR829" s="83"/>
      <c r="CS829" s="83"/>
      <c r="CT829" s="83"/>
      <c r="CU829" s="83"/>
      <c r="CV829" s="83"/>
      <c r="CW829" s="83"/>
      <c r="CX829" s="83"/>
      <c r="CY829" s="83"/>
      <c r="CZ829" s="83"/>
      <c r="DA829" s="83"/>
      <c r="DB829" s="83"/>
      <c r="DC829" s="83"/>
    </row>
    <row r="830" spans="1:107" x14ac:dyDescent="0.3">
      <c r="A830" s="83"/>
      <c r="B830" s="83"/>
      <c r="C830" s="83"/>
      <c r="D830" s="83"/>
      <c r="E830" s="83"/>
      <c r="F830" s="83"/>
      <c r="G830" s="83"/>
      <c r="H830" s="83"/>
      <c r="I830" s="83"/>
      <c r="J830" s="83"/>
      <c r="K830" s="83"/>
      <c r="L830" s="83"/>
      <c r="M830" s="83"/>
      <c r="N830" s="83"/>
      <c r="O830" s="83"/>
      <c r="P830" s="83"/>
      <c r="Q830" s="83"/>
      <c r="R830" s="83"/>
      <c r="S830" s="83"/>
      <c r="T830" s="83"/>
      <c r="U830" s="83"/>
      <c r="V830" s="83"/>
      <c r="W830" s="83"/>
      <c r="X830" s="83"/>
      <c r="Y830" s="83"/>
      <c r="Z830" s="83"/>
      <c r="AA830" s="83"/>
      <c r="AB830" s="83"/>
      <c r="AC830" s="83"/>
      <c r="AD830" s="83"/>
      <c r="AE830" s="83"/>
      <c r="AF830" s="83"/>
      <c r="AG830" s="83"/>
      <c r="AH830" s="83"/>
      <c r="AI830" s="83"/>
      <c r="AJ830" s="83"/>
      <c r="AK830" s="83"/>
      <c r="AL830" s="83"/>
      <c r="AM830" s="83"/>
      <c r="AN830" s="83"/>
      <c r="AO830" s="83"/>
      <c r="AP830" s="83"/>
      <c r="AQ830" s="83"/>
      <c r="AR830" s="83"/>
      <c r="AS830" s="83"/>
      <c r="AT830" s="83"/>
      <c r="AU830" s="83"/>
      <c r="AV830" s="83"/>
      <c r="AW830" s="83"/>
      <c r="AX830" s="83"/>
      <c r="AY830" s="83"/>
      <c r="AZ830" s="83"/>
      <c r="BA830" s="83"/>
      <c r="BB830" s="83"/>
      <c r="BC830" s="83"/>
      <c r="BD830" s="83"/>
      <c r="BE830" s="83"/>
      <c r="BF830" s="83"/>
      <c r="BG830" s="83"/>
      <c r="BH830" s="83"/>
      <c r="BI830" s="83"/>
      <c r="BJ830" s="83"/>
      <c r="BK830" s="83"/>
      <c r="BL830" s="83"/>
      <c r="BM830" s="83"/>
      <c r="BN830" s="83"/>
      <c r="BO830" s="83"/>
      <c r="BP830" s="83"/>
      <c r="BQ830" s="83"/>
      <c r="BR830" s="83"/>
      <c r="BS830" s="83"/>
      <c r="BT830" s="83"/>
      <c r="BU830" s="83"/>
      <c r="BV830" s="83"/>
      <c r="BW830" s="83"/>
      <c r="BX830" s="83"/>
      <c r="BY830" s="83"/>
      <c r="BZ830" s="83"/>
      <c r="CA830" s="83"/>
      <c r="CB830" s="83"/>
      <c r="CC830" s="83"/>
      <c r="CD830" s="83"/>
      <c r="CE830" s="83"/>
      <c r="CF830" s="83"/>
      <c r="CG830" s="83"/>
      <c r="CH830" s="83"/>
      <c r="CI830" s="83"/>
      <c r="CJ830" s="83"/>
      <c r="CK830" s="83"/>
      <c r="CL830" s="83"/>
      <c r="CM830" s="83"/>
      <c r="CN830" s="83"/>
      <c r="CO830" s="83"/>
      <c r="CP830" s="83"/>
      <c r="CQ830" s="83"/>
      <c r="CR830" s="83"/>
      <c r="CS830" s="83"/>
      <c r="CT830" s="83"/>
      <c r="CU830" s="83"/>
      <c r="CV830" s="83"/>
      <c r="CW830" s="83"/>
      <c r="CX830" s="83"/>
      <c r="CY830" s="83"/>
      <c r="CZ830" s="83"/>
      <c r="DA830" s="83"/>
      <c r="DB830" s="83"/>
      <c r="DC830" s="83"/>
    </row>
    <row r="831" spans="1:107" x14ac:dyDescent="0.3">
      <c r="A831" s="83"/>
      <c r="B831" s="83"/>
      <c r="C831" s="83"/>
      <c r="D831" s="83"/>
      <c r="E831" s="83"/>
      <c r="F831" s="83"/>
      <c r="G831" s="83"/>
      <c r="H831" s="83"/>
      <c r="I831" s="83"/>
      <c r="J831" s="83"/>
      <c r="K831" s="83"/>
      <c r="L831" s="83"/>
      <c r="M831" s="83"/>
      <c r="N831" s="83"/>
      <c r="O831" s="83"/>
      <c r="P831" s="83"/>
      <c r="Q831" s="83"/>
      <c r="R831" s="83"/>
      <c r="S831" s="83"/>
      <c r="T831" s="83"/>
      <c r="U831" s="83"/>
      <c r="V831" s="83"/>
      <c r="W831" s="83"/>
      <c r="X831" s="83"/>
      <c r="Y831" s="83"/>
      <c r="Z831" s="83"/>
      <c r="AA831" s="83"/>
      <c r="AB831" s="83"/>
      <c r="AC831" s="83"/>
      <c r="AD831" s="83"/>
      <c r="AE831" s="83"/>
      <c r="AF831" s="83"/>
      <c r="AG831" s="83"/>
      <c r="AH831" s="83"/>
      <c r="AI831" s="83"/>
      <c r="AJ831" s="83"/>
      <c r="AK831" s="83"/>
      <c r="AL831" s="83"/>
      <c r="AM831" s="83"/>
      <c r="AN831" s="83"/>
      <c r="AO831" s="83"/>
      <c r="AP831" s="83"/>
      <c r="AQ831" s="83"/>
      <c r="AR831" s="83"/>
      <c r="AS831" s="83"/>
      <c r="AT831" s="83"/>
      <c r="AU831" s="83"/>
      <c r="AV831" s="83"/>
      <c r="AW831" s="83"/>
      <c r="AX831" s="83"/>
      <c r="AY831" s="83"/>
      <c r="AZ831" s="83"/>
      <c r="BA831" s="83"/>
      <c r="BB831" s="83"/>
      <c r="BC831" s="83"/>
      <c r="BD831" s="83"/>
      <c r="BE831" s="83"/>
      <c r="BF831" s="83"/>
      <c r="BG831" s="83"/>
      <c r="BH831" s="83"/>
      <c r="BI831" s="83"/>
      <c r="BJ831" s="83"/>
      <c r="BK831" s="83"/>
      <c r="BL831" s="83"/>
      <c r="BM831" s="83"/>
      <c r="BN831" s="83"/>
      <c r="BO831" s="83"/>
      <c r="BP831" s="83"/>
      <c r="BQ831" s="83"/>
      <c r="BR831" s="83"/>
      <c r="BS831" s="83"/>
      <c r="BT831" s="83"/>
      <c r="BU831" s="83"/>
      <c r="BV831" s="83"/>
      <c r="BW831" s="83"/>
      <c r="BX831" s="83"/>
      <c r="BY831" s="83"/>
      <c r="BZ831" s="83"/>
      <c r="CA831" s="83"/>
      <c r="CB831" s="83"/>
      <c r="CC831" s="83"/>
      <c r="CD831" s="83"/>
      <c r="CE831" s="83"/>
      <c r="CF831" s="83"/>
      <c r="CG831" s="83"/>
      <c r="CH831" s="83"/>
      <c r="CI831" s="83"/>
      <c r="CJ831" s="83"/>
      <c r="CK831" s="83"/>
      <c r="CL831" s="83"/>
      <c r="CM831" s="83"/>
      <c r="CN831" s="83"/>
      <c r="CO831" s="83"/>
      <c r="CP831" s="83"/>
      <c r="CQ831" s="83"/>
      <c r="CR831" s="83"/>
      <c r="CS831" s="83"/>
      <c r="CT831" s="83"/>
      <c r="CU831" s="83"/>
      <c r="CV831" s="83"/>
      <c r="CW831" s="83"/>
      <c r="CX831" s="83"/>
      <c r="CY831" s="83"/>
      <c r="CZ831" s="83"/>
      <c r="DA831" s="83"/>
      <c r="DB831" s="83"/>
      <c r="DC831" s="83"/>
    </row>
    <row r="832" spans="1:107" x14ac:dyDescent="0.3">
      <c r="A832" s="83"/>
      <c r="B832" s="83"/>
      <c r="C832" s="83"/>
      <c r="D832" s="83"/>
      <c r="E832" s="83"/>
      <c r="F832" s="83"/>
      <c r="G832" s="83"/>
      <c r="H832" s="83"/>
      <c r="I832" s="83"/>
      <c r="J832" s="83"/>
      <c r="K832" s="83"/>
      <c r="L832" s="83"/>
      <c r="M832" s="83"/>
      <c r="N832" s="83"/>
      <c r="O832" s="83"/>
      <c r="P832" s="83"/>
      <c r="Q832" s="83"/>
      <c r="R832" s="83"/>
      <c r="S832" s="83"/>
      <c r="T832" s="83"/>
      <c r="U832" s="83"/>
      <c r="V832" s="83"/>
      <c r="W832" s="83"/>
      <c r="X832" s="83"/>
      <c r="Y832" s="83"/>
      <c r="Z832" s="83"/>
      <c r="AA832" s="83"/>
      <c r="AB832" s="83"/>
      <c r="AC832" s="83"/>
      <c r="AD832" s="83"/>
      <c r="AE832" s="83"/>
      <c r="AF832" s="83"/>
      <c r="AG832" s="83"/>
      <c r="AH832" s="83"/>
      <c r="AI832" s="83"/>
      <c r="AJ832" s="83"/>
      <c r="AK832" s="83"/>
      <c r="AL832" s="83"/>
      <c r="AM832" s="83"/>
      <c r="AN832" s="83"/>
      <c r="AO832" s="83"/>
      <c r="AP832" s="83"/>
      <c r="AQ832" s="83"/>
      <c r="AR832" s="83"/>
      <c r="AS832" s="83"/>
      <c r="AT832" s="83"/>
      <c r="AU832" s="83"/>
      <c r="AV832" s="83"/>
      <c r="AW832" s="83"/>
      <c r="AX832" s="83"/>
      <c r="AY832" s="83"/>
      <c r="AZ832" s="83"/>
      <c r="BA832" s="83"/>
      <c r="BB832" s="83"/>
      <c r="BC832" s="83"/>
      <c r="BD832" s="83"/>
      <c r="BE832" s="83"/>
      <c r="BF832" s="83"/>
      <c r="BG832" s="83"/>
      <c r="BH832" s="83"/>
      <c r="BI832" s="83"/>
      <c r="BJ832" s="83"/>
      <c r="BK832" s="83"/>
      <c r="BL832" s="83"/>
      <c r="BM832" s="83"/>
      <c r="BN832" s="83"/>
      <c r="BO832" s="83"/>
      <c r="BP832" s="83"/>
      <c r="BQ832" s="83"/>
      <c r="BR832" s="83"/>
      <c r="BS832" s="83"/>
      <c r="BT832" s="83"/>
      <c r="BU832" s="83"/>
      <c r="BV832" s="83"/>
      <c r="BW832" s="83"/>
      <c r="BX832" s="83"/>
      <c r="BY832" s="83"/>
      <c r="BZ832" s="83"/>
      <c r="CA832" s="83"/>
      <c r="CB832" s="83"/>
      <c r="CC832" s="83"/>
      <c r="CD832" s="83"/>
      <c r="CE832" s="83"/>
      <c r="CF832" s="83"/>
      <c r="CG832" s="83"/>
      <c r="CH832" s="83"/>
      <c r="CI832" s="83"/>
      <c r="CJ832" s="83"/>
      <c r="CK832" s="83"/>
      <c r="CL832" s="83"/>
      <c r="CM832" s="83"/>
      <c r="CN832" s="83"/>
      <c r="CO832" s="83"/>
      <c r="CP832" s="83"/>
      <c r="CQ832" s="83"/>
      <c r="CR832" s="83"/>
      <c r="CS832" s="83"/>
      <c r="CT832" s="83"/>
      <c r="CU832" s="83"/>
      <c r="CV832" s="83"/>
      <c r="CW832" s="83"/>
      <c r="CX832" s="83"/>
      <c r="CY832" s="83"/>
      <c r="CZ832" s="83"/>
      <c r="DA832" s="83"/>
      <c r="DB832" s="83"/>
      <c r="DC832" s="83"/>
    </row>
    <row r="833" spans="1:107" x14ac:dyDescent="0.3">
      <c r="A833" s="83"/>
      <c r="B833" s="83"/>
      <c r="C833" s="83"/>
      <c r="D833" s="83"/>
      <c r="E833" s="83"/>
      <c r="F833" s="83"/>
      <c r="G833" s="83"/>
      <c r="H833" s="83"/>
      <c r="I833" s="83"/>
      <c r="J833" s="83"/>
      <c r="K833" s="83"/>
      <c r="L833" s="83"/>
      <c r="M833" s="83"/>
      <c r="N833" s="83"/>
      <c r="O833" s="83"/>
      <c r="P833" s="83"/>
      <c r="Q833" s="83"/>
      <c r="R833" s="83"/>
      <c r="S833" s="83"/>
      <c r="T833" s="83"/>
      <c r="U833" s="83"/>
      <c r="V833" s="83"/>
      <c r="W833" s="83"/>
      <c r="X833" s="83"/>
      <c r="Y833" s="83"/>
      <c r="Z833" s="83"/>
      <c r="AA833" s="83"/>
      <c r="AB833" s="83"/>
      <c r="AC833" s="83"/>
      <c r="AD833" s="83"/>
      <c r="AE833" s="83"/>
      <c r="AF833" s="83"/>
      <c r="AG833" s="83"/>
      <c r="AH833" s="83"/>
      <c r="AI833" s="83"/>
      <c r="AJ833" s="83"/>
      <c r="AK833" s="83"/>
      <c r="AL833" s="83"/>
      <c r="AM833" s="83"/>
      <c r="AN833" s="83"/>
      <c r="AO833" s="83"/>
      <c r="AP833" s="83"/>
      <c r="AQ833" s="83"/>
      <c r="AR833" s="83"/>
      <c r="AS833" s="83"/>
      <c r="AT833" s="83"/>
      <c r="AU833" s="83"/>
      <c r="AV833" s="83"/>
      <c r="AW833" s="83"/>
      <c r="AX833" s="83"/>
      <c r="AY833" s="83"/>
      <c r="AZ833" s="83"/>
      <c r="BA833" s="83"/>
      <c r="BB833" s="83"/>
      <c r="BC833" s="83"/>
      <c r="BD833" s="83"/>
      <c r="BE833" s="83"/>
      <c r="BF833" s="83"/>
      <c r="BG833" s="83"/>
      <c r="BH833" s="83"/>
      <c r="BI833" s="83"/>
      <c r="BJ833" s="83"/>
      <c r="BK833" s="83"/>
      <c r="BL833" s="83"/>
      <c r="BM833" s="83"/>
      <c r="BN833" s="83"/>
      <c r="BO833" s="83"/>
      <c r="BP833" s="83"/>
      <c r="BQ833" s="83"/>
      <c r="BR833" s="83"/>
      <c r="BS833" s="83"/>
      <c r="BT833" s="83"/>
      <c r="BU833" s="83"/>
      <c r="BV833" s="83"/>
      <c r="BW833" s="83"/>
      <c r="BX833" s="83"/>
      <c r="BY833" s="83"/>
      <c r="BZ833" s="83"/>
      <c r="CA833" s="83"/>
      <c r="CB833" s="83"/>
      <c r="CC833" s="83"/>
      <c r="CD833" s="83"/>
      <c r="CE833" s="83"/>
      <c r="CF833" s="83"/>
      <c r="CG833" s="83"/>
      <c r="CH833" s="83"/>
      <c r="CI833" s="83"/>
      <c r="CJ833" s="83"/>
      <c r="CK833" s="83"/>
      <c r="CL833" s="83"/>
      <c r="CM833" s="83"/>
      <c r="CN833" s="83"/>
      <c r="CO833" s="83"/>
      <c r="CP833" s="83"/>
      <c r="CQ833" s="83"/>
      <c r="CR833" s="83"/>
      <c r="CS833" s="83"/>
      <c r="CT833" s="83"/>
      <c r="CU833" s="83"/>
      <c r="CV833" s="83"/>
      <c r="CW833" s="83"/>
      <c r="CX833" s="83"/>
      <c r="CY833" s="83"/>
      <c r="CZ833" s="83"/>
      <c r="DA833" s="83"/>
      <c r="DB833" s="83"/>
      <c r="DC833" s="83"/>
    </row>
    <row r="834" spans="1:107" x14ac:dyDescent="0.3">
      <c r="A834" s="83"/>
      <c r="B834" s="83"/>
      <c r="C834" s="83"/>
      <c r="D834" s="83"/>
      <c r="E834" s="83"/>
      <c r="F834" s="83"/>
      <c r="G834" s="83"/>
      <c r="H834" s="83"/>
      <c r="I834" s="83"/>
      <c r="J834" s="83"/>
      <c r="K834" s="83"/>
      <c r="L834" s="83"/>
      <c r="M834" s="83"/>
      <c r="N834" s="83"/>
      <c r="O834" s="83"/>
      <c r="P834" s="83"/>
      <c r="Q834" s="83"/>
      <c r="R834" s="83"/>
      <c r="S834" s="83"/>
      <c r="T834" s="83"/>
      <c r="U834" s="83"/>
      <c r="V834" s="83"/>
      <c r="W834" s="83"/>
      <c r="X834" s="83"/>
      <c r="Y834" s="83"/>
      <c r="Z834" s="83"/>
      <c r="AA834" s="83"/>
      <c r="AB834" s="83"/>
      <c r="AC834" s="83"/>
      <c r="AD834" s="83"/>
      <c r="AE834" s="83"/>
      <c r="AF834" s="83"/>
      <c r="AG834" s="83"/>
      <c r="AH834" s="83"/>
      <c r="AI834" s="83"/>
      <c r="AJ834" s="83"/>
      <c r="AK834" s="83"/>
      <c r="AL834" s="83"/>
      <c r="AM834" s="83"/>
      <c r="AN834" s="83"/>
      <c r="AO834" s="83"/>
      <c r="AP834" s="83"/>
      <c r="AQ834" s="83"/>
      <c r="AR834" s="83"/>
      <c r="AS834" s="83"/>
      <c r="AT834" s="83"/>
      <c r="AU834" s="83"/>
      <c r="AV834" s="83"/>
      <c r="AW834" s="83"/>
      <c r="AX834" s="83"/>
      <c r="AY834" s="83"/>
      <c r="AZ834" s="83"/>
      <c r="BA834" s="83"/>
      <c r="BB834" s="83"/>
      <c r="BC834" s="83"/>
      <c r="BD834" s="83"/>
      <c r="BE834" s="83"/>
      <c r="BF834" s="83"/>
      <c r="BG834" s="83"/>
      <c r="BH834" s="83"/>
      <c r="BI834" s="83"/>
      <c r="BJ834" s="83"/>
      <c r="BK834" s="83"/>
      <c r="BL834" s="83"/>
      <c r="BM834" s="83"/>
      <c r="BN834" s="83"/>
      <c r="BO834" s="83"/>
      <c r="BP834" s="83"/>
      <c r="BQ834" s="83"/>
      <c r="BR834" s="83"/>
      <c r="BS834" s="83"/>
      <c r="BT834" s="83"/>
      <c r="BU834" s="83"/>
      <c r="BV834" s="83"/>
      <c r="BW834" s="83"/>
      <c r="BX834" s="83"/>
      <c r="BY834" s="83"/>
      <c r="BZ834" s="83"/>
      <c r="CA834" s="83"/>
      <c r="CB834" s="83"/>
      <c r="CC834" s="83"/>
      <c r="CD834" s="83"/>
      <c r="CE834" s="83"/>
      <c r="CF834" s="83"/>
      <c r="CG834" s="83"/>
      <c r="CH834" s="83"/>
      <c r="CI834" s="83"/>
      <c r="CJ834" s="83"/>
      <c r="CK834" s="83"/>
      <c r="CL834" s="83"/>
      <c r="CM834" s="83"/>
      <c r="CN834" s="83"/>
      <c r="CO834" s="83"/>
      <c r="CP834" s="83"/>
      <c r="CQ834" s="83"/>
      <c r="CR834" s="83"/>
      <c r="CS834" s="83"/>
      <c r="CT834" s="83"/>
      <c r="CU834" s="83"/>
      <c r="CV834" s="83"/>
      <c r="CW834" s="83"/>
      <c r="CX834" s="83"/>
      <c r="CY834" s="83"/>
      <c r="CZ834" s="83"/>
      <c r="DA834" s="83"/>
      <c r="DB834" s="83"/>
      <c r="DC834" s="83"/>
    </row>
    <row r="835" spans="1:107" x14ac:dyDescent="0.3">
      <c r="A835" s="83"/>
      <c r="B835" s="83"/>
      <c r="C835" s="83"/>
      <c r="D835" s="83"/>
      <c r="E835" s="83"/>
      <c r="F835" s="83"/>
      <c r="G835" s="83"/>
      <c r="H835" s="83"/>
      <c r="I835" s="83"/>
      <c r="J835" s="83"/>
      <c r="K835" s="83"/>
      <c r="L835" s="83"/>
      <c r="M835" s="83"/>
      <c r="N835" s="83"/>
      <c r="O835" s="83"/>
      <c r="P835" s="83"/>
      <c r="Q835" s="83"/>
      <c r="R835" s="83"/>
      <c r="S835" s="83"/>
      <c r="T835" s="83"/>
      <c r="U835" s="83"/>
      <c r="V835" s="83"/>
      <c r="W835" s="83"/>
      <c r="X835" s="83"/>
      <c r="Y835" s="83"/>
      <c r="Z835" s="83"/>
      <c r="AA835" s="83"/>
      <c r="AB835" s="83"/>
      <c r="AC835" s="83"/>
      <c r="AD835" s="83"/>
      <c r="AE835" s="83"/>
      <c r="AF835" s="83"/>
      <c r="AG835" s="83"/>
      <c r="AH835" s="83"/>
      <c r="AI835" s="83"/>
      <c r="AJ835" s="83"/>
      <c r="AK835" s="83"/>
      <c r="AL835" s="83"/>
      <c r="AM835" s="83"/>
      <c r="AN835" s="83"/>
      <c r="AO835" s="83"/>
      <c r="AP835" s="83"/>
      <c r="AQ835" s="83"/>
      <c r="AR835" s="83"/>
      <c r="AS835" s="83"/>
      <c r="AT835" s="83"/>
      <c r="AU835" s="83"/>
      <c r="AV835" s="83"/>
      <c r="AW835" s="83"/>
      <c r="AX835" s="83"/>
      <c r="AY835" s="83"/>
      <c r="AZ835" s="83"/>
      <c r="BA835" s="83"/>
      <c r="BB835" s="83"/>
      <c r="BC835" s="83"/>
      <c r="BD835" s="83"/>
      <c r="BE835" s="83"/>
      <c r="BF835" s="83"/>
      <c r="BG835" s="83"/>
      <c r="BH835" s="83"/>
      <c r="BI835" s="83"/>
      <c r="BJ835" s="83"/>
      <c r="BK835" s="83"/>
      <c r="BL835" s="83"/>
      <c r="BM835" s="83"/>
      <c r="BN835" s="83"/>
      <c r="BO835" s="83"/>
      <c r="BP835" s="83"/>
      <c r="BQ835" s="83"/>
      <c r="BR835" s="83"/>
      <c r="BS835" s="83"/>
      <c r="BT835" s="83"/>
      <c r="BU835" s="83"/>
      <c r="BV835" s="83"/>
      <c r="BW835" s="83"/>
      <c r="BX835" s="83"/>
      <c r="BY835" s="83"/>
      <c r="BZ835" s="83"/>
      <c r="CA835" s="83"/>
      <c r="CB835" s="83"/>
      <c r="CC835" s="83"/>
      <c r="CD835" s="83"/>
      <c r="CE835" s="83"/>
      <c r="CF835" s="83"/>
      <c r="CG835" s="83"/>
      <c r="CH835" s="83"/>
      <c r="CI835" s="83"/>
      <c r="CJ835" s="83"/>
      <c r="CK835" s="83"/>
      <c r="CL835" s="83"/>
      <c r="CM835" s="83"/>
      <c r="CN835" s="83"/>
      <c r="CO835" s="83"/>
      <c r="CP835" s="83"/>
      <c r="CQ835" s="83"/>
      <c r="CR835" s="83"/>
      <c r="CS835" s="83"/>
      <c r="CT835" s="83"/>
      <c r="CU835" s="83"/>
      <c r="CV835" s="83"/>
      <c r="CW835" s="83"/>
      <c r="CX835" s="83"/>
      <c r="CY835" s="83"/>
      <c r="CZ835" s="83"/>
      <c r="DA835" s="83"/>
      <c r="DB835" s="83"/>
      <c r="DC835" s="83"/>
    </row>
    <row r="836" spans="1:107" x14ac:dyDescent="0.3">
      <c r="A836" s="83"/>
      <c r="B836" s="83"/>
      <c r="C836" s="83"/>
      <c r="D836" s="83"/>
      <c r="E836" s="83"/>
      <c r="F836" s="83"/>
      <c r="G836" s="83"/>
      <c r="H836" s="83"/>
      <c r="I836" s="83"/>
      <c r="J836" s="83"/>
      <c r="K836" s="83"/>
      <c r="L836" s="83"/>
      <c r="M836" s="83"/>
      <c r="N836" s="83"/>
      <c r="O836" s="83"/>
      <c r="P836" s="83"/>
      <c r="Q836" s="83"/>
      <c r="R836" s="83"/>
      <c r="S836" s="83"/>
      <c r="T836" s="83"/>
      <c r="U836" s="83"/>
      <c r="V836" s="83"/>
      <c r="W836" s="83"/>
      <c r="X836" s="83"/>
      <c r="Y836" s="83"/>
      <c r="Z836" s="83"/>
      <c r="AA836" s="83"/>
      <c r="AB836" s="83"/>
      <c r="AC836" s="83"/>
      <c r="AD836" s="83"/>
      <c r="AE836" s="83"/>
      <c r="AF836" s="83"/>
      <c r="AG836" s="83"/>
      <c r="AH836" s="83"/>
      <c r="AI836" s="83"/>
      <c r="AJ836" s="83"/>
      <c r="AK836" s="83"/>
      <c r="AL836" s="83"/>
      <c r="AM836" s="83"/>
      <c r="AN836" s="83"/>
      <c r="AO836" s="83"/>
      <c r="AP836" s="83"/>
      <c r="AQ836" s="83"/>
      <c r="AR836" s="83"/>
      <c r="AS836" s="83"/>
      <c r="AT836" s="83"/>
      <c r="AU836" s="83"/>
      <c r="AV836" s="83"/>
      <c r="AW836" s="83"/>
      <c r="AX836" s="83"/>
      <c r="AY836" s="83"/>
      <c r="AZ836" s="83"/>
      <c r="BA836" s="83"/>
      <c r="BB836" s="83"/>
      <c r="BC836" s="83"/>
      <c r="BD836" s="83"/>
      <c r="BE836" s="83"/>
      <c r="BF836" s="83"/>
      <c r="BG836" s="83"/>
      <c r="BH836" s="83"/>
      <c r="BI836" s="83"/>
      <c r="BJ836" s="83"/>
      <c r="BK836" s="83"/>
      <c r="BL836" s="83"/>
      <c r="BM836" s="83"/>
      <c r="BN836" s="83"/>
      <c r="BO836" s="83"/>
      <c r="BP836" s="83"/>
      <c r="BQ836" s="83"/>
      <c r="BR836" s="83"/>
      <c r="BS836" s="83"/>
      <c r="BT836" s="83"/>
      <c r="BU836" s="83"/>
      <c r="BV836" s="83"/>
      <c r="BW836" s="83"/>
      <c r="BX836" s="83"/>
      <c r="BY836" s="83"/>
      <c r="BZ836" s="83"/>
      <c r="CA836" s="83"/>
      <c r="CB836" s="83"/>
      <c r="CC836" s="83"/>
      <c r="CD836" s="83"/>
      <c r="CE836" s="83"/>
      <c r="CF836" s="83"/>
      <c r="CG836" s="83"/>
      <c r="CH836" s="83"/>
      <c r="CI836" s="83"/>
      <c r="CJ836" s="83"/>
      <c r="CK836" s="83"/>
      <c r="CL836" s="83"/>
      <c r="CM836" s="83"/>
      <c r="CN836" s="83"/>
      <c r="CO836" s="83"/>
      <c r="CP836" s="83"/>
      <c r="CQ836" s="83"/>
      <c r="CR836" s="83"/>
      <c r="CS836" s="83"/>
      <c r="CT836" s="83"/>
      <c r="CU836" s="83"/>
      <c r="CV836" s="83"/>
      <c r="CW836" s="83"/>
      <c r="CX836" s="83"/>
      <c r="CY836" s="83"/>
      <c r="CZ836" s="83"/>
      <c r="DA836" s="83"/>
      <c r="DB836" s="83"/>
      <c r="DC836" s="83"/>
    </row>
    <row r="837" spans="1:107" x14ac:dyDescent="0.3">
      <c r="A837" s="83"/>
      <c r="B837" s="83"/>
      <c r="C837" s="83"/>
      <c r="D837" s="83"/>
      <c r="E837" s="83"/>
      <c r="F837" s="83"/>
      <c r="G837" s="83"/>
      <c r="H837" s="83"/>
      <c r="I837" s="83"/>
      <c r="J837" s="83"/>
      <c r="K837" s="83"/>
      <c r="L837" s="83"/>
      <c r="M837" s="83"/>
      <c r="N837" s="83"/>
      <c r="O837" s="83"/>
      <c r="P837" s="83"/>
      <c r="Q837" s="83"/>
      <c r="R837" s="83"/>
      <c r="S837" s="83"/>
      <c r="T837" s="83"/>
      <c r="U837" s="83"/>
      <c r="V837" s="83"/>
      <c r="W837" s="83"/>
      <c r="X837" s="83"/>
      <c r="Y837" s="83"/>
      <c r="Z837" s="83"/>
      <c r="AA837" s="83"/>
      <c r="AB837" s="83"/>
      <c r="AC837" s="83"/>
      <c r="AD837" s="83"/>
      <c r="AE837" s="83"/>
      <c r="AF837" s="83"/>
      <c r="AG837" s="83"/>
      <c r="AH837" s="83"/>
      <c r="AI837" s="83"/>
      <c r="AJ837" s="83"/>
      <c r="AK837" s="83"/>
      <c r="AL837" s="83"/>
      <c r="AM837" s="83"/>
      <c r="AN837" s="83"/>
      <c r="AO837" s="83"/>
      <c r="AP837" s="83"/>
      <c r="AQ837" s="83"/>
      <c r="AR837" s="83"/>
      <c r="AS837" s="83"/>
      <c r="AT837" s="83"/>
      <c r="AU837" s="83"/>
      <c r="AV837" s="83"/>
      <c r="AW837" s="83"/>
      <c r="AX837" s="83"/>
      <c r="AY837" s="83"/>
      <c r="AZ837" s="83"/>
      <c r="BA837" s="83"/>
      <c r="BB837" s="83"/>
      <c r="BC837" s="83"/>
      <c r="BD837" s="83"/>
      <c r="BE837" s="83"/>
      <c r="BF837" s="83"/>
      <c r="BG837" s="83"/>
      <c r="BH837" s="83"/>
      <c r="BI837" s="83"/>
      <c r="BJ837" s="83"/>
      <c r="BK837" s="83"/>
      <c r="BL837" s="83"/>
      <c r="BM837" s="83"/>
      <c r="BN837" s="83"/>
      <c r="BO837" s="83"/>
      <c r="BP837" s="83"/>
      <c r="BQ837" s="83"/>
      <c r="BR837" s="83"/>
      <c r="BS837" s="83"/>
      <c r="BT837" s="83"/>
      <c r="BU837" s="83"/>
      <c r="BV837" s="83"/>
      <c r="BW837" s="83"/>
      <c r="BX837" s="83"/>
      <c r="BY837" s="83"/>
      <c r="BZ837" s="83"/>
      <c r="CA837" s="83"/>
      <c r="CB837" s="83"/>
      <c r="CC837" s="83"/>
      <c r="CD837" s="83"/>
      <c r="CE837" s="83"/>
      <c r="CF837" s="83"/>
      <c r="CG837" s="83"/>
      <c r="CH837" s="83"/>
      <c r="CI837" s="83"/>
      <c r="CJ837" s="83"/>
      <c r="CK837" s="83"/>
      <c r="CL837" s="83"/>
      <c r="CM837" s="83"/>
      <c r="CN837" s="83"/>
      <c r="CO837" s="83"/>
      <c r="CP837" s="83"/>
      <c r="CQ837" s="83"/>
      <c r="CR837" s="83"/>
      <c r="CS837" s="83"/>
      <c r="CT837" s="83"/>
      <c r="CU837" s="83"/>
      <c r="CV837" s="83"/>
      <c r="CW837" s="83"/>
      <c r="CX837" s="83"/>
      <c r="CY837" s="83"/>
      <c r="CZ837" s="83"/>
      <c r="DA837" s="83"/>
      <c r="DB837" s="83"/>
      <c r="DC837" s="83"/>
    </row>
    <row r="838" spans="1:107" x14ac:dyDescent="0.3">
      <c r="A838" s="83"/>
      <c r="B838" s="83"/>
      <c r="C838" s="83"/>
      <c r="D838" s="83"/>
      <c r="E838" s="83"/>
      <c r="F838" s="83"/>
      <c r="G838" s="83"/>
      <c r="H838" s="83"/>
      <c r="I838" s="83"/>
      <c r="J838" s="83"/>
      <c r="K838" s="83"/>
      <c r="L838" s="83"/>
      <c r="M838" s="83"/>
      <c r="N838" s="83"/>
      <c r="O838" s="83"/>
      <c r="P838" s="83"/>
      <c r="Q838" s="83"/>
      <c r="R838" s="83"/>
      <c r="S838" s="83"/>
      <c r="T838" s="83"/>
      <c r="U838" s="83"/>
      <c r="V838" s="83"/>
      <c r="W838" s="83"/>
      <c r="X838" s="83"/>
      <c r="Y838" s="83"/>
      <c r="Z838" s="83"/>
      <c r="AA838" s="83"/>
      <c r="AB838" s="83"/>
      <c r="AC838" s="83"/>
      <c r="AD838" s="83"/>
      <c r="AE838" s="83"/>
      <c r="AF838" s="83"/>
      <c r="AG838" s="83"/>
      <c r="AH838" s="83"/>
      <c r="AI838" s="83"/>
      <c r="AJ838" s="83"/>
      <c r="AK838" s="83"/>
      <c r="AL838" s="83"/>
      <c r="AM838" s="83"/>
      <c r="AN838" s="83"/>
      <c r="AO838" s="83"/>
      <c r="AP838" s="83"/>
      <c r="AQ838" s="83"/>
      <c r="AR838" s="83"/>
      <c r="AS838" s="83"/>
      <c r="AT838" s="83"/>
      <c r="AU838" s="83"/>
      <c r="AV838" s="83"/>
      <c r="AW838" s="83"/>
      <c r="AX838" s="83"/>
      <c r="AY838" s="83"/>
      <c r="AZ838" s="83"/>
      <c r="BA838" s="83"/>
      <c r="BB838" s="83"/>
      <c r="BC838" s="83"/>
      <c r="BD838" s="83"/>
      <c r="BE838" s="83"/>
      <c r="BF838" s="83"/>
      <c r="BG838" s="83"/>
      <c r="BH838" s="83"/>
      <c r="BI838" s="83"/>
      <c r="BJ838" s="83"/>
      <c r="BK838" s="83"/>
      <c r="BL838" s="83"/>
      <c r="BM838" s="83"/>
      <c r="BN838" s="83"/>
      <c r="BO838" s="83"/>
      <c r="BP838" s="83"/>
      <c r="BQ838" s="83"/>
      <c r="BR838" s="83"/>
      <c r="BS838" s="83"/>
      <c r="BT838" s="83"/>
      <c r="BU838" s="83"/>
      <c r="BV838" s="83"/>
      <c r="BW838" s="83"/>
      <c r="BX838" s="83"/>
      <c r="BY838" s="83"/>
      <c r="BZ838" s="83"/>
      <c r="CA838" s="83"/>
      <c r="CB838" s="83"/>
      <c r="CC838" s="83"/>
      <c r="CD838" s="83"/>
      <c r="CE838" s="83"/>
      <c r="CF838" s="83"/>
      <c r="CG838" s="83"/>
      <c r="CH838" s="83"/>
      <c r="CI838" s="83"/>
      <c r="CJ838" s="83"/>
      <c r="CK838" s="83"/>
      <c r="CL838" s="83"/>
      <c r="CM838" s="83"/>
      <c r="CN838" s="83"/>
      <c r="CO838" s="83"/>
      <c r="CP838" s="83"/>
      <c r="CQ838" s="83"/>
      <c r="CR838" s="83"/>
      <c r="CS838" s="83"/>
      <c r="CT838" s="83"/>
      <c r="CU838" s="83"/>
      <c r="CV838" s="83"/>
      <c r="CW838" s="83"/>
      <c r="CX838" s="83"/>
      <c r="CY838" s="83"/>
      <c r="CZ838" s="83"/>
      <c r="DA838" s="83"/>
      <c r="DB838" s="83"/>
      <c r="DC838" s="83"/>
    </row>
    <row r="839" spans="1:107" x14ac:dyDescent="0.3">
      <c r="A839" s="83"/>
      <c r="B839" s="83"/>
      <c r="C839" s="83"/>
      <c r="D839" s="83"/>
      <c r="E839" s="83"/>
      <c r="F839" s="83"/>
      <c r="G839" s="83"/>
      <c r="H839" s="83"/>
      <c r="I839" s="83"/>
      <c r="J839" s="83"/>
      <c r="K839" s="83"/>
      <c r="L839" s="83"/>
      <c r="M839" s="83"/>
      <c r="N839" s="83"/>
      <c r="O839" s="83"/>
      <c r="P839" s="83"/>
      <c r="Q839" s="83"/>
      <c r="R839" s="83"/>
      <c r="S839" s="83"/>
      <c r="T839" s="83"/>
      <c r="U839" s="83"/>
      <c r="V839" s="83"/>
      <c r="W839" s="83"/>
      <c r="X839" s="83"/>
      <c r="Y839" s="83"/>
      <c r="Z839" s="83"/>
      <c r="AA839" s="83"/>
      <c r="AB839" s="83"/>
      <c r="AC839" s="83"/>
      <c r="AD839" s="83"/>
      <c r="AE839" s="83"/>
      <c r="AF839" s="83"/>
      <c r="AG839" s="83"/>
      <c r="AH839" s="83"/>
      <c r="AI839" s="83"/>
      <c r="AJ839" s="83"/>
      <c r="AK839" s="83"/>
      <c r="AL839" s="83"/>
      <c r="AM839" s="83"/>
      <c r="AN839" s="83"/>
      <c r="AO839" s="83"/>
      <c r="AP839" s="83"/>
      <c r="AQ839" s="83"/>
      <c r="AR839" s="83"/>
      <c r="AS839" s="83"/>
      <c r="AT839" s="83"/>
      <c r="AU839" s="83"/>
      <c r="AV839" s="83"/>
      <c r="AW839" s="83"/>
      <c r="AX839" s="83"/>
      <c r="AY839" s="83"/>
      <c r="AZ839" s="83"/>
      <c r="BA839" s="83"/>
      <c r="BB839" s="83"/>
      <c r="BC839" s="83"/>
      <c r="BD839" s="83"/>
      <c r="BE839" s="83"/>
      <c r="BF839" s="83"/>
      <c r="BG839" s="83"/>
      <c r="BH839" s="83"/>
      <c r="BI839" s="83"/>
      <c r="BJ839" s="83"/>
      <c r="BK839" s="83"/>
      <c r="BL839" s="83"/>
      <c r="BM839" s="83"/>
      <c r="BN839" s="83"/>
      <c r="BO839" s="83"/>
      <c r="BP839" s="83"/>
      <c r="BQ839" s="83"/>
      <c r="BR839" s="83"/>
      <c r="BS839" s="83"/>
      <c r="BT839" s="83"/>
      <c r="BU839" s="83"/>
      <c r="BV839" s="83"/>
      <c r="BW839" s="83"/>
      <c r="BX839" s="83"/>
      <c r="BY839" s="83"/>
      <c r="BZ839" s="83"/>
      <c r="CA839" s="83"/>
      <c r="CB839" s="83"/>
      <c r="CC839" s="83"/>
      <c r="CD839" s="83"/>
      <c r="CE839" s="83"/>
      <c r="CF839" s="83"/>
      <c r="CG839" s="83"/>
      <c r="CH839" s="83"/>
      <c r="CI839" s="83"/>
      <c r="CJ839" s="83"/>
      <c r="CK839" s="83"/>
      <c r="CL839" s="83"/>
      <c r="CM839" s="83"/>
      <c r="CN839" s="83"/>
      <c r="CO839" s="83"/>
      <c r="CP839" s="83"/>
      <c r="CQ839" s="83"/>
      <c r="CR839" s="83"/>
      <c r="CS839" s="83"/>
      <c r="CT839" s="83"/>
      <c r="CU839" s="83"/>
      <c r="CV839" s="83"/>
      <c r="CW839" s="83"/>
      <c r="CX839" s="83"/>
      <c r="CY839" s="83"/>
      <c r="CZ839" s="83"/>
      <c r="DA839" s="83"/>
      <c r="DB839" s="83"/>
      <c r="DC839" s="83"/>
    </row>
    <row r="840" spans="1:107" x14ac:dyDescent="0.3">
      <c r="A840" s="83"/>
      <c r="B840" s="83"/>
      <c r="C840" s="83"/>
      <c r="D840" s="83"/>
      <c r="E840" s="83"/>
      <c r="F840" s="83"/>
      <c r="G840" s="83"/>
      <c r="H840" s="83"/>
      <c r="I840" s="83"/>
      <c r="J840" s="83"/>
      <c r="K840" s="83"/>
      <c r="L840" s="83"/>
      <c r="M840" s="83"/>
      <c r="N840" s="83"/>
      <c r="O840" s="83"/>
      <c r="P840" s="83"/>
      <c r="Q840" s="83"/>
      <c r="R840" s="83"/>
      <c r="S840" s="83"/>
      <c r="T840" s="83"/>
      <c r="U840" s="83"/>
      <c r="V840" s="83"/>
      <c r="W840" s="83"/>
      <c r="X840" s="83"/>
      <c r="Y840" s="83"/>
      <c r="Z840" s="83"/>
      <c r="AA840" s="83"/>
      <c r="AB840" s="83"/>
      <c r="AC840" s="83"/>
      <c r="AD840" s="83"/>
      <c r="AE840" s="83"/>
      <c r="AF840" s="83"/>
      <c r="AG840" s="83"/>
      <c r="AH840" s="83"/>
      <c r="AI840" s="83"/>
      <c r="AJ840" s="83"/>
      <c r="AK840" s="83"/>
      <c r="AL840" s="83"/>
      <c r="AM840" s="83"/>
      <c r="AN840" s="83"/>
      <c r="AO840" s="83"/>
      <c r="AP840" s="83"/>
      <c r="AQ840" s="83"/>
      <c r="AR840" s="83"/>
      <c r="AS840" s="83"/>
      <c r="AT840" s="83"/>
      <c r="AU840" s="83"/>
      <c r="AV840" s="83"/>
      <c r="AW840" s="83"/>
      <c r="AX840" s="83"/>
      <c r="AY840" s="83"/>
      <c r="AZ840" s="83"/>
      <c r="BA840" s="83"/>
      <c r="BB840" s="83"/>
      <c r="BC840" s="83"/>
      <c r="BD840" s="83"/>
      <c r="BE840" s="83"/>
      <c r="BF840" s="83"/>
      <c r="BG840" s="83"/>
      <c r="BH840" s="83"/>
      <c r="BI840" s="83"/>
      <c r="BJ840" s="83"/>
      <c r="BK840" s="83"/>
      <c r="BL840" s="83"/>
      <c r="BM840" s="83"/>
      <c r="BN840" s="83"/>
      <c r="BO840" s="83"/>
      <c r="BP840" s="83"/>
      <c r="BQ840" s="83"/>
      <c r="BR840" s="83"/>
      <c r="BS840" s="83"/>
      <c r="BT840" s="83"/>
      <c r="BU840" s="83"/>
      <c r="BV840" s="83"/>
      <c r="BW840" s="83"/>
      <c r="BX840" s="83"/>
      <c r="BY840" s="83"/>
      <c r="BZ840" s="83"/>
      <c r="CA840" s="83"/>
      <c r="CB840" s="83"/>
      <c r="CC840" s="83"/>
      <c r="CD840" s="83"/>
      <c r="CE840" s="83"/>
      <c r="CF840" s="83"/>
      <c r="CG840" s="83"/>
      <c r="CH840" s="83"/>
      <c r="CI840" s="83"/>
      <c r="CJ840" s="83"/>
      <c r="CK840" s="83"/>
      <c r="CL840" s="83"/>
      <c r="CM840" s="83"/>
      <c r="CN840" s="83"/>
      <c r="CO840" s="83"/>
      <c r="CP840" s="83"/>
      <c r="CQ840" s="83"/>
      <c r="CR840" s="83"/>
      <c r="CS840" s="83"/>
      <c r="CT840" s="83"/>
      <c r="CU840" s="83"/>
      <c r="CV840" s="83"/>
      <c r="CW840" s="83"/>
      <c r="CX840" s="83"/>
      <c r="CY840" s="83"/>
      <c r="CZ840" s="83"/>
      <c r="DA840" s="83"/>
      <c r="DB840" s="83"/>
      <c r="DC840" s="83"/>
    </row>
    <row r="841" spans="1:107" x14ac:dyDescent="0.3">
      <c r="A841" s="83"/>
      <c r="B841" s="83"/>
      <c r="C841" s="83"/>
      <c r="D841" s="83"/>
      <c r="E841" s="83"/>
      <c r="F841" s="83"/>
      <c r="G841" s="83"/>
      <c r="H841" s="83"/>
      <c r="I841" s="83"/>
      <c r="J841" s="83"/>
      <c r="K841" s="83"/>
      <c r="L841" s="83"/>
      <c r="M841" s="83"/>
      <c r="N841" s="83"/>
      <c r="O841" s="83"/>
      <c r="P841" s="83"/>
      <c r="Q841" s="83"/>
      <c r="R841" s="83"/>
      <c r="S841" s="83"/>
      <c r="T841" s="83"/>
      <c r="U841" s="83"/>
      <c r="V841" s="83"/>
      <c r="W841" s="83"/>
      <c r="X841" s="83"/>
      <c r="Y841" s="83"/>
      <c r="Z841" s="83"/>
      <c r="AA841" s="83"/>
      <c r="AB841" s="83"/>
      <c r="AC841" s="83"/>
      <c r="AD841" s="83"/>
      <c r="AE841" s="83"/>
      <c r="AF841" s="83"/>
      <c r="AG841" s="83"/>
      <c r="AH841" s="83"/>
      <c r="AI841" s="83"/>
      <c r="AJ841" s="83"/>
      <c r="AK841" s="83"/>
      <c r="AL841" s="83"/>
      <c r="AM841" s="83"/>
      <c r="AN841" s="83"/>
      <c r="AO841" s="83"/>
      <c r="AP841" s="83"/>
      <c r="AQ841" s="83"/>
      <c r="AR841" s="83"/>
      <c r="AS841" s="83"/>
      <c r="AT841" s="83"/>
      <c r="AU841" s="83"/>
      <c r="AV841" s="83"/>
      <c r="AW841" s="83"/>
      <c r="AX841" s="83"/>
      <c r="AY841" s="83"/>
      <c r="AZ841" s="83"/>
      <c r="BA841" s="83"/>
      <c r="BB841" s="83"/>
      <c r="BC841" s="83"/>
      <c r="BD841" s="83"/>
      <c r="BE841" s="83"/>
      <c r="BF841" s="83"/>
      <c r="BG841" s="83"/>
      <c r="BH841" s="83"/>
      <c r="BI841" s="83"/>
      <c r="BJ841" s="83"/>
      <c r="BK841" s="83"/>
      <c r="BL841" s="83"/>
      <c r="BM841" s="83"/>
      <c r="BN841" s="83"/>
      <c r="BO841" s="83"/>
      <c r="BP841" s="83"/>
      <c r="BQ841" s="83"/>
      <c r="BR841" s="83"/>
      <c r="BS841" s="83"/>
      <c r="BT841" s="83"/>
      <c r="BU841" s="83"/>
      <c r="BV841" s="83"/>
      <c r="BW841" s="83"/>
      <c r="BX841" s="83"/>
      <c r="BY841" s="83"/>
      <c r="BZ841" s="83"/>
      <c r="CA841" s="83"/>
      <c r="CB841" s="83"/>
      <c r="CC841" s="83"/>
      <c r="CD841" s="83"/>
      <c r="CE841" s="83"/>
      <c r="CF841" s="83"/>
      <c r="CG841" s="83"/>
      <c r="CH841" s="83"/>
      <c r="CI841" s="83"/>
      <c r="CJ841" s="83"/>
      <c r="CK841" s="83"/>
      <c r="CL841" s="83"/>
      <c r="CM841" s="83"/>
      <c r="CN841" s="83"/>
      <c r="CO841" s="83"/>
      <c r="CP841" s="83"/>
      <c r="CQ841" s="83"/>
      <c r="CR841" s="83"/>
      <c r="CS841" s="83"/>
      <c r="CT841" s="83"/>
      <c r="CU841" s="83"/>
      <c r="CV841" s="83"/>
      <c r="CW841" s="83"/>
      <c r="CX841" s="83"/>
      <c r="CY841" s="83"/>
      <c r="CZ841" s="83"/>
      <c r="DA841" s="83"/>
      <c r="DB841" s="83"/>
      <c r="DC841" s="83"/>
    </row>
    <row r="842" spans="1:107" x14ac:dyDescent="0.3">
      <c r="A842" s="83"/>
      <c r="B842" s="83"/>
      <c r="C842" s="83"/>
      <c r="D842" s="83"/>
      <c r="E842" s="83"/>
      <c r="F842" s="83"/>
      <c r="G842" s="83"/>
      <c r="H842" s="83"/>
      <c r="I842" s="83"/>
      <c r="J842" s="83"/>
      <c r="K842" s="83"/>
      <c r="L842" s="83"/>
      <c r="M842" s="83"/>
      <c r="N842" s="83"/>
      <c r="O842" s="83"/>
      <c r="P842" s="83"/>
      <c r="Q842" s="83"/>
      <c r="R842" s="83"/>
      <c r="S842" s="83"/>
      <c r="T842" s="83"/>
      <c r="U842" s="83"/>
      <c r="V842" s="83"/>
      <c r="W842" s="83"/>
      <c r="X842" s="83"/>
      <c r="Y842" s="83"/>
      <c r="Z842" s="83"/>
      <c r="AA842" s="83"/>
      <c r="AB842" s="83"/>
      <c r="AC842" s="83"/>
      <c r="AD842" s="83"/>
      <c r="AE842" s="83"/>
      <c r="AF842" s="83"/>
      <c r="AG842" s="83"/>
      <c r="AH842" s="83"/>
      <c r="AI842" s="83"/>
      <c r="AJ842" s="83"/>
      <c r="AK842" s="83"/>
      <c r="AL842" s="83"/>
      <c r="AM842" s="83"/>
      <c r="AN842" s="83"/>
      <c r="AO842" s="83"/>
      <c r="AP842" s="83"/>
      <c r="AQ842" s="83"/>
      <c r="AR842" s="83"/>
      <c r="AS842" s="83"/>
      <c r="AT842" s="83"/>
      <c r="AU842" s="83"/>
      <c r="AV842" s="83"/>
      <c r="AW842" s="83"/>
      <c r="AX842" s="83"/>
      <c r="AY842" s="83"/>
      <c r="AZ842" s="83"/>
      <c r="BA842" s="83"/>
      <c r="BB842" s="83"/>
      <c r="BC842" s="83"/>
      <c r="BD842" s="83"/>
      <c r="BE842" s="83"/>
      <c r="BF842" s="83"/>
      <c r="BG842" s="83"/>
      <c r="BH842" s="83"/>
      <c r="BI842" s="83"/>
      <c r="BJ842" s="83"/>
      <c r="BK842" s="83"/>
      <c r="BL842" s="83"/>
      <c r="BM842" s="83"/>
      <c r="BN842" s="83"/>
      <c r="BO842" s="83"/>
      <c r="BP842" s="83"/>
      <c r="BQ842" s="83"/>
      <c r="BR842" s="83"/>
      <c r="BS842" s="83"/>
      <c r="BT842" s="83"/>
      <c r="BU842" s="83"/>
      <c r="BV842" s="83"/>
      <c r="BW842" s="83"/>
      <c r="BX842" s="83"/>
      <c r="BY842" s="83"/>
      <c r="BZ842" s="83"/>
      <c r="CA842" s="83"/>
      <c r="CB842" s="83"/>
      <c r="CC842" s="83"/>
      <c r="CD842" s="83"/>
      <c r="CE842" s="83"/>
      <c r="CF842" s="83"/>
      <c r="CG842" s="83"/>
      <c r="CH842" s="83"/>
      <c r="CI842" s="83"/>
      <c r="CJ842" s="83"/>
      <c r="CK842" s="83"/>
      <c r="CL842" s="83"/>
      <c r="CM842" s="83"/>
      <c r="CN842" s="83"/>
      <c r="CO842" s="83"/>
      <c r="CP842" s="83"/>
      <c r="CQ842" s="83"/>
      <c r="CR842" s="83"/>
      <c r="CS842" s="83"/>
      <c r="CT842" s="83"/>
      <c r="CU842" s="83"/>
      <c r="CV842" s="83"/>
      <c r="CW842" s="83"/>
      <c r="CX842" s="83"/>
      <c r="CY842" s="83"/>
      <c r="CZ842" s="83"/>
      <c r="DA842" s="83"/>
      <c r="DB842" s="83"/>
      <c r="DC842" s="83"/>
    </row>
    <row r="843" spans="1:107" x14ac:dyDescent="0.3">
      <c r="A843" s="83"/>
      <c r="B843" s="83"/>
      <c r="C843" s="83"/>
      <c r="D843" s="83"/>
      <c r="E843" s="83"/>
      <c r="F843" s="83"/>
      <c r="G843" s="83"/>
      <c r="H843" s="83"/>
      <c r="I843" s="83"/>
      <c r="J843" s="83"/>
      <c r="K843" s="83"/>
      <c r="L843" s="83"/>
      <c r="M843" s="83"/>
      <c r="N843" s="83"/>
      <c r="O843" s="83"/>
      <c r="P843" s="83"/>
      <c r="Q843" s="83"/>
      <c r="R843" s="83"/>
      <c r="S843" s="83"/>
      <c r="T843" s="83"/>
      <c r="U843" s="83"/>
      <c r="V843" s="83"/>
      <c r="W843" s="83"/>
      <c r="X843" s="83"/>
      <c r="Y843" s="83"/>
      <c r="Z843" s="83"/>
      <c r="AA843" s="83"/>
      <c r="AB843" s="83"/>
      <c r="AC843" s="83"/>
      <c r="AD843" s="83"/>
      <c r="AE843" s="83"/>
      <c r="AF843" s="83"/>
      <c r="AG843" s="83"/>
      <c r="AH843" s="83"/>
      <c r="AI843" s="83"/>
      <c r="AJ843" s="83"/>
      <c r="AK843" s="83"/>
      <c r="AL843" s="83"/>
      <c r="AM843" s="83"/>
      <c r="AN843" s="83"/>
      <c r="AO843" s="83"/>
      <c r="AP843" s="83"/>
      <c r="AQ843" s="83"/>
      <c r="AR843" s="83"/>
      <c r="AS843" s="83"/>
      <c r="AT843" s="83"/>
      <c r="AU843" s="83"/>
      <c r="AV843" s="83"/>
      <c r="AW843" s="83"/>
      <c r="AX843" s="83"/>
      <c r="AY843" s="83"/>
      <c r="AZ843" s="83"/>
      <c r="BA843" s="83"/>
      <c r="BB843" s="83"/>
      <c r="BC843" s="83"/>
      <c r="BD843" s="83"/>
      <c r="BE843" s="83"/>
      <c r="BF843" s="83"/>
      <c r="BG843" s="83"/>
      <c r="BH843" s="83"/>
      <c r="BI843" s="83"/>
      <c r="BJ843" s="83"/>
      <c r="BK843" s="83"/>
      <c r="BL843" s="83"/>
      <c r="BM843" s="83"/>
      <c r="BN843" s="83"/>
      <c r="BO843" s="83"/>
      <c r="BP843" s="83"/>
      <c r="BQ843" s="83"/>
      <c r="BR843" s="83"/>
      <c r="BS843" s="83"/>
      <c r="BT843" s="83"/>
      <c r="BU843" s="83"/>
      <c r="BV843" s="83"/>
      <c r="BW843" s="83"/>
      <c r="BX843" s="83"/>
      <c r="BY843" s="83"/>
      <c r="BZ843" s="83"/>
      <c r="CA843" s="83"/>
      <c r="CB843" s="83"/>
      <c r="CC843" s="83"/>
      <c r="CD843" s="83"/>
      <c r="CE843" s="83"/>
      <c r="CF843" s="83"/>
      <c r="CG843" s="83"/>
      <c r="CH843" s="83"/>
      <c r="CI843" s="83"/>
      <c r="CJ843" s="83"/>
      <c r="CK843" s="83"/>
      <c r="CL843" s="83"/>
      <c r="CM843" s="83"/>
      <c r="CN843" s="83"/>
      <c r="CO843" s="83"/>
      <c r="CP843" s="83"/>
      <c r="CQ843" s="83"/>
      <c r="CR843" s="83"/>
      <c r="CS843" s="83"/>
      <c r="CT843" s="83"/>
      <c r="CU843" s="83"/>
      <c r="CV843" s="83"/>
      <c r="CW843" s="83"/>
      <c r="CX843" s="83"/>
      <c r="CY843" s="83"/>
      <c r="CZ843" s="83"/>
      <c r="DA843" s="83"/>
      <c r="DB843" s="83"/>
      <c r="DC843" s="83"/>
    </row>
    <row r="844" spans="1:107" x14ac:dyDescent="0.3">
      <c r="A844" s="83"/>
      <c r="B844" s="83"/>
      <c r="C844" s="83"/>
      <c r="D844" s="83"/>
      <c r="E844" s="83"/>
      <c r="F844" s="83"/>
      <c r="G844" s="83"/>
      <c r="H844" s="83"/>
      <c r="I844" s="83"/>
      <c r="J844" s="83"/>
      <c r="K844" s="83"/>
      <c r="L844" s="83"/>
      <c r="M844" s="83"/>
      <c r="N844" s="83"/>
      <c r="O844" s="83"/>
      <c r="P844" s="83"/>
      <c r="Q844" s="83"/>
      <c r="R844" s="83"/>
      <c r="S844" s="83"/>
      <c r="T844" s="83"/>
      <c r="U844" s="83"/>
      <c r="V844" s="83"/>
      <c r="W844" s="83"/>
      <c r="X844" s="83"/>
      <c r="Y844" s="83"/>
      <c r="Z844" s="83"/>
      <c r="AA844" s="83"/>
      <c r="AB844" s="83"/>
      <c r="AC844" s="83"/>
      <c r="AD844" s="83"/>
      <c r="AE844" s="83"/>
      <c r="AF844" s="83"/>
      <c r="AG844" s="83"/>
      <c r="AH844" s="83"/>
      <c r="AI844" s="83"/>
      <c r="AJ844" s="83"/>
      <c r="AK844" s="83"/>
      <c r="AL844" s="83"/>
      <c r="AM844" s="83"/>
      <c r="AN844" s="83"/>
      <c r="AO844" s="83"/>
      <c r="AP844" s="83"/>
      <c r="AQ844" s="83"/>
      <c r="AR844" s="83"/>
      <c r="AS844" s="83"/>
      <c r="AT844" s="83"/>
      <c r="AU844" s="83"/>
      <c r="AV844" s="83"/>
      <c r="AW844" s="83"/>
      <c r="AX844" s="83"/>
      <c r="AY844" s="83"/>
      <c r="AZ844" s="83"/>
      <c r="BA844" s="83"/>
      <c r="BB844" s="83"/>
      <c r="BC844" s="83"/>
      <c r="BD844" s="83"/>
      <c r="BE844" s="83"/>
      <c r="BF844" s="83"/>
      <c r="BG844" s="83"/>
      <c r="BH844" s="83"/>
      <c r="BI844" s="83"/>
      <c r="BJ844" s="83"/>
      <c r="BK844" s="83"/>
      <c r="BL844" s="83"/>
      <c r="BM844" s="83"/>
      <c r="BN844" s="83"/>
      <c r="BO844" s="83"/>
      <c r="BP844" s="83"/>
      <c r="BQ844" s="83"/>
      <c r="BR844" s="83"/>
      <c r="BS844" s="83"/>
      <c r="BT844" s="83"/>
      <c r="BU844" s="83"/>
      <c r="BV844" s="83"/>
      <c r="BW844" s="83"/>
      <c r="BX844" s="83"/>
      <c r="BY844" s="83"/>
      <c r="BZ844" s="83"/>
      <c r="CA844" s="83"/>
      <c r="CB844" s="83"/>
      <c r="CC844" s="83"/>
      <c r="CD844" s="83"/>
      <c r="CE844" s="83"/>
      <c r="CF844" s="83"/>
      <c r="CG844" s="83"/>
      <c r="CH844" s="83"/>
      <c r="CI844" s="83"/>
      <c r="CJ844" s="83"/>
      <c r="CK844" s="83"/>
      <c r="CL844" s="83"/>
      <c r="CM844" s="83"/>
      <c r="CN844" s="83"/>
      <c r="CO844" s="83"/>
      <c r="CP844" s="83"/>
      <c r="CQ844" s="83"/>
      <c r="CR844" s="83"/>
      <c r="CS844" s="83"/>
      <c r="CT844" s="83"/>
      <c r="CU844" s="83"/>
      <c r="CV844" s="83"/>
      <c r="CW844" s="83"/>
      <c r="CX844" s="83"/>
      <c r="CY844" s="83"/>
      <c r="CZ844" s="83"/>
      <c r="DA844" s="83"/>
      <c r="DB844" s="83"/>
      <c r="DC844" s="83"/>
    </row>
    <row r="845" spans="1:107" x14ac:dyDescent="0.3">
      <c r="A845" s="83"/>
      <c r="B845" s="83"/>
      <c r="C845" s="83"/>
      <c r="D845" s="83"/>
      <c r="E845" s="83"/>
      <c r="F845" s="83"/>
      <c r="G845" s="83"/>
      <c r="H845" s="83"/>
      <c r="I845" s="83"/>
      <c r="J845" s="83"/>
      <c r="K845" s="83"/>
      <c r="L845" s="83"/>
      <c r="M845" s="83"/>
      <c r="N845" s="83"/>
      <c r="O845" s="83"/>
      <c r="P845" s="83"/>
      <c r="Q845" s="83"/>
      <c r="R845" s="83"/>
      <c r="S845" s="83"/>
      <c r="T845" s="83"/>
      <c r="U845" s="83"/>
      <c r="V845" s="83"/>
      <c r="W845" s="83"/>
      <c r="X845" s="83"/>
      <c r="Y845" s="83"/>
      <c r="Z845" s="83"/>
      <c r="AA845" s="83"/>
      <c r="AB845" s="83"/>
      <c r="AC845" s="83"/>
      <c r="AD845" s="83"/>
      <c r="AE845" s="83"/>
      <c r="AF845" s="83"/>
      <c r="AG845" s="83"/>
      <c r="AH845" s="83"/>
      <c r="AI845" s="83"/>
      <c r="AJ845" s="83"/>
      <c r="AK845" s="83"/>
      <c r="AL845" s="83"/>
      <c r="AM845" s="83"/>
      <c r="AN845" s="83"/>
      <c r="AO845" s="83"/>
      <c r="AP845" s="83"/>
      <c r="AQ845" s="83"/>
      <c r="AR845" s="83"/>
      <c r="AS845" s="83"/>
      <c r="AT845" s="83"/>
      <c r="AU845" s="83"/>
      <c r="AV845" s="83"/>
      <c r="AW845" s="83"/>
      <c r="AX845" s="83"/>
      <c r="AY845" s="83"/>
      <c r="AZ845" s="83"/>
      <c r="BA845" s="83"/>
      <c r="BB845" s="83"/>
      <c r="BC845" s="83"/>
      <c r="BD845" s="83"/>
      <c r="BE845" s="83"/>
      <c r="BF845" s="83"/>
      <c r="BG845" s="83"/>
      <c r="BH845" s="83"/>
      <c r="BI845" s="83"/>
      <c r="BJ845" s="83"/>
      <c r="BK845" s="83"/>
      <c r="BL845" s="83"/>
      <c r="BM845" s="83"/>
      <c r="BN845" s="83"/>
      <c r="BO845" s="83"/>
      <c r="BP845" s="83"/>
      <c r="BQ845" s="83"/>
      <c r="BR845" s="83"/>
      <c r="BS845" s="83"/>
      <c r="BT845" s="83"/>
      <c r="BU845" s="83"/>
      <c r="BV845" s="83"/>
      <c r="BW845" s="83"/>
      <c r="BX845" s="83"/>
      <c r="BY845" s="83"/>
      <c r="BZ845" s="83"/>
      <c r="CA845" s="83"/>
      <c r="CB845" s="83"/>
      <c r="CC845" s="83"/>
      <c r="CD845" s="83"/>
      <c r="CE845" s="83"/>
      <c r="CF845" s="83"/>
      <c r="CG845" s="83"/>
      <c r="CH845" s="83"/>
      <c r="CI845" s="83"/>
      <c r="CJ845" s="83"/>
      <c r="CK845" s="83"/>
      <c r="CL845" s="83"/>
      <c r="CM845" s="83"/>
      <c r="CN845" s="83"/>
      <c r="CO845" s="83"/>
      <c r="CP845" s="83"/>
      <c r="CQ845" s="83"/>
      <c r="CR845" s="83"/>
      <c r="CS845" s="83"/>
      <c r="CT845" s="83"/>
      <c r="CU845" s="83"/>
      <c r="CV845" s="83"/>
      <c r="CW845" s="83"/>
      <c r="CX845" s="83"/>
      <c r="CY845" s="83"/>
      <c r="CZ845" s="83"/>
      <c r="DA845" s="83"/>
      <c r="DB845" s="83"/>
      <c r="DC845" s="83"/>
    </row>
    <row r="846" spans="1:107" x14ac:dyDescent="0.3">
      <c r="A846" s="83"/>
      <c r="B846" s="83"/>
      <c r="C846" s="83"/>
      <c r="D846" s="83"/>
      <c r="E846" s="83"/>
      <c r="F846" s="83"/>
      <c r="G846" s="83"/>
      <c r="H846" s="83"/>
      <c r="I846" s="83"/>
      <c r="J846" s="83"/>
      <c r="K846" s="83"/>
      <c r="L846" s="83"/>
      <c r="M846" s="83"/>
      <c r="N846" s="83"/>
      <c r="O846" s="83"/>
      <c r="P846" s="83"/>
      <c r="Q846" s="83"/>
      <c r="R846" s="83"/>
      <c r="S846" s="83"/>
      <c r="T846" s="83"/>
      <c r="U846" s="83"/>
      <c r="V846" s="83"/>
      <c r="W846" s="83"/>
      <c r="X846" s="83"/>
      <c r="Y846" s="83"/>
      <c r="Z846" s="83"/>
      <c r="AA846" s="83"/>
      <c r="AB846" s="83"/>
      <c r="AC846" s="83"/>
      <c r="AD846" s="83"/>
      <c r="AE846" s="83"/>
      <c r="AF846" s="83"/>
      <c r="AG846" s="83"/>
      <c r="AH846" s="83"/>
      <c r="AI846" s="83"/>
      <c r="AJ846" s="83"/>
      <c r="AK846" s="83"/>
      <c r="AL846" s="83"/>
      <c r="AM846" s="83"/>
      <c r="AN846" s="83"/>
      <c r="AO846" s="83"/>
      <c r="AP846" s="83"/>
      <c r="AQ846" s="83"/>
      <c r="AR846" s="83"/>
      <c r="AS846" s="83"/>
      <c r="AT846" s="83"/>
      <c r="AU846" s="83"/>
      <c r="AV846" s="83"/>
      <c r="AW846" s="83"/>
      <c r="AX846" s="83"/>
      <c r="AY846" s="83"/>
      <c r="AZ846" s="83"/>
      <c r="BA846" s="83"/>
      <c r="BB846" s="83"/>
      <c r="BC846" s="83"/>
      <c r="BD846" s="83"/>
      <c r="BE846" s="83"/>
      <c r="BF846" s="83"/>
      <c r="BG846" s="83"/>
      <c r="BH846" s="83"/>
      <c r="BI846" s="83"/>
      <c r="BJ846" s="83"/>
      <c r="BK846" s="83"/>
      <c r="BL846" s="83"/>
      <c r="BM846" s="83"/>
      <c r="BN846" s="83"/>
      <c r="BO846" s="83"/>
      <c r="BP846" s="83"/>
      <c r="BQ846" s="83"/>
      <c r="BR846" s="83"/>
      <c r="BS846" s="83"/>
      <c r="BT846" s="83"/>
      <c r="BU846" s="83"/>
      <c r="BV846" s="83"/>
      <c r="BW846" s="83"/>
      <c r="BX846" s="83"/>
      <c r="BY846" s="83"/>
      <c r="BZ846" s="83"/>
      <c r="CA846" s="83"/>
      <c r="CB846" s="83"/>
      <c r="CC846" s="83"/>
      <c r="CD846" s="83"/>
      <c r="CE846" s="83"/>
      <c r="CF846" s="83"/>
      <c r="CG846" s="83"/>
      <c r="CH846" s="83"/>
      <c r="CI846" s="83"/>
      <c r="CJ846" s="83"/>
      <c r="CK846" s="83"/>
      <c r="CL846" s="83"/>
      <c r="CM846" s="83"/>
      <c r="CN846" s="83"/>
      <c r="CO846" s="83"/>
      <c r="CP846" s="83"/>
      <c r="CQ846" s="83"/>
      <c r="CR846" s="83"/>
      <c r="CS846" s="83"/>
      <c r="CT846" s="83"/>
      <c r="CU846" s="83"/>
      <c r="CV846" s="83"/>
      <c r="CW846" s="83"/>
      <c r="CX846" s="83"/>
      <c r="CY846" s="83"/>
      <c r="CZ846" s="83"/>
      <c r="DA846" s="83"/>
      <c r="DB846" s="83"/>
      <c r="DC846" s="83"/>
    </row>
    <row r="847" spans="1:107" x14ac:dyDescent="0.3">
      <c r="A847" s="83"/>
      <c r="B847" s="83"/>
      <c r="C847" s="83"/>
      <c r="D847" s="83"/>
      <c r="E847" s="83"/>
      <c r="F847" s="83"/>
      <c r="G847" s="83"/>
      <c r="H847" s="83"/>
      <c r="I847" s="83"/>
      <c r="J847" s="83"/>
      <c r="K847" s="83"/>
      <c r="L847" s="83"/>
      <c r="M847" s="83"/>
      <c r="N847" s="83"/>
      <c r="O847" s="83"/>
      <c r="P847" s="83"/>
      <c r="Q847" s="83"/>
      <c r="R847" s="83"/>
      <c r="S847" s="83"/>
      <c r="T847" s="83"/>
      <c r="U847" s="83"/>
      <c r="V847" s="83"/>
      <c r="W847" s="83"/>
      <c r="X847" s="83"/>
      <c r="Y847" s="83"/>
      <c r="Z847" s="83"/>
      <c r="AA847" s="83"/>
      <c r="AB847" s="83"/>
      <c r="AC847" s="83"/>
      <c r="AD847" s="83"/>
      <c r="AE847" s="83"/>
      <c r="AF847" s="83"/>
      <c r="AG847" s="83"/>
      <c r="AH847" s="83"/>
      <c r="AI847" s="83"/>
      <c r="AJ847" s="83"/>
      <c r="AK847" s="83"/>
      <c r="AL847" s="83"/>
      <c r="AM847" s="83"/>
      <c r="AN847" s="83"/>
      <c r="AO847" s="83"/>
      <c r="AP847" s="83"/>
      <c r="AQ847" s="83"/>
      <c r="AR847" s="83"/>
      <c r="AS847" s="83"/>
      <c r="AT847" s="83"/>
      <c r="AU847" s="83"/>
      <c r="AV847" s="83"/>
      <c r="AW847" s="83"/>
      <c r="AX847" s="83"/>
      <c r="AY847" s="83"/>
      <c r="AZ847" s="83"/>
      <c r="BA847" s="83"/>
      <c r="BB847" s="83"/>
      <c r="BC847" s="83"/>
      <c r="BD847" s="83"/>
      <c r="BE847" s="83"/>
      <c r="BF847" s="83"/>
      <c r="BG847" s="83"/>
      <c r="BH847" s="83"/>
      <c r="BI847" s="83"/>
      <c r="BJ847" s="83"/>
      <c r="BK847" s="83"/>
      <c r="BL847" s="83"/>
      <c r="BM847" s="83"/>
      <c r="BN847" s="83"/>
      <c r="BO847" s="83"/>
      <c r="BP847" s="83"/>
      <c r="BQ847" s="83"/>
      <c r="BR847" s="83"/>
      <c r="BS847" s="83"/>
      <c r="BT847" s="83"/>
      <c r="BU847" s="83"/>
      <c r="BV847" s="83"/>
      <c r="BW847" s="83"/>
      <c r="BX847" s="83"/>
      <c r="BY847" s="83"/>
      <c r="BZ847" s="83"/>
      <c r="CA847" s="83"/>
      <c r="CB847" s="83"/>
      <c r="CC847" s="83"/>
      <c r="CD847" s="83"/>
      <c r="CE847" s="83"/>
      <c r="CF847" s="83"/>
      <c r="CG847" s="83"/>
      <c r="CH847" s="83"/>
      <c r="CI847" s="83"/>
      <c r="CJ847" s="83"/>
      <c r="CK847" s="83"/>
      <c r="CL847" s="83"/>
      <c r="CM847" s="83"/>
      <c r="CN847" s="83"/>
      <c r="CO847" s="83"/>
      <c r="CP847" s="83"/>
      <c r="CQ847" s="83"/>
      <c r="CR847" s="83"/>
      <c r="CS847" s="83"/>
      <c r="CT847" s="83"/>
      <c r="CU847" s="83"/>
      <c r="CV847" s="83"/>
      <c r="CW847" s="83"/>
      <c r="CX847" s="83"/>
      <c r="CY847" s="83"/>
      <c r="CZ847" s="83"/>
      <c r="DA847" s="83"/>
      <c r="DB847" s="83"/>
      <c r="DC847" s="83"/>
    </row>
    <row r="848" spans="1:107" x14ac:dyDescent="0.3">
      <c r="A848" s="83"/>
      <c r="B848" s="83"/>
      <c r="C848" s="83"/>
      <c r="D848" s="83"/>
      <c r="E848" s="83"/>
      <c r="F848" s="83"/>
      <c r="G848" s="83"/>
      <c r="H848" s="83"/>
      <c r="I848" s="83"/>
      <c r="J848" s="83"/>
      <c r="K848" s="83"/>
      <c r="L848" s="83"/>
      <c r="M848" s="83"/>
      <c r="N848" s="83"/>
      <c r="O848" s="83"/>
      <c r="P848" s="83"/>
      <c r="Q848" s="83"/>
      <c r="R848" s="83"/>
      <c r="S848" s="83"/>
      <c r="T848" s="83"/>
      <c r="U848" s="83"/>
      <c r="V848" s="83"/>
      <c r="W848" s="83"/>
      <c r="X848" s="83"/>
      <c r="Y848" s="83"/>
      <c r="Z848" s="83"/>
      <c r="AA848" s="83"/>
      <c r="AB848" s="83"/>
      <c r="AC848" s="83"/>
      <c r="AD848" s="83"/>
      <c r="AE848" s="83"/>
      <c r="AF848" s="83"/>
      <c r="AG848" s="83"/>
      <c r="AH848" s="83"/>
      <c r="AI848" s="83"/>
      <c r="AJ848" s="83"/>
      <c r="AK848" s="83"/>
      <c r="AL848" s="83"/>
      <c r="AM848" s="83"/>
      <c r="AN848" s="83"/>
      <c r="AO848" s="83"/>
      <c r="AP848" s="83"/>
      <c r="AQ848" s="83"/>
      <c r="AR848" s="83"/>
      <c r="AS848" s="83"/>
      <c r="AT848" s="83"/>
      <c r="AU848" s="83"/>
      <c r="AV848" s="83"/>
      <c r="AW848" s="83"/>
      <c r="AX848" s="83"/>
      <c r="AY848" s="83"/>
      <c r="AZ848" s="83"/>
      <c r="BA848" s="83"/>
      <c r="BB848" s="83"/>
      <c r="BC848" s="83"/>
      <c r="BD848" s="83"/>
      <c r="BE848" s="83"/>
      <c r="BF848" s="83"/>
      <c r="BG848" s="83"/>
      <c r="BH848" s="83"/>
      <c r="BI848" s="83"/>
      <c r="BJ848" s="83"/>
      <c r="BK848" s="83"/>
      <c r="BL848" s="83"/>
      <c r="BM848" s="83"/>
      <c r="BN848" s="83"/>
      <c r="BO848" s="83"/>
      <c r="BP848" s="83"/>
      <c r="BQ848" s="83"/>
      <c r="BR848" s="83"/>
      <c r="BS848" s="83"/>
      <c r="BT848" s="83"/>
      <c r="BU848" s="83"/>
      <c r="BV848" s="83"/>
      <c r="BW848" s="83"/>
      <c r="BX848" s="83"/>
      <c r="BY848" s="83"/>
      <c r="BZ848" s="83"/>
      <c r="CA848" s="83"/>
      <c r="CB848" s="83"/>
      <c r="CC848" s="83"/>
      <c r="CD848" s="83"/>
      <c r="CE848" s="83"/>
      <c r="CF848" s="83"/>
      <c r="CG848" s="83"/>
      <c r="CH848" s="83"/>
      <c r="CI848" s="83"/>
      <c r="CJ848" s="83"/>
      <c r="CK848" s="83"/>
      <c r="CL848" s="83"/>
      <c r="CM848" s="83"/>
      <c r="CN848" s="83"/>
      <c r="CO848" s="83"/>
      <c r="CP848" s="83"/>
      <c r="CQ848" s="83"/>
      <c r="CR848" s="83"/>
      <c r="CS848" s="83"/>
      <c r="CT848" s="83"/>
      <c r="CU848" s="83"/>
      <c r="CV848" s="83"/>
      <c r="CW848" s="83"/>
      <c r="CX848" s="83"/>
      <c r="CY848" s="83"/>
      <c r="CZ848" s="83"/>
      <c r="DA848" s="83"/>
      <c r="DB848" s="83"/>
      <c r="DC848" s="83"/>
    </row>
    <row r="849" spans="1:107" x14ac:dyDescent="0.3">
      <c r="A849" s="83"/>
      <c r="B849" s="83"/>
      <c r="C849" s="83"/>
      <c r="D849" s="83"/>
      <c r="E849" s="83"/>
      <c r="F849" s="83"/>
      <c r="G849" s="83"/>
      <c r="H849" s="83"/>
      <c r="I849" s="83"/>
      <c r="J849" s="83"/>
      <c r="K849" s="83"/>
      <c r="L849" s="83"/>
      <c r="M849" s="83"/>
      <c r="N849" s="83"/>
      <c r="O849" s="83"/>
      <c r="P849" s="83"/>
      <c r="Q849" s="83"/>
      <c r="R849" s="83"/>
      <c r="S849" s="83"/>
      <c r="T849" s="83"/>
      <c r="U849" s="83"/>
      <c r="V849" s="83"/>
      <c r="W849" s="83"/>
      <c r="X849" s="83"/>
      <c r="Y849" s="83"/>
      <c r="Z849" s="83"/>
      <c r="AA849" s="83"/>
      <c r="AB849" s="83"/>
      <c r="AC849" s="83"/>
      <c r="AD849" s="83"/>
      <c r="AE849" s="83"/>
      <c r="AF849" s="83"/>
      <c r="AG849" s="83"/>
      <c r="AH849" s="83"/>
      <c r="AI849" s="83"/>
      <c r="AJ849" s="83"/>
      <c r="AK849" s="83"/>
      <c r="AL849" s="83"/>
      <c r="AM849" s="83"/>
      <c r="AN849" s="83"/>
      <c r="AO849" s="83"/>
      <c r="AP849" s="83"/>
      <c r="AQ849" s="83"/>
      <c r="AR849" s="83"/>
      <c r="AS849" s="83"/>
      <c r="AT849" s="83"/>
      <c r="AU849" s="83"/>
      <c r="AV849" s="83"/>
      <c r="AW849" s="83"/>
      <c r="AX849" s="83"/>
      <c r="AY849" s="83"/>
      <c r="AZ849" s="83"/>
      <c r="BA849" s="83"/>
      <c r="BB849" s="83"/>
      <c r="BC849" s="83"/>
      <c r="BD849" s="83"/>
      <c r="BE849" s="83"/>
      <c r="BF849" s="83"/>
      <c r="BG849" s="83"/>
      <c r="BH849" s="83"/>
      <c r="BI849" s="83"/>
      <c r="BJ849" s="83"/>
      <c r="BK849" s="83"/>
      <c r="BL849" s="83"/>
      <c r="BM849" s="83"/>
      <c r="BN849" s="83"/>
      <c r="BO849" s="83"/>
      <c r="BP849" s="83"/>
      <c r="BQ849" s="83"/>
      <c r="BR849" s="83"/>
      <c r="BS849" s="83"/>
      <c r="BT849" s="83"/>
      <c r="BU849" s="83"/>
      <c r="BV849" s="83"/>
      <c r="BW849" s="83"/>
      <c r="BX849" s="83"/>
      <c r="BY849" s="83"/>
      <c r="BZ849" s="83"/>
      <c r="CA849" s="83"/>
      <c r="CB849" s="83"/>
      <c r="CC849" s="83"/>
      <c r="CD849" s="83"/>
      <c r="CE849" s="83"/>
      <c r="CF849" s="83"/>
      <c r="CG849" s="83"/>
      <c r="CH849" s="83"/>
      <c r="CI849" s="83"/>
      <c r="CJ849" s="83"/>
      <c r="CK849" s="83"/>
      <c r="CL849" s="83"/>
      <c r="CM849" s="83"/>
      <c r="CN849" s="83"/>
      <c r="CO849" s="83"/>
      <c r="CP849" s="83"/>
      <c r="CQ849" s="83"/>
      <c r="CR849" s="83"/>
      <c r="CS849" s="83"/>
      <c r="CT849" s="83"/>
      <c r="CU849" s="83"/>
      <c r="CV849" s="83"/>
      <c r="CW849" s="83"/>
      <c r="CX849" s="83"/>
      <c r="CY849" s="83"/>
      <c r="CZ849" s="83"/>
      <c r="DA849" s="83"/>
      <c r="DB849" s="83"/>
      <c r="DC849" s="83"/>
    </row>
    <row r="850" spans="1:107" x14ac:dyDescent="0.3">
      <c r="A850" s="83"/>
      <c r="B850" s="83"/>
      <c r="C850" s="83"/>
      <c r="D850" s="83"/>
      <c r="E850" s="83"/>
      <c r="F850" s="83"/>
      <c r="G850" s="83"/>
      <c r="H850" s="83"/>
      <c r="I850" s="83"/>
      <c r="J850" s="83"/>
      <c r="K850" s="83"/>
      <c r="L850" s="83"/>
      <c r="M850" s="83"/>
      <c r="N850" s="83"/>
      <c r="O850" s="83"/>
      <c r="P850" s="83"/>
      <c r="Q850" s="83"/>
      <c r="R850" s="83"/>
      <c r="S850" s="83"/>
      <c r="T850" s="83"/>
      <c r="U850" s="83"/>
      <c r="V850" s="83"/>
      <c r="W850" s="83"/>
      <c r="X850" s="83"/>
      <c r="Y850" s="83"/>
      <c r="Z850" s="83"/>
      <c r="AA850" s="83"/>
      <c r="AB850" s="83"/>
      <c r="AC850" s="83"/>
      <c r="AD850" s="83"/>
      <c r="AE850" s="83"/>
      <c r="AF850" s="83"/>
      <c r="AG850" s="83"/>
      <c r="AH850" s="83"/>
      <c r="AI850" s="83"/>
      <c r="AJ850" s="83"/>
      <c r="AK850" s="83"/>
      <c r="AL850" s="83"/>
      <c r="AM850" s="83"/>
      <c r="AN850" s="83"/>
      <c r="AO850" s="83"/>
      <c r="AP850" s="83"/>
      <c r="AQ850" s="83"/>
      <c r="AR850" s="83"/>
      <c r="AS850" s="83"/>
      <c r="AT850" s="83"/>
      <c r="AU850" s="83"/>
      <c r="AV850" s="83"/>
      <c r="AW850" s="83"/>
      <c r="AX850" s="83"/>
      <c r="AY850" s="83"/>
      <c r="AZ850" s="83"/>
      <c r="BA850" s="83"/>
      <c r="BB850" s="83"/>
      <c r="BC850" s="83"/>
      <c r="BD850" s="83"/>
      <c r="BE850" s="83"/>
      <c r="BF850" s="83"/>
      <c r="BG850" s="83"/>
      <c r="BH850" s="83"/>
      <c r="BI850" s="83"/>
      <c r="BJ850" s="83"/>
      <c r="BK850" s="83"/>
      <c r="BL850" s="83"/>
      <c r="BM850" s="83"/>
      <c r="BN850" s="83"/>
      <c r="BO850" s="83"/>
      <c r="BP850" s="83"/>
      <c r="BQ850" s="83"/>
      <c r="BR850" s="83"/>
      <c r="BS850" s="83"/>
      <c r="BT850" s="83"/>
      <c r="BU850" s="83"/>
      <c r="BV850" s="83"/>
      <c r="BW850" s="83"/>
      <c r="BX850" s="83"/>
      <c r="BY850" s="83"/>
      <c r="BZ850" s="83"/>
      <c r="CA850" s="83"/>
      <c r="CB850" s="83"/>
      <c r="CC850" s="83"/>
      <c r="CD850" s="83"/>
      <c r="CE850" s="83"/>
      <c r="CF850" s="83"/>
      <c r="CG850" s="83"/>
      <c r="CH850" s="83"/>
      <c r="CI850" s="83"/>
      <c r="CJ850" s="83"/>
      <c r="CK850" s="83"/>
      <c r="CL850" s="83"/>
      <c r="CM850" s="83"/>
      <c r="CN850" s="83"/>
      <c r="CO850" s="83"/>
      <c r="CP850" s="83"/>
      <c r="CQ850" s="83"/>
      <c r="CR850" s="83"/>
      <c r="CS850" s="83"/>
      <c r="CT850" s="83"/>
      <c r="CU850" s="83"/>
      <c r="CV850" s="83"/>
      <c r="CW850" s="83"/>
      <c r="CX850" s="83"/>
      <c r="CY850" s="83"/>
      <c r="CZ850" s="83"/>
      <c r="DA850" s="83"/>
      <c r="DB850" s="83"/>
      <c r="DC850" s="83"/>
    </row>
    <row r="851" spans="1:107" x14ac:dyDescent="0.3">
      <c r="A851" s="83"/>
      <c r="B851" s="83"/>
      <c r="C851" s="83"/>
      <c r="D851" s="83"/>
      <c r="E851" s="83"/>
      <c r="F851" s="83"/>
      <c r="G851" s="83"/>
      <c r="H851" s="83"/>
      <c r="I851" s="83"/>
      <c r="J851" s="83"/>
      <c r="K851" s="83"/>
      <c r="L851" s="83"/>
      <c r="M851" s="83"/>
      <c r="N851" s="83"/>
      <c r="O851" s="83"/>
      <c r="P851" s="83"/>
      <c r="Q851" s="83"/>
      <c r="R851" s="83"/>
      <c r="S851" s="83"/>
      <c r="T851" s="83"/>
      <c r="U851" s="83"/>
      <c r="V851" s="83"/>
      <c r="W851" s="83"/>
      <c r="X851" s="83"/>
      <c r="Y851" s="83"/>
      <c r="Z851" s="83"/>
      <c r="AA851" s="83"/>
      <c r="AB851" s="83"/>
      <c r="AC851" s="83"/>
      <c r="AD851" s="83"/>
      <c r="AE851" s="83"/>
      <c r="AF851" s="83"/>
      <c r="AG851" s="83"/>
      <c r="AH851" s="83"/>
      <c r="AI851" s="83"/>
      <c r="AJ851" s="83"/>
      <c r="AK851" s="83"/>
      <c r="AL851" s="83"/>
      <c r="AM851" s="83"/>
      <c r="AN851" s="83"/>
      <c r="AO851" s="83"/>
      <c r="AP851" s="83"/>
      <c r="AQ851" s="83"/>
      <c r="AR851" s="83"/>
      <c r="AS851" s="83"/>
      <c r="AT851" s="83"/>
      <c r="AU851" s="83"/>
      <c r="AV851" s="83"/>
      <c r="AW851" s="83"/>
      <c r="AX851" s="83"/>
      <c r="AY851" s="83"/>
      <c r="AZ851" s="83"/>
      <c r="BA851" s="83"/>
      <c r="BB851" s="83"/>
      <c r="BC851" s="83"/>
      <c r="BD851" s="83"/>
      <c r="BE851" s="83"/>
      <c r="BF851" s="83"/>
      <c r="BG851" s="83"/>
      <c r="BH851" s="83"/>
      <c r="BI851" s="83"/>
      <c r="BJ851" s="83"/>
      <c r="BK851" s="83"/>
      <c r="BL851" s="83"/>
      <c r="BM851" s="83"/>
      <c r="BN851" s="83"/>
      <c r="BO851" s="83"/>
      <c r="BP851" s="83"/>
      <c r="BQ851" s="83"/>
      <c r="BR851" s="83"/>
      <c r="BS851" s="83"/>
      <c r="BT851" s="83"/>
      <c r="BU851" s="83"/>
      <c r="BV851" s="83"/>
      <c r="BW851" s="83"/>
      <c r="BX851" s="83"/>
      <c r="BY851" s="83"/>
      <c r="BZ851" s="83"/>
      <c r="CA851" s="83"/>
      <c r="CB851" s="83"/>
      <c r="CC851" s="83"/>
      <c r="CD851" s="83"/>
      <c r="CE851" s="83"/>
      <c r="CF851" s="83"/>
      <c r="CG851" s="83"/>
      <c r="CH851" s="83"/>
      <c r="CI851" s="83"/>
      <c r="CJ851" s="83"/>
      <c r="CK851" s="83"/>
      <c r="CL851" s="83"/>
      <c r="CM851" s="83"/>
      <c r="CN851" s="83"/>
      <c r="CO851" s="83"/>
      <c r="CP851" s="83"/>
      <c r="CQ851" s="83"/>
      <c r="CR851" s="83"/>
      <c r="CS851" s="83"/>
      <c r="CT851" s="83"/>
      <c r="CU851" s="83"/>
      <c r="CV851" s="83"/>
      <c r="CW851" s="83"/>
      <c r="CX851" s="83"/>
      <c r="CY851" s="83"/>
      <c r="CZ851" s="83"/>
      <c r="DA851" s="83"/>
      <c r="DB851" s="83"/>
      <c r="DC851" s="83"/>
    </row>
    <row r="852" spans="1:107" x14ac:dyDescent="0.3">
      <c r="A852" s="83"/>
      <c r="B852" s="83"/>
      <c r="C852" s="83"/>
      <c r="D852" s="83"/>
      <c r="E852" s="83"/>
      <c r="F852" s="83"/>
      <c r="G852" s="83"/>
      <c r="H852" s="83"/>
      <c r="I852" s="83"/>
      <c r="J852" s="83"/>
      <c r="K852" s="83"/>
      <c r="L852" s="83"/>
      <c r="M852" s="83"/>
      <c r="N852" s="83"/>
      <c r="O852" s="83"/>
      <c r="P852" s="83"/>
      <c r="Q852" s="83"/>
      <c r="R852" s="83"/>
      <c r="S852" s="83"/>
      <c r="T852" s="83"/>
      <c r="U852" s="83"/>
      <c r="V852" s="83"/>
      <c r="W852" s="83"/>
      <c r="X852" s="83"/>
      <c r="Y852" s="83"/>
      <c r="Z852" s="83"/>
      <c r="AA852" s="83"/>
      <c r="AB852" s="83"/>
      <c r="AC852" s="83"/>
      <c r="AD852" s="83"/>
      <c r="AE852" s="83"/>
      <c r="AF852" s="83"/>
      <c r="AG852" s="83"/>
      <c r="AH852" s="83"/>
      <c r="AI852" s="83"/>
      <c r="AJ852" s="83"/>
      <c r="AK852" s="83"/>
      <c r="AL852" s="83"/>
      <c r="AM852" s="83"/>
      <c r="AN852" s="83"/>
      <c r="AO852" s="83"/>
      <c r="AP852" s="83"/>
      <c r="AQ852" s="83"/>
      <c r="AR852" s="83"/>
      <c r="AS852" s="83"/>
      <c r="AT852" s="83"/>
      <c r="AU852" s="83"/>
      <c r="AV852" s="83"/>
      <c r="AW852" s="83"/>
      <c r="AX852" s="83"/>
      <c r="AY852" s="83"/>
      <c r="AZ852" s="83"/>
      <c r="BA852" s="83"/>
      <c r="BB852" s="83"/>
      <c r="BC852" s="83"/>
      <c r="BD852" s="83"/>
      <c r="BE852" s="83"/>
      <c r="BF852" s="83"/>
      <c r="BG852" s="83"/>
      <c r="BH852" s="83"/>
      <c r="BI852" s="83"/>
      <c r="BJ852" s="83"/>
      <c r="BK852" s="83"/>
      <c r="BL852" s="83"/>
      <c r="BM852" s="83"/>
      <c r="BN852" s="83"/>
      <c r="BO852" s="83"/>
      <c r="BP852" s="83"/>
      <c r="BQ852" s="83"/>
      <c r="BR852" s="83"/>
      <c r="BS852" s="83"/>
      <c r="BT852" s="83"/>
      <c r="BU852" s="83"/>
      <c r="BV852" s="83"/>
      <c r="BW852" s="83"/>
      <c r="BX852" s="83"/>
      <c r="BY852" s="83"/>
      <c r="BZ852" s="83"/>
      <c r="CA852" s="83"/>
      <c r="CB852" s="83"/>
      <c r="CC852" s="83"/>
      <c r="CD852" s="83"/>
      <c r="CE852" s="83"/>
      <c r="CF852" s="83"/>
      <c r="CG852" s="83"/>
      <c r="CH852" s="83"/>
      <c r="CI852" s="83"/>
      <c r="CJ852" s="83"/>
      <c r="CK852" s="83"/>
      <c r="CL852" s="83"/>
      <c r="CM852" s="83"/>
      <c r="CN852" s="83"/>
      <c r="CO852" s="83"/>
      <c r="CP852" s="83"/>
      <c r="CQ852" s="83"/>
      <c r="CR852" s="83"/>
      <c r="CS852" s="83"/>
      <c r="CT852" s="83"/>
      <c r="CU852" s="83"/>
      <c r="CV852" s="83"/>
      <c r="CW852" s="83"/>
      <c r="CX852" s="83"/>
      <c r="CY852" s="83"/>
      <c r="CZ852" s="83"/>
      <c r="DA852" s="83"/>
      <c r="DB852" s="83"/>
      <c r="DC852" s="83"/>
    </row>
    <row r="853" spans="1:107" x14ac:dyDescent="0.3">
      <c r="A853" s="83"/>
      <c r="B853" s="83"/>
      <c r="C853" s="83"/>
      <c r="D853" s="83"/>
      <c r="E853" s="83"/>
      <c r="F853" s="83"/>
      <c r="G853" s="83"/>
      <c r="H853" s="83"/>
      <c r="I853" s="83"/>
      <c r="J853" s="83"/>
      <c r="K853" s="83"/>
      <c r="L853" s="83"/>
      <c r="M853" s="83"/>
      <c r="N853" s="83"/>
      <c r="O853" s="83"/>
      <c r="P853" s="83"/>
      <c r="Q853" s="83"/>
      <c r="R853" s="83"/>
      <c r="S853" s="83"/>
      <c r="T853" s="83"/>
      <c r="U853" s="83"/>
      <c r="V853" s="83"/>
      <c r="W853" s="83"/>
      <c r="X853" s="83"/>
      <c r="Y853" s="83"/>
      <c r="Z853" s="83"/>
      <c r="AA853" s="83"/>
      <c r="AB853" s="83"/>
      <c r="AC853" s="83"/>
      <c r="AD853" s="83"/>
      <c r="AE853" s="83"/>
      <c r="AF853" s="83"/>
      <c r="AG853" s="83"/>
      <c r="AH853" s="83"/>
      <c r="AI853" s="83"/>
      <c r="AJ853" s="83"/>
      <c r="AK853" s="83"/>
      <c r="AL853" s="83"/>
      <c r="AM853" s="83"/>
      <c r="AN853" s="83"/>
      <c r="AO853" s="83"/>
      <c r="AP853" s="83"/>
      <c r="AQ853" s="83"/>
      <c r="AR853" s="83"/>
      <c r="AS853" s="83"/>
      <c r="AT853" s="83"/>
      <c r="AU853" s="83"/>
      <c r="AV853" s="83"/>
      <c r="AW853" s="83"/>
      <c r="AX853" s="83"/>
      <c r="AY853" s="83"/>
      <c r="AZ853" s="83"/>
      <c r="BA853" s="83"/>
      <c r="BB853" s="83"/>
      <c r="BC853" s="83"/>
      <c r="BD853" s="83"/>
      <c r="BE853" s="83"/>
      <c r="BF853" s="83"/>
      <c r="BG853" s="83"/>
      <c r="BH853" s="83"/>
      <c r="BI853" s="83"/>
      <c r="BJ853" s="83"/>
      <c r="BK853" s="83"/>
      <c r="BL853" s="83"/>
      <c r="BM853" s="83"/>
      <c r="BN853" s="83"/>
      <c r="BO853" s="83"/>
      <c r="BP853" s="83"/>
      <c r="BQ853" s="83"/>
      <c r="BR853" s="83"/>
      <c r="BS853" s="83"/>
      <c r="BT853" s="83"/>
      <c r="BU853" s="83"/>
      <c r="BV853" s="83"/>
      <c r="BW853" s="83"/>
      <c r="BX853" s="83"/>
      <c r="BY853" s="83"/>
      <c r="BZ853" s="83"/>
      <c r="CA853" s="83"/>
      <c r="CB853" s="83"/>
      <c r="CC853" s="83"/>
      <c r="CD853" s="83"/>
      <c r="CE853" s="83"/>
      <c r="CF853" s="83"/>
      <c r="CG853" s="83"/>
      <c r="CH853" s="83"/>
      <c r="CI853" s="83"/>
      <c r="CJ853" s="83"/>
      <c r="CK853" s="83"/>
      <c r="CL853" s="83"/>
      <c r="CM853" s="83"/>
      <c r="CN853" s="83"/>
      <c r="CO853" s="83"/>
      <c r="CP853" s="83"/>
      <c r="CQ853" s="83"/>
      <c r="CR853" s="83"/>
      <c r="CS853" s="83"/>
      <c r="CT853" s="83"/>
      <c r="CU853" s="83"/>
      <c r="CV853" s="83"/>
      <c r="CW853" s="83"/>
      <c r="CX853" s="83"/>
      <c r="CY853" s="83"/>
      <c r="CZ853" s="83"/>
      <c r="DA853" s="83"/>
      <c r="DB853" s="83"/>
      <c r="DC853" s="83"/>
    </row>
    <row r="854" spans="1:107" x14ac:dyDescent="0.3">
      <c r="A854" s="83"/>
      <c r="B854" s="83"/>
      <c r="C854" s="83"/>
      <c r="D854" s="83"/>
      <c r="E854" s="83"/>
      <c r="F854" s="83"/>
      <c r="G854" s="83"/>
      <c r="H854" s="83"/>
      <c r="I854" s="83"/>
      <c r="J854" s="83"/>
      <c r="K854" s="83"/>
      <c r="L854" s="83"/>
      <c r="M854" s="83"/>
      <c r="N854" s="83"/>
      <c r="O854" s="83"/>
      <c r="P854" s="83"/>
      <c r="Q854" s="83"/>
      <c r="R854" s="83"/>
      <c r="S854" s="83"/>
      <c r="T854" s="83"/>
      <c r="U854" s="83"/>
      <c r="V854" s="83"/>
      <c r="W854" s="83"/>
      <c r="X854" s="83"/>
      <c r="Y854" s="83"/>
      <c r="Z854" s="83"/>
      <c r="AA854" s="83"/>
      <c r="AB854" s="83"/>
      <c r="AC854" s="83"/>
      <c r="AD854" s="83"/>
      <c r="AE854" s="83"/>
      <c r="AF854" s="83"/>
      <c r="AG854" s="83"/>
      <c r="AH854" s="83"/>
      <c r="AI854" s="83"/>
      <c r="AJ854" s="83"/>
      <c r="AK854" s="83"/>
      <c r="AL854" s="83"/>
      <c r="AM854" s="83"/>
      <c r="AN854" s="83"/>
      <c r="AO854" s="83"/>
      <c r="AP854" s="83"/>
      <c r="AQ854" s="83"/>
      <c r="AR854" s="83"/>
      <c r="AS854" s="83"/>
      <c r="AT854" s="83"/>
      <c r="AU854" s="83"/>
      <c r="AV854" s="83"/>
      <c r="AW854" s="83"/>
      <c r="AX854" s="83"/>
      <c r="AY854" s="83"/>
      <c r="AZ854" s="83"/>
      <c r="BA854" s="83"/>
      <c r="BB854" s="83"/>
      <c r="BC854" s="83"/>
      <c r="BD854" s="83"/>
      <c r="BE854" s="83"/>
      <c r="BF854" s="83"/>
      <c r="BG854" s="83"/>
      <c r="BH854" s="83"/>
      <c r="BI854" s="83"/>
      <c r="BJ854" s="83"/>
      <c r="BK854" s="83"/>
      <c r="BL854" s="83"/>
      <c r="BM854" s="83"/>
      <c r="BN854" s="83"/>
      <c r="BO854" s="83"/>
      <c r="BP854" s="83"/>
      <c r="BQ854" s="83"/>
      <c r="BR854" s="83"/>
      <c r="BS854" s="83"/>
      <c r="BT854" s="83"/>
      <c r="BU854" s="83"/>
      <c r="BV854" s="83"/>
      <c r="BW854" s="83"/>
      <c r="BX854" s="83"/>
      <c r="BY854" s="83"/>
      <c r="BZ854" s="83"/>
      <c r="CA854" s="83"/>
      <c r="CB854" s="83"/>
      <c r="CC854" s="83"/>
      <c r="CD854" s="83"/>
      <c r="CE854" s="83"/>
      <c r="CF854" s="83"/>
      <c r="CG854" s="83"/>
      <c r="CH854" s="83"/>
      <c r="CI854" s="83"/>
      <c r="CJ854" s="83"/>
      <c r="CK854" s="83"/>
      <c r="CL854" s="83"/>
      <c r="CM854" s="83"/>
      <c r="CN854" s="83"/>
      <c r="CO854" s="83"/>
      <c r="CP854" s="83"/>
      <c r="CQ854" s="83"/>
      <c r="CR854" s="83"/>
      <c r="CS854" s="83"/>
      <c r="CT854" s="83"/>
      <c r="CU854" s="83"/>
      <c r="CV854" s="83"/>
      <c r="CW854" s="83"/>
      <c r="CX854" s="83"/>
      <c r="CY854" s="83"/>
      <c r="CZ854" s="83"/>
      <c r="DA854" s="83"/>
      <c r="DB854" s="83"/>
      <c r="DC854" s="83"/>
    </row>
    <row r="855" spans="1:107" x14ac:dyDescent="0.3">
      <c r="A855" s="83"/>
      <c r="B855" s="83"/>
      <c r="C855" s="83"/>
      <c r="D855" s="83"/>
      <c r="E855" s="83"/>
      <c r="F855" s="83"/>
      <c r="G855" s="83"/>
      <c r="H855" s="83"/>
      <c r="I855" s="83"/>
      <c r="J855" s="83"/>
      <c r="K855" s="83"/>
      <c r="L855" s="83"/>
      <c r="M855" s="83"/>
      <c r="N855" s="83"/>
      <c r="O855" s="83"/>
      <c r="P855" s="83"/>
      <c r="Q855" s="83"/>
      <c r="R855" s="83"/>
      <c r="S855" s="83"/>
      <c r="T855" s="83"/>
      <c r="U855" s="83"/>
      <c r="V855" s="83"/>
      <c r="W855" s="83"/>
      <c r="X855" s="83"/>
      <c r="Y855" s="83"/>
      <c r="Z855" s="83"/>
      <c r="AA855" s="83"/>
      <c r="AB855" s="83"/>
      <c r="AC855" s="83"/>
      <c r="AD855" s="83"/>
      <c r="AE855" s="83"/>
      <c r="AF855" s="83"/>
      <c r="AG855" s="83"/>
      <c r="AH855" s="83"/>
      <c r="AI855" s="83"/>
      <c r="AJ855" s="83"/>
      <c r="AK855" s="83"/>
      <c r="AL855" s="83"/>
      <c r="AM855" s="83"/>
      <c r="AN855" s="83"/>
      <c r="AO855" s="83"/>
      <c r="AP855" s="83"/>
      <c r="AQ855" s="83"/>
      <c r="AR855" s="83"/>
      <c r="AS855" s="83"/>
      <c r="AT855" s="83"/>
      <c r="AU855" s="83"/>
      <c r="AV855" s="83"/>
      <c r="AW855" s="83"/>
      <c r="AX855" s="83"/>
      <c r="AY855" s="83"/>
      <c r="AZ855" s="83"/>
      <c r="BA855" s="83"/>
      <c r="BB855" s="83"/>
      <c r="BC855" s="83"/>
      <c r="BD855" s="83"/>
      <c r="BE855" s="83"/>
      <c r="BF855" s="83"/>
      <c r="BG855" s="83"/>
      <c r="BH855" s="83"/>
      <c r="BI855" s="83"/>
      <c r="BJ855" s="83"/>
      <c r="BK855" s="83"/>
      <c r="BL855" s="83"/>
      <c r="BM855" s="83"/>
      <c r="BN855" s="83"/>
      <c r="BO855" s="83"/>
      <c r="BP855" s="83"/>
      <c r="BQ855" s="83"/>
      <c r="BR855" s="83"/>
      <c r="BS855" s="83"/>
      <c r="BT855" s="83"/>
      <c r="BU855" s="83"/>
      <c r="BV855" s="83"/>
      <c r="BW855" s="83"/>
      <c r="BX855" s="83"/>
      <c r="BY855" s="83"/>
      <c r="BZ855" s="83"/>
      <c r="CA855" s="83"/>
      <c r="CB855" s="83"/>
      <c r="CC855" s="83"/>
      <c r="CD855" s="83"/>
      <c r="CE855" s="83"/>
      <c r="CF855" s="83"/>
      <c r="CG855" s="83"/>
      <c r="CH855" s="83"/>
      <c r="CI855" s="83"/>
      <c r="CJ855" s="83"/>
      <c r="CK855" s="83"/>
      <c r="CL855" s="83"/>
      <c r="CM855" s="83"/>
      <c r="CN855" s="83"/>
      <c r="CO855" s="83"/>
      <c r="CP855" s="83"/>
      <c r="CQ855" s="83"/>
      <c r="CR855" s="83"/>
      <c r="CS855" s="83"/>
      <c r="CT855" s="83"/>
      <c r="CU855" s="83"/>
      <c r="CV855" s="83"/>
      <c r="CW855" s="83"/>
      <c r="CX855" s="83"/>
      <c r="CY855" s="83"/>
      <c r="CZ855" s="83"/>
      <c r="DA855" s="83"/>
      <c r="DB855" s="83"/>
      <c r="DC855" s="83"/>
    </row>
    <row r="856" spans="1:107" x14ac:dyDescent="0.3">
      <c r="A856" s="83"/>
      <c r="B856" s="83"/>
      <c r="C856" s="83"/>
      <c r="D856" s="83"/>
      <c r="E856" s="83"/>
      <c r="F856" s="83"/>
      <c r="G856" s="83"/>
      <c r="H856" s="83"/>
      <c r="I856" s="83"/>
      <c r="J856" s="83"/>
      <c r="K856" s="83"/>
      <c r="L856" s="83"/>
      <c r="M856" s="83"/>
      <c r="N856" s="83"/>
      <c r="O856" s="83"/>
      <c r="P856" s="83"/>
      <c r="Q856" s="83"/>
      <c r="R856" s="83"/>
      <c r="S856" s="83"/>
      <c r="T856" s="83"/>
      <c r="U856" s="83"/>
      <c r="V856" s="83"/>
      <c r="W856" s="83"/>
      <c r="X856" s="83"/>
      <c r="Y856" s="83"/>
      <c r="Z856" s="83"/>
      <c r="AA856" s="83"/>
      <c r="AB856" s="83"/>
      <c r="AC856" s="83"/>
      <c r="AD856" s="83"/>
      <c r="AE856" s="83"/>
      <c r="AF856" s="83"/>
      <c r="AG856" s="83"/>
      <c r="AH856" s="83"/>
      <c r="AI856" s="83"/>
      <c r="AJ856" s="83"/>
      <c r="AK856" s="83"/>
      <c r="AL856" s="83"/>
      <c r="AM856" s="83"/>
      <c r="AN856" s="83"/>
      <c r="AO856" s="83"/>
      <c r="AP856" s="83"/>
      <c r="AQ856" s="83"/>
      <c r="AR856" s="83"/>
      <c r="AS856" s="83"/>
      <c r="AT856" s="83"/>
      <c r="AU856" s="83"/>
      <c r="AV856" s="83"/>
      <c r="AW856" s="83"/>
      <c r="AX856" s="83"/>
      <c r="AY856" s="83"/>
      <c r="AZ856" s="83"/>
      <c r="BA856" s="83"/>
      <c r="BB856" s="83"/>
      <c r="BC856" s="83"/>
      <c r="BD856" s="83"/>
      <c r="BE856" s="83"/>
      <c r="BF856" s="83"/>
      <c r="BG856" s="83"/>
      <c r="BH856" s="83"/>
      <c r="BI856" s="83"/>
      <c r="BJ856" s="83"/>
      <c r="BK856" s="83"/>
      <c r="BL856" s="83"/>
      <c r="BM856" s="83"/>
      <c r="BN856" s="83"/>
      <c r="BO856" s="83"/>
      <c r="BP856" s="83"/>
      <c r="BQ856" s="83"/>
      <c r="BR856" s="83"/>
      <c r="BS856" s="83"/>
      <c r="BT856" s="83"/>
      <c r="BU856" s="83"/>
      <c r="BV856" s="83"/>
      <c r="BW856" s="83"/>
      <c r="BX856" s="83"/>
      <c r="BY856" s="83"/>
      <c r="BZ856" s="83"/>
      <c r="CA856" s="83"/>
      <c r="CB856" s="83"/>
      <c r="CC856" s="83"/>
      <c r="CD856" s="83"/>
      <c r="CE856" s="83"/>
      <c r="CF856" s="83"/>
      <c r="CG856" s="83"/>
      <c r="CH856" s="83"/>
      <c r="CI856" s="83"/>
      <c r="CJ856" s="83"/>
      <c r="CK856" s="83"/>
      <c r="CL856" s="83"/>
      <c r="CM856" s="83"/>
      <c r="CN856" s="83"/>
      <c r="CO856" s="83"/>
      <c r="CP856" s="83"/>
      <c r="CQ856" s="83"/>
      <c r="CR856" s="83"/>
      <c r="CS856" s="83"/>
      <c r="CT856" s="83"/>
      <c r="CU856" s="83"/>
      <c r="CV856" s="83"/>
      <c r="CW856" s="83"/>
      <c r="CX856" s="83"/>
      <c r="CY856" s="83"/>
      <c r="CZ856" s="83"/>
      <c r="DA856" s="83"/>
      <c r="DB856" s="83"/>
      <c r="DC856" s="83"/>
    </row>
    <row r="857" spans="1:107" x14ac:dyDescent="0.3">
      <c r="A857" s="83"/>
      <c r="B857" s="83"/>
      <c r="C857" s="83"/>
      <c r="D857" s="83"/>
      <c r="E857" s="83"/>
      <c r="F857" s="83"/>
      <c r="G857" s="83"/>
      <c r="H857" s="83"/>
      <c r="I857" s="83"/>
      <c r="J857" s="83"/>
      <c r="K857" s="83"/>
      <c r="L857" s="83"/>
      <c r="M857" s="83"/>
      <c r="N857" s="83"/>
      <c r="O857" s="83"/>
      <c r="P857" s="83"/>
      <c r="Q857" s="83"/>
      <c r="R857" s="83"/>
      <c r="S857" s="83"/>
      <c r="T857" s="83"/>
      <c r="U857" s="83"/>
      <c r="V857" s="83"/>
      <c r="W857" s="83"/>
      <c r="X857" s="83"/>
      <c r="Y857" s="83"/>
      <c r="Z857" s="83"/>
      <c r="AA857" s="83"/>
      <c r="AB857" s="83"/>
      <c r="AC857" s="83"/>
      <c r="AD857" s="83"/>
      <c r="AE857" s="83"/>
      <c r="AF857" s="83"/>
      <c r="AG857" s="83"/>
      <c r="AH857" s="83"/>
      <c r="AI857" s="83"/>
      <c r="AJ857" s="83"/>
      <c r="AK857" s="83"/>
      <c r="AL857" s="83"/>
      <c r="AM857" s="83"/>
      <c r="AN857" s="83"/>
      <c r="AO857" s="83"/>
      <c r="AP857" s="83"/>
      <c r="AQ857" s="83"/>
      <c r="AR857" s="83"/>
      <c r="AS857" s="83"/>
      <c r="AT857" s="83"/>
      <c r="AU857" s="83"/>
      <c r="AV857" s="83"/>
      <c r="AW857" s="83"/>
      <c r="AX857" s="83"/>
      <c r="AY857" s="83"/>
      <c r="AZ857" s="83"/>
      <c r="BA857" s="83"/>
      <c r="BB857" s="83"/>
      <c r="BC857" s="83"/>
      <c r="BD857" s="83"/>
      <c r="BE857" s="83"/>
      <c r="BF857" s="83"/>
      <c r="BG857" s="83"/>
      <c r="BH857" s="83"/>
      <c r="BI857" s="83"/>
      <c r="BJ857" s="83"/>
      <c r="BK857" s="83"/>
      <c r="BL857" s="83"/>
      <c r="BM857" s="83"/>
      <c r="BN857" s="83"/>
      <c r="BO857" s="83"/>
      <c r="BP857" s="83"/>
      <c r="BQ857" s="83"/>
      <c r="BR857" s="83"/>
      <c r="BS857" s="83"/>
      <c r="BT857" s="83"/>
      <c r="BU857" s="83"/>
      <c r="BV857" s="83"/>
      <c r="BW857" s="83"/>
      <c r="BX857" s="83"/>
      <c r="BY857" s="83"/>
      <c r="BZ857" s="83"/>
      <c r="CA857" s="83"/>
      <c r="CB857" s="83"/>
      <c r="CC857" s="83"/>
      <c r="CD857" s="83"/>
      <c r="CE857" s="83"/>
      <c r="CF857" s="83"/>
      <c r="CG857" s="83"/>
      <c r="CH857" s="83"/>
      <c r="CI857" s="83"/>
      <c r="CJ857" s="83"/>
      <c r="CK857" s="83"/>
      <c r="CL857" s="83"/>
      <c r="CM857" s="83"/>
      <c r="CN857" s="83"/>
      <c r="CO857" s="83"/>
      <c r="CP857" s="83"/>
      <c r="CQ857" s="83"/>
      <c r="CR857" s="83"/>
      <c r="CS857" s="83"/>
      <c r="CT857" s="83"/>
      <c r="CU857" s="83"/>
      <c r="CV857" s="83"/>
      <c r="CW857" s="83"/>
      <c r="CX857" s="83"/>
      <c r="CY857" s="83"/>
      <c r="CZ857" s="83"/>
      <c r="DA857" s="83"/>
      <c r="DB857" s="83"/>
      <c r="DC857" s="83"/>
    </row>
    <row r="858" spans="1:107" x14ac:dyDescent="0.3">
      <c r="A858" s="83"/>
      <c r="B858" s="83"/>
      <c r="C858" s="83"/>
      <c r="D858" s="83"/>
      <c r="E858" s="83"/>
      <c r="F858" s="83"/>
      <c r="G858" s="83"/>
      <c r="H858" s="83"/>
      <c r="I858" s="83"/>
      <c r="J858" s="83"/>
      <c r="K858" s="83"/>
      <c r="L858" s="83"/>
      <c r="M858" s="83"/>
      <c r="N858" s="83"/>
      <c r="O858" s="83"/>
      <c r="P858" s="83"/>
      <c r="Q858" s="83"/>
      <c r="R858" s="83"/>
      <c r="S858" s="83"/>
      <c r="T858" s="83"/>
      <c r="U858" s="83"/>
      <c r="V858" s="83"/>
      <c r="W858" s="83"/>
      <c r="X858" s="83"/>
      <c r="Y858" s="83"/>
      <c r="Z858" s="83"/>
      <c r="AA858" s="83"/>
      <c r="AB858" s="83"/>
      <c r="AC858" s="83"/>
      <c r="AD858" s="83"/>
      <c r="AE858" s="83"/>
      <c r="AF858" s="83"/>
      <c r="AG858" s="83"/>
      <c r="AH858" s="83"/>
      <c r="AI858" s="83"/>
      <c r="AJ858" s="83"/>
      <c r="AK858" s="83"/>
      <c r="AL858" s="83"/>
      <c r="AM858" s="83"/>
      <c r="AN858" s="83"/>
      <c r="AO858" s="83"/>
      <c r="AP858" s="83"/>
      <c r="AQ858" s="83"/>
      <c r="AR858" s="83"/>
      <c r="AS858" s="83"/>
      <c r="AT858" s="83"/>
      <c r="AU858" s="83"/>
      <c r="AV858" s="83"/>
      <c r="AW858" s="83"/>
      <c r="AX858" s="83"/>
      <c r="AY858" s="83"/>
      <c r="AZ858" s="83"/>
      <c r="BA858" s="83"/>
      <c r="BB858" s="83"/>
      <c r="BC858" s="83"/>
      <c r="BD858" s="83"/>
      <c r="BE858" s="83"/>
      <c r="BF858" s="83"/>
      <c r="BG858" s="83"/>
      <c r="BH858" s="83"/>
      <c r="BI858" s="83"/>
      <c r="BJ858" s="83"/>
      <c r="BK858" s="83"/>
      <c r="BL858" s="83"/>
      <c r="BM858" s="83"/>
      <c r="BN858" s="83"/>
      <c r="BO858" s="83"/>
      <c r="BP858" s="83"/>
      <c r="BQ858" s="83"/>
      <c r="BR858" s="83"/>
      <c r="BS858" s="83"/>
      <c r="BT858" s="83"/>
      <c r="BU858" s="83"/>
      <c r="BV858" s="83"/>
      <c r="BW858" s="83"/>
      <c r="BX858" s="83"/>
      <c r="BY858" s="83"/>
      <c r="BZ858" s="83"/>
      <c r="CA858" s="83"/>
      <c r="CB858" s="83"/>
      <c r="CC858" s="83"/>
      <c r="CD858" s="83"/>
      <c r="CE858" s="83"/>
      <c r="CF858" s="83"/>
      <c r="CG858" s="83"/>
      <c r="CH858" s="83"/>
      <c r="CI858" s="83"/>
      <c r="CJ858" s="83"/>
      <c r="CK858" s="83"/>
      <c r="CL858" s="83"/>
      <c r="CM858" s="83"/>
      <c r="CN858" s="83"/>
      <c r="CO858" s="83"/>
      <c r="CP858" s="83"/>
      <c r="CQ858" s="83"/>
      <c r="CR858" s="83"/>
      <c r="CS858" s="83"/>
      <c r="CT858" s="83"/>
      <c r="CU858" s="83"/>
      <c r="CV858" s="83"/>
      <c r="CW858" s="83"/>
      <c r="CX858" s="83"/>
      <c r="CY858" s="83"/>
      <c r="CZ858" s="83"/>
      <c r="DA858" s="83"/>
      <c r="DB858" s="83"/>
      <c r="DC858" s="83"/>
    </row>
    <row r="859" spans="1:107" x14ac:dyDescent="0.3">
      <c r="A859" s="83"/>
      <c r="B859" s="83"/>
      <c r="C859" s="83"/>
      <c r="D859" s="83"/>
      <c r="E859" s="83"/>
      <c r="F859" s="83"/>
      <c r="G859" s="83"/>
      <c r="H859" s="83"/>
      <c r="I859" s="83"/>
      <c r="J859" s="83"/>
      <c r="K859" s="83"/>
      <c r="L859" s="83"/>
      <c r="M859" s="83"/>
      <c r="N859" s="83"/>
      <c r="O859" s="83"/>
      <c r="P859" s="83"/>
      <c r="Q859" s="83"/>
      <c r="R859" s="83"/>
      <c r="S859" s="83"/>
      <c r="T859" s="83"/>
      <c r="U859" s="83"/>
      <c r="V859" s="83"/>
      <c r="W859" s="83"/>
      <c r="X859" s="83"/>
      <c r="Y859" s="83"/>
      <c r="Z859" s="83"/>
      <c r="AA859" s="83"/>
      <c r="AB859" s="83"/>
      <c r="AC859" s="83"/>
      <c r="AD859" s="83"/>
      <c r="AE859" s="83"/>
      <c r="AF859" s="83"/>
      <c r="AG859" s="83"/>
      <c r="AH859" s="83"/>
      <c r="AI859" s="83"/>
      <c r="AJ859" s="83"/>
      <c r="AK859" s="83"/>
      <c r="AL859" s="83"/>
      <c r="AM859" s="83"/>
      <c r="AN859" s="83"/>
      <c r="AO859" s="83"/>
      <c r="AP859" s="83"/>
      <c r="AQ859" s="83"/>
      <c r="AR859" s="83"/>
      <c r="AS859" s="83"/>
      <c r="AT859" s="83"/>
      <c r="AU859" s="83"/>
      <c r="AV859" s="83"/>
      <c r="AW859" s="83"/>
      <c r="AX859" s="83"/>
      <c r="AY859" s="83"/>
      <c r="AZ859" s="83"/>
      <c r="BA859" s="83"/>
      <c r="BB859" s="83"/>
      <c r="BC859" s="83"/>
      <c r="BD859" s="83"/>
      <c r="BE859" s="83"/>
      <c r="BF859" s="83"/>
      <c r="BG859" s="83"/>
      <c r="BH859" s="83"/>
      <c r="BI859" s="83"/>
      <c r="BJ859" s="83"/>
      <c r="BK859" s="83"/>
      <c r="BL859" s="83"/>
      <c r="BM859" s="83"/>
      <c r="BN859" s="83"/>
      <c r="BO859" s="83"/>
      <c r="BP859" s="83"/>
      <c r="BQ859" s="83"/>
      <c r="BR859" s="83"/>
      <c r="BS859" s="83"/>
      <c r="BT859" s="83"/>
      <c r="BU859" s="83"/>
      <c r="BV859" s="83"/>
      <c r="BW859" s="83"/>
      <c r="BX859" s="83"/>
      <c r="BY859" s="83"/>
      <c r="BZ859" s="83"/>
      <c r="CA859" s="83"/>
      <c r="CB859" s="83"/>
      <c r="CC859" s="83"/>
      <c r="CD859" s="83"/>
      <c r="CE859" s="83"/>
      <c r="CF859" s="83"/>
      <c r="CG859" s="83"/>
      <c r="CH859" s="83"/>
      <c r="CI859" s="83"/>
      <c r="CJ859" s="83"/>
      <c r="CK859" s="83"/>
      <c r="CL859" s="83"/>
      <c r="CM859" s="83"/>
      <c r="CN859" s="83"/>
      <c r="CO859" s="83"/>
      <c r="CP859" s="83"/>
      <c r="CQ859" s="83"/>
      <c r="CR859" s="83"/>
      <c r="CS859" s="83"/>
      <c r="CT859" s="83"/>
      <c r="CU859" s="83"/>
      <c r="CV859" s="83"/>
      <c r="CW859" s="83"/>
      <c r="CX859" s="83"/>
      <c r="CY859" s="83"/>
      <c r="CZ859" s="83"/>
      <c r="DA859" s="83"/>
      <c r="DB859" s="83"/>
      <c r="DC859" s="83"/>
    </row>
    <row r="860" spans="1:107" x14ac:dyDescent="0.3">
      <c r="A860" s="83"/>
      <c r="B860" s="83"/>
      <c r="C860" s="83"/>
      <c r="D860" s="83"/>
      <c r="E860" s="83"/>
      <c r="F860" s="83"/>
      <c r="G860" s="83"/>
      <c r="H860" s="83"/>
      <c r="I860" s="83"/>
      <c r="J860" s="83"/>
      <c r="K860" s="83"/>
      <c r="L860" s="83"/>
      <c r="M860" s="83"/>
      <c r="N860" s="83"/>
      <c r="O860" s="83"/>
      <c r="P860" s="83"/>
      <c r="Q860" s="83"/>
      <c r="R860" s="83"/>
      <c r="S860" s="83"/>
      <c r="T860" s="83"/>
      <c r="U860" s="83"/>
      <c r="V860" s="83"/>
      <c r="W860" s="83"/>
      <c r="X860" s="83"/>
      <c r="Y860" s="83"/>
      <c r="Z860" s="83"/>
      <c r="AA860" s="83"/>
      <c r="AB860" s="83"/>
      <c r="AC860" s="83"/>
      <c r="AD860" s="83"/>
      <c r="AE860" s="83"/>
      <c r="AF860" s="83"/>
      <c r="AG860" s="83"/>
      <c r="AH860" s="83"/>
      <c r="AI860" s="83"/>
      <c r="AJ860" s="83"/>
      <c r="AK860" s="83"/>
      <c r="AL860" s="83"/>
      <c r="AM860" s="83"/>
      <c r="AN860" s="83"/>
      <c r="AO860" s="83"/>
      <c r="AP860" s="83"/>
      <c r="AQ860" s="83"/>
      <c r="AR860" s="83"/>
      <c r="AS860" s="83"/>
      <c r="AT860" s="83"/>
      <c r="AU860" s="83"/>
      <c r="AV860" s="83"/>
      <c r="AW860" s="83"/>
      <c r="AX860" s="83"/>
      <c r="AY860" s="83"/>
      <c r="AZ860" s="83"/>
      <c r="BA860" s="83"/>
      <c r="BB860" s="83"/>
      <c r="BC860" s="83"/>
      <c r="BD860" s="83"/>
      <c r="BE860" s="83"/>
      <c r="BF860" s="83"/>
      <c r="BG860" s="83"/>
      <c r="BH860" s="83"/>
      <c r="BI860" s="83"/>
      <c r="BJ860" s="83"/>
      <c r="BK860" s="83"/>
      <c r="BL860" s="83"/>
      <c r="BM860" s="83"/>
      <c r="BN860" s="83"/>
      <c r="BO860" s="83"/>
      <c r="BP860" s="83"/>
      <c r="BQ860" s="83"/>
      <c r="BR860" s="83"/>
      <c r="BS860" s="83"/>
      <c r="BT860" s="83"/>
      <c r="BU860" s="83"/>
      <c r="BV860" s="83"/>
      <c r="BW860" s="83"/>
      <c r="BX860" s="83"/>
      <c r="BY860" s="83"/>
      <c r="BZ860" s="83"/>
      <c r="CA860" s="83"/>
      <c r="CB860" s="83"/>
      <c r="CC860" s="83"/>
      <c r="CD860" s="83"/>
      <c r="CE860" s="83"/>
      <c r="CF860" s="83"/>
      <c r="CG860" s="83"/>
      <c r="CH860" s="83"/>
      <c r="CI860" s="83"/>
      <c r="CJ860" s="83"/>
      <c r="CK860" s="83"/>
      <c r="CL860" s="83"/>
      <c r="CM860" s="83"/>
      <c r="CN860" s="83"/>
      <c r="CO860" s="83"/>
      <c r="CP860" s="83"/>
      <c r="CQ860" s="83"/>
      <c r="CR860" s="83"/>
      <c r="CS860" s="83"/>
      <c r="CT860" s="83"/>
      <c r="CU860" s="83"/>
      <c r="CV860" s="83"/>
      <c r="CW860" s="83"/>
      <c r="CX860" s="83"/>
      <c r="CY860" s="83"/>
      <c r="CZ860" s="83"/>
      <c r="DA860" s="83"/>
      <c r="DB860" s="83"/>
      <c r="DC860" s="83"/>
    </row>
    <row r="861" spans="1:107" x14ac:dyDescent="0.3">
      <c r="A861" s="83"/>
      <c r="B861" s="83"/>
      <c r="C861" s="83"/>
      <c r="D861" s="83"/>
      <c r="E861" s="83"/>
      <c r="F861" s="83"/>
      <c r="G861" s="83"/>
      <c r="H861" s="83"/>
      <c r="I861" s="83"/>
      <c r="J861" s="83"/>
      <c r="K861" s="83"/>
      <c r="L861" s="83"/>
      <c r="M861" s="83"/>
      <c r="N861" s="83"/>
      <c r="O861" s="83"/>
      <c r="P861" s="83"/>
      <c r="Q861" s="83"/>
      <c r="R861" s="83"/>
      <c r="S861" s="83"/>
      <c r="T861" s="83"/>
      <c r="U861" s="83"/>
      <c r="V861" s="83"/>
      <c r="W861" s="83"/>
      <c r="X861" s="83"/>
      <c r="Y861" s="83"/>
      <c r="Z861" s="83"/>
      <c r="AA861" s="83"/>
      <c r="AB861" s="83"/>
      <c r="AC861" s="83"/>
      <c r="AD861" s="83"/>
      <c r="AE861" s="83"/>
      <c r="AF861" s="83"/>
      <c r="AG861" s="83"/>
      <c r="AH861" s="83"/>
      <c r="AI861" s="83"/>
      <c r="AJ861" s="83"/>
      <c r="AK861" s="83"/>
      <c r="AL861" s="83"/>
      <c r="AM861" s="83"/>
      <c r="AN861" s="83"/>
      <c r="AO861" s="83"/>
      <c r="AP861" s="83"/>
      <c r="AQ861" s="83"/>
      <c r="AR861" s="83"/>
      <c r="AS861" s="83"/>
      <c r="AT861" s="83"/>
      <c r="AU861" s="83"/>
      <c r="AV861" s="83"/>
      <c r="AW861" s="83"/>
      <c r="AX861" s="83"/>
      <c r="AY861" s="83"/>
      <c r="AZ861" s="83"/>
      <c r="BA861" s="83"/>
      <c r="BB861" s="83"/>
      <c r="BC861" s="83"/>
      <c r="BD861" s="83"/>
      <c r="BE861" s="83"/>
      <c r="BF861" s="83"/>
      <c r="BG861" s="83"/>
      <c r="BH861" s="83"/>
      <c r="BI861" s="83"/>
      <c r="BJ861" s="83"/>
      <c r="BK861" s="83"/>
      <c r="BL861" s="83"/>
      <c r="BM861" s="83"/>
      <c r="BN861" s="83"/>
      <c r="BO861" s="83"/>
      <c r="BP861" s="83"/>
      <c r="BQ861" s="83"/>
      <c r="BR861" s="83"/>
      <c r="BS861" s="83"/>
      <c r="BT861" s="83"/>
      <c r="BU861" s="83"/>
      <c r="BV861" s="83"/>
      <c r="BW861" s="83"/>
      <c r="BX861" s="83"/>
      <c r="BY861" s="83"/>
      <c r="BZ861" s="83"/>
      <c r="CA861" s="83"/>
      <c r="CB861" s="83"/>
      <c r="CC861" s="83"/>
      <c r="CD861" s="83"/>
      <c r="CE861" s="83"/>
      <c r="CF861" s="83"/>
      <c r="CG861" s="83"/>
      <c r="CH861" s="83"/>
      <c r="CI861" s="83"/>
      <c r="CJ861" s="83"/>
      <c r="CK861" s="83"/>
      <c r="CL861" s="83"/>
      <c r="CM861" s="83"/>
      <c r="CN861" s="83"/>
      <c r="CO861" s="83"/>
      <c r="CP861" s="83"/>
      <c r="CQ861" s="83"/>
      <c r="CR861" s="83"/>
      <c r="CS861" s="83"/>
      <c r="CT861" s="83"/>
      <c r="CU861" s="83"/>
      <c r="CV861" s="83"/>
      <c r="CW861" s="83"/>
      <c r="CX861" s="83"/>
      <c r="CY861" s="83"/>
      <c r="CZ861" s="83"/>
      <c r="DA861" s="83"/>
      <c r="DB861" s="83"/>
      <c r="DC861" s="83"/>
    </row>
    <row r="862" spans="1:107" x14ac:dyDescent="0.3">
      <c r="A862" s="83"/>
      <c r="B862" s="83"/>
      <c r="C862" s="83"/>
      <c r="D862" s="83"/>
      <c r="E862" s="83"/>
      <c r="F862" s="83"/>
      <c r="G862" s="83"/>
      <c r="H862" s="83"/>
      <c r="I862" s="83"/>
      <c r="J862" s="83"/>
      <c r="K862" s="83"/>
      <c r="L862" s="83"/>
      <c r="M862" s="83"/>
      <c r="N862" s="83"/>
      <c r="O862" s="83"/>
      <c r="P862" s="83"/>
      <c r="Q862" s="83"/>
      <c r="R862" s="83"/>
      <c r="S862" s="83"/>
      <c r="T862" s="83"/>
      <c r="U862" s="83"/>
      <c r="V862" s="83"/>
      <c r="W862" s="83"/>
      <c r="X862" s="83"/>
      <c r="Y862" s="83"/>
      <c r="Z862" s="83"/>
      <c r="AA862" s="83"/>
      <c r="AB862" s="83"/>
      <c r="AC862" s="83"/>
      <c r="AD862" s="83"/>
      <c r="AE862" s="83"/>
      <c r="AF862" s="83"/>
      <c r="AG862" s="83"/>
      <c r="AH862" s="83"/>
      <c r="AI862" s="83"/>
      <c r="AJ862" s="83"/>
      <c r="AK862" s="83"/>
      <c r="AL862" s="83"/>
      <c r="AM862" s="83"/>
      <c r="AN862" s="83"/>
      <c r="AO862" s="83"/>
      <c r="AP862" s="83"/>
      <c r="AQ862" s="83"/>
      <c r="AR862" s="83"/>
      <c r="AS862" s="83"/>
      <c r="AT862" s="83"/>
      <c r="AU862" s="83"/>
      <c r="AV862" s="83"/>
      <c r="AW862" s="83"/>
      <c r="AX862" s="83"/>
      <c r="AY862" s="83"/>
      <c r="AZ862" s="83"/>
      <c r="BA862" s="83"/>
      <c r="BB862" s="83"/>
      <c r="BC862" s="83"/>
      <c r="BD862" s="83"/>
      <c r="BE862" s="83"/>
      <c r="BF862" s="83"/>
      <c r="BG862" s="83"/>
      <c r="BH862" s="83"/>
      <c r="BI862" s="83"/>
      <c r="BJ862" s="83"/>
      <c r="BK862" s="83"/>
      <c r="BL862" s="83"/>
      <c r="BM862" s="83"/>
      <c r="BN862" s="83"/>
      <c r="BO862" s="83"/>
      <c r="BP862" s="83"/>
      <c r="BQ862" s="83"/>
      <c r="BR862" s="83"/>
      <c r="BS862" s="83"/>
      <c r="BT862" s="83"/>
      <c r="BU862" s="83"/>
      <c r="BV862" s="83"/>
      <c r="BW862" s="83"/>
      <c r="BX862" s="83"/>
      <c r="BY862" s="83"/>
      <c r="BZ862" s="83"/>
      <c r="CA862" s="83"/>
      <c r="CB862" s="83"/>
      <c r="CC862" s="83"/>
      <c r="CD862" s="83"/>
      <c r="CE862" s="83"/>
      <c r="CF862" s="83"/>
      <c r="CG862" s="83"/>
      <c r="CH862" s="83"/>
      <c r="CI862" s="83"/>
      <c r="CJ862" s="83"/>
      <c r="CK862" s="83"/>
      <c r="CL862" s="83"/>
      <c r="CM862" s="83"/>
      <c r="CN862" s="83"/>
      <c r="CO862" s="83"/>
      <c r="CP862" s="83"/>
      <c r="CQ862" s="83"/>
      <c r="CR862" s="83"/>
      <c r="CS862" s="83"/>
      <c r="CT862" s="83"/>
      <c r="CU862" s="83"/>
      <c r="CV862" s="83"/>
      <c r="CW862" s="83"/>
      <c r="CX862" s="83"/>
      <c r="CY862" s="83"/>
      <c r="CZ862" s="83"/>
      <c r="DA862" s="83"/>
      <c r="DB862" s="83"/>
      <c r="DC862" s="83"/>
    </row>
    <row r="863" spans="1:107" x14ac:dyDescent="0.3">
      <c r="A863" s="83"/>
      <c r="B863" s="83"/>
      <c r="C863" s="83"/>
      <c r="D863" s="83"/>
      <c r="E863" s="83"/>
      <c r="F863" s="83"/>
      <c r="G863" s="83"/>
      <c r="H863" s="83"/>
      <c r="I863" s="83"/>
      <c r="J863" s="83"/>
      <c r="K863" s="83"/>
      <c r="L863" s="83"/>
      <c r="M863" s="83"/>
      <c r="N863" s="83"/>
      <c r="O863" s="83"/>
      <c r="P863" s="83"/>
      <c r="Q863" s="83"/>
      <c r="R863" s="83"/>
      <c r="S863" s="83"/>
      <c r="T863" s="83"/>
      <c r="U863" s="83"/>
      <c r="V863" s="83"/>
      <c r="W863" s="83"/>
      <c r="X863" s="83"/>
      <c r="Y863" s="83"/>
      <c r="Z863" s="83"/>
      <c r="AA863" s="83"/>
      <c r="AB863" s="83"/>
      <c r="AC863" s="83"/>
      <c r="AD863" s="83"/>
      <c r="AE863" s="83"/>
      <c r="AF863" s="83"/>
      <c r="AG863" s="83"/>
      <c r="AH863" s="83"/>
      <c r="AI863" s="83"/>
      <c r="AJ863" s="83"/>
      <c r="AK863" s="83"/>
      <c r="AL863" s="83"/>
      <c r="AM863" s="83"/>
      <c r="AN863" s="83"/>
      <c r="AO863" s="83"/>
      <c r="AP863" s="83"/>
      <c r="AQ863" s="83"/>
      <c r="AR863" s="83"/>
      <c r="AS863" s="83"/>
      <c r="AT863" s="83"/>
      <c r="AU863" s="83"/>
      <c r="AV863" s="83"/>
      <c r="AW863" s="83"/>
      <c r="AX863" s="83"/>
      <c r="AY863" s="83"/>
      <c r="AZ863" s="83"/>
      <c r="BA863" s="83"/>
      <c r="BB863" s="83"/>
      <c r="BC863" s="83"/>
      <c r="BD863" s="83"/>
      <c r="BE863" s="83"/>
      <c r="BF863" s="83"/>
      <c r="BG863" s="83"/>
      <c r="BH863" s="83"/>
      <c r="BI863" s="83"/>
      <c r="BJ863" s="83"/>
      <c r="BK863" s="83"/>
      <c r="BL863" s="83"/>
      <c r="BM863" s="83"/>
      <c r="BN863" s="83"/>
      <c r="BO863" s="83"/>
      <c r="BP863" s="83"/>
      <c r="BQ863" s="83"/>
      <c r="BR863" s="83"/>
      <c r="BS863" s="83"/>
      <c r="BT863" s="83"/>
      <c r="BU863" s="83"/>
      <c r="BV863" s="83"/>
      <c r="BW863" s="83"/>
      <c r="BX863" s="83"/>
      <c r="BY863" s="83"/>
      <c r="BZ863" s="83"/>
      <c r="CA863" s="83"/>
      <c r="CB863" s="83"/>
      <c r="CC863" s="83"/>
      <c r="CD863" s="83"/>
      <c r="CE863" s="83"/>
      <c r="CF863" s="83"/>
      <c r="CG863" s="83"/>
      <c r="CH863" s="83"/>
      <c r="CI863" s="83"/>
      <c r="CJ863" s="83"/>
      <c r="CK863" s="83"/>
      <c r="CL863" s="83"/>
      <c r="CM863" s="83"/>
      <c r="CN863" s="83"/>
      <c r="CO863" s="83"/>
      <c r="CP863" s="83"/>
      <c r="CQ863" s="83"/>
      <c r="CR863" s="83"/>
      <c r="CS863" s="83"/>
      <c r="CT863" s="83"/>
      <c r="CU863" s="83"/>
      <c r="CV863" s="83"/>
      <c r="CW863" s="83"/>
      <c r="CX863" s="83"/>
      <c r="CY863" s="83"/>
      <c r="CZ863" s="83"/>
      <c r="DA863" s="83"/>
      <c r="DB863" s="83"/>
      <c r="DC863" s="83"/>
    </row>
    <row r="864" spans="1:107" x14ac:dyDescent="0.3">
      <c r="A864" s="83"/>
      <c r="B864" s="83"/>
      <c r="C864" s="83"/>
      <c r="D864" s="83"/>
      <c r="E864" s="83"/>
      <c r="F864" s="83"/>
      <c r="G864" s="83"/>
      <c r="H864" s="83"/>
      <c r="I864" s="83"/>
      <c r="J864" s="83"/>
      <c r="K864" s="83"/>
      <c r="L864" s="83"/>
      <c r="M864" s="83"/>
      <c r="N864" s="83"/>
      <c r="O864" s="83"/>
      <c r="P864" s="83"/>
      <c r="Q864" s="83"/>
      <c r="R864" s="83"/>
      <c r="S864" s="83"/>
      <c r="T864" s="83"/>
      <c r="U864" s="83"/>
      <c r="V864" s="83"/>
      <c r="W864" s="83"/>
      <c r="X864" s="83"/>
      <c r="Y864" s="83"/>
      <c r="Z864" s="83"/>
      <c r="AA864" s="83"/>
      <c r="AB864" s="83"/>
      <c r="AC864" s="83"/>
      <c r="AD864" s="83"/>
      <c r="AE864" s="83"/>
      <c r="AF864" s="83"/>
      <c r="AG864" s="83"/>
      <c r="AH864" s="83"/>
      <c r="AI864" s="83"/>
      <c r="AJ864" s="83"/>
      <c r="AK864" s="83"/>
      <c r="AL864" s="83"/>
      <c r="AM864" s="83"/>
      <c r="AN864" s="83"/>
      <c r="AO864" s="83"/>
      <c r="AP864" s="83"/>
      <c r="AQ864" s="83"/>
      <c r="AR864" s="83"/>
      <c r="AS864" s="83"/>
      <c r="AT864" s="83"/>
      <c r="AU864" s="83"/>
      <c r="AV864" s="83"/>
      <c r="AW864" s="83"/>
      <c r="AX864" s="83"/>
      <c r="AY864" s="83"/>
      <c r="AZ864" s="83"/>
      <c r="BA864" s="83"/>
      <c r="BB864" s="83"/>
      <c r="BC864" s="83"/>
      <c r="BD864" s="83"/>
      <c r="BE864" s="83"/>
      <c r="BF864" s="83"/>
      <c r="BG864" s="83"/>
      <c r="BH864" s="83"/>
      <c r="BI864" s="83"/>
      <c r="BJ864" s="83"/>
      <c r="BK864" s="83"/>
      <c r="BL864" s="83"/>
      <c r="BM864" s="83"/>
      <c r="BN864" s="83"/>
      <c r="BO864" s="83"/>
      <c r="BP864" s="83"/>
      <c r="BQ864" s="83"/>
      <c r="BR864" s="83"/>
      <c r="BS864" s="83"/>
      <c r="BT864" s="83"/>
      <c r="BU864" s="83"/>
      <c r="BV864" s="83"/>
      <c r="BW864" s="83"/>
      <c r="BX864" s="83"/>
      <c r="BY864" s="83"/>
      <c r="BZ864" s="83"/>
      <c r="CA864" s="83"/>
      <c r="CB864" s="83"/>
      <c r="CC864" s="83"/>
      <c r="CD864" s="83"/>
      <c r="CE864" s="83"/>
      <c r="CF864" s="83"/>
      <c r="CG864" s="83"/>
      <c r="CH864" s="83"/>
      <c r="CI864" s="83"/>
      <c r="CJ864" s="83"/>
      <c r="CK864" s="83"/>
      <c r="CL864" s="83"/>
      <c r="CM864" s="83"/>
      <c r="CN864" s="83"/>
      <c r="CO864" s="83"/>
      <c r="CP864" s="83"/>
      <c r="CQ864" s="83"/>
      <c r="CR864" s="83"/>
      <c r="CS864" s="83"/>
      <c r="CT864" s="83"/>
      <c r="CU864" s="83"/>
      <c r="CV864" s="83"/>
      <c r="CW864" s="83"/>
      <c r="CX864" s="83"/>
      <c r="CY864" s="83"/>
      <c r="CZ864" s="83"/>
      <c r="DA864" s="83"/>
      <c r="DB864" s="83"/>
      <c r="DC864" s="83"/>
    </row>
    <row r="865" spans="1:107" x14ac:dyDescent="0.3">
      <c r="A865" s="83"/>
      <c r="B865" s="83"/>
      <c r="C865" s="83"/>
      <c r="D865" s="83"/>
      <c r="E865" s="83"/>
      <c r="F865" s="83"/>
      <c r="G865" s="83"/>
      <c r="H865" s="83"/>
      <c r="I865" s="83"/>
      <c r="J865" s="83"/>
      <c r="K865" s="83"/>
      <c r="L865" s="83"/>
      <c r="M865" s="83"/>
      <c r="N865" s="83"/>
      <c r="O865" s="83"/>
      <c r="P865" s="83"/>
      <c r="Q865" s="83"/>
      <c r="R865" s="83"/>
      <c r="S865" s="83"/>
      <c r="T865" s="83"/>
      <c r="U865" s="83"/>
      <c r="V865" s="83"/>
      <c r="W865" s="83"/>
      <c r="X865" s="83"/>
      <c r="Y865" s="83"/>
      <c r="Z865" s="83"/>
      <c r="AA865" s="83"/>
      <c r="AB865" s="83"/>
      <c r="AC865" s="83"/>
      <c r="AD865" s="83"/>
      <c r="AE865" s="83"/>
      <c r="AF865" s="83"/>
      <c r="AG865" s="83"/>
      <c r="AH865" s="83"/>
      <c r="AI865" s="83"/>
      <c r="AJ865" s="83"/>
      <c r="AK865" s="83"/>
      <c r="AL865" s="83"/>
      <c r="AM865" s="83"/>
      <c r="AN865" s="83"/>
      <c r="AO865" s="83"/>
      <c r="AP865" s="83"/>
      <c r="AQ865" s="83"/>
      <c r="AR865" s="83"/>
      <c r="AS865" s="83"/>
      <c r="AT865" s="83"/>
      <c r="AU865" s="83"/>
      <c r="AV865" s="83"/>
      <c r="AW865" s="83"/>
      <c r="AX865" s="83"/>
      <c r="AY865" s="83"/>
      <c r="AZ865" s="83"/>
      <c r="BA865" s="83"/>
      <c r="BB865" s="83"/>
      <c r="BC865" s="83"/>
      <c r="BD865" s="83"/>
      <c r="BE865" s="83"/>
      <c r="BF865" s="83"/>
      <c r="BG865" s="83"/>
      <c r="BH865" s="83"/>
      <c r="BI865" s="83"/>
      <c r="BJ865" s="83"/>
      <c r="BK865" s="83"/>
      <c r="BL865" s="83"/>
      <c r="BM865" s="83"/>
      <c r="BN865" s="83"/>
      <c r="BO865" s="83"/>
      <c r="BP865" s="83"/>
      <c r="BQ865" s="83"/>
      <c r="BR865" s="83"/>
      <c r="BS865" s="83"/>
      <c r="BT865" s="83"/>
      <c r="BU865" s="83"/>
      <c r="BV865" s="83"/>
      <c r="BW865" s="83"/>
      <c r="BX865" s="83"/>
      <c r="BY865" s="83"/>
      <c r="BZ865" s="83"/>
      <c r="CA865" s="83"/>
      <c r="CB865" s="83"/>
      <c r="CC865" s="83"/>
      <c r="CD865" s="83"/>
      <c r="CE865" s="83"/>
      <c r="CF865" s="83"/>
      <c r="CG865" s="83"/>
      <c r="CH865" s="83"/>
      <c r="CI865" s="83"/>
      <c r="CJ865" s="83"/>
      <c r="CK865" s="83"/>
      <c r="CL865" s="83"/>
      <c r="CM865" s="83"/>
      <c r="CN865" s="83"/>
      <c r="CO865" s="83"/>
      <c r="CP865" s="83"/>
      <c r="CQ865" s="83"/>
      <c r="CR865" s="83"/>
      <c r="CS865" s="83"/>
      <c r="CT865" s="83"/>
      <c r="CU865" s="83"/>
      <c r="CV865" s="83"/>
      <c r="CW865" s="83"/>
      <c r="CX865" s="83"/>
      <c r="CY865" s="83"/>
      <c r="CZ865" s="83"/>
      <c r="DA865" s="83"/>
      <c r="DB865" s="83"/>
      <c r="DC865" s="83"/>
    </row>
    <row r="866" spans="1:107" x14ac:dyDescent="0.3">
      <c r="A866" s="83"/>
      <c r="B866" s="83"/>
      <c r="C866" s="83"/>
      <c r="D866" s="83"/>
      <c r="E866" s="83"/>
      <c r="F866" s="83"/>
      <c r="G866" s="83"/>
      <c r="H866" s="83"/>
      <c r="I866" s="83"/>
      <c r="J866" s="83"/>
      <c r="K866" s="83"/>
      <c r="L866" s="83"/>
      <c r="M866" s="83"/>
      <c r="N866" s="83"/>
      <c r="O866" s="83"/>
      <c r="P866" s="83"/>
      <c r="Q866" s="83"/>
      <c r="R866" s="83"/>
      <c r="S866" s="83"/>
      <c r="T866" s="83"/>
      <c r="U866" s="83"/>
      <c r="V866" s="83"/>
      <c r="W866" s="83"/>
      <c r="X866" s="83"/>
      <c r="Y866" s="83"/>
      <c r="Z866" s="83"/>
      <c r="AA866" s="83"/>
      <c r="AB866" s="83"/>
      <c r="AC866" s="83"/>
      <c r="AD866" s="83"/>
      <c r="AE866" s="83"/>
      <c r="AF866" s="83"/>
      <c r="AG866" s="83"/>
      <c r="AH866" s="83"/>
      <c r="AI866" s="83"/>
      <c r="AJ866" s="83"/>
      <c r="AK866" s="83"/>
      <c r="AL866" s="83"/>
      <c r="AM866" s="83"/>
      <c r="AN866" s="83"/>
      <c r="AO866" s="83"/>
      <c r="AP866" s="83"/>
      <c r="AQ866" s="83"/>
      <c r="AR866" s="83"/>
      <c r="AS866" s="83"/>
      <c r="AT866" s="83"/>
      <c r="AU866" s="83"/>
      <c r="AV866" s="83"/>
      <c r="AW866" s="83"/>
      <c r="AX866" s="83"/>
      <c r="AY866" s="83"/>
      <c r="AZ866" s="83"/>
      <c r="BA866" s="83"/>
      <c r="BB866" s="83"/>
      <c r="BC866" s="83"/>
      <c r="BD866" s="83"/>
      <c r="BE866" s="83"/>
      <c r="BF866" s="83"/>
      <c r="BG866" s="83"/>
      <c r="BH866" s="83"/>
      <c r="BI866" s="83"/>
      <c r="BJ866" s="83"/>
      <c r="BK866" s="83"/>
      <c r="BL866" s="83"/>
      <c r="BM866" s="83"/>
      <c r="BN866" s="83"/>
      <c r="BO866" s="83"/>
      <c r="BP866" s="83"/>
      <c r="BQ866" s="83"/>
      <c r="BR866" s="83"/>
      <c r="BS866" s="83"/>
      <c r="BT866" s="83"/>
      <c r="BU866" s="83"/>
      <c r="BV866" s="83"/>
      <c r="BW866" s="83"/>
      <c r="BX866" s="83"/>
      <c r="BY866" s="83"/>
      <c r="BZ866" s="83"/>
      <c r="CA866" s="83"/>
      <c r="CB866" s="83"/>
      <c r="CC866" s="83"/>
      <c r="CD866" s="83"/>
      <c r="CE866" s="83"/>
      <c r="CF866" s="83"/>
      <c r="CG866" s="83"/>
      <c r="CH866" s="83"/>
      <c r="CI866" s="83"/>
      <c r="CJ866" s="83"/>
      <c r="CK866" s="83"/>
      <c r="CL866" s="83"/>
      <c r="CM866" s="83"/>
      <c r="CN866" s="83"/>
      <c r="CO866" s="83"/>
      <c r="CP866" s="83"/>
      <c r="CQ866" s="83"/>
      <c r="CR866" s="83"/>
      <c r="CS866" s="83"/>
      <c r="CT866" s="83"/>
      <c r="CU866" s="83"/>
      <c r="CV866" s="83"/>
      <c r="CW866" s="83"/>
      <c r="CX866" s="83"/>
      <c r="CY866" s="83"/>
      <c r="CZ866" s="83"/>
      <c r="DA866" s="83"/>
      <c r="DB866" s="83"/>
      <c r="DC866" s="83"/>
    </row>
    <row r="867" spans="1:107" x14ac:dyDescent="0.3">
      <c r="A867" s="83"/>
      <c r="B867" s="83"/>
      <c r="C867" s="83"/>
      <c r="D867" s="83"/>
      <c r="E867" s="83"/>
      <c r="F867" s="83"/>
      <c r="G867" s="83"/>
      <c r="H867" s="83"/>
      <c r="I867" s="83"/>
      <c r="J867" s="83"/>
      <c r="K867" s="83"/>
      <c r="L867" s="83"/>
      <c r="M867" s="83"/>
      <c r="N867" s="83"/>
      <c r="O867" s="83"/>
      <c r="P867" s="83"/>
      <c r="Q867" s="83"/>
      <c r="R867" s="83"/>
      <c r="S867" s="83"/>
      <c r="T867" s="83"/>
      <c r="U867" s="83"/>
      <c r="V867" s="83"/>
      <c r="W867" s="83"/>
      <c r="X867" s="83"/>
      <c r="Y867" s="83"/>
      <c r="Z867" s="83"/>
      <c r="AA867" s="83"/>
      <c r="AB867" s="83"/>
      <c r="AC867" s="83"/>
      <c r="AD867" s="83"/>
      <c r="AE867" s="83"/>
      <c r="AF867" s="83"/>
      <c r="AG867" s="83"/>
      <c r="AH867" s="83"/>
      <c r="AI867" s="83"/>
      <c r="AJ867" s="83"/>
      <c r="AK867" s="83"/>
      <c r="AL867" s="83"/>
      <c r="AM867" s="83"/>
      <c r="AN867" s="83"/>
      <c r="AO867" s="83"/>
      <c r="AP867" s="83"/>
      <c r="AQ867" s="83"/>
      <c r="AR867" s="83"/>
      <c r="AS867" s="83"/>
      <c r="AT867" s="83"/>
      <c r="AU867" s="83"/>
      <c r="AV867" s="83"/>
      <c r="AW867" s="83"/>
      <c r="AX867" s="83"/>
      <c r="AY867" s="83"/>
      <c r="AZ867" s="83"/>
      <c r="BA867" s="83"/>
      <c r="BB867" s="83"/>
      <c r="BC867" s="83"/>
      <c r="BD867" s="83"/>
      <c r="BE867" s="83"/>
      <c r="BF867" s="83"/>
      <c r="BG867" s="83"/>
      <c r="BH867" s="83"/>
      <c r="BI867" s="83"/>
      <c r="BJ867" s="83"/>
      <c r="BK867" s="83"/>
      <c r="BL867" s="83"/>
      <c r="BM867" s="83"/>
      <c r="BN867" s="83"/>
      <c r="BO867" s="83"/>
      <c r="BP867" s="83"/>
      <c r="BQ867" s="83"/>
      <c r="BR867" s="83"/>
      <c r="BS867" s="83"/>
      <c r="BT867" s="83"/>
      <c r="BU867" s="83"/>
      <c r="BV867" s="83"/>
      <c r="BW867" s="83"/>
      <c r="BX867" s="83"/>
      <c r="BY867" s="83"/>
      <c r="BZ867" s="83"/>
      <c r="CA867" s="83"/>
      <c r="CB867" s="83"/>
      <c r="CC867" s="83"/>
      <c r="CD867" s="83"/>
      <c r="CE867" s="83"/>
      <c r="CF867" s="83"/>
      <c r="CG867" s="83"/>
      <c r="CH867" s="83"/>
      <c r="CI867" s="83"/>
      <c r="CJ867" s="83"/>
      <c r="CK867" s="83"/>
      <c r="CL867" s="83"/>
      <c r="CM867" s="83"/>
      <c r="CN867" s="83"/>
      <c r="CO867" s="83"/>
      <c r="CP867" s="83"/>
      <c r="CQ867" s="83"/>
      <c r="CR867" s="83"/>
      <c r="CS867" s="83"/>
      <c r="CT867" s="83"/>
      <c r="CU867" s="83"/>
      <c r="CV867" s="83"/>
      <c r="CW867" s="83"/>
      <c r="CX867" s="83"/>
      <c r="CY867" s="83"/>
      <c r="CZ867" s="83"/>
      <c r="DA867" s="83"/>
      <c r="DB867" s="83"/>
      <c r="DC867" s="83"/>
    </row>
    <row r="868" spans="1:107" x14ac:dyDescent="0.3">
      <c r="A868" s="83"/>
      <c r="B868" s="83"/>
      <c r="C868" s="83"/>
      <c r="D868" s="83"/>
      <c r="E868" s="83"/>
      <c r="F868" s="83"/>
      <c r="G868" s="83"/>
      <c r="H868" s="83"/>
      <c r="I868" s="83"/>
      <c r="J868" s="83"/>
      <c r="K868" s="83"/>
      <c r="L868" s="83"/>
      <c r="M868" s="83"/>
      <c r="N868" s="83"/>
      <c r="O868" s="83"/>
      <c r="P868" s="83"/>
      <c r="Q868" s="83"/>
      <c r="R868" s="83"/>
      <c r="S868" s="83"/>
      <c r="T868" s="83"/>
      <c r="U868" s="83"/>
      <c r="V868" s="83"/>
      <c r="W868" s="83"/>
      <c r="X868" s="83"/>
      <c r="Y868" s="83"/>
      <c r="Z868" s="83"/>
      <c r="AA868" s="83"/>
      <c r="AB868" s="83"/>
      <c r="AC868" s="83"/>
      <c r="AD868" s="83"/>
      <c r="AE868" s="83"/>
      <c r="AF868" s="83"/>
      <c r="AG868" s="83"/>
      <c r="AH868" s="83"/>
      <c r="AI868" s="83"/>
      <c r="AJ868" s="83"/>
      <c r="AK868" s="83"/>
      <c r="AL868" s="83"/>
      <c r="AM868" s="83"/>
      <c r="AN868" s="83"/>
      <c r="AO868" s="83"/>
      <c r="AP868" s="83"/>
      <c r="AQ868" s="83"/>
      <c r="AR868" s="83"/>
      <c r="AS868" s="83"/>
      <c r="AT868" s="83"/>
      <c r="AU868" s="83"/>
      <c r="AV868" s="83"/>
      <c r="AW868" s="83"/>
      <c r="AX868" s="83"/>
      <c r="AY868" s="83"/>
      <c r="AZ868" s="83"/>
      <c r="BA868" s="83"/>
      <c r="BB868" s="83"/>
      <c r="BC868" s="83"/>
      <c r="BD868" s="83"/>
      <c r="BE868" s="83"/>
      <c r="BF868" s="83"/>
      <c r="BG868" s="83"/>
      <c r="BH868" s="83"/>
      <c r="BI868" s="83"/>
      <c r="BJ868" s="83"/>
      <c r="BK868" s="83"/>
      <c r="BL868" s="83"/>
      <c r="BM868" s="83"/>
      <c r="BN868" s="83"/>
      <c r="BO868" s="83"/>
      <c r="BP868" s="83"/>
      <c r="BQ868" s="83"/>
      <c r="BR868" s="83"/>
      <c r="BS868" s="83"/>
      <c r="BT868" s="83"/>
      <c r="BU868" s="83"/>
      <c r="BV868" s="83"/>
      <c r="BW868" s="83"/>
      <c r="BX868" s="83"/>
      <c r="BY868" s="83"/>
      <c r="BZ868" s="83"/>
      <c r="CA868" s="83"/>
      <c r="CB868" s="83"/>
      <c r="CC868" s="83"/>
      <c r="CD868" s="83"/>
      <c r="CE868" s="83"/>
      <c r="CF868" s="83"/>
      <c r="CG868" s="83"/>
      <c r="CH868" s="83"/>
      <c r="CI868" s="83"/>
      <c r="CJ868" s="83"/>
      <c r="CK868" s="83"/>
      <c r="CL868" s="83"/>
      <c r="CM868" s="83"/>
      <c r="CN868" s="83"/>
      <c r="CO868" s="83"/>
      <c r="CP868" s="83"/>
      <c r="CQ868" s="83"/>
      <c r="CR868" s="83"/>
      <c r="CS868" s="83"/>
      <c r="CT868" s="83"/>
      <c r="CU868" s="83"/>
      <c r="CV868" s="83"/>
      <c r="CW868" s="83"/>
      <c r="CX868" s="83"/>
      <c r="CY868" s="83"/>
      <c r="CZ868" s="83"/>
      <c r="DA868" s="83"/>
      <c r="DB868" s="83"/>
      <c r="DC868" s="83"/>
    </row>
    <row r="869" spans="1:107" x14ac:dyDescent="0.3">
      <c r="A869" s="83"/>
      <c r="B869" s="83"/>
      <c r="C869" s="83"/>
      <c r="D869" s="83"/>
      <c r="E869" s="83"/>
      <c r="F869" s="83"/>
      <c r="G869" s="83"/>
      <c r="H869" s="83"/>
      <c r="I869" s="83"/>
      <c r="J869" s="83"/>
      <c r="K869" s="83"/>
      <c r="L869" s="83"/>
      <c r="M869" s="83"/>
      <c r="N869" s="83"/>
      <c r="O869" s="83"/>
      <c r="P869" s="83"/>
      <c r="Q869" s="83"/>
      <c r="R869" s="83"/>
      <c r="S869" s="83"/>
      <c r="T869" s="83"/>
      <c r="U869" s="83"/>
      <c r="V869" s="83"/>
      <c r="W869" s="83"/>
      <c r="X869" s="83"/>
      <c r="Y869" s="83"/>
      <c r="Z869" s="83"/>
      <c r="AA869" s="83"/>
      <c r="AB869" s="83"/>
      <c r="AC869" s="83"/>
      <c r="AD869" s="83"/>
      <c r="AE869" s="83"/>
      <c r="AF869" s="83"/>
      <c r="AG869" s="83"/>
      <c r="AH869" s="83"/>
      <c r="AI869" s="83"/>
      <c r="AJ869" s="83"/>
      <c r="AK869" s="83"/>
      <c r="AL869" s="83"/>
      <c r="AM869" s="83"/>
      <c r="AN869" s="83"/>
      <c r="AO869" s="83"/>
      <c r="AP869" s="83"/>
      <c r="AQ869" s="83"/>
      <c r="AR869" s="83"/>
      <c r="AS869" s="83"/>
      <c r="AT869" s="83"/>
      <c r="AU869" s="83"/>
      <c r="AV869" s="83"/>
      <c r="AW869" s="83"/>
      <c r="AX869" s="83"/>
      <c r="AY869" s="83"/>
      <c r="AZ869" s="83"/>
      <c r="BA869" s="83"/>
      <c r="BB869" s="83"/>
      <c r="BC869" s="83"/>
      <c r="BD869" s="83"/>
      <c r="BE869" s="83"/>
      <c r="BF869" s="83"/>
      <c r="BG869" s="83"/>
      <c r="BH869" s="83"/>
      <c r="BI869" s="83"/>
      <c r="BJ869" s="83"/>
      <c r="BK869" s="83"/>
      <c r="BL869" s="83"/>
      <c r="BM869" s="83"/>
      <c r="BN869" s="83"/>
      <c r="BO869" s="83"/>
      <c r="BP869" s="83"/>
      <c r="BQ869" s="83"/>
      <c r="BR869" s="83"/>
      <c r="BS869" s="83"/>
      <c r="BT869" s="83"/>
      <c r="BU869" s="83"/>
      <c r="BV869" s="83"/>
      <c r="BW869" s="83"/>
      <c r="BX869" s="83"/>
      <c r="BY869" s="83"/>
      <c r="BZ869" s="83"/>
      <c r="CA869" s="83"/>
      <c r="CB869" s="83"/>
      <c r="CC869" s="83"/>
      <c r="CD869" s="83"/>
      <c r="CE869" s="83"/>
      <c r="CF869" s="83"/>
      <c r="CG869" s="83"/>
      <c r="CH869" s="83"/>
      <c r="CI869" s="83"/>
      <c r="CJ869" s="83"/>
      <c r="CK869" s="83"/>
      <c r="CL869" s="83"/>
      <c r="CM869" s="83"/>
      <c r="CN869" s="83"/>
      <c r="CO869" s="83"/>
      <c r="CP869" s="83"/>
      <c r="CQ869" s="83"/>
      <c r="CR869" s="83"/>
      <c r="CS869" s="83"/>
      <c r="CT869" s="83"/>
      <c r="CU869" s="83"/>
      <c r="CV869" s="83"/>
      <c r="CW869" s="83"/>
      <c r="CX869" s="83"/>
      <c r="CY869" s="83"/>
      <c r="CZ869" s="83"/>
      <c r="DA869" s="83"/>
      <c r="DB869" s="83"/>
      <c r="DC869" s="83"/>
    </row>
    <row r="870" spans="1:107" x14ac:dyDescent="0.3">
      <c r="A870" s="83"/>
      <c r="B870" s="83"/>
      <c r="C870" s="83"/>
      <c r="D870" s="83"/>
      <c r="E870" s="83"/>
      <c r="F870" s="83"/>
      <c r="G870" s="83"/>
      <c r="H870" s="83"/>
      <c r="I870" s="83"/>
      <c r="J870" s="83"/>
      <c r="K870" s="83"/>
      <c r="L870" s="83"/>
      <c r="M870" s="83"/>
      <c r="N870" s="83"/>
      <c r="O870" s="83"/>
      <c r="P870" s="83"/>
      <c r="Q870" s="83"/>
      <c r="R870" s="83"/>
      <c r="S870" s="83"/>
      <c r="T870" s="83"/>
      <c r="U870" s="83"/>
      <c r="V870" s="83"/>
      <c r="W870" s="83"/>
      <c r="X870" s="83"/>
      <c r="Y870" s="83"/>
      <c r="Z870" s="83"/>
      <c r="AA870" s="83"/>
      <c r="AB870" s="83"/>
      <c r="AC870" s="83"/>
      <c r="AD870" s="83"/>
      <c r="AE870" s="83"/>
      <c r="AF870" s="83"/>
      <c r="AG870" s="83"/>
      <c r="AH870" s="83"/>
      <c r="AI870" s="83"/>
      <c r="AJ870" s="83"/>
      <c r="AK870" s="83"/>
      <c r="AL870" s="83"/>
      <c r="AM870" s="83"/>
      <c r="AN870" s="83"/>
      <c r="AO870" s="83"/>
      <c r="AP870" s="83"/>
      <c r="AQ870" s="83"/>
      <c r="AR870" s="83"/>
      <c r="AS870" s="83"/>
      <c r="AT870" s="83"/>
      <c r="AU870" s="83"/>
      <c r="AV870" s="83"/>
      <c r="AW870" s="83"/>
      <c r="AX870" s="83"/>
      <c r="AY870" s="83"/>
      <c r="AZ870" s="83"/>
      <c r="BA870" s="83"/>
      <c r="BB870" s="83"/>
      <c r="BC870" s="83"/>
      <c r="BD870" s="83"/>
      <c r="BE870" s="83"/>
      <c r="BF870" s="83"/>
      <c r="BG870" s="83"/>
      <c r="BH870" s="83"/>
      <c r="BI870" s="83"/>
      <c r="BJ870" s="83"/>
      <c r="BK870" s="83"/>
      <c r="BL870" s="83"/>
      <c r="BM870" s="83"/>
      <c r="BN870" s="83"/>
      <c r="BO870" s="83"/>
      <c r="BP870" s="83"/>
      <c r="BQ870" s="83"/>
      <c r="BR870" s="83"/>
      <c r="BS870" s="83"/>
      <c r="BT870" s="83"/>
      <c r="BU870" s="83"/>
      <c r="BV870" s="83"/>
      <c r="BW870" s="83"/>
      <c r="BX870" s="83"/>
      <c r="BY870" s="83"/>
      <c r="BZ870" s="83"/>
      <c r="CA870" s="83"/>
      <c r="CB870" s="83"/>
      <c r="CC870" s="83"/>
      <c r="CD870" s="83"/>
      <c r="CE870" s="83"/>
      <c r="CF870" s="83"/>
      <c r="CG870" s="83"/>
      <c r="CH870" s="83"/>
      <c r="CI870" s="83"/>
      <c r="CJ870" s="83"/>
      <c r="CK870" s="83"/>
      <c r="CL870" s="83"/>
      <c r="CM870" s="83"/>
      <c r="CN870" s="83"/>
      <c r="CO870" s="83"/>
      <c r="CP870" s="83"/>
      <c r="CQ870" s="83"/>
      <c r="CR870" s="83"/>
      <c r="CS870" s="83"/>
      <c r="CT870" s="83"/>
      <c r="CU870" s="83"/>
      <c r="CV870" s="83"/>
      <c r="CW870" s="83"/>
      <c r="CX870" s="83"/>
      <c r="CY870" s="83"/>
      <c r="CZ870" s="83"/>
      <c r="DA870" s="83"/>
      <c r="DB870" s="83"/>
      <c r="DC870" s="83"/>
    </row>
    <row r="871" spans="1:107" x14ac:dyDescent="0.3">
      <c r="A871" s="83"/>
      <c r="B871" s="83"/>
      <c r="C871" s="83"/>
      <c r="D871" s="83"/>
      <c r="E871" s="83"/>
      <c r="F871" s="83"/>
      <c r="G871" s="83"/>
      <c r="H871" s="83"/>
      <c r="I871" s="83"/>
      <c r="J871" s="83"/>
      <c r="K871" s="83"/>
      <c r="L871" s="83"/>
      <c r="M871" s="83"/>
      <c r="N871" s="83"/>
      <c r="O871" s="83"/>
      <c r="P871" s="83"/>
      <c r="Q871" s="83"/>
      <c r="R871" s="83"/>
      <c r="S871" s="83"/>
      <c r="T871" s="83"/>
      <c r="U871" s="83"/>
      <c r="V871" s="83"/>
      <c r="W871" s="83"/>
      <c r="X871" s="83"/>
      <c r="Y871" s="83"/>
      <c r="Z871" s="83"/>
      <c r="AA871" s="83"/>
      <c r="AB871" s="83"/>
      <c r="AC871" s="83"/>
      <c r="AD871" s="83"/>
      <c r="AE871" s="83"/>
      <c r="AF871" s="83"/>
      <c r="AG871" s="83"/>
      <c r="AH871" s="83"/>
      <c r="AI871" s="83"/>
      <c r="AJ871" s="83"/>
      <c r="AK871" s="83"/>
      <c r="AL871" s="83"/>
      <c r="AM871" s="83"/>
      <c r="AN871" s="83"/>
      <c r="AO871" s="83"/>
      <c r="AP871" s="83"/>
      <c r="AQ871" s="83"/>
      <c r="AR871" s="83"/>
      <c r="AS871" s="83"/>
      <c r="AT871" s="83"/>
      <c r="AU871" s="83"/>
      <c r="AV871" s="83"/>
      <c r="AW871" s="83"/>
      <c r="AX871" s="83"/>
      <c r="AY871" s="83"/>
      <c r="AZ871" s="83"/>
      <c r="BA871" s="83"/>
      <c r="BB871" s="83"/>
      <c r="BC871" s="83"/>
      <c r="BD871" s="83"/>
      <c r="BE871" s="83"/>
      <c r="BF871" s="83"/>
      <c r="BG871" s="83"/>
      <c r="BH871" s="83"/>
      <c r="BI871" s="83"/>
      <c r="BJ871" s="83"/>
      <c r="BK871" s="83"/>
      <c r="BL871" s="83"/>
      <c r="BM871" s="83"/>
      <c r="BN871" s="83"/>
      <c r="BO871" s="83"/>
      <c r="BP871" s="83"/>
      <c r="BQ871" s="83"/>
      <c r="BR871" s="83"/>
      <c r="BS871" s="83"/>
      <c r="BT871" s="83"/>
      <c r="BU871" s="83"/>
      <c r="BV871" s="83"/>
      <c r="BW871" s="83"/>
      <c r="BX871" s="83"/>
      <c r="BY871" s="83"/>
      <c r="BZ871" s="83"/>
      <c r="CA871" s="83"/>
      <c r="CB871" s="83"/>
      <c r="CC871" s="83"/>
      <c r="CD871" s="83"/>
      <c r="CE871" s="83"/>
      <c r="CF871" s="83"/>
      <c r="CG871" s="83"/>
      <c r="CH871" s="83"/>
      <c r="CI871" s="83"/>
      <c r="CJ871" s="83"/>
      <c r="CK871" s="83"/>
      <c r="CL871" s="83"/>
      <c r="CM871" s="83"/>
      <c r="CN871" s="83"/>
      <c r="CO871" s="83"/>
      <c r="CP871" s="83"/>
      <c r="CQ871" s="83"/>
      <c r="CR871" s="83"/>
      <c r="CS871" s="83"/>
      <c r="CT871" s="83"/>
      <c r="CU871" s="83"/>
      <c r="CV871" s="83"/>
      <c r="CW871" s="83"/>
      <c r="CX871" s="83"/>
      <c r="CY871" s="83"/>
      <c r="CZ871" s="83"/>
      <c r="DA871" s="83"/>
      <c r="DB871" s="83"/>
      <c r="DC871" s="83"/>
    </row>
    <row r="872" spans="1:107" x14ac:dyDescent="0.3">
      <c r="A872" s="83"/>
      <c r="B872" s="83"/>
      <c r="C872" s="83"/>
      <c r="D872" s="83"/>
      <c r="E872" s="83"/>
      <c r="F872" s="83"/>
      <c r="G872" s="83"/>
      <c r="H872" s="83"/>
      <c r="I872" s="83"/>
      <c r="J872" s="83"/>
      <c r="K872" s="83"/>
      <c r="L872" s="83"/>
      <c r="M872" s="83"/>
      <c r="N872" s="83"/>
      <c r="O872" s="83"/>
      <c r="P872" s="83"/>
      <c r="Q872" s="83"/>
      <c r="R872" s="83"/>
      <c r="S872" s="83"/>
      <c r="T872" s="83"/>
      <c r="U872" s="83"/>
      <c r="V872" s="83"/>
      <c r="W872" s="83"/>
      <c r="X872" s="83"/>
      <c r="Y872" s="83"/>
      <c r="Z872" s="83"/>
      <c r="AA872" s="83"/>
      <c r="AB872" s="83"/>
      <c r="AC872" s="83"/>
      <c r="AD872" s="83"/>
      <c r="AE872" s="83"/>
      <c r="AF872" s="83"/>
      <c r="AG872" s="83"/>
      <c r="AH872" s="83"/>
      <c r="AI872" s="83"/>
      <c r="AJ872" s="83"/>
      <c r="AK872" s="83"/>
      <c r="AL872" s="83"/>
      <c r="AM872" s="83"/>
      <c r="AN872" s="83"/>
      <c r="AO872" s="83"/>
      <c r="AP872" s="83"/>
      <c r="AQ872" s="83"/>
      <c r="AR872" s="83"/>
      <c r="AS872" s="83"/>
      <c r="AT872" s="83"/>
      <c r="AU872" s="83"/>
      <c r="AV872" s="83"/>
      <c r="AW872" s="83"/>
      <c r="AX872" s="83"/>
      <c r="AY872" s="83"/>
      <c r="AZ872" s="83"/>
      <c r="BA872" s="83"/>
      <c r="BB872" s="83"/>
      <c r="BC872" s="83"/>
      <c r="BD872" s="83"/>
      <c r="BE872" s="83"/>
      <c r="BF872" s="83"/>
      <c r="BG872" s="83"/>
      <c r="BH872" s="83"/>
      <c r="BI872" s="83"/>
      <c r="BJ872" s="83"/>
      <c r="BK872" s="83"/>
      <c r="BL872" s="83"/>
      <c r="BM872" s="83"/>
      <c r="BN872" s="83"/>
      <c r="BO872" s="83"/>
      <c r="BP872" s="83"/>
      <c r="BQ872" s="83"/>
      <c r="BR872" s="83"/>
      <c r="BS872" s="83"/>
      <c r="BT872" s="83"/>
      <c r="BU872" s="83"/>
      <c r="BV872" s="83"/>
      <c r="BW872" s="83"/>
      <c r="BX872" s="83"/>
      <c r="BY872" s="83"/>
      <c r="BZ872" s="83"/>
      <c r="CA872" s="83"/>
      <c r="CB872" s="83"/>
      <c r="CC872" s="83"/>
      <c r="CD872" s="83"/>
      <c r="CE872" s="83"/>
      <c r="CF872" s="83"/>
      <c r="CG872" s="83"/>
      <c r="CH872" s="83"/>
      <c r="CI872" s="83"/>
      <c r="CJ872" s="83"/>
      <c r="CK872" s="83"/>
      <c r="CL872" s="83"/>
      <c r="CM872" s="83"/>
      <c r="CN872" s="83"/>
      <c r="CO872" s="83"/>
      <c r="CP872" s="83"/>
      <c r="CQ872" s="83"/>
      <c r="CR872" s="83"/>
      <c r="CS872" s="83"/>
      <c r="CT872" s="83"/>
      <c r="CU872" s="83"/>
      <c r="CV872" s="83"/>
      <c r="CW872" s="83"/>
      <c r="CX872" s="83"/>
      <c r="CY872" s="83"/>
      <c r="CZ872" s="83"/>
      <c r="DA872" s="83"/>
      <c r="DB872" s="83"/>
      <c r="DC872" s="83"/>
    </row>
    <row r="873" spans="1:107" x14ac:dyDescent="0.3">
      <c r="A873" s="83"/>
      <c r="B873" s="83"/>
      <c r="C873" s="83"/>
      <c r="D873" s="83"/>
      <c r="E873" s="83"/>
      <c r="F873" s="83"/>
      <c r="G873" s="83"/>
      <c r="H873" s="83"/>
      <c r="I873" s="83"/>
      <c r="J873" s="83"/>
      <c r="K873" s="83"/>
      <c r="L873" s="83"/>
      <c r="M873" s="83"/>
      <c r="N873" s="83"/>
      <c r="O873" s="83"/>
      <c r="P873" s="83"/>
      <c r="Q873" s="83"/>
      <c r="R873" s="83"/>
      <c r="S873" s="83"/>
      <c r="T873" s="83"/>
      <c r="U873" s="83"/>
      <c r="V873" s="83"/>
      <c r="W873" s="83"/>
      <c r="X873" s="83"/>
      <c r="Y873" s="83"/>
      <c r="Z873" s="83"/>
      <c r="AA873" s="83"/>
      <c r="AB873" s="83"/>
      <c r="AC873" s="83"/>
      <c r="AD873" s="83"/>
      <c r="AE873" s="83"/>
      <c r="AF873" s="83"/>
      <c r="AG873" s="83"/>
      <c r="AH873" s="83"/>
      <c r="AI873" s="83"/>
      <c r="AJ873" s="83"/>
      <c r="AK873" s="83"/>
      <c r="AL873" s="83"/>
      <c r="AM873" s="83"/>
      <c r="AN873" s="83"/>
      <c r="AO873" s="83"/>
      <c r="AP873" s="83"/>
      <c r="AQ873" s="83"/>
      <c r="AR873" s="83"/>
      <c r="AS873" s="83"/>
      <c r="AT873" s="83"/>
      <c r="AU873" s="83"/>
      <c r="AV873" s="83"/>
      <c r="AW873" s="83"/>
      <c r="AX873" s="83"/>
      <c r="AY873" s="83"/>
      <c r="AZ873" s="83"/>
      <c r="BA873" s="83"/>
      <c r="BB873" s="83"/>
      <c r="BC873" s="83"/>
      <c r="BD873" s="83"/>
      <c r="BE873" s="83"/>
      <c r="BF873" s="83"/>
      <c r="BG873" s="83"/>
      <c r="BH873" s="83"/>
      <c r="BI873" s="83"/>
      <c r="BJ873" s="83"/>
      <c r="BK873" s="83"/>
      <c r="BL873" s="83"/>
      <c r="BM873" s="83"/>
      <c r="BN873" s="83"/>
      <c r="BO873" s="83"/>
      <c r="BP873" s="83"/>
      <c r="BQ873" s="83"/>
      <c r="BR873" s="83"/>
      <c r="BS873" s="83"/>
      <c r="BT873" s="83"/>
      <c r="BU873" s="83"/>
      <c r="BV873" s="83"/>
      <c r="BW873" s="83"/>
      <c r="BX873" s="83"/>
      <c r="BY873" s="83"/>
      <c r="BZ873" s="83"/>
      <c r="CA873" s="83"/>
      <c r="CB873" s="83"/>
      <c r="CC873" s="83"/>
      <c r="CD873" s="83"/>
      <c r="CE873" s="83"/>
      <c r="CF873" s="83"/>
      <c r="CG873" s="83"/>
      <c r="CH873" s="83"/>
      <c r="CI873" s="83"/>
      <c r="CJ873" s="83"/>
      <c r="CK873" s="83"/>
      <c r="CL873" s="83"/>
      <c r="CM873" s="83"/>
      <c r="CN873" s="83"/>
      <c r="CO873" s="83"/>
      <c r="CP873" s="83"/>
      <c r="CQ873" s="83"/>
      <c r="CR873" s="83"/>
      <c r="CS873" s="83"/>
      <c r="CT873" s="83"/>
      <c r="CU873" s="83"/>
      <c r="CV873" s="83"/>
      <c r="CW873" s="83"/>
      <c r="CX873" s="83"/>
      <c r="CY873" s="83"/>
      <c r="CZ873" s="83"/>
      <c r="DA873" s="83"/>
      <c r="DB873" s="83"/>
      <c r="DC873" s="83"/>
    </row>
    <row r="874" spans="1:107" x14ac:dyDescent="0.3">
      <c r="A874" s="83"/>
      <c r="B874" s="83"/>
      <c r="C874" s="83"/>
      <c r="D874" s="83"/>
      <c r="E874" s="83"/>
      <c r="F874" s="83"/>
      <c r="G874" s="83"/>
      <c r="H874" s="83"/>
      <c r="I874" s="83"/>
      <c r="J874" s="83"/>
      <c r="K874" s="83"/>
      <c r="L874" s="83"/>
      <c r="M874" s="83"/>
      <c r="N874" s="83"/>
      <c r="O874" s="83"/>
      <c r="P874" s="83"/>
      <c r="Q874" s="83"/>
      <c r="R874" s="83"/>
      <c r="S874" s="83"/>
      <c r="T874" s="83"/>
      <c r="U874" s="83"/>
      <c r="V874" s="83"/>
      <c r="W874" s="83"/>
      <c r="X874" s="83"/>
      <c r="Y874" s="83"/>
      <c r="Z874" s="83"/>
      <c r="AA874" s="83"/>
      <c r="AB874" s="83"/>
      <c r="AC874" s="83"/>
      <c r="AD874" s="83"/>
      <c r="AE874" s="83"/>
      <c r="AF874" s="83"/>
      <c r="AG874" s="83"/>
      <c r="AH874" s="83"/>
      <c r="AI874" s="83"/>
      <c r="AJ874" s="83"/>
      <c r="AK874" s="83"/>
      <c r="AL874" s="83"/>
      <c r="AM874" s="83"/>
      <c r="AN874" s="83"/>
      <c r="AO874" s="83"/>
      <c r="AP874" s="83"/>
      <c r="AQ874" s="83"/>
      <c r="AR874" s="83"/>
      <c r="AS874" s="83"/>
      <c r="AT874" s="83"/>
      <c r="AU874" s="83"/>
      <c r="AV874" s="83"/>
      <c r="AW874" s="83"/>
      <c r="AX874" s="83"/>
      <c r="AY874" s="83"/>
      <c r="AZ874" s="83"/>
      <c r="BA874" s="83"/>
      <c r="BB874" s="83"/>
      <c r="BC874" s="83"/>
      <c r="BD874" s="83"/>
      <c r="BE874" s="83"/>
      <c r="BF874" s="83"/>
      <c r="BG874" s="83"/>
      <c r="BH874" s="83"/>
      <c r="BI874" s="83"/>
      <c r="BJ874" s="83"/>
      <c r="BK874" s="83"/>
      <c r="BL874" s="83"/>
      <c r="BM874" s="83"/>
      <c r="BN874" s="83"/>
      <c r="BO874" s="83"/>
      <c r="BP874" s="83"/>
      <c r="BQ874" s="83"/>
      <c r="BR874" s="83"/>
      <c r="BS874" s="83"/>
      <c r="BT874" s="83"/>
      <c r="BU874" s="83"/>
      <c r="BV874" s="83"/>
      <c r="BW874" s="83"/>
      <c r="BX874" s="83"/>
      <c r="BY874" s="83"/>
      <c r="BZ874" s="83"/>
      <c r="CA874" s="83"/>
      <c r="CB874" s="83"/>
      <c r="CC874" s="83"/>
      <c r="CD874" s="83"/>
      <c r="CE874" s="83"/>
      <c r="CF874" s="83"/>
      <c r="CG874" s="83"/>
      <c r="CH874" s="83"/>
      <c r="CI874" s="83"/>
      <c r="CJ874" s="83"/>
      <c r="CK874" s="83"/>
      <c r="CL874" s="83"/>
      <c r="CM874" s="83"/>
      <c r="CN874" s="83"/>
      <c r="CO874" s="83"/>
      <c r="CP874" s="83"/>
      <c r="CQ874" s="83"/>
      <c r="CR874" s="83"/>
      <c r="CS874" s="83"/>
      <c r="CT874" s="83"/>
      <c r="CU874" s="83"/>
      <c r="CV874" s="83"/>
      <c r="CW874" s="83"/>
      <c r="CX874" s="83"/>
      <c r="CY874" s="83"/>
      <c r="CZ874" s="83"/>
      <c r="DA874" s="83"/>
      <c r="DB874" s="83"/>
      <c r="DC874" s="83"/>
    </row>
    <row r="875" spans="1:107" x14ac:dyDescent="0.3">
      <c r="A875" s="83"/>
      <c r="B875" s="83"/>
      <c r="C875" s="83"/>
      <c r="D875" s="83"/>
      <c r="E875" s="83"/>
      <c r="F875" s="83"/>
      <c r="G875" s="83"/>
      <c r="H875" s="83"/>
      <c r="I875" s="83"/>
      <c r="J875" s="83"/>
      <c r="K875" s="83"/>
      <c r="L875" s="83"/>
      <c r="M875" s="83"/>
      <c r="N875" s="83"/>
      <c r="O875" s="83"/>
      <c r="P875" s="83"/>
      <c r="Q875" s="83"/>
      <c r="R875" s="83"/>
      <c r="S875" s="83"/>
      <c r="T875" s="83"/>
      <c r="U875" s="83"/>
      <c r="V875" s="83"/>
      <c r="W875" s="83"/>
      <c r="X875" s="83"/>
      <c r="Y875" s="83"/>
      <c r="Z875" s="83"/>
      <c r="AA875" s="83"/>
      <c r="AB875" s="83"/>
      <c r="AC875" s="83"/>
      <c r="AD875" s="83"/>
      <c r="AE875" s="83"/>
      <c r="AF875" s="83"/>
      <c r="AG875" s="83"/>
      <c r="AH875" s="83"/>
      <c r="AI875" s="83"/>
      <c r="AJ875" s="83"/>
      <c r="AK875" s="83"/>
      <c r="AL875" s="83"/>
      <c r="AM875" s="83"/>
      <c r="AN875" s="83"/>
      <c r="AO875" s="83"/>
      <c r="AP875" s="83"/>
      <c r="AQ875" s="83"/>
      <c r="AR875" s="83"/>
      <c r="AS875" s="83"/>
      <c r="AT875" s="83"/>
      <c r="AU875" s="83"/>
      <c r="AV875" s="83"/>
      <c r="AW875" s="83"/>
      <c r="AX875" s="83"/>
      <c r="AY875" s="83"/>
      <c r="AZ875" s="83"/>
      <c r="BA875" s="83"/>
      <c r="BB875" s="83"/>
      <c r="BC875" s="83"/>
      <c r="BD875" s="83"/>
      <c r="BE875" s="83"/>
      <c r="BF875" s="83"/>
      <c r="BG875" s="83"/>
      <c r="BH875" s="83"/>
      <c r="BI875" s="83"/>
      <c r="BJ875" s="83"/>
      <c r="BK875" s="83"/>
      <c r="BL875" s="83"/>
      <c r="BM875" s="83"/>
      <c r="BN875" s="83"/>
      <c r="BO875" s="83"/>
      <c r="BP875" s="83"/>
      <c r="BQ875" s="83"/>
      <c r="BR875" s="83"/>
      <c r="BS875" s="83"/>
      <c r="BT875" s="83"/>
      <c r="BU875" s="83"/>
      <c r="BV875" s="83"/>
      <c r="BW875" s="83"/>
      <c r="BX875" s="83"/>
      <c r="BY875" s="83"/>
      <c r="BZ875" s="83"/>
      <c r="CA875" s="83"/>
      <c r="CB875" s="83"/>
      <c r="CC875" s="83"/>
      <c r="CD875" s="83"/>
      <c r="CE875" s="83"/>
      <c r="CF875" s="83"/>
      <c r="CG875" s="83"/>
      <c r="CH875" s="83"/>
      <c r="CI875" s="83"/>
      <c r="CJ875" s="83"/>
      <c r="CK875" s="83"/>
      <c r="CL875" s="83"/>
      <c r="CM875" s="83"/>
      <c r="CN875" s="83"/>
      <c r="CO875" s="83"/>
      <c r="CP875" s="83"/>
      <c r="CQ875" s="83"/>
      <c r="CR875" s="83"/>
      <c r="CS875" s="83"/>
      <c r="CT875" s="83"/>
      <c r="CU875" s="83"/>
      <c r="CV875" s="83"/>
      <c r="CW875" s="83"/>
      <c r="CX875" s="83"/>
      <c r="CY875" s="83"/>
      <c r="CZ875" s="83"/>
      <c r="DA875" s="83"/>
      <c r="DB875" s="83"/>
      <c r="DC875" s="83"/>
    </row>
    <row r="876" spans="1:107" x14ac:dyDescent="0.3">
      <c r="A876" s="83"/>
      <c r="B876" s="83"/>
      <c r="C876" s="83"/>
      <c r="D876" s="83"/>
      <c r="E876" s="83"/>
      <c r="F876" s="83"/>
      <c r="G876" s="83"/>
      <c r="H876" s="83"/>
      <c r="I876" s="83"/>
      <c r="J876" s="83"/>
      <c r="K876" s="83"/>
      <c r="L876" s="83"/>
      <c r="M876" s="83"/>
      <c r="N876" s="83"/>
      <c r="O876" s="83"/>
      <c r="P876" s="83"/>
      <c r="Q876" s="83"/>
      <c r="R876" s="83"/>
      <c r="S876" s="83"/>
      <c r="T876" s="83"/>
      <c r="U876" s="83"/>
      <c r="V876" s="83"/>
      <c r="W876" s="83"/>
      <c r="X876" s="83"/>
      <c r="Y876" s="83"/>
      <c r="Z876" s="83"/>
      <c r="AA876" s="83"/>
      <c r="AB876" s="83"/>
      <c r="AC876" s="83"/>
      <c r="AD876" s="83"/>
      <c r="AE876" s="83"/>
      <c r="AF876" s="83"/>
      <c r="AG876" s="83"/>
      <c r="AH876" s="83"/>
      <c r="AI876" s="83"/>
      <c r="AJ876" s="83"/>
      <c r="AK876" s="83"/>
      <c r="AL876" s="83"/>
      <c r="AM876" s="83"/>
      <c r="AN876" s="83"/>
      <c r="AO876" s="83"/>
      <c r="AP876" s="83"/>
      <c r="AQ876" s="83"/>
      <c r="AR876" s="83"/>
      <c r="AS876" s="83"/>
      <c r="AT876" s="83"/>
      <c r="AU876" s="83"/>
      <c r="AV876" s="83"/>
      <c r="AW876" s="83"/>
      <c r="AX876" s="83"/>
      <c r="AY876" s="83"/>
      <c r="AZ876" s="83"/>
      <c r="BA876" s="83"/>
      <c r="BB876" s="83"/>
      <c r="BC876" s="83"/>
      <c r="BD876" s="83"/>
      <c r="BE876" s="83"/>
      <c r="BF876" s="83"/>
      <c r="BG876" s="83"/>
      <c r="BH876" s="83"/>
      <c r="BI876" s="83"/>
      <c r="BJ876" s="83"/>
      <c r="BK876" s="83"/>
      <c r="BL876" s="83"/>
      <c r="BM876" s="83"/>
      <c r="BN876" s="83"/>
      <c r="BO876" s="83"/>
      <c r="BP876" s="83"/>
      <c r="BQ876" s="83"/>
      <c r="BR876" s="83"/>
      <c r="BS876" s="83"/>
      <c r="BT876" s="83"/>
      <c r="BU876" s="83"/>
      <c r="BV876" s="83"/>
      <c r="BW876" s="83"/>
      <c r="BX876" s="83"/>
      <c r="BY876" s="83"/>
      <c r="BZ876" s="83"/>
      <c r="CA876" s="83"/>
      <c r="CB876" s="83"/>
      <c r="CC876" s="83"/>
      <c r="CD876" s="83"/>
      <c r="CE876" s="83"/>
      <c r="CF876" s="83"/>
      <c r="CG876" s="83"/>
      <c r="CH876" s="83"/>
      <c r="CI876" s="83"/>
      <c r="CJ876" s="83"/>
      <c r="CK876" s="83"/>
      <c r="CL876" s="83"/>
      <c r="CM876" s="83"/>
      <c r="CN876" s="83"/>
      <c r="CO876" s="83"/>
      <c r="CP876" s="83"/>
      <c r="CQ876" s="83"/>
      <c r="CR876" s="83"/>
      <c r="CS876" s="83"/>
      <c r="CT876" s="83"/>
      <c r="CU876" s="83"/>
      <c r="CV876" s="83"/>
      <c r="CW876" s="83"/>
      <c r="CX876" s="83"/>
      <c r="CY876" s="83"/>
      <c r="CZ876" s="83"/>
      <c r="DA876" s="83"/>
      <c r="DB876" s="83"/>
      <c r="DC876" s="83"/>
    </row>
    <row r="877" spans="1:107" x14ac:dyDescent="0.3">
      <c r="A877" s="83"/>
      <c r="B877" s="83"/>
      <c r="C877" s="83"/>
      <c r="D877" s="83"/>
      <c r="E877" s="83"/>
      <c r="F877" s="83"/>
      <c r="G877" s="83"/>
      <c r="H877" s="83"/>
      <c r="I877" s="83"/>
      <c r="J877" s="83"/>
      <c r="K877" s="83"/>
      <c r="L877" s="83"/>
      <c r="M877" s="83"/>
      <c r="N877" s="83"/>
      <c r="O877" s="83"/>
      <c r="P877" s="83"/>
      <c r="Q877" s="83"/>
      <c r="R877" s="83"/>
      <c r="S877" s="83"/>
      <c r="T877" s="83"/>
      <c r="U877" s="83"/>
      <c r="V877" s="83"/>
      <c r="W877" s="83"/>
      <c r="X877" s="83"/>
      <c r="Y877" s="83"/>
      <c r="Z877" s="83"/>
      <c r="AA877" s="83"/>
      <c r="AB877" s="83"/>
      <c r="AC877" s="83"/>
      <c r="AD877" s="83"/>
      <c r="AE877" s="83"/>
      <c r="AF877" s="83"/>
      <c r="AG877" s="83"/>
      <c r="AH877" s="83"/>
      <c r="AI877" s="83"/>
      <c r="AJ877" s="83"/>
      <c r="AK877" s="83"/>
      <c r="AL877" s="83"/>
      <c r="AM877" s="83"/>
      <c r="AN877" s="83"/>
      <c r="AO877" s="83"/>
      <c r="AP877" s="83"/>
      <c r="AQ877" s="83"/>
      <c r="AR877" s="83"/>
      <c r="AS877" s="83"/>
      <c r="AT877" s="83"/>
      <c r="AU877" s="83"/>
      <c r="AV877" s="83"/>
      <c r="AW877" s="83"/>
      <c r="AX877" s="83"/>
      <c r="AY877" s="83"/>
      <c r="AZ877" s="83"/>
      <c r="BA877" s="83"/>
      <c r="BB877" s="83"/>
      <c r="BC877" s="83"/>
      <c r="BD877" s="83"/>
      <c r="BE877" s="83"/>
      <c r="BF877" s="83"/>
      <c r="BG877" s="83"/>
      <c r="BH877" s="83"/>
      <c r="BI877" s="83"/>
      <c r="BJ877" s="83"/>
      <c r="BK877" s="83"/>
      <c r="BL877" s="83"/>
      <c r="BM877" s="83"/>
      <c r="BN877" s="83"/>
      <c r="BO877" s="83"/>
      <c r="BP877" s="83"/>
      <c r="BQ877" s="83"/>
      <c r="BR877" s="83"/>
      <c r="BS877" s="83"/>
      <c r="BT877" s="83"/>
      <c r="BU877" s="83"/>
      <c r="BV877" s="83"/>
      <c r="BW877" s="83"/>
      <c r="BX877" s="83"/>
      <c r="BY877" s="83"/>
      <c r="BZ877" s="83"/>
      <c r="CA877" s="83"/>
      <c r="CB877" s="83"/>
      <c r="CC877" s="83"/>
      <c r="CD877" s="83"/>
      <c r="CE877" s="83"/>
      <c r="CF877" s="83"/>
      <c r="CG877" s="83"/>
      <c r="CH877" s="83"/>
      <c r="CI877" s="83"/>
      <c r="CJ877" s="83"/>
      <c r="CK877" s="83"/>
      <c r="CL877" s="83"/>
      <c r="CM877" s="83"/>
      <c r="CN877" s="83"/>
      <c r="CO877" s="83"/>
      <c r="CP877" s="83"/>
      <c r="CQ877" s="83"/>
      <c r="CR877" s="83"/>
      <c r="CS877" s="83"/>
      <c r="CT877" s="83"/>
      <c r="CU877" s="83"/>
      <c r="CV877" s="83"/>
      <c r="CW877" s="83"/>
      <c r="CX877" s="83"/>
      <c r="CY877" s="83"/>
      <c r="CZ877" s="83"/>
      <c r="DA877" s="83"/>
      <c r="DB877" s="83"/>
      <c r="DC877" s="83"/>
    </row>
    <row r="878" spans="1:107" x14ac:dyDescent="0.3">
      <c r="A878" s="83"/>
      <c r="B878" s="83"/>
      <c r="C878" s="83"/>
      <c r="D878" s="83"/>
      <c r="E878" s="83"/>
      <c r="F878" s="83"/>
      <c r="G878" s="83"/>
      <c r="H878" s="83"/>
      <c r="I878" s="83"/>
      <c r="J878" s="83"/>
      <c r="K878" s="83"/>
      <c r="L878" s="83"/>
      <c r="M878" s="83"/>
      <c r="N878" s="83"/>
      <c r="O878" s="83"/>
      <c r="P878" s="83"/>
      <c r="Q878" s="83"/>
      <c r="R878" s="83"/>
      <c r="S878" s="83"/>
      <c r="T878" s="83"/>
      <c r="U878" s="83"/>
      <c r="V878" s="83"/>
      <c r="W878" s="83"/>
      <c r="X878" s="83"/>
      <c r="Y878" s="83"/>
      <c r="Z878" s="83"/>
      <c r="AA878" s="83"/>
      <c r="AB878" s="83"/>
      <c r="AC878" s="83"/>
      <c r="AD878" s="83"/>
      <c r="AE878" s="83"/>
      <c r="AF878" s="83"/>
      <c r="AG878" s="83"/>
      <c r="AH878" s="83"/>
      <c r="AI878" s="83"/>
      <c r="AJ878" s="83"/>
      <c r="AK878" s="83"/>
      <c r="AL878" s="83"/>
      <c r="AM878" s="83"/>
      <c r="AN878" s="83"/>
      <c r="AO878" s="83"/>
      <c r="AP878" s="83"/>
      <c r="AQ878" s="83"/>
      <c r="AR878" s="83"/>
      <c r="AS878" s="83"/>
      <c r="AT878" s="83"/>
      <c r="AU878" s="83"/>
      <c r="AV878" s="83"/>
      <c r="AW878" s="83"/>
      <c r="AX878" s="83"/>
      <c r="AY878" s="83"/>
      <c r="AZ878" s="83"/>
      <c r="BA878" s="83"/>
      <c r="BB878" s="83"/>
      <c r="BC878" s="83"/>
      <c r="BD878" s="83"/>
      <c r="BE878" s="83"/>
      <c r="BF878" s="83"/>
      <c r="BG878" s="83"/>
      <c r="BH878" s="83"/>
      <c r="BI878" s="83"/>
      <c r="BJ878" s="83"/>
      <c r="BK878" s="83"/>
      <c r="BL878" s="83"/>
      <c r="BM878" s="83"/>
      <c r="BN878" s="83"/>
      <c r="BO878" s="83"/>
      <c r="BP878" s="83"/>
      <c r="BQ878" s="83"/>
      <c r="BR878" s="83"/>
      <c r="BS878" s="83"/>
      <c r="BT878" s="83"/>
      <c r="BU878" s="83"/>
      <c r="BV878" s="83"/>
      <c r="BW878" s="83"/>
      <c r="BX878" s="83"/>
      <c r="BY878" s="83"/>
      <c r="BZ878" s="83"/>
      <c r="CA878" s="83"/>
      <c r="CB878" s="83"/>
      <c r="CC878" s="83"/>
      <c r="CD878" s="83"/>
      <c r="CE878" s="83"/>
      <c r="CF878" s="83"/>
      <c r="CG878" s="83"/>
      <c r="CH878" s="83"/>
      <c r="CI878" s="83"/>
      <c r="CJ878" s="83"/>
      <c r="CK878" s="83"/>
      <c r="CL878" s="83"/>
      <c r="CM878" s="83"/>
      <c r="CN878" s="83"/>
      <c r="CO878" s="83"/>
      <c r="CP878" s="83"/>
      <c r="CQ878" s="83"/>
      <c r="CR878" s="83"/>
      <c r="CS878" s="83"/>
      <c r="CT878" s="83"/>
      <c r="CU878" s="83"/>
      <c r="CV878" s="83"/>
      <c r="CW878" s="83"/>
      <c r="CX878" s="83"/>
      <c r="CY878" s="83"/>
      <c r="CZ878" s="83"/>
      <c r="DA878" s="83"/>
      <c r="DB878" s="83"/>
      <c r="DC878" s="83"/>
    </row>
    <row r="879" spans="1:107" x14ac:dyDescent="0.3">
      <c r="A879" s="83"/>
      <c r="B879" s="83"/>
      <c r="C879" s="83"/>
      <c r="D879" s="83"/>
      <c r="E879" s="83"/>
      <c r="F879" s="83"/>
      <c r="G879" s="83"/>
      <c r="H879" s="83"/>
      <c r="I879" s="83"/>
      <c r="J879" s="83"/>
      <c r="K879" s="83"/>
      <c r="L879" s="83"/>
      <c r="M879" s="83"/>
      <c r="N879" s="83"/>
      <c r="O879" s="83"/>
      <c r="P879" s="83"/>
      <c r="Q879" s="83"/>
      <c r="R879" s="83"/>
      <c r="S879" s="83"/>
      <c r="T879" s="83"/>
      <c r="U879" s="83"/>
      <c r="V879" s="83"/>
      <c r="W879" s="83"/>
      <c r="X879" s="83"/>
      <c r="Y879" s="83"/>
      <c r="Z879" s="83"/>
      <c r="AA879" s="83"/>
      <c r="AB879" s="83"/>
      <c r="AC879" s="83"/>
      <c r="AD879" s="83"/>
      <c r="AE879" s="83"/>
      <c r="AF879" s="83"/>
      <c r="AG879" s="83"/>
      <c r="AH879" s="83"/>
      <c r="AI879" s="83"/>
      <c r="AJ879" s="83"/>
      <c r="AK879" s="83"/>
      <c r="AL879" s="83"/>
      <c r="AM879" s="83"/>
      <c r="AN879" s="83"/>
      <c r="AO879" s="83"/>
      <c r="AP879" s="83"/>
      <c r="AQ879" s="83"/>
      <c r="AR879" s="83"/>
      <c r="AS879" s="83"/>
      <c r="AT879" s="83"/>
      <c r="AU879" s="83"/>
      <c r="AV879" s="83"/>
      <c r="AW879" s="83"/>
      <c r="AX879" s="83"/>
      <c r="AY879" s="83"/>
      <c r="AZ879" s="83"/>
      <c r="BA879" s="83"/>
      <c r="BB879" s="83"/>
      <c r="BC879" s="83"/>
      <c r="BD879" s="83"/>
      <c r="BE879" s="83"/>
      <c r="BF879" s="83"/>
      <c r="BG879" s="83"/>
      <c r="BH879" s="83"/>
      <c r="BI879" s="83"/>
      <c r="BJ879" s="83"/>
      <c r="BK879" s="83"/>
      <c r="BL879" s="83"/>
      <c r="BM879" s="83"/>
      <c r="BN879" s="83"/>
      <c r="BO879" s="83"/>
      <c r="BP879" s="83"/>
      <c r="BQ879" s="83"/>
      <c r="BR879" s="83"/>
      <c r="BS879" s="83"/>
      <c r="BT879" s="83"/>
      <c r="BU879" s="83"/>
      <c r="BV879" s="83"/>
      <c r="BW879" s="83"/>
      <c r="BX879" s="83"/>
      <c r="BY879" s="83"/>
      <c r="BZ879" s="83"/>
      <c r="CA879" s="83"/>
      <c r="CB879" s="83"/>
      <c r="CC879" s="83"/>
      <c r="CD879" s="83"/>
      <c r="CE879" s="83"/>
      <c r="CF879" s="83"/>
      <c r="CG879" s="83"/>
      <c r="CH879" s="83"/>
      <c r="CI879" s="83"/>
      <c r="CJ879" s="83"/>
      <c r="CK879" s="83"/>
      <c r="CL879" s="83"/>
      <c r="CM879" s="83"/>
      <c r="CN879" s="83"/>
      <c r="CO879" s="83"/>
      <c r="CP879" s="83"/>
      <c r="CQ879" s="83"/>
      <c r="CR879" s="83"/>
      <c r="CS879" s="83"/>
      <c r="CT879" s="83"/>
      <c r="CU879" s="83"/>
      <c r="CV879" s="83"/>
      <c r="CW879" s="83"/>
      <c r="CX879" s="83"/>
      <c r="CY879" s="83"/>
      <c r="CZ879" s="83"/>
      <c r="DA879" s="83"/>
      <c r="DB879" s="83"/>
      <c r="DC879" s="83"/>
    </row>
    <row r="880" spans="1:107" x14ac:dyDescent="0.3">
      <c r="A880" s="83"/>
      <c r="B880" s="83"/>
      <c r="C880" s="83"/>
      <c r="D880" s="83"/>
      <c r="E880" s="83"/>
      <c r="F880" s="83"/>
      <c r="G880" s="83"/>
      <c r="H880" s="83"/>
      <c r="I880" s="83"/>
      <c r="J880" s="83"/>
      <c r="K880" s="83"/>
      <c r="L880" s="83"/>
      <c r="M880" s="83"/>
      <c r="N880" s="83"/>
      <c r="O880" s="83"/>
      <c r="P880" s="83"/>
      <c r="Q880" s="83"/>
      <c r="R880" s="83"/>
      <c r="S880" s="83"/>
      <c r="T880" s="83"/>
      <c r="U880" s="83"/>
      <c r="V880" s="83"/>
      <c r="W880" s="83"/>
      <c r="X880" s="83"/>
      <c r="Y880" s="83"/>
      <c r="Z880" s="83"/>
      <c r="AA880" s="83"/>
      <c r="AB880" s="83"/>
      <c r="AC880" s="83"/>
      <c r="AD880" s="83"/>
      <c r="AE880" s="83"/>
      <c r="AF880" s="83"/>
      <c r="AG880" s="83"/>
      <c r="AH880" s="83"/>
      <c r="AI880" s="83"/>
      <c r="AJ880" s="83"/>
      <c r="AK880" s="83"/>
      <c r="AL880" s="83"/>
      <c r="AM880" s="83"/>
      <c r="AN880" s="83"/>
      <c r="AO880" s="83"/>
      <c r="AP880" s="83"/>
      <c r="AQ880" s="83"/>
      <c r="AR880" s="83"/>
      <c r="AS880" s="83"/>
      <c r="AT880" s="83"/>
      <c r="AU880" s="83"/>
      <c r="AV880" s="83"/>
      <c r="AW880" s="83"/>
      <c r="AX880" s="83"/>
      <c r="AY880" s="83"/>
      <c r="AZ880" s="83"/>
      <c r="BA880" s="83"/>
      <c r="BB880" s="83"/>
      <c r="BC880" s="83"/>
      <c r="BD880" s="83"/>
      <c r="BE880" s="83"/>
      <c r="BF880" s="83"/>
      <c r="BG880" s="83"/>
      <c r="BH880" s="83"/>
      <c r="BI880" s="83"/>
      <c r="BJ880" s="83"/>
      <c r="BK880" s="83"/>
      <c r="BL880" s="83"/>
      <c r="BM880" s="83"/>
      <c r="BN880" s="83"/>
      <c r="BO880" s="83"/>
      <c r="BP880" s="83"/>
      <c r="BQ880" s="83"/>
      <c r="BR880" s="83"/>
      <c r="BS880" s="83"/>
      <c r="BT880" s="83"/>
      <c r="BU880" s="83"/>
      <c r="BV880" s="83"/>
      <c r="BW880" s="83"/>
      <c r="BX880" s="83"/>
      <c r="BY880" s="83"/>
      <c r="BZ880" s="83"/>
      <c r="CA880" s="83"/>
      <c r="CB880" s="83"/>
      <c r="CC880" s="83"/>
      <c r="CD880" s="83"/>
      <c r="CE880" s="83"/>
      <c r="CF880" s="83"/>
      <c r="CG880" s="83"/>
      <c r="CH880" s="83"/>
      <c r="CI880" s="83"/>
      <c r="CJ880" s="83"/>
      <c r="CK880" s="83"/>
      <c r="CL880" s="83"/>
      <c r="CM880" s="83"/>
      <c r="CN880" s="83"/>
      <c r="CO880" s="83"/>
      <c r="CP880" s="83"/>
      <c r="CQ880" s="83"/>
      <c r="CR880" s="83"/>
      <c r="CS880" s="83"/>
      <c r="CT880" s="83"/>
      <c r="CU880" s="83"/>
      <c r="CV880" s="83"/>
      <c r="CW880" s="83"/>
      <c r="CX880" s="83"/>
      <c r="CY880" s="83"/>
      <c r="CZ880" s="83"/>
      <c r="DA880" s="83"/>
      <c r="DB880" s="83"/>
      <c r="DC880" s="83"/>
    </row>
    <row r="881" spans="1:107" x14ac:dyDescent="0.3">
      <c r="A881" s="83"/>
      <c r="B881" s="83"/>
      <c r="C881" s="83"/>
      <c r="D881" s="83"/>
      <c r="E881" s="83"/>
      <c r="F881" s="83"/>
      <c r="G881" s="83"/>
      <c r="H881" s="83"/>
      <c r="I881" s="83"/>
      <c r="J881" s="83"/>
      <c r="K881" s="83"/>
      <c r="L881" s="83"/>
      <c r="M881" s="83"/>
      <c r="N881" s="83"/>
      <c r="O881" s="83"/>
      <c r="P881" s="83"/>
      <c r="Q881" s="83"/>
      <c r="R881" s="83"/>
      <c r="S881" s="83"/>
      <c r="T881" s="83"/>
      <c r="U881" s="83"/>
      <c r="V881" s="83"/>
      <c r="W881" s="83"/>
      <c r="X881" s="83"/>
      <c r="Y881" s="83"/>
      <c r="Z881" s="83"/>
      <c r="AA881" s="83"/>
      <c r="AB881" s="83"/>
      <c r="AC881" s="83"/>
      <c r="AD881" s="83"/>
      <c r="AE881" s="83"/>
      <c r="AF881" s="83"/>
      <c r="AG881" s="83"/>
      <c r="AH881" s="83"/>
      <c r="AI881" s="83"/>
      <c r="AJ881" s="83"/>
      <c r="AK881" s="83"/>
      <c r="AL881" s="83"/>
      <c r="AM881" s="83"/>
      <c r="AN881" s="83"/>
      <c r="AO881" s="83"/>
      <c r="AP881" s="83"/>
      <c r="AQ881" s="83"/>
      <c r="AR881" s="83"/>
      <c r="AS881" s="83"/>
      <c r="AT881" s="83"/>
      <c r="AU881" s="83"/>
      <c r="AV881" s="83"/>
      <c r="AW881" s="83"/>
      <c r="AX881" s="83"/>
      <c r="AY881" s="83"/>
      <c r="AZ881" s="83"/>
      <c r="BA881" s="83"/>
      <c r="BB881" s="83"/>
      <c r="BC881" s="83"/>
      <c r="BD881" s="83"/>
      <c r="BE881" s="83"/>
      <c r="BF881" s="83"/>
      <c r="BG881" s="83"/>
      <c r="BH881" s="83"/>
      <c r="BI881" s="83"/>
      <c r="BJ881" s="83"/>
      <c r="BK881" s="83"/>
      <c r="BL881" s="83"/>
      <c r="BM881" s="83"/>
      <c r="BN881" s="83"/>
      <c r="BO881" s="83"/>
      <c r="BP881" s="83"/>
      <c r="BQ881" s="83"/>
      <c r="BR881" s="83"/>
      <c r="BS881" s="83"/>
      <c r="BT881" s="83"/>
      <c r="BU881" s="83"/>
      <c r="BV881" s="83"/>
      <c r="BW881" s="83"/>
      <c r="BX881" s="83"/>
      <c r="BY881" s="83"/>
      <c r="BZ881" s="83"/>
      <c r="CA881" s="83"/>
      <c r="CB881" s="83"/>
      <c r="CC881" s="83"/>
      <c r="CD881" s="83"/>
      <c r="CE881" s="83"/>
      <c r="CF881" s="83"/>
      <c r="CG881" s="83"/>
      <c r="CH881" s="83"/>
      <c r="CI881" s="83"/>
      <c r="CJ881" s="83"/>
      <c r="CK881" s="83"/>
      <c r="CL881" s="83"/>
      <c r="CM881" s="83"/>
      <c r="CN881" s="83"/>
      <c r="CO881" s="83"/>
      <c r="CP881" s="83"/>
      <c r="CQ881" s="83"/>
      <c r="CR881" s="83"/>
      <c r="CS881" s="83"/>
      <c r="CT881" s="83"/>
      <c r="CU881" s="83"/>
      <c r="CV881" s="83"/>
      <c r="CW881" s="83"/>
      <c r="CX881" s="83"/>
      <c r="CY881" s="83"/>
      <c r="CZ881" s="83"/>
      <c r="DA881" s="83"/>
      <c r="DB881" s="83"/>
      <c r="DC881" s="83"/>
    </row>
    <row r="882" spans="1:107" x14ac:dyDescent="0.3">
      <c r="A882" s="83"/>
      <c r="B882" s="83"/>
      <c r="C882" s="83"/>
      <c r="D882" s="83"/>
      <c r="E882" s="83"/>
      <c r="F882" s="83"/>
      <c r="G882" s="83"/>
      <c r="H882" s="83"/>
      <c r="I882" s="83"/>
      <c r="J882" s="83"/>
      <c r="K882" s="83"/>
      <c r="L882" s="83"/>
      <c r="M882" s="83"/>
      <c r="N882" s="83"/>
      <c r="O882" s="83"/>
      <c r="P882" s="83"/>
      <c r="Q882" s="83"/>
      <c r="R882" s="83"/>
      <c r="S882" s="83"/>
      <c r="T882" s="83"/>
      <c r="U882" s="83"/>
      <c r="V882" s="83"/>
      <c r="W882" s="83"/>
      <c r="X882" s="83"/>
      <c r="Y882" s="83"/>
      <c r="Z882" s="83"/>
      <c r="AA882" s="83"/>
      <c r="AB882" s="83"/>
      <c r="AC882" s="83"/>
      <c r="AD882" s="83"/>
      <c r="AE882" s="83"/>
      <c r="AF882" s="83"/>
      <c r="AG882" s="83"/>
      <c r="AH882" s="83"/>
      <c r="AI882" s="83"/>
      <c r="AJ882" s="83"/>
      <c r="AK882" s="83"/>
      <c r="AL882" s="83"/>
      <c r="AM882" s="83"/>
      <c r="AN882" s="83"/>
      <c r="AO882" s="83"/>
      <c r="AP882" s="83"/>
      <c r="AQ882" s="83"/>
      <c r="AR882" s="83"/>
      <c r="AS882" s="83"/>
      <c r="AT882" s="83"/>
      <c r="AU882" s="83"/>
      <c r="AV882" s="83"/>
      <c r="AW882" s="83"/>
      <c r="AX882" s="83"/>
      <c r="AY882" s="83"/>
      <c r="AZ882" s="83"/>
      <c r="BA882" s="83"/>
      <c r="BB882" s="83"/>
      <c r="BC882" s="83"/>
      <c r="BD882" s="83"/>
      <c r="BE882" s="83"/>
      <c r="BF882" s="83"/>
      <c r="BG882" s="83"/>
      <c r="BH882" s="83"/>
      <c r="BI882" s="83"/>
      <c r="BJ882" s="83"/>
      <c r="BK882" s="83"/>
      <c r="BL882" s="83"/>
      <c r="BM882" s="83"/>
      <c r="BN882" s="83"/>
      <c r="BO882" s="83"/>
      <c r="BP882" s="83"/>
      <c r="BQ882" s="83"/>
      <c r="BR882" s="83"/>
      <c r="BS882" s="83"/>
      <c r="BT882" s="83"/>
      <c r="BU882" s="83"/>
      <c r="BV882" s="83"/>
      <c r="BW882" s="83"/>
      <c r="BX882" s="83"/>
      <c r="BY882" s="83"/>
      <c r="BZ882" s="83"/>
      <c r="CA882" s="83"/>
      <c r="CB882" s="83"/>
      <c r="CC882" s="83"/>
      <c r="CD882" s="83"/>
      <c r="CE882" s="83"/>
      <c r="CF882" s="83"/>
      <c r="CG882" s="83"/>
      <c r="CH882" s="83"/>
      <c r="CI882" s="83"/>
      <c r="CJ882" s="83"/>
      <c r="CK882" s="83"/>
      <c r="CL882" s="83"/>
      <c r="CM882" s="83"/>
      <c r="CN882" s="83"/>
      <c r="CO882" s="83"/>
      <c r="CP882" s="83"/>
      <c r="CQ882" s="83"/>
      <c r="CR882" s="83"/>
      <c r="CS882" s="83"/>
      <c r="CT882" s="83"/>
      <c r="CU882" s="83"/>
      <c r="CV882" s="83"/>
      <c r="CW882" s="83"/>
      <c r="CX882" s="83"/>
      <c r="CY882" s="83"/>
      <c r="CZ882" s="83"/>
      <c r="DA882" s="83"/>
      <c r="DB882" s="83"/>
      <c r="DC882" s="83"/>
    </row>
    <row r="883" spans="1:107" x14ac:dyDescent="0.3">
      <c r="A883" s="83"/>
      <c r="B883" s="83"/>
      <c r="C883" s="83"/>
      <c r="D883" s="83"/>
      <c r="E883" s="83"/>
      <c r="F883" s="83"/>
      <c r="G883" s="83"/>
      <c r="H883" s="83"/>
      <c r="I883" s="83"/>
      <c r="J883" s="83"/>
      <c r="K883" s="83"/>
      <c r="L883" s="83"/>
      <c r="M883" s="83"/>
      <c r="N883" s="83"/>
      <c r="O883" s="83"/>
      <c r="P883" s="83"/>
      <c r="Q883" s="83"/>
      <c r="R883" s="83"/>
      <c r="S883" s="83"/>
      <c r="T883" s="83"/>
      <c r="U883" s="83"/>
      <c r="V883" s="83"/>
      <c r="W883" s="83"/>
      <c r="X883" s="83"/>
      <c r="Y883" s="83"/>
      <c r="Z883" s="83"/>
      <c r="AA883" s="83"/>
      <c r="AB883" s="83"/>
      <c r="AC883" s="83"/>
      <c r="AD883" s="83"/>
      <c r="AE883" s="83"/>
      <c r="AF883" s="83"/>
      <c r="AG883" s="83"/>
      <c r="AH883" s="83"/>
      <c r="AI883" s="83"/>
      <c r="AJ883" s="83"/>
      <c r="AK883" s="83"/>
      <c r="AL883" s="83"/>
      <c r="AM883" s="83"/>
      <c r="AN883" s="83"/>
      <c r="AO883" s="83"/>
      <c r="AP883" s="83"/>
      <c r="AQ883" s="83"/>
      <c r="AR883" s="83"/>
      <c r="AS883" s="83"/>
      <c r="AT883" s="83"/>
      <c r="AU883" s="83"/>
      <c r="AV883" s="83"/>
      <c r="AW883" s="83"/>
      <c r="AX883" s="83"/>
      <c r="AY883" s="83"/>
      <c r="AZ883" s="83"/>
      <c r="BA883" s="83"/>
      <c r="BB883" s="83"/>
      <c r="BC883" s="83"/>
      <c r="BD883" s="83"/>
      <c r="BE883" s="83"/>
      <c r="BF883" s="83"/>
      <c r="BG883" s="83"/>
      <c r="BH883" s="83"/>
      <c r="BI883" s="83"/>
      <c r="BJ883" s="83"/>
      <c r="BK883" s="83"/>
      <c r="BL883" s="83"/>
      <c r="BM883" s="83"/>
      <c r="BN883" s="83"/>
      <c r="BO883" s="83"/>
      <c r="BP883" s="83"/>
      <c r="BQ883" s="83"/>
      <c r="BR883" s="83"/>
      <c r="BS883" s="83"/>
      <c r="BT883" s="83"/>
      <c r="BU883" s="83"/>
      <c r="BV883" s="83"/>
      <c r="BW883" s="83"/>
      <c r="BX883" s="83"/>
      <c r="BY883" s="83"/>
      <c r="BZ883" s="83"/>
      <c r="CA883" s="83"/>
      <c r="CB883" s="83"/>
      <c r="CC883" s="83"/>
      <c r="CD883" s="83"/>
      <c r="CE883" s="83"/>
      <c r="CF883" s="83"/>
      <c r="CG883" s="83"/>
      <c r="CH883" s="83"/>
      <c r="CI883" s="83"/>
      <c r="CJ883" s="83"/>
      <c r="CK883" s="83"/>
      <c r="CL883" s="83"/>
      <c r="CM883" s="83"/>
      <c r="CN883" s="83"/>
      <c r="CO883" s="83"/>
      <c r="CP883" s="83"/>
      <c r="CQ883" s="83"/>
      <c r="CR883" s="83"/>
      <c r="CS883" s="83"/>
      <c r="CT883" s="83"/>
      <c r="CU883" s="83"/>
      <c r="CV883" s="83"/>
      <c r="CW883" s="83"/>
      <c r="CX883" s="83"/>
      <c r="CY883" s="83"/>
      <c r="CZ883" s="83"/>
      <c r="DA883" s="83"/>
      <c r="DB883" s="83"/>
      <c r="DC883" s="83"/>
    </row>
    <row r="884" spans="1:107" x14ac:dyDescent="0.3">
      <c r="A884" s="83"/>
      <c r="B884" s="83"/>
      <c r="C884" s="83"/>
      <c r="D884" s="83"/>
      <c r="E884" s="83"/>
      <c r="F884" s="83"/>
      <c r="G884" s="83"/>
      <c r="H884" s="83"/>
      <c r="I884" s="83"/>
      <c r="J884" s="83"/>
      <c r="K884" s="83"/>
      <c r="L884" s="83"/>
      <c r="M884" s="83"/>
      <c r="N884" s="83"/>
      <c r="O884" s="83"/>
      <c r="P884" s="83"/>
      <c r="Q884" s="83"/>
      <c r="R884" s="83"/>
      <c r="S884" s="83"/>
      <c r="T884" s="83"/>
      <c r="U884" s="83"/>
      <c r="V884" s="83"/>
      <c r="W884" s="83"/>
      <c r="X884" s="83"/>
      <c r="Y884" s="83"/>
      <c r="Z884" s="83"/>
      <c r="AA884" s="83"/>
      <c r="AB884" s="83"/>
      <c r="AC884" s="83"/>
      <c r="AD884" s="83"/>
      <c r="AE884" s="83"/>
      <c r="AF884" s="83"/>
      <c r="AG884" s="83"/>
      <c r="AH884" s="83"/>
      <c r="AI884" s="83"/>
      <c r="AJ884" s="83"/>
      <c r="AK884" s="83"/>
      <c r="AL884" s="83"/>
      <c r="AM884" s="83"/>
      <c r="AN884" s="83"/>
      <c r="AO884" s="83"/>
      <c r="AP884" s="83"/>
      <c r="AQ884" s="83"/>
      <c r="AR884" s="83"/>
      <c r="AS884" s="83"/>
      <c r="AT884" s="83"/>
      <c r="AU884" s="83"/>
      <c r="AV884" s="83"/>
      <c r="AW884" s="83"/>
      <c r="AX884" s="83"/>
      <c r="AY884" s="83"/>
      <c r="AZ884" s="83"/>
      <c r="BA884" s="83"/>
      <c r="BB884" s="83"/>
      <c r="BC884" s="83"/>
      <c r="BD884" s="83"/>
      <c r="BE884" s="83"/>
      <c r="BF884" s="83"/>
      <c r="BG884" s="83"/>
      <c r="BH884" s="83"/>
      <c r="BI884" s="83"/>
      <c r="BJ884" s="83"/>
      <c r="BK884" s="83"/>
      <c r="BL884" s="83"/>
      <c r="BM884" s="83"/>
      <c r="BN884" s="83"/>
      <c r="BO884" s="83"/>
      <c r="BP884" s="83"/>
      <c r="BQ884" s="83"/>
      <c r="BR884" s="83"/>
      <c r="BS884" s="83"/>
      <c r="BT884" s="83"/>
      <c r="BU884" s="83"/>
      <c r="BV884" s="83"/>
      <c r="BW884" s="83"/>
      <c r="BX884" s="83"/>
      <c r="BY884" s="83"/>
      <c r="BZ884" s="83"/>
      <c r="CA884" s="83"/>
      <c r="CB884" s="83"/>
      <c r="CC884" s="83"/>
      <c r="CD884" s="83"/>
      <c r="CE884" s="83"/>
      <c r="CF884" s="83"/>
      <c r="CG884" s="83"/>
      <c r="CH884" s="83"/>
      <c r="CI884" s="83"/>
      <c r="CJ884" s="83"/>
      <c r="CK884" s="83"/>
      <c r="CL884" s="83"/>
      <c r="CM884" s="83"/>
      <c r="CN884" s="83"/>
      <c r="CO884" s="83"/>
      <c r="CP884" s="83"/>
      <c r="CQ884" s="83"/>
      <c r="CR884" s="83"/>
      <c r="CS884" s="83"/>
      <c r="CT884" s="83"/>
      <c r="CU884" s="83"/>
      <c r="CV884" s="83"/>
      <c r="CW884" s="83"/>
      <c r="CX884" s="83"/>
      <c r="CY884" s="83"/>
      <c r="CZ884" s="83"/>
      <c r="DA884" s="83"/>
      <c r="DB884" s="83"/>
      <c r="DC884" s="83"/>
    </row>
    <row r="885" spans="1:107" x14ac:dyDescent="0.3">
      <c r="A885" s="83"/>
      <c r="B885" s="83"/>
      <c r="C885" s="83"/>
      <c r="D885" s="83"/>
      <c r="E885" s="83"/>
      <c r="F885" s="83"/>
      <c r="G885" s="83"/>
      <c r="H885" s="83"/>
      <c r="I885" s="83"/>
      <c r="J885" s="83"/>
      <c r="K885" s="83"/>
      <c r="L885" s="83"/>
      <c r="M885" s="83"/>
      <c r="N885" s="83"/>
      <c r="O885" s="83"/>
      <c r="P885" s="83"/>
      <c r="Q885" s="83"/>
      <c r="R885" s="83"/>
      <c r="S885" s="83"/>
      <c r="T885" s="83"/>
      <c r="U885" s="83"/>
      <c r="V885" s="83"/>
      <c r="W885" s="83"/>
      <c r="X885" s="83"/>
      <c r="Y885" s="83"/>
      <c r="Z885" s="83"/>
      <c r="AA885" s="83"/>
      <c r="AB885" s="83"/>
      <c r="AC885" s="83"/>
      <c r="AD885" s="83"/>
      <c r="AE885" s="83"/>
      <c r="AF885" s="83"/>
      <c r="AG885" s="83"/>
      <c r="AH885" s="83"/>
      <c r="AI885" s="83"/>
      <c r="AJ885" s="83"/>
      <c r="AK885" s="83"/>
      <c r="AL885" s="83"/>
      <c r="AM885" s="83"/>
      <c r="AN885" s="83"/>
      <c r="AO885" s="83"/>
      <c r="AP885" s="83"/>
      <c r="AQ885" s="83"/>
      <c r="AR885" s="83"/>
      <c r="AS885" s="83"/>
      <c r="AT885" s="83"/>
      <c r="AU885" s="83"/>
      <c r="AV885" s="83"/>
      <c r="AW885" s="83"/>
      <c r="AX885" s="83"/>
      <c r="AY885" s="83"/>
      <c r="AZ885" s="83"/>
      <c r="BA885" s="83"/>
      <c r="BB885" s="83"/>
      <c r="BC885" s="83"/>
      <c r="BD885" s="83"/>
      <c r="BE885" s="83"/>
      <c r="BF885" s="83"/>
      <c r="BG885" s="83"/>
      <c r="BH885" s="83"/>
      <c r="BI885" s="83"/>
      <c r="BJ885" s="83"/>
      <c r="BK885" s="83"/>
      <c r="BL885" s="83"/>
      <c r="BM885" s="83"/>
      <c r="BN885" s="83"/>
      <c r="BO885" s="83"/>
      <c r="BP885" s="83"/>
      <c r="BQ885" s="83"/>
      <c r="BR885" s="83"/>
      <c r="BS885" s="83"/>
      <c r="BT885" s="83"/>
      <c r="BU885" s="83"/>
      <c r="BV885" s="83"/>
      <c r="BW885" s="83"/>
      <c r="BX885" s="83"/>
      <c r="BY885" s="83"/>
      <c r="BZ885" s="83"/>
      <c r="CA885" s="83"/>
      <c r="CB885" s="83"/>
      <c r="CC885" s="83"/>
      <c r="CD885" s="83"/>
      <c r="CE885" s="83"/>
      <c r="CF885" s="83"/>
      <c r="CG885" s="83"/>
      <c r="CH885" s="83"/>
      <c r="CI885" s="83"/>
      <c r="CJ885" s="83"/>
      <c r="CK885" s="83"/>
      <c r="CL885" s="83"/>
      <c r="CM885" s="83"/>
      <c r="CN885" s="83"/>
      <c r="CO885" s="83"/>
      <c r="CP885" s="83"/>
      <c r="CQ885" s="83"/>
      <c r="CR885" s="83"/>
      <c r="CS885" s="83"/>
      <c r="CT885" s="83"/>
      <c r="CU885" s="83"/>
      <c r="CV885" s="83"/>
      <c r="CW885" s="83"/>
      <c r="CX885" s="83"/>
      <c r="CY885" s="83"/>
      <c r="CZ885" s="83"/>
      <c r="DA885" s="83"/>
      <c r="DB885" s="83"/>
      <c r="DC885" s="83"/>
    </row>
    <row r="886" spans="1:107" x14ac:dyDescent="0.3">
      <c r="A886" s="83"/>
      <c r="B886" s="83"/>
      <c r="C886" s="83"/>
      <c r="D886" s="83"/>
      <c r="E886" s="83"/>
      <c r="F886" s="83"/>
      <c r="G886" s="83"/>
      <c r="H886" s="83"/>
      <c r="I886" s="83"/>
      <c r="J886" s="83"/>
      <c r="K886" s="83"/>
      <c r="L886" s="83"/>
      <c r="M886" s="83"/>
      <c r="N886" s="83"/>
      <c r="O886" s="83"/>
      <c r="P886" s="83"/>
      <c r="Q886" s="83"/>
      <c r="R886" s="83"/>
      <c r="S886" s="83"/>
      <c r="T886" s="83"/>
      <c r="U886" s="83"/>
      <c r="V886" s="83"/>
      <c r="W886" s="83"/>
      <c r="X886" s="83"/>
      <c r="Y886" s="83"/>
      <c r="Z886" s="83"/>
      <c r="AA886" s="83"/>
      <c r="AB886" s="83"/>
      <c r="AC886" s="83"/>
      <c r="AD886" s="83"/>
      <c r="AE886" s="83"/>
      <c r="AF886" s="83"/>
      <c r="AG886" s="83"/>
      <c r="AH886" s="83"/>
      <c r="AI886" s="83"/>
      <c r="AJ886" s="83"/>
      <c r="AK886" s="83"/>
      <c r="AL886" s="83"/>
      <c r="AM886" s="83"/>
      <c r="AN886" s="83"/>
      <c r="AO886" s="83"/>
      <c r="AP886" s="83"/>
      <c r="AQ886" s="83"/>
      <c r="AR886" s="83"/>
      <c r="AS886" s="83"/>
      <c r="AT886" s="83"/>
      <c r="AU886" s="83"/>
      <c r="AV886" s="83"/>
      <c r="AW886" s="83"/>
      <c r="AX886" s="83"/>
      <c r="AY886" s="83"/>
      <c r="AZ886" s="83"/>
      <c r="BA886" s="83"/>
      <c r="BB886" s="83"/>
      <c r="BC886" s="83"/>
      <c r="BD886" s="83"/>
      <c r="BE886" s="83"/>
      <c r="BF886" s="83"/>
      <c r="BG886" s="83"/>
      <c r="BH886" s="83"/>
      <c r="BI886" s="83"/>
      <c r="BJ886" s="83"/>
      <c r="BK886" s="83"/>
      <c r="BL886" s="83"/>
      <c r="BM886" s="83"/>
      <c r="BN886" s="83"/>
      <c r="BO886" s="83"/>
      <c r="BP886" s="83"/>
      <c r="BQ886" s="83"/>
      <c r="BR886" s="83"/>
      <c r="BS886" s="83"/>
      <c r="BT886" s="83"/>
      <c r="BU886" s="83"/>
      <c r="BV886" s="83"/>
      <c r="BW886" s="83"/>
      <c r="BX886" s="83"/>
      <c r="BY886" s="83"/>
      <c r="BZ886" s="83"/>
      <c r="CA886" s="83"/>
      <c r="CB886" s="83"/>
      <c r="CC886" s="83"/>
      <c r="CD886" s="83"/>
      <c r="CE886" s="83"/>
      <c r="CF886" s="83"/>
      <c r="CG886" s="83"/>
      <c r="CH886" s="83"/>
      <c r="CI886" s="83"/>
      <c r="CJ886" s="83"/>
      <c r="CK886" s="83"/>
      <c r="CL886" s="83"/>
      <c r="CM886" s="83"/>
      <c r="CN886" s="83"/>
      <c r="CO886" s="83"/>
      <c r="CP886" s="83"/>
      <c r="CQ886" s="83"/>
      <c r="CR886" s="83"/>
      <c r="CS886" s="83"/>
      <c r="CT886" s="83"/>
      <c r="CU886" s="83"/>
      <c r="CV886" s="83"/>
      <c r="CW886" s="83"/>
      <c r="CX886" s="83"/>
      <c r="CY886" s="83"/>
      <c r="CZ886" s="83"/>
      <c r="DA886" s="83"/>
      <c r="DB886" s="83"/>
      <c r="DC886" s="83"/>
    </row>
    <row r="887" spans="1:107" x14ac:dyDescent="0.3">
      <c r="A887" s="83"/>
      <c r="B887" s="83"/>
      <c r="C887" s="83"/>
      <c r="D887" s="83"/>
      <c r="E887" s="83"/>
      <c r="F887" s="83"/>
      <c r="G887" s="83"/>
      <c r="H887" s="83"/>
      <c r="I887" s="83"/>
      <c r="J887" s="83"/>
      <c r="K887" s="83"/>
      <c r="L887" s="83"/>
      <c r="M887" s="83"/>
      <c r="N887" s="83"/>
      <c r="O887" s="83"/>
      <c r="P887" s="83"/>
      <c r="Q887" s="83"/>
      <c r="R887" s="83"/>
      <c r="S887" s="83"/>
      <c r="T887" s="83"/>
      <c r="U887" s="83"/>
      <c r="V887" s="83"/>
      <c r="W887" s="83"/>
      <c r="X887" s="83"/>
      <c r="Y887" s="83"/>
      <c r="Z887" s="83"/>
      <c r="AA887" s="83"/>
      <c r="AB887" s="83"/>
      <c r="AC887" s="83"/>
      <c r="AD887" s="83"/>
      <c r="AE887" s="83"/>
      <c r="AF887" s="83"/>
      <c r="AG887" s="83"/>
      <c r="AH887" s="83"/>
      <c r="AI887" s="83"/>
      <c r="AJ887" s="83"/>
      <c r="AK887" s="83"/>
      <c r="AL887" s="83"/>
      <c r="AM887" s="83"/>
      <c r="AN887" s="83"/>
      <c r="AO887" s="83"/>
      <c r="AP887" s="83"/>
      <c r="AQ887" s="83"/>
      <c r="AR887" s="83"/>
      <c r="AS887" s="83"/>
      <c r="AT887" s="83"/>
      <c r="AU887" s="83"/>
      <c r="AV887" s="83"/>
      <c r="AW887" s="83"/>
      <c r="AX887" s="83"/>
      <c r="AY887" s="83"/>
      <c r="AZ887" s="83"/>
      <c r="BA887" s="83"/>
      <c r="BB887" s="83"/>
      <c r="BC887" s="83"/>
      <c r="BD887" s="83"/>
      <c r="BE887" s="83"/>
      <c r="BF887" s="83"/>
      <c r="BG887" s="83"/>
      <c r="BH887" s="83"/>
      <c r="BI887" s="83"/>
      <c r="BJ887" s="83"/>
      <c r="BK887" s="83"/>
      <c r="BL887" s="83"/>
      <c r="BM887" s="83"/>
      <c r="BN887" s="83"/>
      <c r="BO887" s="83"/>
      <c r="BP887" s="83"/>
      <c r="BQ887" s="83"/>
      <c r="BR887" s="83"/>
      <c r="BS887" s="83"/>
      <c r="BT887" s="83"/>
      <c r="BU887" s="83"/>
      <c r="BV887" s="83"/>
      <c r="BW887" s="83"/>
      <c r="BX887" s="83"/>
      <c r="BY887" s="83"/>
      <c r="BZ887" s="83"/>
      <c r="CA887" s="83"/>
      <c r="CB887" s="83"/>
      <c r="CC887" s="83"/>
      <c r="CD887" s="83"/>
      <c r="CE887" s="83"/>
      <c r="CF887" s="83"/>
      <c r="CG887" s="83"/>
      <c r="CH887" s="83"/>
      <c r="CI887" s="83"/>
      <c r="CJ887" s="83"/>
      <c r="CK887" s="83"/>
      <c r="CL887" s="83"/>
      <c r="CM887" s="83"/>
      <c r="CN887" s="83"/>
      <c r="CO887" s="83"/>
      <c r="CP887" s="83"/>
      <c r="CQ887" s="83"/>
      <c r="CR887" s="83"/>
      <c r="CS887" s="83"/>
      <c r="CT887" s="83"/>
      <c r="CU887" s="83"/>
      <c r="CV887" s="83"/>
      <c r="CW887" s="83"/>
      <c r="CX887" s="83"/>
      <c r="CY887" s="83"/>
      <c r="CZ887" s="83"/>
      <c r="DA887" s="83"/>
      <c r="DB887" s="83"/>
      <c r="DC887" s="83"/>
    </row>
    <row r="888" spans="1:107" x14ac:dyDescent="0.3">
      <c r="A888" s="83"/>
      <c r="B888" s="83"/>
      <c r="C888" s="83"/>
      <c r="D888" s="83"/>
      <c r="E888" s="83"/>
      <c r="F888" s="83"/>
      <c r="G888" s="83"/>
      <c r="H888" s="83"/>
      <c r="I888" s="83"/>
      <c r="J888" s="83"/>
      <c r="K888" s="83"/>
      <c r="L888" s="83"/>
      <c r="M888" s="83"/>
      <c r="N888" s="83"/>
      <c r="O888" s="83"/>
      <c r="P888" s="83"/>
      <c r="Q888" s="83"/>
      <c r="R888" s="83"/>
      <c r="S888" s="83"/>
      <c r="T888" s="83"/>
      <c r="U888" s="83"/>
      <c r="V888" s="83"/>
      <c r="W888" s="83"/>
      <c r="X888" s="83"/>
      <c r="Y888" s="83"/>
      <c r="Z888" s="83"/>
      <c r="AA888" s="83"/>
      <c r="AB888" s="83"/>
      <c r="AC888" s="83"/>
      <c r="AD888" s="83"/>
      <c r="AE888" s="83"/>
      <c r="AF888" s="83"/>
      <c r="AG888" s="83"/>
      <c r="AH888" s="83"/>
      <c r="AI888" s="83"/>
      <c r="AJ888" s="83"/>
      <c r="AK888" s="83"/>
      <c r="AL888" s="83"/>
      <c r="AM888" s="83"/>
      <c r="AN888" s="83"/>
      <c r="AO888" s="83"/>
      <c r="AP888" s="83"/>
      <c r="AQ888" s="83"/>
      <c r="AR888" s="83"/>
      <c r="AS888" s="83"/>
      <c r="AT888" s="83"/>
      <c r="AU888" s="83"/>
      <c r="AV888" s="83"/>
      <c r="AW888" s="83"/>
      <c r="AX888" s="83"/>
      <c r="AY888" s="83"/>
      <c r="AZ888" s="83"/>
      <c r="BA888" s="83"/>
      <c r="BB888" s="83"/>
      <c r="BC888" s="83"/>
      <c r="BD888" s="83"/>
      <c r="BE888" s="83"/>
      <c r="BF888" s="83"/>
      <c r="BG888" s="83"/>
      <c r="BH888" s="83"/>
      <c r="BI888" s="83"/>
      <c r="BJ888" s="83"/>
      <c r="BK888" s="83"/>
      <c r="BL888" s="83"/>
      <c r="BM888" s="83"/>
      <c r="BN888" s="83"/>
      <c r="BO888" s="83"/>
      <c r="BP888" s="83"/>
      <c r="BQ888" s="83"/>
      <c r="BR888" s="83"/>
      <c r="BS888" s="83"/>
      <c r="BT888" s="83"/>
      <c r="BU888" s="83"/>
      <c r="BV888" s="83"/>
      <c r="BW888" s="83"/>
      <c r="BX888" s="83"/>
      <c r="BY888" s="83"/>
      <c r="BZ888" s="83"/>
      <c r="CA888" s="83"/>
      <c r="CB888" s="83"/>
      <c r="CC888" s="83"/>
      <c r="CD888" s="83"/>
      <c r="CE888" s="83"/>
      <c r="CF888" s="83"/>
      <c r="CG888" s="83"/>
      <c r="CH888" s="83"/>
      <c r="CI888" s="83"/>
      <c r="CJ888" s="83"/>
      <c r="CK888" s="83"/>
      <c r="CL888" s="83"/>
      <c r="CM888" s="83"/>
      <c r="CN888" s="83"/>
      <c r="CO888" s="83"/>
      <c r="CP888" s="83"/>
      <c r="CQ888" s="83"/>
      <c r="CR888" s="83"/>
      <c r="CS888" s="83"/>
      <c r="CT888" s="83"/>
      <c r="CU888" s="83"/>
      <c r="CV888" s="83"/>
      <c r="CW888" s="83"/>
      <c r="CX888" s="83"/>
      <c r="CY888" s="83"/>
      <c r="CZ888" s="83"/>
      <c r="DA888" s="83"/>
      <c r="DB888" s="83"/>
      <c r="DC888" s="83"/>
    </row>
    <row r="889" spans="1:107" x14ac:dyDescent="0.3">
      <c r="A889" s="83"/>
      <c r="B889" s="83"/>
      <c r="C889" s="83"/>
      <c r="D889" s="83"/>
      <c r="E889" s="83"/>
      <c r="F889" s="83"/>
      <c r="G889" s="83"/>
      <c r="H889" s="83"/>
      <c r="I889" s="83"/>
      <c r="J889" s="83"/>
      <c r="K889" s="83"/>
      <c r="L889" s="83"/>
      <c r="M889" s="83"/>
      <c r="N889" s="83"/>
      <c r="O889" s="83"/>
      <c r="P889" s="83"/>
      <c r="Q889" s="83"/>
      <c r="R889" s="83"/>
      <c r="S889" s="83"/>
      <c r="T889" s="83"/>
      <c r="U889" s="83"/>
      <c r="V889" s="83"/>
      <c r="W889" s="83"/>
      <c r="X889" s="83"/>
      <c r="Y889" s="83"/>
      <c r="Z889" s="83"/>
      <c r="AA889" s="83"/>
      <c r="AB889" s="83"/>
      <c r="AC889" s="83"/>
      <c r="AD889" s="83"/>
      <c r="AE889" s="83"/>
      <c r="AF889" s="83"/>
      <c r="AG889" s="83"/>
      <c r="AH889" s="83"/>
      <c r="AI889" s="83"/>
      <c r="AJ889" s="83"/>
      <c r="AK889" s="83"/>
      <c r="AL889" s="83"/>
      <c r="AM889" s="83"/>
      <c r="AN889" s="83"/>
      <c r="AO889" s="83"/>
      <c r="AP889" s="83"/>
      <c r="AQ889" s="83"/>
      <c r="AR889" s="83"/>
      <c r="AS889" s="83"/>
      <c r="AT889" s="83"/>
      <c r="AU889" s="83"/>
      <c r="AV889" s="83"/>
      <c r="AW889" s="83"/>
      <c r="AX889" s="83"/>
      <c r="AY889" s="83"/>
      <c r="AZ889" s="83"/>
      <c r="BA889" s="83"/>
      <c r="BB889" s="83"/>
      <c r="BC889" s="83"/>
      <c r="BD889" s="83"/>
      <c r="BE889" s="83"/>
      <c r="BF889" s="83"/>
      <c r="BG889" s="83"/>
      <c r="BH889" s="83"/>
      <c r="BI889" s="83"/>
      <c r="BJ889" s="83"/>
      <c r="BK889" s="83"/>
      <c r="BL889" s="83"/>
      <c r="BM889" s="83"/>
      <c r="BN889" s="83"/>
      <c r="BO889" s="83"/>
      <c r="BP889" s="83"/>
      <c r="BQ889" s="83"/>
      <c r="BR889" s="83"/>
      <c r="BS889" s="83"/>
      <c r="BT889" s="83"/>
      <c r="BU889" s="83"/>
      <c r="BV889" s="83"/>
      <c r="BW889" s="83"/>
      <c r="BX889" s="83"/>
      <c r="BY889" s="83"/>
      <c r="BZ889" s="83"/>
      <c r="CA889" s="83"/>
      <c r="CB889" s="83"/>
      <c r="CC889" s="83"/>
      <c r="CD889" s="83"/>
      <c r="CE889" s="83"/>
      <c r="CF889" s="83"/>
      <c r="CG889" s="83"/>
      <c r="CH889" s="83"/>
      <c r="CI889" s="83"/>
      <c r="CJ889" s="83"/>
      <c r="CK889" s="83"/>
      <c r="CL889" s="83"/>
      <c r="CM889" s="83"/>
      <c r="CN889" s="83"/>
      <c r="CO889" s="83"/>
      <c r="CP889" s="83"/>
      <c r="CQ889" s="83"/>
      <c r="CR889" s="83"/>
      <c r="CS889" s="83"/>
      <c r="CT889" s="83"/>
      <c r="CU889" s="83"/>
      <c r="CV889" s="83"/>
      <c r="CW889" s="83"/>
      <c r="CX889" s="83"/>
      <c r="CY889" s="83"/>
      <c r="CZ889" s="83"/>
      <c r="DA889" s="83"/>
      <c r="DB889" s="83"/>
      <c r="DC889" s="83"/>
    </row>
    <row r="890" spans="1:107" x14ac:dyDescent="0.3">
      <c r="A890" s="83"/>
      <c r="B890" s="83"/>
      <c r="C890" s="83"/>
      <c r="D890" s="83"/>
      <c r="E890" s="83"/>
      <c r="F890" s="83"/>
      <c r="G890" s="83"/>
      <c r="H890" s="83"/>
      <c r="I890" s="83"/>
      <c r="J890" s="83"/>
      <c r="K890" s="83"/>
      <c r="L890" s="83"/>
      <c r="M890" s="83"/>
      <c r="N890" s="83"/>
      <c r="O890" s="83"/>
      <c r="P890" s="83"/>
      <c r="Q890" s="83"/>
      <c r="R890" s="83"/>
      <c r="S890" s="83"/>
      <c r="T890" s="83"/>
      <c r="U890" s="83"/>
      <c r="V890" s="83"/>
      <c r="W890" s="83"/>
      <c r="X890" s="83"/>
      <c r="Y890" s="83"/>
      <c r="Z890" s="83"/>
      <c r="AA890" s="83"/>
      <c r="AB890" s="83"/>
      <c r="AC890" s="83"/>
      <c r="AD890" s="83"/>
      <c r="AE890" s="83"/>
      <c r="AF890" s="83"/>
      <c r="AG890" s="83"/>
      <c r="AH890" s="83"/>
      <c r="AI890" s="83"/>
      <c r="AJ890" s="83"/>
      <c r="AK890" s="83"/>
      <c r="AL890" s="83"/>
      <c r="AM890" s="83"/>
      <c r="AN890" s="83"/>
      <c r="AO890" s="83"/>
      <c r="AP890" s="83"/>
      <c r="AQ890" s="83"/>
      <c r="AR890" s="83"/>
      <c r="AS890" s="83"/>
      <c r="AT890" s="83"/>
      <c r="AU890" s="83"/>
      <c r="AV890" s="83"/>
      <c r="AW890" s="83"/>
      <c r="AX890" s="83"/>
      <c r="AY890" s="83"/>
      <c r="AZ890" s="83"/>
      <c r="BA890" s="83"/>
      <c r="BB890" s="83"/>
      <c r="BC890" s="83"/>
      <c r="BD890" s="83"/>
      <c r="BE890" s="83"/>
      <c r="BF890" s="83"/>
      <c r="BG890" s="83"/>
      <c r="BH890" s="83"/>
      <c r="BI890" s="83"/>
      <c r="BJ890" s="83"/>
      <c r="BK890" s="83"/>
      <c r="BL890" s="83"/>
      <c r="BM890" s="83"/>
      <c r="BN890" s="83"/>
      <c r="BO890" s="83"/>
      <c r="BP890" s="83"/>
      <c r="BQ890" s="83"/>
      <c r="BR890" s="83"/>
      <c r="BS890" s="83"/>
      <c r="BT890" s="83"/>
      <c r="BU890" s="83"/>
      <c r="BV890" s="83"/>
      <c r="BW890" s="83"/>
      <c r="BX890" s="83"/>
      <c r="BY890" s="83"/>
      <c r="BZ890" s="83"/>
      <c r="CA890" s="83"/>
      <c r="CB890" s="83"/>
      <c r="CC890" s="83"/>
      <c r="CD890" s="83"/>
      <c r="CE890" s="83"/>
      <c r="CF890" s="83"/>
      <c r="CG890" s="83"/>
      <c r="CH890" s="83"/>
      <c r="CI890" s="83"/>
      <c r="CJ890" s="83"/>
      <c r="CK890" s="83"/>
      <c r="CL890" s="83"/>
      <c r="CM890" s="83"/>
      <c r="CN890" s="83"/>
      <c r="CO890" s="83"/>
      <c r="CP890" s="83"/>
      <c r="CQ890" s="83"/>
      <c r="CR890" s="83"/>
      <c r="CS890" s="83"/>
      <c r="CT890" s="83"/>
      <c r="CU890" s="83"/>
      <c r="CV890" s="83"/>
      <c r="CW890" s="83"/>
      <c r="CX890" s="83"/>
      <c r="CY890" s="83"/>
      <c r="CZ890" s="83"/>
      <c r="DA890" s="83"/>
      <c r="DB890" s="83"/>
      <c r="DC890" s="83"/>
    </row>
    <row r="891" spans="1:107" x14ac:dyDescent="0.3">
      <c r="A891" s="83"/>
      <c r="B891" s="83"/>
      <c r="C891" s="83"/>
      <c r="D891" s="83"/>
      <c r="E891" s="83"/>
      <c r="F891" s="83"/>
      <c r="G891" s="83"/>
      <c r="H891" s="83"/>
      <c r="I891" s="83"/>
      <c r="J891" s="83"/>
      <c r="K891" s="83"/>
      <c r="L891" s="83"/>
      <c r="M891" s="83"/>
      <c r="N891" s="83"/>
      <c r="O891" s="83"/>
      <c r="P891" s="83"/>
      <c r="Q891" s="83"/>
      <c r="R891" s="83"/>
      <c r="S891" s="83"/>
      <c r="T891" s="83"/>
      <c r="U891" s="83"/>
      <c r="V891" s="83"/>
      <c r="W891" s="83"/>
      <c r="X891" s="83"/>
      <c r="Y891" s="83"/>
      <c r="Z891" s="83"/>
      <c r="AA891" s="83"/>
      <c r="AB891" s="83"/>
      <c r="AC891" s="83"/>
      <c r="AD891" s="83"/>
      <c r="AE891" s="83"/>
      <c r="AF891" s="83"/>
      <c r="AG891" s="83"/>
      <c r="AH891" s="83"/>
      <c r="AI891" s="83"/>
      <c r="AJ891" s="83"/>
      <c r="AK891" s="83"/>
      <c r="AL891" s="83"/>
      <c r="AM891" s="83"/>
      <c r="AN891" s="83"/>
      <c r="AO891" s="83"/>
      <c r="AP891" s="83"/>
      <c r="AQ891" s="83"/>
      <c r="AR891" s="83"/>
      <c r="AS891" s="83"/>
      <c r="AT891" s="83"/>
      <c r="AU891" s="83"/>
      <c r="AV891" s="83"/>
      <c r="AW891" s="83"/>
      <c r="AX891" s="83"/>
      <c r="AY891" s="83"/>
      <c r="AZ891" s="83"/>
      <c r="BA891" s="83"/>
      <c r="BB891" s="83"/>
      <c r="BC891" s="83"/>
      <c r="BD891" s="83"/>
      <c r="BE891" s="83"/>
      <c r="BF891" s="83"/>
      <c r="BG891" s="83"/>
      <c r="BH891" s="83"/>
      <c r="BI891" s="83"/>
      <c r="BJ891" s="83"/>
      <c r="BK891" s="83"/>
      <c r="BL891" s="83"/>
      <c r="BM891" s="83"/>
      <c r="BN891" s="83"/>
      <c r="BO891" s="83"/>
      <c r="BP891" s="83"/>
      <c r="BQ891" s="83"/>
      <c r="BR891" s="83"/>
      <c r="BS891" s="83"/>
      <c r="BT891" s="83"/>
      <c r="BU891" s="83"/>
      <c r="BV891" s="83"/>
      <c r="BW891" s="83"/>
      <c r="BX891" s="83"/>
      <c r="BY891" s="83"/>
      <c r="BZ891" s="83"/>
      <c r="CA891" s="83"/>
      <c r="CB891" s="83"/>
      <c r="CC891" s="83"/>
      <c r="CD891" s="83"/>
      <c r="CE891" s="83"/>
      <c r="CF891" s="83"/>
      <c r="CG891" s="83"/>
      <c r="CH891" s="83"/>
      <c r="CI891" s="83"/>
      <c r="CJ891" s="83"/>
      <c r="CK891" s="83"/>
      <c r="CL891" s="83"/>
      <c r="CM891" s="83"/>
      <c r="CN891" s="83"/>
      <c r="CO891" s="83"/>
      <c r="CP891" s="83"/>
      <c r="CQ891" s="83"/>
      <c r="CR891" s="83"/>
      <c r="CS891" s="83"/>
      <c r="CT891" s="83"/>
      <c r="CU891" s="83"/>
      <c r="CV891" s="83"/>
      <c r="CW891" s="83"/>
      <c r="CX891" s="83"/>
      <c r="CY891" s="83"/>
      <c r="CZ891" s="83"/>
      <c r="DA891" s="83"/>
      <c r="DB891" s="83"/>
      <c r="DC891" s="83"/>
    </row>
    <row r="892" spans="1:107" x14ac:dyDescent="0.3">
      <c r="A892" s="83"/>
      <c r="B892" s="83"/>
      <c r="C892" s="83"/>
      <c r="D892" s="83"/>
      <c r="E892" s="83"/>
      <c r="F892" s="83"/>
      <c r="G892" s="83"/>
      <c r="H892" s="83"/>
      <c r="I892" s="83"/>
      <c r="J892" s="83"/>
      <c r="K892" s="83"/>
      <c r="L892" s="83"/>
      <c r="M892" s="83"/>
      <c r="N892" s="83"/>
      <c r="O892" s="83"/>
      <c r="P892" s="83"/>
      <c r="Q892" s="83"/>
      <c r="R892" s="83"/>
      <c r="S892" s="83"/>
      <c r="T892" s="83"/>
      <c r="U892" s="83"/>
      <c r="V892" s="83"/>
      <c r="W892" s="83"/>
      <c r="X892" s="83"/>
      <c r="Y892" s="83"/>
      <c r="Z892" s="83"/>
      <c r="AA892" s="83"/>
      <c r="AB892" s="83"/>
      <c r="AC892" s="83"/>
      <c r="AD892" s="83"/>
      <c r="AE892" s="83"/>
      <c r="AF892" s="83"/>
      <c r="AG892" s="83"/>
      <c r="AH892" s="83"/>
      <c r="AI892" s="83"/>
      <c r="AJ892" s="83"/>
      <c r="AK892" s="83"/>
      <c r="AL892" s="83"/>
      <c r="AM892" s="83"/>
      <c r="AN892" s="83"/>
      <c r="AO892" s="83"/>
      <c r="AP892" s="83"/>
      <c r="AQ892" s="83"/>
      <c r="AR892" s="83"/>
      <c r="AS892" s="83"/>
      <c r="AT892" s="83"/>
      <c r="AU892" s="83"/>
      <c r="AV892" s="83"/>
      <c r="AW892" s="83"/>
      <c r="AX892" s="83"/>
      <c r="AY892" s="83"/>
      <c r="AZ892" s="83"/>
      <c r="BA892" s="83"/>
      <c r="BB892" s="83"/>
      <c r="BC892" s="83"/>
      <c r="BD892" s="83"/>
      <c r="BE892" s="83"/>
      <c r="BF892" s="83"/>
      <c r="BG892" s="83"/>
      <c r="BH892" s="83"/>
      <c r="BI892" s="83"/>
      <c r="BJ892" s="83"/>
      <c r="BK892" s="83"/>
      <c r="BL892" s="83"/>
      <c r="BM892" s="83"/>
      <c r="BN892" s="83"/>
      <c r="BO892" s="83"/>
      <c r="BP892" s="83"/>
      <c r="BQ892" s="83"/>
      <c r="BR892" s="83"/>
      <c r="BS892" s="83"/>
      <c r="BT892" s="83"/>
      <c r="BU892" s="83"/>
      <c r="BV892" s="83"/>
      <c r="BW892" s="83"/>
      <c r="BX892" s="83"/>
      <c r="BY892" s="83"/>
      <c r="BZ892" s="83"/>
      <c r="CA892" s="83"/>
      <c r="CB892" s="83"/>
      <c r="CC892" s="83"/>
      <c r="CD892" s="83"/>
      <c r="CE892" s="83"/>
      <c r="CF892" s="83"/>
      <c r="CG892" s="83"/>
      <c r="CH892" s="83"/>
      <c r="CI892" s="83"/>
      <c r="CJ892" s="83"/>
      <c r="CK892" s="83"/>
      <c r="CL892" s="83"/>
      <c r="CM892" s="83"/>
      <c r="CN892" s="83"/>
      <c r="CO892" s="83"/>
      <c r="CP892" s="83"/>
      <c r="CQ892" s="83"/>
      <c r="CR892" s="83"/>
      <c r="CS892" s="83"/>
      <c r="CT892" s="83"/>
      <c r="CU892" s="83"/>
      <c r="CV892" s="83"/>
      <c r="CW892" s="83"/>
      <c r="CX892" s="83"/>
      <c r="CY892" s="83"/>
      <c r="CZ892" s="83"/>
      <c r="DA892" s="83"/>
      <c r="DB892" s="83"/>
      <c r="DC892" s="83"/>
    </row>
    <row r="893" spans="1:107" x14ac:dyDescent="0.3">
      <c r="A893" s="83"/>
      <c r="B893" s="83"/>
      <c r="C893" s="83"/>
      <c r="D893" s="83"/>
      <c r="E893" s="83"/>
      <c r="F893" s="83"/>
      <c r="G893" s="83"/>
      <c r="H893" s="83"/>
      <c r="I893" s="83"/>
      <c r="J893" s="83"/>
      <c r="K893" s="83"/>
      <c r="L893" s="83"/>
      <c r="M893" s="83"/>
      <c r="N893" s="83"/>
      <c r="O893" s="83"/>
      <c r="P893" s="83"/>
      <c r="Q893" s="83"/>
      <c r="R893" s="83"/>
      <c r="S893" s="83"/>
      <c r="T893" s="83"/>
      <c r="U893" s="83"/>
      <c r="V893" s="83"/>
      <c r="W893" s="83"/>
      <c r="X893" s="83"/>
      <c r="Y893" s="83"/>
      <c r="Z893" s="83"/>
      <c r="AA893" s="83"/>
      <c r="AB893" s="83"/>
      <c r="AC893" s="83"/>
      <c r="AD893" s="83"/>
      <c r="AE893" s="83"/>
      <c r="AF893" s="83"/>
      <c r="AG893" s="83"/>
      <c r="AH893" s="83"/>
      <c r="AI893" s="83"/>
      <c r="AJ893" s="83"/>
      <c r="AK893" s="83"/>
      <c r="AL893" s="83"/>
      <c r="AM893" s="83"/>
      <c r="AN893" s="83"/>
      <c r="AO893" s="83"/>
      <c r="AP893" s="83"/>
      <c r="AQ893" s="83"/>
      <c r="AR893" s="83"/>
      <c r="AS893" s="83"/>
      <c r="AT893" s="83"/>
      <c r="AU893" s="83"/>
      <c r="AV893" s="83"/>
      <c r="AW893" s="83"/>
      <c r="AX893" s="83"/>
      <c r="AY893" s="83"/>
      <c r="AZ893" s="83"/>
      <c r="BA893" s="83"/>
      <c r="BB893" s="83"/>
      <c r="BC893" s="83"/>
      <c r="BD893" s="83"/>
      <c r="BE893" s="83"/>
      <c r="BF893" s="83"/>
      <c r="BG893" s="83"/>
      <c r="BH893" s="83"/>
      <c r="BI893" s="83"/>
      <c r="BJ893" s="83"/>
      <c r="BK893" s="83"/>
      <c r="BL893" s="83"/>
      <c r="BM893" s="83"/>
      <c r="BN893" s="83"/>
      <c r="BO893" s="83"/>
      <c r="BP893" s="83"/>
      <c r="BQ893" s="83"/>
      <c r="BR893" s="83"/>
      <c r="BS893" s="83"/>
      <c r="BT893" s="83"/>
      <c r="BU893" s="83"/>
      <c r="BV893" s="83"/>
      <c r="BW893" s="83"/>
      <c r="BX893" s="83"/>
      <c r="BY893" s="83"/>
      <c r="BZ893" s="83"/>
      <c r="CA893" s="83"/>
      <c r="CB893" s="83"/>
      <c r="CC893" s="83"/>
      <c r="CD893" s="83"/>
      <c r="CE893" s="83"/>
      <c r="CF893" s="83"/>
      <c r="CG893" s="83"/>
      <c r="CH893" s="83"/>
      <c r="CI893" s="83"/>
      <c r="CJ893" s="83"/>
      <c r="CK893" s="83"/>
      <c r="CL893" s="83"/>
      <c r="CM893" s="83"/>
      <c r="CN893" s="83"/>
      <c r="CO893" s="83"/>
      <c r="CP893" s="83"/>
      <c r="CQ893" s="83"/>
      <c r="CR893" s="83"/>
      <c r="CS893" s="83"/>
      <c r="CT893" s="83"/>
      <c r="CU893" s="83"/>
      <c r="CV893" s="83"/>
      <c r="CW893" s="83"/>
      <c r="CX893" s="83"/>
      <c r="CY893" s="83"/>
      <c r="CZ893" s="83"/>
      <c r="DA893" s="83"/>
      <c r="DB893" s="83"/>
      <c r="DC893" s="83"/>
    </row>
    <row r="894" spans="1:107" x14ac:dyDescent="0.3">
      <c r="A894" s="83"/>
      <c r="B894" s="83"/>
      <c r="C894" s="83"/>
      <c r="D894" s="83"/>
      <c r="E894" s="83"/>
      <c r="F894" s="83"/>
      <c r="G894" s="83"/>
      <c r="H894" s="83"/>
      <c r="I894" s="83"/>
      <c r="J894" s="83"/>
      <c r="K894" s="83"/>
      <c r="L894" s="83"/>
      <c r="M894" s="83"/>
      <c r="N894" s="83"/>
      <c r="O894" s="83"/>
      <c r="P894" s="83"/>
      <c r="Q894" s="83"/>
      <c r="R894" s="83"/>
      <c r="S894" s="83"/>
      <c r="T894" s="83"/>
      <c r="U894" s="83"/>
      <c r="V894" s="83"/>
      <c r="W894" s="83"/>
      <c r="X894" s="83"/>
      <c r="Y894" s="83"/>
      <c r="Z894" s="83"/>
      <c r="AA894" s="83"/>
      <c r="AB894" s="83"/>
      <c r="AC894" s="83"/>
      <c r="AD894" s="83"/>
      <c r="AE894" s="83"/>
      <c r="AF894" s="83"/>
      <c r="AG894" s="83"/>
      <c r="AH894" s="83"/>
      <c r="AI894" s="83"/>
      <c r="AJ894" s="83"/>
      <c r="AK894" s="83"/>
      <c r="AL894" s="83"/>
      <c r="AM894" s="83"/>
      <c r="AN894" s="83"/>
      <c r="AO894" s="83"/>
      <c r="AP894" s="83"/>
      <c r="AQ894" s="83"/>
      <c r="AR894" s="83"/>
      <c r="AS894" s="83"/>
      <c r="AT894" s="83"/>
      <c r="AU894" s="83"/>
      <c r="AV894" s="83"/>
      <c r="AW894" s="83"/>
      <c r="AX894" s="83"/>
      <c r="AY894" s="83"/>
      <c r="AZ894" s="83"/>
      <c r="BA894" s="83"/>
      <c r="BB894" s="83"/>
      <c r="BC894" s="83"/>
      <c r="BD894" s="83"/>
      <c r="BE894" s="83"/>
      <c r="BF894" s="83"/>
      <c r="BG894" s="83"/>
      <c r="BH894" s="83"/>
      <c r="BI894" s="83"/>
      <c r="BJ894" s="83"/>
      <c r="BK894" s="83"/>
      <c r="BL894" s="83"/>
      <c r="BM894" s="83"/>
      <c r="BN894" s="83"/>
      <c r="BO894" s="83"/>
      <c r="BP894" s="83"/>
      <c r="BQ894" s="83"/>
      <c r="BR894" s="83"/>
      <c r="BS894" s="83"/>
      <c r="BT894" s="83"/>
      <c r="BU894" s="83"/>
      <c r="BV894" s="83"/>
      <c r="BW894" s="83"/>
      <c r="BX894" s="83"/>
      <c r="BY894" s="83"/>
      <c r="BZ894" s="83"/>
      <c r="CA894" s="83"/>
      <c r="CB894" s="83"/>
      <c r="CC894" s="83"/>
      <c r="CD894" s="83"/>
      <c r="CE894" s="83"/>
      <c r="CF894" s="83"/>
      <c r="CG894" s="83"/>
      <c r="CH894" s="83"/>
      <c r="CI894" s="83"/>
      <c r="CJ894" s="83"/>
      <c r="CK894" s="83"/>
      <c r="CL894" s="83"/>
      <c r="CM894" s="83"/>
      <c r="CN894" s="83"/>
      <c r="CO894" s="83"/>
      <c r="CP894" s="83"/>
      <c r="CQ894" s="83"/>
      <c r="CR894" s="83"/>
      <c r="CS894" s="83"/>
      <c r="CT894" s="83"/>
      <c r="CU894" s="83"/>
      <c r="CV894" s="83"/>
      <c r="CW894" s="83"/>
      <c r="CX894" s="83"/>
      <c r="CY894" s="83"/>
      <c r="CZ894" s="83"/>
      <c r="DA894" s="83"/>
      <c r="DB894" s="83"/>
      <c r="DC894" s="83"/>
    </row>
    <row r="895" spans="1:107" x14ac:dyDescent="0.3">
      <c r="A895" s="83"/>
      <c r="B895" s="83"/>
      <c r="C895" s="83"/>
      <c r="D895" s="83"/>
      <c r="E895" s="83"/>
      <c r="F895" s="83"/>
      <c r="G895" s="83"/>
      <c r="H895" s="83"/>
      <c r="I895" s="83"/>
      <c r="J895" s="83"/>
      <c r="K895" s="83"/>
      <c r="L895" s="83"/>
      <c r="M895" s="83"/>
      <c r="N895" s="83"/>
      <c r="O895" s="83"/>
      <c r="P895" s="83"/>
      <c r="Q895" s="83"/>
      <c r="R895" s="83"/>
      <c r="S895" s="83"/>
      <c r="T895" s="83"/>
      <c r="U895" s="83"/>
      <c r="V895" s="83"/>
      <c r="W895" s="83"/>
      <c r="X895" s="83"/>
      <c r="Y895" s="83"/>
      <c r="Z895" s="83"/>
      <c r="AA895" s="83"/>
      <c r="AB895" s="83"/>
      <c r="AC895" s="83"/>
      <c r="AD895" s="83"/>
      <c r="AE895" s="83"/>
      <c r="AF895" s="83"/>
      <c r="AG895" s="83"/>
      <c r="AH895" s="83"/>
      <c r="AI895" s="83"/>
      <c r="AJ895" s="83"/>
      <c r="AK895" s="83"/>
      <c r="AL895" s="83"/>
      <c r="AM895" s="83"/>
      <c r="AN895" s="83"/>
      <c r="AO895" s="83"/>
      <c r="AP895" s="83"/>
      <c r="AQ895" s="83"/>
      <c r="AR895" s="83"/>
      <c r="AS895" s="83"/>
      <c r="AT895" s="83"/>
      <c r="AU895" s="83"/>
      <c r="AV895" s="83"/>
      <c r="AW895" s="83"/>
      <c r="AX895" s="83"/>
      <c r="AY895" s="83"/>
      <c r="AZ895" s="83"/>
      <c r="BA895" s="83"/>
      <c r="BB895" s="83"/>
      <c r="BC895" s="83"/>
      <c r="BD895" s="83"/>
      <c r="BE895" s="83"/>
      <c r="BF895" s="83"/>
      <c r="BG895" s="83"/>
      <c r="BH895" s="83"/>
      <c r="BI895" s="83"/>
      <c r="BJ895" s="83"/>
      <c r="BK895" s="83"/>
      <c r="BL895" s="83"/>
      <c r="BM895" s="83"/>
      <c r="BN895" s="83"/>
      <c r="BO895" s="83"/>
      <c r="BP895" s="83"/>
      <c r="BQ895" s="83"/>
      <c r="BR895" s="83"/>
      <c r="BS895" s="83"/>
      <c r="BT895" s="83"/>
      <c r="BU895" s="83"/>
      <c r="BV895" s="83"/>
      <c r="BW895" s="83"/>
      <c r="BX895" s="83"/>
      <c r="BY895" s="83"/>
      <c r="BZ895" s="83"/>
      <c r="CA895" s="83"/>
      <c r="CB895" s="83"/>
      <c r="CC895" s="83"/>
      <c r="CD895" s="83"/>
      <c r="CE895" s="83"/>
      <c r="CF895" s="83"/>
      <c r="CG895" s="83"/>
      <c r="CH895" s="83"/>
      <c r="CI895" s="83"/>
      <c r="CJ895" s="83"/>
      <c r="CK895" s="83"/>
      <c r="CL895" s="83"/>
      <c r="CM895" s="83"/>
      <c r="CN895" s="83"/>
      <c r="CO895" s="83"/>
      <c r="CP895" s="83"/>
      <c r="CQ895" s="83"/>
      <c r="CR895" s="83"/>
      <c r="CS895" s="83"/>
      <c r="CT895" s="83"/>
      <c r="CU895" s="83"/>
      <c r="CV895" s="83"/>
      <c r="CW895" s="83"/>
      <c r="CX895" s="83"/>
      <c r="CY895" s="83"/>
      <c r="CZ895" s="83"/>
      <c r="DA895" s="83"/>
      <c r="DB895" s="83"/>
      <c r="DC895" s="83"/>
    </row>
    <row r="896" spans="1:107" x14ac:dyDescent="0.3">
      <c r="A896" s="83"/>
      <c r="B896" s="83"/>
      <c r="C896" s="83"/>
      <c r="D896" s="83"/>
      <c r="E896" s="83"/>
      <c r="F896" s="83"/>
      <c r="G896" s="83"/>
      <c r="H896" s="83"/>
      <c r="I896" s="83"/>
      <c r="J896" s="83"/>
      <c r="K896" s="83"/>
      <c r="L896" s="83"/>
      <c r="M896" s="83"/>
      <c r="N896" s="83"/>
      <c r="O896" s="83"/>
      <c r="P896" s="83"/>
      <c r="Q896" s="83"/>
      <c r="R896" s="83"/>
      <c r="S896" s="83"/>
      <c r="T896" s="83"/>
      <c r="U896" s="83"/>
      <c r="V896" s="83"/>
      <c r="W896" s="83"/>
      <c r="X896" s="83"/>
      <c r="Y896" s="83"/>
      <c r="Z896" s="83"/>
      <c r="AA896" s="83"/>
      <c r="AB896" s="83"/>
      <c r="AC896" s="83"/>
      <c r="AD896" s="83"/>
      <c r="AE896" s="83"/>
      <c r="AF896" s="83"/>
      <c r="AG896" s="83"/>
      <c r="AH896" s="83"/>
      <c r="AI896" s="83"/>
      <c r="AJ896" s="83"/>
      <c r="AK896" s="83"/>
      <c r="AL896" s="83"/>
      <c r="AM896" s="83"/>
      <c r="AN896" s="83"/>
      <c r="AO896" s="83"/>
      <c r="AP896" s="83"/>
      <c r="AQ896" s="83"/>
      <c r="AR896" s="83"/>
      <c r="AS896" s="83"/>
      <c r="AT896" s="83"/>
      <c r="AU896" s="83"/>
      <c r="AV896" s="83"/>
      <c r="AW896" s="83"/>
      <c r="AX896" s="83"/>
      <c r="AY896" s="83"/>
      <c r="AZ896" s="83"/>
      <c r="BA896" s="83"/>
      <c r="BB896" s="83"/>
      <c r="BC896" s="83"/>
      <c r="BD896" s="83"/>
      <c r="BE896" s="83"/>
      <c r="BF896" s="83"/>
      <c r="BG896" s="83"/>
      <c r="BH896" s="83"/>
      <c r="BI896" s="83"/>
      <c r="BJ896" s="83"/>
      <c r="BK896" s="83"/>
      <c r="BL896" s="83"/>
      <c r="BM896" s="83"/>
      <c r="BN896" s="83"/>
      <c r="BO896" s="83"/>
      <c r="BP896" s="83"/>
      <c r="BQ896" s="83"/>
      <c r="BR896" s="83"/>
      <c r="BS896" s="83"/>
      <c r="BT896" s="83"/>
      <c r="BU896" s="83"/>
      <c r="BV896" s="83"/>
      <c r="BW896" s="83"/>
      <c r="BX896" s="83"/>
      <c r="BY896" s="83"/>
      <c r="BZ896" s="83"/>
      <c r="CA896" s="83"/>
      <c r="CB896" s="83"/>
      <c r="CC896" s="83"/>
      <c r="CD896" s="83"/>
      <c r="CE896" s="83"/>
      <c r="CF896" s="83"/>
      <c r="CG896" s="83"/>
      <c r="CH896" s="83"/>
      <c r="CI896" s="83"/>
      <c r="CJ896" s="83"/>
      <c r="CK896" s="83"/>
      <c r="CL896" s="83"/>
      <c r="CM896" s="83"/>
      <c r="CN896" s="83"/>
      <c r="CO896" s="83"/>
      <c r="CP896" s="83"/>
      <c r="CQ896" s="83"/>
      <c r="CR896" s="83"/>
      <c r="CS896" s="83"/>
      <c r="CT896" s="83"/>
      <c r="CU896" s="83"/>
      <c r="CV896" s="83"/>
      <c r="CW896" s="83"/>
      <c r="CX896" s="83"/>
      <c r="CY896" s="83"/>
      <c r="CZ896" s="83"/>
      <c r="DA896" s="83"/>
      <c r="DB896" s="83"/>
      <c r="DC896" s="83"/>
    </row>
    <row r="897" spans="1:107" x14ac:dyDescent="0.3">
      <c r="A897" s="83"/>
      <c r="B897" s="83"/>
      <c r="C897" s="83"/>
      <c r="D897" s="83"/>
      <c r="E897" s="83"/>
      <c r="F897" s="83"/>
      <c r="G897" s="83"/>
      <c r="H897" s="83"/>
      <c r="I897" s="83"/>
      <c r="J897" s="83"/>
      <c r="K897" s="83"/>
      <c r="L897" s="83"/>
      <c r="M897" s="83"/>
      <c r="N897" s="83"/>
      <c r="O897" s="83"/>
      <c r="P897" s="83"/>
      <c r="Q897" s="83"/>
      <c r="R897" s="83"/>
      <c r="S897" s="83"/>
      <c r="T897" s="83"/>
      <c r="U897" s="83"/>
      <c r="V897" s="83"/>
      <c r="W897" s="83"/>
      <c r="X897" s="83"/>
      <c r="Y897" s="83"/>
      <c r="Z897" s="83"/>
      <c r="AA897" s="83"/>
      <c r="AB897" s="83"/>
      <c r="AC897" s="83"/>
      <c r="AD897" s="83"/>
      <c r="AE897" s="83"/>
      <c r="AF897" s="83"/>
      <c r="AG897" s="83"/>
      <c r="AH897" s="83"/>
      <c r="AI897" s="83"/>
      <c r="AJ897" s="83"/>
      <c r="AK897" s="83"/>
      <c r="AL897" s="83"/>
      <c r="AM897" s="83"/>
      <c r="AN897" s="83"/>
      <c r="AO897" s="83"/>
      <c r="AP897" s="83"/>
      <c r="AQ897" s="83"/>
      <c r="AR897" s="83"/>
      <c r="AS897" s="83"/>
      <c r="AT897" s="83"/>
      <c r="AU897" s="83"/>
      <c r="AV897" s="83"/>
      <c r="AW897" s="83"/>
      <c r="AX897" s="83"/>
      <c r="AY897" s="83"/>
      <c r="AZ897" s="83"/>
      <c r="BA897" s="83"/>
      <c r="BB897" s="83"/>
      <c r="BC897" s="83"/>
      <c r="BD897" s="83"/>
      <c r="BE897" s="83"/>
      <c r="BF897" s="83"/>
      <c r="BG897" s="83"/>
      <c r="BH897" s="83"/>
      <c r="BI897" s="83"/>
      <c r="BJ897" s="83"/>
      <c r="BK897" s="83"/>
      <c r="BL897" s="83"/>
      <c r="BM897" s="83"/>
      <c r="BN897" s="83"/>
      <c r="BO897" s="83"/>
      <c r="BP897" s="83"/>
      <c r="BQ897" s="83"/>
      <c r="BR897" s="83"/>
      <c r="BS897" s="83"/>
      <c r="BT897" s="83"/>
      <c r="BU897" s="83"/>
      <c r="BV897" s="83"/>
      <c r="BW897" s="83"/>
      <c r="BX897" s="83"/>
      <c r="BY897" s="83"/>
      <c r="BZ897" s="83"/>
      <c r="CA897" s="83"/>
      <c r="CB897" s="83"/>
      <c r="CC897" s="83"/>
      <c r="CD897" s="83"/>
      <c r="CE897" s="83"/>
      <c r="CF897" s="83"/>
      <c r="CG897" s="83"/>
      <c r="CH897" s="83"/>
      <c r="CI897" s="83"/>
      <c r="CJ897" s="83"/>
      <c r="CK897" s="83"/>
      <c r="CL897" s="83"/>
      <c r="CM897" s="83"/>
      <c r="CN897" s="83"/>
      <c r="CO897" s="83"/>
      <c r="CP897" s="83"/>
      <c r="CQ897" s="83"/>
      <c r="CR897" s="83"/>
      <c r="CS897" s="83"/>
      <c r="CT897" s="83"/>
      <c r="CU897" s="83"/>
      <c r="CV897" s="83"/>
      <c r="CW897" s="83"/>
      <c r="CX897" s="83"/>
      <c r="CY897" s="83"/>
      <c r="CZ897" s="83"/>
      <c r="DA897" s="83"/>
      <c r="DB897" s="83"/>
      <c r="DC897" s="83"/>
    </row>
    <row r="898" spans="1:107" x14ac:dyDescent="0.3">
      <c r="A898" s="83"/>
      <c r="B898" s="83"/>
      <c r="C898" s="83"/>
      <c r="D898" s="83"/>
      <c r="E898" s="83"/>
      <c r="F898" s="83"/>
      <c r="G898" s="83"/>
      <c r="H898" s="83"/>
      <c r="I898" s="83"/>
      <c r="J898" s="83"/>
      <c r="K898" s="83"/>
      <c r="L898" s="83"/>
      <c r="M898" s="83"/>
      <c r="N898" s="83"/>
      <c r="O898" s="83"/>
      <c r="P898" s="83"/>
      <c r="Q898" s="83"/>
      <c r="R898" s="83"/>
      <c r="S898" s="83"/>
      <c r="T898" s="83"/>
      <c r="U898" s="83"/>
      <c r="V898" s="83"/>
      <c r="W898" s="83"/>
      <c r="X898" s="83"/>
      <c r="Y898" s="83"/>
      <c r="Z898" s="83"/>
      <c r="AA898" s="83"/>
      <c r="AB898" s="83"/>
      <c r="AC898" s="83"/>
      <c r="AD898" s="83"/>
      <c r="AE898" s="83"/>
      <c r="AF898" s="83"/>
      <c r="AG898" s="83"/>
      <c r="AH898" s="83"/>
      <c r="AI898" s="83"/>
      <c r="AJ898" s="83"/>
      <c r="AK898" s="83"/>
      <c r="AL898" s="83"/>
      <c r="AM898" s="83"/>
      <c r="AN898" s="83"/>
      <c r="AO898" s="83"/>
      <c r="AP898" s="83"/>
      <c r="AQ898" s="83"/>
      <c r="AR898" s="83"/>
      <c r="AS898" s="83"/>
      <c r="AT898" s="83"/>
      <c r="AU898" s="83"/>
      <c r="AV898" s="83"/>
      <c r="AW898" s="83"/>
      <c r="AX898" s="83"/>
      <c r="AY898" s="83"/>
      <c r="AZ898" s="83"/>
      <c r="BA898" s="83"/>
      <c r="BB898" s="83"/>
      <c r="BC898" s="83"/>
      <c r="BD898" s="83"/>
      <c r="BE898" s="83"/>
      <c r="BF898" s="83"/>
      <c r="BG898" s="83"/>
      <c r="BH898" s="83"/>
      <c r="BI898" s="83"/>
      <c r="BJ898" s="83"/>
      <c r="BK898" s="83"/>
      <c r="BL898" s="83"/>
      <c r="BM898" s="83"/>
      <c r="BN898" s="83"/>
      <c r="BO898" s="83"/>
      <c r="BP898" s="83"/>
      <c r="BQ898" s="83"/>
      <c r="BR898" s="83"/>
      <c r="BS898" s="83"/>
      <c r="BT898" s="83"/>
      <c r="BU898" s="83"/>
      <c r="BV898" s="83"/>
      <c r="BW898" s="83"/>
      <c r="BX898" s="83"/>
      <c r="BY898" s="83"/>
      <c r="BZ898" s="83"/>
      <c r="CA898" s="83"/>
      <c r="CB898" s="83"/>
      <c r="CC898" s="83"/>
      <c r="CD898" s="83"/>
      <c r="CE898" s="83"/>
      <c r="CF898" s="83"/>
      <c r="CG898" s="83"/>
      <c r="CH898" s="83"/>
      <c r="CI898" s="83"/>
      <c r="CJ898" s="83"/>
      <c r="CK898" s="83"/>
      <c r="CL898" s="83"/>
      <c r="CM898" s="83"/>
      <c r="CN898" s="83"/>
      <c r="CO898" s="83"/>
      <c r="CP898" s="83"/>
      <c r="CQ898" s="83"/>
      <c r="CR898" s="83"/>
      <c r="CS898" s="83"/>
      <c r="CT898" s="83"/>
      <c r="CU898" s="83"/>
      <c r="CV898" s="83"/>
      <c r="CW898" s="83"/>
      <c r="CX898" s="83"/>
      <c r="CY898" s="83"/>
      <c r="CZ898" s="83"/>
      <c r="DA898" s="83"/>
      <c r="DB898" s="83"/>
      <c r="DC898" s="83"/>
    </row>
    <row r="899" spans="1:107" x14ac:dyDescent="0.3">
      <c r="A899" s="83"/>
      <c r="B899" s="83"/>
      <c r="C899" s="83"/>
      <c r="D899" s="83"/>
      <c r="E899" s="83"/>
      <c r="F899" s="83"/>
      <c r="G899" s="83"/>
      <c r="H899" s="83"/>
      <c r="I899" s="83"/>
      <c r="J899" s="83"/>
      <c r="K899" s="83"/>
      <c r="L899" s="83"/>
      <c r="M899" s="83"/>
      <c r="N899" s="83"/>
      <c r="O899" s="83"/>
      <c r="P899" s="83"/>
      <c r="Q899" s="83"/>
      <c r="R899" s="83"/>
      <c r="S899" s="83"/>
      <c r="T899" s="83"/>
      <c r="U899" s="83"/>
      <c r="V899" s="83"/>
      <c r="W899" s="83"/>
      <c r="X899" s="83"/>
      <c r="Y899" s="83"/>
      <c r="Z899" s="83"/>
      <c r="AA899" s="83"/>
      <c r="AB899" s="83"/>
      <c r="AC899" s="83"/>
      <c r="AD899" s="83"/>
      <c r="AE899" s="83"/>
      <c r="AF899" s="83"/>
      <c r="AG899" s="83"/>
      <c r="AH899" s="83"/>
      <c r="AI899" s="83"/>
      <c r="AJ899" s="83"/>
      <c r="AK899" s="83"/>
      <c r="AL899" s="83"/>
      <c r="AM899" s="83"/>
      <c r="AN899" s="83"/>
      <c r="AO899" s="83"/>
      <c r="AP899" s="83"/>
      <c r="AQ899" s="83"/>
      <c r="AR899" s="83"/>
      <c r="AS899" s="83"/>
      <c r="AT899" s="83"/>
      <c r="AU899" s="83"/>
      <c r="AV899" s="83"/>
      <c r="AW899" s="83"/>
      <c r="AX899" s="83"/>
      <c r="AY899" s="83"/>
      <c r="AZ899" s="83"/>
      <c r="BA899" s="83"/>
      <c r="BB899" s="83"/>
      <c r="BC899" s="83"/>
      <c r="BD899" s="83"/>
      <c r="BE899" s="83"/>
      <c r="BF899" s="83"/>
      <c r="BG899" s="83"/>
      <c r="BH899" s="83"/>
      <c r="BI899" s="83"/>
      <c r="BJ899" s="83"/>
      <c r="BK899" s="83"/>
      <c r="BL899" s="83"/>
      <c r="BM899" s="83"/>
      <c r="BN899" s="83"/>
      <c r="BO899" s="83"/>
      <c r="BP899" s="83"/>
      <c r="BQ899" s="83"/>
      <c r="BR899" s="83"/>
      <c r="BS899" s="83"/>
      <c r="BT899" s="83"/>
      <c r="BU899" s="83"/>
      <c r="BV899" s="83"/>
      <c r="BW899" s="83"/>
      <c r="BX899" s="83"/>
      <c r="BY899" s="83"/>
      <c r="BZ899" s="83"/>
      <c r="CA899" s="83"/>
      <c r="CB899" s="83"/>
      <c r="CC899" s="83"/>
      <c r="CD899" s="83"/>
      <c r="CE899" s="83"/>
      <c r="CF899" s="83"/>
      <c r="CG899" s="83"/>
      <c r="CH899" s="83"/>
      <c r="CI899" s="83"/>
      <c r="CJ899" s="83"/>
      <c r="CK899" s="83"/>
      <c r="CL899" s="83"/>
      <c r="CM899" s="83"/>
      <c r="CN899" s="83"/>
      <c r="CO899" s="83"/>
      <c r="CP899" s="83"/>
      <c r="CQ899" s="83"/>
      <c r="CR899" s="83"/>
      <c r="CS899" s="83"/>
      <c r="CT899" s="83"/>
      <c r="CU899" s="83"/>
      <c r="CV899" s="83"/>
      <c r="CW899" s="83"/>
      <c r="CX899" s="83"/>
      <c r="CY899" s="83"/>
      <c r="CZ899" s="83"/>
      <c r="DA899" s="83"/>
      <c r="DB899" s="83"/>
      <c r="DC899" s="83"/>
    </row>
    <row r="900" spans="1:107" x14ac:dyDescent="0.3">
      <c r="A900" s="83"/>
      <c r="B900" s="83"/>
      <c r="C900" s="83"/>
      <c r="D900" s="83"/>
      <c r="E900" s="83"/>
      <c r="F900" s="83"/>
      <c r="G900" s="83"/>
      <c r="H900" s="83"/>
      <c r="I900" s="83"/>
      <c r="J900" s="83"/>
      <c r="K900" s="83"/>
      <c r="L900" s="83"/>
      <c r="M900" s="83"/>
      <c r="N900" s="83"/>
      <c r="O900" s="83"/>
      <c r="P900" s="83"/>
      <c r="Q900" s="83"/>
      <c r="R900" s="83"/>
      <c r="S900" s="83"/>
      <c r="T900" s="83"/>
      <c r="U900" s="83"/>
      <c r="V900" s="83"/>
      <c r="W900" s="83"/>
      <c r="X900" s="83"/>
      <c r="Y900" s="83"/>
      <c r="Z900" s="83"/>
      <c r="AA900" s="83"/>
      <c r="AB900" s="83"/>
      <c r="AC900" s="83"/>
      <c r="AD900" s="83"/>
      <c r="AE900" s="83"/>
      <c r="AF900" s="83"/>
      <c r="AG900" s="83"/>
      <c r="AH900" s="83"/>
      <c r="AI900" s="83"/>
      <c r="AJ900" s="83"/>
      <c r="AK900" s="83"/>
      <c r="AL900" s="83"/>
      <c r="AM900" s="83"/>
      <c r="AN900" s="83"/>
      <c r="AO900" s="83"/>
      <c r="AP900" s="83"/>
      <c r="AQ900" s="83"/>
      <c r="AR900" s="83"/>
      <c r="AS900" s="83"/>
      <c r="AT900" s="83"/>
      <c r="AU900" s="83"/>
      <c r="AV900" s="83"/>
      <c r="AW900" s="83"/>
      <c r="AX900" s="83"/>
      <c r="AY900" s="83"/>
      <c r="AZ900" s="83"/>
      <c r="BA900" s="83"/>
      <c r="BB900" s="83"/>
      <c r="BC900" s="83"/>
      <c r="BD900" s="83"/>
      <c r="BE900" s="83"/>
      <c r="BF900" s="83"/>
      <c r="BG900" s="83"/>
      <c r="BH900" s="83"/>
      <c r="BI900" s="83"/>
      <c r="BJ900" s="83"/>
      <c r="BK900" s="83"/>
      <c r="BL900" s="83"/>
      <c r="BM900" s="83"/>
      <c r="BN900" s="83"/>
      <c r="BO900" s="83"/>
      <c r="BP900" s="83"/>
      <c r="BQ900" s="83"/>
      <c r="BR900" s="83"/>
      <c r="BS900" s="83"/>
      <c r="BT900" s="83"/>
      <c r="BU900" s="83"/>
      <c r="BV900" s="83"/>
      <c r="BW900" s="83"/>
      <c r="BX900" s="83"/>
      <c r="BY900" s="83"/>
      <c r="BZ900" s="83"/>
      <c r="CA900" s="83"/>
      <c r="CB900" s="83"/>
      <c r="CC900" s="83"/>
      <c r="CD900" s="83"/>
      <c r="CE900" s="83"/>
      <c r="CF900" s="83"/>
      <c r="CG900" s="83"/>
      <c r="CH900" s="83"/>
      <c r="CI900" s="83"/>
      <c r="CJ900" s="83"/>
      <c r="CK900" s="83"/>
      <c r="CL900" s="83"/>
      <c r="CM900" s="83"/>
      <c r="CN900" s="83"/>
      <c r="CO900" s="83"/>
      <c r="CP900" s="83"/>
      <c r="CQ900" s="83"/>
      <c r="CR900" s="83"/>
      <c r="CS900" s="83"/>
      <c r="CT900" s="83"/>
      <c r="CU900" s="83"/>
      <c r="CV900" s="83"/>
      <c r="CW900" s="83"/>
      <c r="CX900" s="83"/>
      <c r="CY900" s="83"/>
      <c r="CZ900" s="83"/>
      <c r="DA900" s="83"/>
      <c r="DB900" s="83"/>
      <c r="DC900" s="83"/>
    </row>
    <row r="901" spans="1:107" x14ac:dyDescent="0.3">
      <c r="A901" s="83"/>
      <c r="B901" s="83"/>
      <c r="C901" s="83"/>
      <c r="D901" s="83"/>
      <c r="E901" s="83"/>
      <c r="F901" s="83"/>
      <c r="G901" s="83"/>
      <c r="H901" s="83"/>
      <c r="I901" s="83"/>
      <c r="J901" s="83"/>
      <c r="K901" s="83"/>
      <c r="L901" s="83"/>
      <c r="M901" s="83"/>
      <c r="N901" s="83"/>
      <c r="O901" s="83"/>
      <c r="P901" s="83"/>
      <c r="Q901" s="83"/>
      <c r="R901" s="83"/>
      <c r="S901" s="83"/>
      <c r="T901" s="83"/>
      <c r="U901" s="83"/>
      <c r="V901" s="83"/>
      <c r="W901" s="83"/>
      <c r="X901" s="83"/>
      <c r="Y901" s="83"/>
      <c r="Z901" s="83"/>
      <c r="AA901" s="83"/>
      <c r="AB901" s="83"/>
      <c r="AC901" s="83"/>
      <c r="AD901" s="83"/>
      <c r="AE901" s="83"/>
      <c r="AF901" s="83"/>
      <c r="AG901" s="83"/>
      <c r="AH901" s="83"/>
      <c r="AI901" s="83"/>
      <c r="AJ901" s="83"/>
      <c r="AK901" s="83"/>
      <c r="AL901" s="83"/>
      <c r="AM901" s="83"/>
      <c r="AN901" s="83"/>
      <c r="AO901" s="83"/>
      <c r="AP901" s="83"/>
      <c r="AQ901" s="83"/>
      <c r="AR901" s="83"/>
      <c r="AS901" s="83"/>
      <c r="AT901" s="83"/>
      <c r="AU901" s="83"/>
      <c r="AV901" s="83"/>
      <c r="AW901" s="83"/>
      <c r="AX901" s="83"/>
      <c r="AY901" s="83"/>
      <c r="AZ901" s="83"/>
      <c r="BA901" s="83"/>
      <c r="BB901" s="83"/>
      <c r="BC901" s="83"/>
      <c r="BD901" s="83"/>
      <c r="BE901" s="83"/>
      <c r="BF901" s="83"/>
      <c r="BG901" s="83"/>
      <c r="BH901" s="83"/>
      <c r="BI901" s="83"/>
      <c r="BJ901" s="83"/>
      <c r="BK901" s="83"/>
      <c r="BL901" s="83"/>
      <c r="BM901" s="83"/>
      <c r="BN901" s="83"/>
      <c r="BO901" s="83"/>
      <c r="BP901" s="83"/>
      <c r="BQ901" s="83"/>
      <c r="BR901" s="83"/>
      <c r="BS901" s="83"/>
      <c r="BT901" s="83"/>
      <c r="BU901" s="83"/>
      <c r="BV901" s="83"/>
      <c r="BW901" s="83"/>
      <c r="BX901" s="83"/>
      <c r="BY901" s="83"/>
      <c r="BZ901" s="83"/>
      <c r="CA901" s="83"/>
      <c r="CB901" s="83"/>
      <c r="CC901" s="83"/>
      <c r="CD901" s="83"/>
      <c r="CE901" s="83"/>
      <c r="CF901" s="83"/>
      <c r="CG901" s="83"/>
      <c r="CH901" s="83"/>
      <c r="CI901" s="83"/>
      <c r="CJ901" s="83"/>
      <c r="CK901" s="83"/>
      <c r="CL901" s="83"/>
      <c r="CM901" s="83"/>
      <c r="CN901" s="83"/>
      <c r="CO901" s="83"/>
      <c r="CP901" s="83"/>
      <c r="CQ901" s="83"/>
      <c r="CR901" s="83"/>
      <c r="CS901" s="83"/>
      <c r="CT901" s="83"/>
      <c r="CU901" s="83"/>
      <c r="CV901" s="83"/>
      <c r="CW901" s="83"/>
      <c r="CX901" s="83"/>
      <c r="CY901" s="83"/>
      <c r="CZ901" s="83"/>
      <c r="DA901" s="83"/>
      <c r="DB901" s="83"/>
      <c r="DC901" s="83"/>
    </row>
    <row r="902" spans="1:107" x14ac:dyDescent="0.3">
      <c r="A902" s="83"/>
      <c r="B902" s="83"/>
      <c r="C902" s="83"/>
      <c r="D902" s="83"/>
      <c r="E902" s="83"/>
      <c r="F902" s="83"/>
      <c r="G902" s="83"/>
      <c r="H902" s="83"/>
      <c r="I902" s="83"/>
      <c r="J902" s="83"/>
      <c r="K902" s="83"/>
      <c r="L902" s="83"/>
      <c r="M902" s="83"/>
      <c r="N902" s="83"/>
      <c r="O902" s="83"/>
      <c r="P902" s="83"/>
      <c r="Q902" s="83"/>
      <c r="R902" s="83"/>
      <c r="S902" s="83"/>
      <c r="T902" s="83"/>
      <c r="U902" s="83"/>
      <c r="V902" s="83"/>
      <c r="W902" s="83"/>
      <c r="X902" s="83"/>
      <c r="Y902" s="83"/>
      <c r="Z902" s="83"/>
      <c r="AA902" s="83"/>
      <c r="AB902" s="83"/>
      <c r="AC902" s="83"/>
      <c r="AD902" s="83"/>
      <c r="AE902" s="83"/>
      <c r="AF902" s="83"/>
      <c r="AG902" s="83"/>
      <c r="AH902" s="83"/>
      <c r="AI902" s="83"/>
      <c r="AJ902" s="83"/>
      <c r="AK902" s="83"/>
      <c r="AL902" s="83"/>
      <c r="AM902" s="83"/>
      <c r="AN902" s="83"/>
      <c r="AO902" s="83"/>
      <c r="AP902" s="83"/>
      <c r="AQ902" s="83"/>
      <c r="AR902" s="83"/>
      <c r="AS902" s="83"/>
      <c r="AT902" s="83"/>
      <c r="AU902" s="83"/>
      <c r="AV902" s="83"/>
      <c r="AW902" s="83"/>
      <c r="AX902" s="83"/>
      <c r="AY902" s="83"/>
      <c r="AZ902" s="83"/>
      <c r="BA902" s="83"/>
      <c r="BB902" s="83"/>
      <c r="BC902" s="83"/>
      <c r="BD902" s="83"/>
      <c r="BE902" s="83"/>
      <c r="BF902" s="83"/>
      <c r="BG902" s="83"/>
      <c r="BH902" s="83"/>
      <c r="BI902" s="83"/>
      <c r="BJ902" s="83"/>
      <c r="BK902" s="83"/>
      <c r="BL902" s="83"/>
      <c r="BM902" s="83"/>
      <c r="BN902" s="83"/>
      <c r="BO902" s="83"/>
      <c r="BP902" s="83"/>
      <c r="BQ902" s="83"/>
      <c r="BR902" s="83"/>
      <c r="BS902" s="83"/>
      <c r="BT902" s="83"/>
      <c r="BU902" s="83"/>
      <c r="BV902" s="83"/>
      <c r="BW902" s="83"/>
      <c r="BX902" s="83"/>
      <c r="BY902" s="83"/>
      <c r="BZ902" s="83"/>
      <c r="CA902" s="83"/>
      <c r="CB902" s="83"/>
      <c r="CC902" s="83"/>
      <c r="CD902" s="83"/>
      <c r="CE902" s="83"/>
      <c r="CF902" s="83"/>
      <c r="CG902" s="83"/>
      <c r="CH902" s="83"/>
      <c r="CI902" s="83"/>
      <c r="CJ902" s="83"/>
      <c r="CK902" s="83"/>
      <c r="CL902" s="83"/>
      <c r="CM902" s="83"/>
      <c r="CN902" s="83"/>
      <c r="CO902" s="83"/>
      <c r="CP902" s="83"/>
      <c r="CQ902" s="83"/>
      <c r="CR902" s="83"/>
      <c r="CS902" s="83"/>
      <c r="CT902" s="83"/>
      <c r="CU902" s="83"/>
      <c r="CV902" s="83"/>
      <c r="CW902" s="83"/>
      <c r="CX902" s="83"/>
      <c r="CY902" s="83"/>
      <c r="CZ902" s="83"/>
      <c r="DA902" s="83"/>
      <c r="DB902" s="83"/>
      <c r="DC902" s="83"/>
    </row>
    <row r="903" spans="1:107" x14ac:dyDescent="0.3">
      <c r="A903" s="83"/>
      <c r="B903" s="83"/>
      <c r="C903" s="83"/>
      <c r="D903" s="83"/>
      <c r="E903" s="83"/>
      <c r="F903" s="83"/>
      <c r="G903" s="83"/>
      <c r="H903" s="83"/>
      <c r="I903" s="83"/>
      <c r="J903" s="83"/>
      <c r="K903" s="83"/>
      <c r="L903" s="83"/>
      <c r="M903" s="83"/>
      <c r="N903" s="83"/>
      <c r="O903" s="83"/>
      <c r="P903" s="83"/>
      <c r="Q903" s="83"/>
      <c r="R903" s="83"/>
      <c r="S903" s="83"/>
      <c r="T903" s="83"/>
      <c r="U903" s="83"/>
      <c r="V903" s="83"/>
      <c r="W903" s="83"/>
      <c r="X903" s="83"/>
      <c r="Y903" s="83"/>
      <c r="Z903" s="83"/>
      <c r="AA903" s="83"/>
      <c r="AB903" s="83"/>
      <c r="AC903" s="83"/>
      <c r="AD903" s="83"/>
      <c r="AE903" s="83"/>
      <c r="AF903" s="83"/>
      <c r="AG903" s="83"/>
      <c r="AH903" s="83"/>
      <c r="AI903" s="83"/>
      <c r="AJ903" s="83"/>
      <c r="AK903" s="83"/>
      <c r="AL903" s="83"/>
      <c r="AM903" s="83"/>
      <c r="AN903" s="83"/>
      <c r="AO903" s="83"/>
      <c r="AP903" s="83"/>
      <c r="AQ903" s="83"/>
      <c r="AR903" s="83"/>
      <c r="AS903" s="83"/>
      <c r="AT903" s="83"/>
      <c r="AU903" s="83"/>
      <c r="AV903" s="83"/>
      <c r="AW903" s="83"/>
      <c r="AX903" s="83"/>
      <c r="AY903" s="83"/>
      <c r="AZ903" s="83"/>
      <c r="BA903" s="83"/>
      <c r="BB903" s="83"/>
      <c r="BC903" s="83"/>
      <c r="BD903" s="83"/>
      <c r="BE903" s="83"/>
      <c r="BF903" s="83"/>
      <c r="BG903" s="83"/>
      <c r="BH903" s="83"/>
      <c r="BI903" s="83"/>
      <c r="BJ903" s="83"/>
      <c r="BK903" s="83"/>
      <c r="BL903" s="83"/>
      <c r="BM903" s="83"/>
      <c r="BN903" s="83"/>
      <c r="BO903" s="83"/>
      <c r="BP903" s="83"/>
      <c r="BQ903" s="83"/>
      <c r="BR903" s="83"/>
      <c r="BS903" s="83"/>
      <c r="BT903" s="83"/>
      <c r="BU903" s="83"/>
      <c r="BV903" s="83"/>
      <c r="BW903" s="83"/>
      <c r="BX903" s="83"/>
      <c r="BY903" s="83"/>
      <c r="BZ903" s="83"/>
      <c r="CA903" s="83"/>
      <c r="CB903" s="83"/>
      <c r="CC903" s="83"/>
      <c r="CD903" s="83"/>
      <c r="CE903" s="83"/>
      <c r="CF903" s="83"/>
      <c r="CG903" s="83"/>
      <c r="CH903" s="83"/>
      <c r="CI903" s="83"/>
      <c r="CJ903" s="83"/>
      <c r="CK903" s="83"/>
      <c r="CL903" s="83"/>
      <c r="CM903" s="83"/>
      <c r="CN903" s="83"/>
      <c r="CO903" s="83"/>
      <c r="CP903" s="83"/>
      <c r="CQ903" s="83"/>
      <c r="CR903" s="83"/>
      <c r="CS903" s="83"/>
      <c r="CT903" s="83"/>
      <c r="CU903" s="83"/>
      <c r="CV903" s="83"/>
      <c r="CW903" s="83"/>
      <c r="CX903" s="83"/>
      <c r="CY903" s="83"/>
      <c r="CZ903" s="83"/>
      <c r="DA903" s="83"/>
      <c r="DB903" s="83"/>
      <c r="DC903" s="83"/>
    </row>
    <row r="904" spans="1:107" x14ac:dyDescent="0.3">
      <c r="A904" s="83"/>
      <c r="B904" s="83"/>
      <c r="C904" s="83"/>
      <c r="D904" s="83"/>
      <c r="E904" s="83"/>
      <c r="F904" s="83"/>
      <c r="G904" s="83"/>
      <c r="H904" s="83"/>
      <c r="I904" s="83"/>
      <c r="J904" s="83"/>
      <c r="K904" s="83"/>
      <c r="L904" s="83"/>
      <c r="M904" s="83"/>
      <c r="N904" s="83"/>
      <c r="O904" s="83"/>
      <c r="P904" s="83"/>
      <c r="Q904" s="83"/>
      <c r="R904" s="83"/>
      <c r="S904" s="83"/>
      <c r="T904" s="83"/>
      <c r="U904" s="83"/>
      <c r="V904" s="83"/>
      <c r="W904" s="83"/>
      <c r="X904" s="83"/>
      <c r="Y904" s="83"/>
      <c r="Z904" s="83"/>
      <c r="AA904" s="83"/>
      <c r="AB904" s="83"/>
      <c r="AC904" s="83"/>
      <c r="AD904" s="83"/>
      <c r="AE904" s="83"/>
      <c r="AF904" s="83"/>
      <c r="AG904" s="83"/>
      <c r="AH904" s="83"/>
      <c r="AI904" s="83"/>
      <c r="AJ904" s="83"/>
      <c r="AK904" s="83"/>
      <c r="AL904" s="83"/>
      <c r="AM904" s="83"/>
      <c r="AN904" s="83"/>
      <c r="AO904" s="83"/>
      <c r="AP904" s="83"/>
      <c r="AQ904" s="83"/>
      <c r="AR904" s="83"/>
      <c r="AS904" s="83"/>
      <c r="AT904" s="83"/>
      <c r="AU904" s="83"/>
      <c r="AV904" s="83"/>
      <c r="AW904" s="83"/>
      <c r="AX904" s="83"/>
      <c r="AY904" s="83"/>
      <c r="AZ904" s="83"/>
      <c r="BA904" s="83"/>
      <c r="BB904" s="83"/>
      <c r="BC904" s="83"/>
      <c r="BD904" s="83"/>
      <c r="BE904" s="83"/>
      <c r="BF904" s="83"/>
      <c r="BG904" s="83"/>
      <c r="BH904" s="83"/>
      <c r="BI904" s="83"/>
      <c r="BJ904" s="83"/>
      <c r="BK904" s="83"/>
      <c r="BL904" s="83"/>
      <c r="BM904" s="83"/>
      <c r="BN904" s="83"/>
      <c r="BO904" s="83"/>
      <c r="BP904" s="83"/>
      <c r="BQ904" s="83"/>
      <c r="BR904" s="83"/>
      <c r="BS904" s="83"/>
      <c r="BT904" s="83"/>
      <c r="BU904" s="83"/>
      <c r="BV904" s="83"/>
      <c r="BW904" s="83"/>
      <c r="BX904" s="83"/>
      <c r="BY904" s="83"/>
      <c r="BZ904" s="83"/>
      <c r="CA904" s="83"/>
      <c r="CB904" s="83"/>
      <c r="CC904" s="83"/>
      <c r="CD904" s="83"/>
      <c r="CE904" s="83"/>
      <c r="CF904" s="83"/>
      <c r="CG904" s="83"/>
      <c r="CH904" s="83"/>
      <c r="CI904" s="83"/>
      <c r="CJ904" s="83"/>
      <c r="CK904" s="83"/>
      <c r="CL904" s="83"/>
      <c r="CM904" s="83"/>
      <c r="CN904" s="83"/>
      <c r="CO904" s="83"/>
      <c r="CP904" s="83"/>
      <c r="CQ904" s="83"/>
      <c r="CR904" s="83"/>
      <c r="CS904" s="83"/>
      <c r="CT904" s="83"/>
      <c r="CU904" s="83"/>
      <c r="CV904" s="83"/>
      <c r="CW904" s="83"/>
      <c r="CX904" s="83"/>
      <c r="CY904" s="83"/>
      <c r="CZ904" s="83"/>
      <c r="DA904" s="83"/>
      <c r="DB904" s="83"/>
      <c r="DC904" s="83"/>
    </row>
    <row r="905" spans="1:107" x14ac:dyDescent="0.3">
      <c r="A905" s="83"/>
      <c r="B905" s="83"/>
      <c r="C905" s="83"/>
      <c r="D905" s="83"/>
      <c r="E905" s="83"/>
      <c r="F905" s="83"/>
      <c r="G905" s="83"/>
      <c r="H905" s="83"/>
      <c r="I905" s="83"/>
      <c r="J905" s="83"/>
      <c r="K905" s="83"/>
      <c r="L905" s="83"/>
      <c r="M905" s="83"/>
      <c r="N905" s="83"/>
      <c r="O905" s="83"/>
      <c r="P905" s="83"/>
      <c r="Q905" s="83"/>
      <c r="R905" s="83"/>
      <c r="S905" s="83"/>
      <c r="T905" s="83"/>
      <c r="U905" s="83"/>
      <c r="V905" s="83"/>
      <c r="W905" s="83"/>
      <c r="X905" s="83"/>
      <c r="Y905" s="83"/>
      <c r="Z905" s="83"/>
      <c r="AA905" s="83"/>
      <c r="AB905" s="83"/>
      <c r="AC905" s="83"/>
      <c r="AD905" s="83"/>
      <c r="AE905" s="83"/>
      <c r="AF905" s="83"/>
      <c r="AG905" s="83"/>
      <c r="AH905" s="83"/>
      <c r="AI905" s="83"/>
      <c r="AJ905" s="83"/>
      <c r="AK905" s="83"/>
      <c r="AL905" s="83"/>
      <c r="AM905" s="83"/>
      <c r="AN905" s="83"/>
      <c r="AO905" s="83"/>
      <c r="AP905" s="83"/>
      <c r="AQ905" s="83"/>
      <c r="AR905" s="83"/>
      <c r="AS905" s="83"/>
      <c r="AT905" s="83"/>
      <c r="AU905" s="83"/>
      <c r="AV905" s="83"/>
      <c r="AW905" s="83"/>
      <c r="AX905" s="83"/>
      <c r="AY905" s="83"/>
      <c r="AZ905" s="83"/>
      <c r="BA905" s="83"/>
      <c r="BB905" s="83"/>
      <c r="BC905" s="83"/>
      <c r="BD905" s="83"/>
      <c r="BE905" s="83"/>
      <c r="BF905" s="83"/>
      <c r="BG905" s="83"/>
      <c r="BH905" s="83"/>
      <c r="BI905" s="83"/>
      <c r="BJ905" s="83"/>
      <c r="BK905" s="83"/>
      <c r="BL905" s="83"/>
      <c r="BM905" s="83"/>
      <c r="BN905" s="83"/>
      <c r="BO905" s="83"/>
      <c r="BP905" s="83"/>
      <c r="BQ905" s="83"/>
      <c r="BR905" s="83"/>
      <c r="BS905" s="83"/>
      <c r="BT905" s="83"/>
      <c r="BU905" s="83"/>
      <c r="BV905" s="83"/>
      <c r="BW905" s="83"/>
      <c r="BX905" s="83"/>
      <c r="BY905" s="83"/>
      <c r="BZ905" s="83"/>
      <c r="CA905" s="83"/>
      <c r="CB905" s="83"/>
      <c r="CC905" s="83"/>
      <c r="CD905" s="83"/>
      <c r="CE905" s="83"/>
      <c r="CF905" s="83"/>
      <c r="CG905" s="83"/>
      <c r="CH905" s="83"/>
      <c r="CI905" s="83"/>
      <c r="CJ905" s="83"/>
      <c r="CK905" s="83"/>
      <c r="CL905" s="83"/>
      <c r="CM905" s="83"/>
      <c r="CN905" s="83"/>
      <c r="CO905" s="83"/>
      <c r="CP905" s="83"/>
      <c r="CQ905" s="83"/>
      <c r="CR905" s="83"/>
      <c r="CS905" s="83"/>
      <c r="CT905" s="83"/>
      <c r="CU905" s="83"/>
      <c r="CV905" s="83"/>
      <c r="CW905" s="83"/>
      <c r="CX905" s="83"/>
      <c r="CY905" s="83"/>
      <c r="CZ905" s="83"/>
      <c r="DA905" s="83"/>
      <c r="DB905" s="83"/>
      <c r="DC905" s="83"/>
    </row>
    <row r="906" spans="1:107" x14ac:dyDescent="0.3">
      <c r="A906" s="83"/>
      <c r="B906" s="83"/>
      <c r="C906" s="83"/>
      <c r="D906" s="83"/>
      <c r="E906" s="83"/>
      <c r="F906" s="83"/>
      <c r="G906" s="83"/>
      <c r="H906" s="83"/>
      <c r="I906" s="83"/>
      <c r="J906" s="83"/>
      <c r="K906" s="83"/>
      <c r="L906" s="83"/>
      <c r="M906" s="83"/>
      <c r="N906" s="83"/>
      <c r="O906" s="83"/>
      <c r="P906" s="83"/>
      <c r="Q906" s="83"/>
      <c r="R906" s="83"/>
      <c r="S906" s="83"/>
      <c r="T906" s="83"/>
      <c r="U906" s="83"/>
      <c r="V906" s="83"/>
      <c r="W906" s="83"/>
      <c r="X906" s="83"/>
      <c r="Y906" s="83"/>
      <c r="Z906" s="83"/>
      <c r="AA906" s="83"/>
      <c r="AB906" s="83"/>
      <c r="AC906" s="83"/>
      <c r="AD906" s="83"/>
      <c r="AE906" s="83"/>
      <c r="AF906" s="83"/>
      <c r="AG906" s="83"/>
      <c r="AH906" s="83"/>
      <c r="AI906" s="83"/>
      <c r="AJ906" s="83"/>
      <c r="AK906" s="83"/>
      <c r="AL906" s="83"/>
      <c r="AM906" s="83"/>
      <c r="AN906" s="83"/>
      <c r="AO906" s="83"/>
      <c r="AP906" s="83"/>
      <c r="AQ906" s="83"/>
      <c r="AR906" s="83"/>
      <c r="AS906" s="83"/>
      <c r="AT906" s="83"/>
      <c r="AU906" s="83"/>
      <c r="AV906" s="83"/>
      <c r="AW906" s="83"/>
      <c r="AX906" s="83"/>
      <c r="AY906" s="83"/>
      <c r="AZ906" s="83"/>
      <c r="BA906" s="83"/>
      <c r="BB906" s="83"/>
      <c r="BC906" s="83"/>
      <c r="BD906" s="83"/>
      <c r="BE906" s="83"/>
      <c r="BF906" s="83"/>
      <c r="BG906" s="83"/>
      <c r="BH906" s="83"/>
      <c r="BI906" s="83"/>
      <c r="BJ906" s="83"/>
      <c r="BK906" s="83"/>
      <c r="BL906" s="83"/>
      <c r="BM906" s="83"/>
      <c r="BN906" s="83"/>
      <c r="BO906" s="83"/>
      <c r="BP906" s="83"/>
      <c r="BQ906" s="83"/>
      <c r="BR906" s="83"/>
      <c r="BS906" s="83"/>
      <c r="BT906" s="83"/>
      <c r="BU906" s="83"/>
      <c r="BV906" s="83"/>
      <c r="BW906" s="83"/>
      <c r="BX906" s="83"/>
      <c r="BY906" s="83"/>
      <c r="BZ906" s="83"/>
      <c r="CA906" s="83"/>
      <c r="CB906" s="83"/>
      <c r="CC906" s="83"/>
      <c r="CD906" s="83"/>
      <c r="CE906" s="83"/>
      <c r="CF906" s="83"/>
      <c r="CG906" s="83"/>
      <c r="CH906" s="83"/>
      <c r="CI906" s="83"/>
      <c r="CJ906" s="83"/>
      <c r="CK906" s="83"/>
      <c r="CL906" s="83"/>
      <c r="CM906" s="83"/>
      <c r="CN906" s="83"/>
      <c r="CO906" s="83"/>
      <c r="CP906" s="83"/>
      <c r="CQ906" s="83"/>
      <c r="CR906" s="83"/>
      <c r="CS906" s="83"/>
      <c r="CT906" s="83"/>
      <c r="CU906" s="83"/>
      <c r="CV906" s="83"/>
      <c r="CW906" s="83"/>
      <c r="CX906" s="83"/>
      <c r="CY906" s="83"/>
      <c r="CZ906" s="83"/>
      <c r="DA906" s="83"/>
      <c r="DB906" s="83"/>
      <c r="DC906" s="83"/>
    </row>
    <row r="907" spans="1:107" x14ac:dyDescent="0.3">
      <c r="A907" s="83"/>
      <c r="B907" s="83"/>
      <c r="C907" s="83"/>
      <c r="D907" s="83"/>
      <c r="E907" s="83"/>
      <c r="F907" s="83"/>
      <c r="G907" s="83"/>
      <c r="H907" s="83"/>
      <c r="I907" s="83"/>
      <c r="J907" s="83"/>
      <c r="K907" s="83"/>
      <c r="L907" s="83"/>
      <c r="M907" s="83"/>
      <c r="N907" s="83"/>
      <c r="O907" s="83"/>
      <c r="P907" s="83"/>
      <c r="Q907" s="83"/>
      <c r="R907" s="83"/>
      <c r="S907" s="83"/>
      <c r="T907" s="83"/>
      <c r="U907" s="83"/>
      <c r="V907" s="83"/>
      <c r="W907" s="83"/>
      <c r="X907" s="83"/>
      <c r="Y907" s="83"/>
      <c r="Z907" s="83"/>
      <c r="AA907" s="83"/>
      <c r="AB907" s="83"/>
      <c r="AC907" s="83"/>
      <c r="AD907" s="83"/>
      <c r="AE907" s="83"/>
      <c r="AF907" s="83"/>
      <c r="AG907" s="83"/>
      <c r="AH907" s="83"/>
      <c r="AI907" s="83"/>
      <c r="AJ907" s="83"/>
      <c r="AK907" s="83"/>
      <c r="AL907" s="83"/>
      <c r="AM907" s="83"/>
      <c r="AN907" s="83"/>
      <c r="AO907" s="83"/>
      <c r="AP907" s="83"/>
      <c r="AQ907" s="83"/>
      <c r="AR907" s="83"/>
      <c r="AS907" s="83"/>
      <c r="AT907" s="83"/>
      <c r="AU907" s="83"/>
      <c r="AV907" s="83"/>
      <c r="AW907" s="83"/>
      <c r="AX907" s="83"/>
      <c r="AY907" s="83"/>
      <c r="AZ907" s="83"/>
      <c r="BA907" s="83"/>
      <c r="BB907" s="83"/>
      <c r="BC907" s="83"/>
      <c r="BD907" s="83"/>
      <c r="BE907" s="83"/>
      <c r="BF907" s="83"/>
      <c r="BG907" s="83"/>
      <c r="BH907" s="83"/>
      <c r="BI907" s="83"/>
      <c r="BJ907" s="83"/>
      <c r="BK907" s="83"/>
      <c r="BL907" s="83"/>
      <c r="BM907" s="83"/>
      <c r="BN907" s="83"/>
      <c r="BO907" s="83"/>
      <c r="BP907" s="83"/>
      <c r="BQ907" s="83"/>
      <c r="BR907" s="83"/>
      <c r="BS907" s="83"/>
      <c r="BT907" s="83"/>
      <c r="BU907" s="83"/>
      <c r="BV907" s="83"/>
      <c r="BW907" s="83"/>
      <c r="BX907" s="83"/>
      <c r="BY907" s="83"/>
      <c r="BZ907" s="83"/>
      <c r="CA907" s="83"/>
      <c r="CB907" s="83"/>
      <c r="CC907" s="83"/>
      <c r="CD907" s="83"/>
      <c r="CE907" s="83"/>
      <c r="CF907" s="83"/>
      <c r="CG907" s="83"/>
      <c r="CH907" s="83"/>
      <c r="CI907" s="83"/>
      <c r="CJ907" s="83"/>
      <c r="CK907" s="83"/>
      <c r="CL907" s="83"/>
      <c r="CM907" s="83"/>
      <c r="CN907" s="83"/>
      <c r="CO907" s="83"/>
      <c r="CP907" s="83"/>
      <c r="CQ907" s="83"/>
      <c r="CR907" s="83"/>
      <c r="CS907" s="83"/>
      <c r="CT907" s="83"/>
      <c r="CU907" s="83"/>
      <c r="CV907" s="83"/>
      <c r="CW907" s="83"/>
      <c r="CX907" s="83"/>
      <c r="CY907" s="83"/>
      <c r="CZ907" s="83"/>
      <c r="DA907" s="83"/>
      <c r="DB907" s="83"/>
      <c r="DC907" s="83"/>
    </row>
    <row r="908" spans="1:107" x14ac:dyDescent="0.3">
      <c r="A908" s="83"/>
      <c r="B908" s="83"/>
      <c r="C908" s="83"/>
      <c r="D908" s="83"/>
      <c r="E908" s="83"/>
      <c r="F908" s="83"/>
      <c r="G908" s="83"/>
      <c r="H908" s="83"/>
      <c r="I908" s="83"/>
      <c r="J908" s="83"/>
      <c r="K908" s="83"/>
      <c r="L908" s="83"/>
      <c r="M908" s="83"/>
      <c r="N908" s="83"/>
      <c r="O908" s="83"/>
      <c r="P908" s="83"/>
      <c r="Q908" s="83"/>
      <c r="R908" s="83"/>
      <c r="S908" s="83"/>
      <c r="T908" s="83"/>
      <c r="U908" s="83"/>
      <c r="V908" s="83"/>
      <c r="W908" s="83"/>
      <c r="X908" s="83"/>
      <c r="Y908" s="83"/>
      <c r="Z908" s="83"/>
      <c r="AA908" s="83"/>
      <c r="AB908" s="83"/>
      <c r="AC908" s="83"/>
      <c r="AD908" s="83"/>
      <c r="AE908" s="83"/>
      <c r="AF908" s="83"/>
      <c r="AG908" s="83"/>
      <c r="AH908" s="83"/>
      <c r="AI908" s="83"/>
      <c r="AJ908" s="83"/>
      <c r="AK908" s="83"/>
      <c r="AL908" s="83"/>
      <c r="AM908" s="83"/>
      <c r="AN908" s="83"/>
      <c r="AO908" s="83"/>
      <c r="AP908" s="83"/>
      <c r="AQ908" s="83"/>
      <c r="AR908" s="83"/>
      <c r="AS908" s="83"/>
      <c r="AT908" s="83"/>
      <c r="AU908" s="83"/>
      <c r="AV908" s="83"/>
      <c r="AW908" s="83"/>
      <c r="AX908" s="83"/>
      <c r="AY908" s="83"/>
      <c r="AZ908" s="83"/>
      <c r="BA908" s="83"/>
      <c r="BB908" s="83"/>
      <c r="BC908" s="83"/>
      <c r="BD908" s="83"/>
      <c r="BE908" s="83"/>
      <c r="BF908" s="83"/>
      <c r="BG908" s="83"/>
      <c r="BH908" s="83"/>
      <c r="BI908" s="83"/>
      <c r="BJ908" s="83"/>
      <c r="BK908" s="83"/>
      <c r="BL908" s="83"/>
      <c r="BM908" s="83"/>
      <c r="BN908" s="83"/>
      <c r="BO908" s="83"/>
      <c r="BP908" s="83"/>
      <c r="BQ908" s="83"/>
      <c r="BR908" s="83"/>
      <c r="BS908" s="83"/>
      <c r="BT908" s="83"/>
      <c r="BU908" s="83"/>
      <c r="BV908" s="83"/>
      <c r="BW908" s="83"/>
      <c r="BX908" s="83"/>
      <c r="BY908" s="83"/>
      <c r="BZ908" s="83"/>
      <c r="CA908" s="83"/>
      <c r="CB908" s="83"/>
      <c r="CC908" s="83"/>
      <c r="CD908" s="83"/>
      <c r="CE908" s="83"/>
      <c r="CF908" s="83"/>
      <c r="CG908" s="83"/>
      <c r="CH908" s="83"/>
      <c r="CI908" s="83"/>
      <c r="CJ908" s="83"/>
      <c r="CK908" s="83"/>
      <c r="CL908" s="83"/>
      <c r="CM908" s="83"/>
      <c r="CN908" s="83"/>
      <c r="CO908" s="83"/>
      <c r="CP908" s="83"/>
      <c r="CQ908" s="83"/>
      <c r="CR908" s="83"/>
      <c r="CS908" s="83"/>
      <c r="CT908" s="83"/>
      <c r="CU908" s="83"/>
      <c r="CV908" s="83"/>
      <c r="CW908" s="83"/>
      <c r="CX908" s="83"/>
      <c r="CY908" s="83"/>
      <c r="CZ908" s="83"/>
      <c r="DA908" s="83"/>
      <c r="DB908" s="83"/>
      <c r="DC908" s="83"/>
    </row>
    <row r="909" spans="1:107" x14ac:dyDescent="0.3">
      <c r="A909" s="83"/>
      <c r="B909" s="83"/>
      <c r="C909" s="83"/>
      <c r="D909" s="83"/>
      <c r="E909" s="83"/>
      <c r="F909" s="83"/>
      <c r="G909" s="83"/>
      <c r="H909" s="83"/>
      <c r="I909" s="83"/>
      <c r="J909" s="83"/>
      <c r="K909" s="83"/>
      <c r="L909" s="83"/>
      <c r="M909" s="83"/>
      <c r="N909" s="83"/>
      <c r="O909" s="83"/>
      <c r="P909" s="83"/>
      <c r="Q909" s="83"/>
      <c r="R909" s="83"/>
      <c r="S909" s="83"/>
      <c r="T909" s="83"/>
      <c r="U909" s="83"/>
      <c r="V909" s="83"/>
      <c r="W909" s="83"/>
      <c r="X909" s="83"/>
      <c r="Y909" s="83"/>
      <c r="Z909" s="83"/>
      <c r="AA909" s="83"/>
      <c r="AB909" s="83"/>
      <c r="AC909" s="83"/>
      <c r="AD909" s="83"/>
      <c r="AE909" s="83"/>
      <c r="AF909" s="83"/>
      <c r="AG909" s="83"/>
      <c r="AH909" s="83"/>
      <c r="AI909" s="83"/>
      <c r="AJ909" s="83"/>
      <c r="AK909" s="83"/>
      <c r="AL909" s="83"/>
      <c r="AM909" s="83"/>
      <c r="AN909" s="83"/>
      <c r="AO909" s="83"/>
      <c r="AP909" s="83"/>
      <c r="AQ909" s="83"/>
      <c r="AR909" s="83"/>
      <c r="AS909" s="83"/>
      <c r="AT909" s="83"/>
      <c r="AU909" s="83"/>
      <c r="AV909" s="83"/>
      <c r="AW909" s="83"/>
      <c r="AX909" s="83"/>
      <c r="AY909" s="83"/>
      <c r="AZ909" s="83"/>
      <c r="BA909" s="83"/>
      <c r="BB909" s="83"/>
      <c r="BC909" s="83"/>
      <c r="BD909" s="83"/>
      <c r="BE909" s="83"/>
      <c r="BF909" s="83"/>
      <c r="BG909" s="83"/>
      <c r="BH909" s="83"/>
      <c r="BI909" s="83"/>
      <c r="BJ909" s="83"/>
      <c r="BK909" s="83"/>
      <c r="BL909" s="83"/>
      <c r="BM909" s="83"/>
      <c r="BN909" s="83"/>
      <c r="BO909" s="83"/>
      <c r="BP909" s="83"/>
      <c r="BQ909" s="83"/>
      <c r="BR909" s="83"/>
      <c r="BS909" s="83"/>
      <c r="BT909" s="83"/>
      <c r="BU909" s="83"/>
      <c r="BV909" s="83"/>
      <c r="BW909" s="83"/>
      <c r="BX909" s="83"/>
      <c r="BY909" s="83"/>
      <c r="BZ909" s="83"/>
      <c r="CA909" s="83"/>
      <c r="CB909" s="83"/>
      <c r="CC909" s="83"/>
      <c r="CD909" s="83"/>
      <c r="CE909" s="83"/>
      <c r="CF909" s="83"/>
      <c r="CG909" s="83"/>
      <c r="CH909" s="83"/>
      <c r="CI909" s="83"/>
      <c r="CJ909" s="83"/>
      <c r="CK909" s="83"/>
      <c r="CL909" s="83"/>
      <c r="CM909" s="83"/>
      <c r="CN909" s="83"/>
      <c r="CO909" s="83"/>
      <c r="CP909" s="83"/>
      <c r="CQ909" s="83"/>
      <c r="CR909" s="83"/>
      <c r="CS909" s="83"/>
      <c r="CT909" s="83"/>
      <c r="CU909" s="83"/>
      <c r="CV909" s="83"/>
      <c r="CW909" s="83"/>
      <c r="CX909" s="83"/>
      <c r="CY909" s="83"/>
      <c r="CZ909" s="83"/>
      <c r="DA909" s="83"/>
      <c r="DB909" s="83"/>
      <c r="DC909" s="83"/>
    </row>
    <row r="910" spans="1:107" x14ac:dyDescent="0.3">
      <c r="A910" s="83"/>
      <c r="B910" s="83"/>
      <c r="C910" s="83"/>
      <c r="D910" s="83"/>
      <c r="E910" s="83"/>
      <c r="F910" s="83"/>
      <c r="G910" s="83"/>
      <c r="H910" s="83"/>
      <c r="I910" s="83"/>
      <c r="J910" s="83"/>
      <c r="K910" s="83"/>
      <c r="L910" s="83"/>
      <c r="M910" s="83"/>
      <c r="N910" s="83"/>
      <c r="O910" s="83"/>
      <c r="P910" s="83"/>
      <c r="Q910" s="83"/>
      <c r="R910" s="83"/>
      <c r="S910" s="83"/>
      <c r="T910" s="83"/>
      <c r="U910" s="83"/>
      <c r="V910" s="83"/>
      <c r="W910" s="83"/>
      <c r="X910" s="83"/>
      <c r="Y910" s="83"/>
      <c r="Z910" s="83"/>
      <c r="AA910" s="83"/>
      <c r="AB910" s="83"/>
      <c r="AC910" s="83"/>
      <c r="AD910" s="83"/>
      <c r="AE910" s="83"/>
      <c r="AF910" s="83"/>
      <c r="AG910" s="83"/>
      <c r="AH910" s="83"/>
      <c r="AI910" s="83"/>
      <c r="AJ910" s="83"/>
      <c r="AK910" s="83"/>
      <c r="AL910" s="83"/>
      <c r="AM910" s="83"/>
      <c r="AN910" s="83"/>
      <c r="AO910" s="83"/>
      <c r="AP910" s="83"/>
      <c r="AQ910" s="83"/>
      <c r="AR910" s="83"/>
      <c r="AS910" s="83"/>
      <c r="AT910" s="83"/>
      <c r="AU910" s="83"/>
      <c r="AV910" s="83"/>
      <c r="AW910" s="83"/>
      <c r="AX910" s="83"/>
      <c r="AY910" s="83"/>
      <c r="AZ910" s="83"/>
      <c r="BA910" s="83"/>
      <c r="BB910" s="83"/>
      <c r="BC910" s="83"/>
      <c r="BD910" s="83"/>
      <c r="BE910" s="83"/>
      <c r="BF910" s="83"/>
      <c r="BG910" s="83"/>
      <c r="BH910" s="83"/>
      <c r="BI910" s="83"/>
      <c r="BJ910" s="83"/>
      <c r="BK910" s="83"/>
      <c r="BL910" s="83"/>
      <c r="BM910" s="83"/>
      <c r="BN910" s="83"/>
      <c r="BO910" s="83"/>
      <c r="BP910" s="83"/>
      <c r="BQ910" s="83"/>
      <c r="BR910" s="83"/>
      <c r="BS910" s="83"/>
      <c r="BT910" s="83"/>
      <c r="BU910" s="83"/>
      <c r="BV910" s="83"/>
      <c r="BW910" s="83"/>
      <c r="BX910" s="83"/>
      <c r="BY910" s="83"/>
      <c r="BZ910" s="83"/>
      <c r="CA910" s="83"/>
      <c r="CB910" s="83"/>
      <c r="CC910" s="83"/>
      <c r="CD910" s="83"/>
      <c r="CE910" s="83"/>
      <c r="CF910" s="83"/>
      <c r="CG910" s="83"/>
      <c r="CH910" s="83"/>
      <c r="CI910" s="83"/>
      <c r="CJ910" s="83"/>
      <c r="CK910" s="83"/>
      <c r="CL910" s="83"/>
      <c r="CM910" s="83"/>
      <c r="CN910" s="83"/>
      <c r="CO910" s="83"/>
      <c r="CP910" s="83"/>
      <c r="CQ910" s="83"/>
      <c r="CR910" s="83"/>
      <c r="CS910" s="83"/>
      <c r="CT910" s="83"/>
      <c r="CU910" s="83"/>
      <c r="CV910" s="83"/>
      <c r="CW910" s="83"/>
      <c r="CX910" s="83"/>
      <c r="CY910" s="83"/>
      <c r="CZ910" s="83"/>
      <c r="DA910" s="83"/>
      <c r="DB910" s="83"/>
      <c r="DC910" s="83"/>
    </row>
    <row r="911" spans="1:107" x14ac:dyDescent="0.3">
      <c r="A911" s="83"/>
      <c r="B911" s="83"/>
      <c r="C911" s="83"/>
      <c r="D911" s="83"/>
      <c r="E911" s="83"/>
      <c r="F911" s="83"/>
      <c r="G911" s="83"/>
      <c r="H911" s="83"/>
      <c r="I911" s="83"/>
      <c r="J911" s="83"/>
      <c r="K911" s="83"/>
      <c r="L911" s="83"/>
      <c r="M911" s="83"/>
      <c r="N911" s="83"/>
      <c r="O911" s="83"/>
      <c r="P911" s="83"/>
      <c r="Q911" s="83"/>
      <c r="R911" s="83"/>
      <c r="S911" s="83"/>
      <c r="T911" s="83"/>
      <c r="U911" s="83"/>
      <c r="V911" s="83"/>
      <c r="W911" s="83"/>
      <c r="X911" s="83"/>
      <c r="Y911" s="83"/>
      <c r="Z911" s="83"/>
      <c r="AA911" s="83"/>
      <c r="AB911" s="83"/>
      <c r="AC911" s="83"/>
      <c r="AD911" s="83"/>
      <c r="AE911" s="83"/>
      <c r="AF911" s="83"/>
      <c r="AG911" s="83"/>
      <c r="AH911" s="83"/>
      <c r="AI911" s="83"/>
      <c r="AJ911" s="83"/>
      <c r="AK911" s="83"/>
      <c r="AL911" s="83"/>
      <c r="AM911" s="83"/>
      <c r="AN911" s="83"/>
      <c r="AO911" s="83"/>
      <c r="AP911" s="83"/>
      <c r="AQ911" s="83"/>
      <c r="AR911" s="83"/>
      <c r="AS911" s="83"/>
      <c r="AT911" s="83"/>
      <c r="AU911" s="83"/>
      <c r="AV911" s="83"/>
      <c r="AW911" s="83"/>
      <c r="AX911" s="83"/>
      <c r="AY911" s="83"/>
      <c r="AZ911" s="83"/>
      <c r="BA911" s="83"/>
      <c r="BB911" s="83"/>
      <c r="BC911" s="83"/>
      <c r="BD911" s="83"/>
      <c r="BE911" s="83"/>
      <c r="BF911" s="83"/>
      <c r="BG911" s="83"/>
      <c r="BH911" s="83"/>
      <c r="BI911" s="83"/>
      <c r="BJ911" s="83"/>
      <c r="BK911" s="83"/>
      <c r="BL911" s="83"/>
      <c r="BM911" s="83"/>
      <c r="BN911" s="83"/>
      <c r="BO911" s="83"/>
      <c r="BP911" s="83"/>
      <c r="BQ911" s="83"/>
      <c r="BR911" s="83"/>
      <c r="BS911" s="83"/>
      <c r="BT911" s="83"/>
      <c r="BU911" s="83"/>
      <c r="BV911" s="83"/>
      <c r="BW911" s="83"/>
      <c r="BX911" s="83"/>
      <c r="BY911" s="83"/>
      <c r="BZ911" s="83"/>
      <c r="CA911" s="83"/>
      <c r="CB911" s="83"/>
      <c r="CC911" s="83"/>
      <c r="CD911" s="83"/>
      <c r="CE911" s="83"/>
      <c r="CF911" s="83"/>
      <c r="CG911" s="83"/>
      <c r="CH911" s="83"/>
      <c r="CI911" s="83"/>
      <c r="CJ911" s="83"/>
      <c r="CK911" s="83"/>
      <c r="CL911" s="83"/>
      <c r="CM911" s="83"/>
      <c r="CN911" s="83"/>
      <c r="CO911" s="83"/>
      <c r="CP911" s="83"/>
      <c r="CQ911" s="83"/>
      <c r="CR911" s="83"/>
      <c r="CS911" s="83"/>
      <c r="CT911" s="83"/>
      <c r="CU911" s="83"/>
      <c r="CV911" s="83"/>
      <c r="CW911" s="83"/>
      <c r="CX911" s="83"/>
      <c r="CY911" s="83"/>
      <c r="CZ911" s="83"/>
      <c r="DA911" s="83"/>
      <c r="DB911" s="83"/>
      <c r="DC911" s="83"/>
    </row>
    <row r="912" spans="1:107" x14ac:dyDescent="0.3">
      <c r="A912" s="83"/>
      <c r="B912" s="83"/>
      <c r="C912" s="83"/>
      <c r="D912" s="83"/>
      <c r="E912" s="83"/>
      <c r="F912" s="83"/>
      <c r="G912" s="83"/>
      <c r="H912" s="83"/>
      <c r="I912" s="83"/>
      <c r="J912" s="83"/>
      <c r="K912" s="83"/>
      <c r="L912" s="83"/>
      <c r="M912" s="83"/>
      <c r="N912" s="83"/>
      <c r="O912" s="83"/>
      <c r="P912" s="83"/>
      <c r="Q912" s="83"/>
      <c r="R912" s="83"/>
      <c r="S912" s="83"/>
      <c r="T912" s="83"/>
      <c r="U912" s="83"/>
      <c r="V912" s="83"/>
      <c r="W912" s="83"/>
      <c r="X912" s="83"/>
      <c r="Y912" s="83"/>
      <c r="Z912" s="83"/>
      <c r="AA912" s="83"/>
      <c r="AB912" s="83"/>
      <c r="AC912" s="83"/>
      <c r="AD912" s="83"/>
      <c r="AE912" s="83"/>
      <c r="AF912" s="83"/>
      <c r="AG912" s="83"/>
      <c r="AH912" s="83"/>
      <c r="AI912" s="83"/>
      <c r="AJ912" s="83"/>
      <c r="AK912" s="83"/>
      <c r="AL912" s="83"/>
      <c r="AM912" s="83"/>
      <c r="AN912" s="83"/>
      <c r="AO912" s="83"/>
      <c r="AP912" s="83"/>
      <c r="AQ912" s="83"/>
      <c r="AR912" s="83"/>
      <c r="AS912" s="83"/>
      <c r="AT912" s="83"/>
      <c r="AU912" s="83"/>
      <c r="AV912" s="83"/>
      <c r="AW912" s="83"/>
      <c r="AX912" s="83"/>
      <c r="AY912" s="83"/>
      <c r="AZ912" s="83"/>
      <c r="BA912" s="83"/>
      <c r="BB912" s="83"/>
      <c r="BC912" s="83"/>
      <c r="BD912" s="83"/>
      <c r="BE912" s="83"/>
      <c r="BF912" s="83"/>
      <c r="BG912" s="83"/>
      <c r="BH912" s="83"/>
      <c r="BI912" s="83"/>
      <c r="BJ912" s="83"/>
      <c r="BK912" s="83"/>
      <c r="BL912" s="83"/>
      <c r="BM912" s="83"/>
      <c r="BN912" s="83"/>
      <c r="BO912" s="83"/>
      <c r="BP912" s="83"/>
      <c r="BQ912" s="83"/>
      <c r="BR912" s="83"/>
      <c r="BS912" s="83"/>
      <c r="BT912" s="83"/>
      <c r="BU912" s="83"/>
      <c r="BV912" s="83"/>
      <c r="BW912" s="83"/>
      <c r="BX912" s="83"/>
      <c r="BY912" s="83"/>
      <c r="BZ912" s="83"/>
      <c r="CA912" s="83"/>
      <c r="CB912" s="83"/>
      <c r="CC912" s="83"/>
      <c r="CD912" s="83"/>
      <c r="CE912" s="83"/>
      <c r="CF912" s="83"/>
      <c r="CG912" s="83"/>
      <c r="CH912" s="83"/>
      <c r="CI912" s="83"/>
      <c r="CJ912" s="83"/>
      <c r="CK912" s="83"/>
      <c r="CL912" s="83"/>
      <c r="CM912" s="83"/>
      <c r="CN912" s="83"/>
      <c r="CO912" s="83"/>
      <c r="CP912" s="83"/>
      <c r="CQ912" s="83"/>
      <c r="CR912" s="83"/>
      <c r="CS912" s="83"/>
      <c r="CT912" s="83"/>
      <c r="CU912" s="83"/>
      <c r="CV912" s="83"/>
      <c r="CW912" s="83"/>
      <c r="CX912" s="83"/>
      <c r="CY912" s="83"/>
      <c r="CZ912" s="83"/>
      <c r="DA912" s="83"/>
      <c r="DB912" s="83"/>
      <c r="DC912" s="83"/>
    </row>
    <row r="913" spans="1:107" x14ac:dyDescent="0.3">
      <c r="A913" s="83"/>
      <c r="B913" s="83"/>
      <c r="C913" s="83"/>
      <c r="D913" s="83"/>
      <c r="E913" s="83"/>
      <c r="F913" s="83"/>
      <c r="G913" s="83"/>
      <c r="H913" s="83"/>
      <c r="I913" s="83"/>
      <c r="J913" s="83"/>
      <c r="K913" s="83"/>
      <c r="L913" s="83"/>
      <c r="M913" s="83"/>
      <c r="N913" s="83"/>
      <c r="O913" s="83"/>
      <c r="P913" s="83"/>
      <c r="Q913" s="83"/>
      <c r="R913" s="83"/>
      <c r="S913" s="83"/>
      <c r="T913" s="83"/>
      <c r="U913" s="83"/>
      <c r="V913" s="83"/>
      <c r="W913" s="83"/>
      <c r="X913" s="83"/>
      <c r="Y913" s="83"/>
      <c r="Z913" s="83"/>
      <c r="AA913" s="83"/>
      <c r="AB913" s="83"/>
      <c r="AC913" s="83"/>
      <c r="AD913" s="83"/>
      <c r="AE913" s="83"/>
      <c r="AF913" s="83"/>
      <c r="AG913" s="83"/>
      <c r="AH913" s="83"/>
      <c r="AI913" s="83"/>
      <c r="AJ913" s="83"/>
      <c r="AK913" s="83"/>
      <c r="AL913" s="83"/>
      <c r="AM913" s="83"/>
      <c r="AN913" s="83"/>
      <c r="AO913" s="83"/>
      <c r="AP913" s="83"/>
      <c r="AQ913" s="83"/>
      <c r="AR913" s="83"/>
      <c r="AS913" s="83"/>
      <c r="AT913" s="83"/>
      <c r="AU913" s="83"/>
      <c r="AV913" s="83"/>
      <c r="AW913" s="83"/>
      <c r="AX913" s="83"/>
      <c r="AY913" s="83"/>
      <c r="AZ913" s="83"/>
      <c r="BA913" s="83"/>
      <c r="BB913" s="83"/>
      <c r="BC913" s="83"/>
      <c r="BD913" s="83"/>
      <c r="BE913" s="83"/>
      <c r="BF913" s="83"/>
      <c r="BG913" s="83"/>
      <c r="BH913" s="83"/>
      <c r="BI913" s="83"/>
      <c r="BJ913" s="83"/>
      <c r="BK913" s="83"/>
      <c r="BL913" s="83"/>
      <c r="BM913" s="83"/>
      <c r="BN913" s="83"/>
      <c r="BO913" s="83"/>
      <c r="BP913" s="83"/>
      <c r="BQ913" s="83"/>
      <c r="BR913" s="83"/>
      <c r="BS913" s="83"/>
      <c r="BT913" s="83"/>
      <c r="BU913" s="83"/>
      <c r="BV913" s="83"/>
      <c r="BW913" s="83"/>
      <c r="BX913" s="83"/>
      <c r="BY913" s="83"/>
      <c r="BZ913" s="83"/>
      <c r="CA913" s="83"/>
      <c r="CB913" s="83"/>
      <c r="CC913" s="83"/>
      <c r="CD913" s="83"/>
      <c r="CE913" s="83"/>
      <c r="CF913" s="83"/>
      <c r="CG913" s="83"/>
      <c r="CH913" s="83"/>
      <c r="CI913" s="83"/>
      <c r="CJ913" s="83"/>
      <c r="CK913" s="83"/>
      <c r="CL913" s="83"/>
      <c r="CM913" s="83"/>
      <c r="CN913" s="83"/>
      <c r="CO913" s="83"/>
      <c r="CP913" s="83"/>
      <c r="CQ913" s="83"/>
      <c r="CR913" s="83"/>
      <c r="CS913" s="83"/>
      <c r="CT913" s="83"/>
      <c r="CU913" s="83"/>
      <c r="CV913" s="83"/>
      <c r="CW913" s="83"/>
      <c r="CX913" s="83"/>
      <c r="CY913" s="83"/>
      <c r="CZ913" s="83"/>
      <c r="DA913" s="83"/>
      <c r="DB913" s="83"/>
      <c r="DC913" s="83"/>
    </row>
    <row r="914" spans="1:107" x14ac:dyDescent="0.3">
      <c r="A914" s="83"/>
      <c r="B914" s="83"/>
      <c r="C914" s="83"/>
      <c r="D914" s="83"/>
      <c r="E914" s="83"/>
      <c r="F914" s="83"/>
      <c r="G914" s="83"/>
      <c r="H914" s="83"/>
      <c r="I914" s="83"/>
      <c r="J914" s="83"/>
      <c r="K914" s="83"/>
      <c r="L914" s="83"/>
      <c r="M914" s="83"/>
      <c r="N914" s="83"/>
      <c r="O914" s="83"/>
      <c r="P914" s="83"/>
      <c r="Q914" s="83"/>
      <c r="R914" s="83"/>
      <c r="S914" s="83"/>
      <c r="T914" s="83"/>
      <c r="U914" s="83"/>
      <c r="V914" s="83"/>
      <c r="W914" s="83"/>
      <c r="X914" s="83"/>
      <c r="Y914" s="83"/>
      <c r="Z914" s="83"/>
      <c r="AA914" s="83"/>
      <c r="AB914" s="83"/>
      <c r="AC914" s="83"/>
      <c r="AD914" s="83"/>
      <c r="AE914" s="83"/>
      <c r="AF914" s="83"/>
      <c r="AG914" s="83"/>
      <c r="AH914" s="83"/>
      <c r="AI914" s="83"/>
      <c r="AJ914" s="83"/>
      <c r="AK914" s="83"/>
      <c r="AL914" s="83"/>
      <c r="AM914" s="83"/>
      <c r="AN914" s="83"/>
      <c r="AO914" s="83"/>
      <c r="AP914" s="83"/>
      <c r="AQ914" s="83"/>
      <c r="AR914" s="83"/>
      <c r="AS914" s="83"/>
      <c r="AT914" s="83"/>
      <c r="AU914" s="83"/>
      <c r="AV914" s="83"/>
      <c r="AW914" s="83"/>
      <c r="AX914" s="83"/>
      <c r="AY914" s="83"/>
      <c r="AZ914" s="83"/>
      <c r="BA914" s="83"/>
      <c r="BB914" s="83"/>
      <c r="BC914" s="83"/>
      <c r="BD914" s="83"/>
      <c r="BE914" s="83"/>
      <c r="BF914" s="83"/>
      <c r="BG914" s="83"/>
      <c r="BH914" s="83"/>
      <c r="BI914" s="83"/>
      <c r="BJ914" s="83"/>
      <c r="BK914" s="83"/>
      <c r="BL914" s="83"/>
      <c r="BM914" s="83"/>
      <c r="BN914" s="83"/>
      <c r="BO914" s="83"/>
      <c r="BP914" s="83"/>
      <c r="BQ914" s="83"/>
      <c r="BR914" s="83"/>
      <c r="BS914" s="83"/>
      <c r="BT914" s="83"/>
      <c r="BU914" s="83"/>
      <c r="BV914" s="83"/>
      <c r="BW914" s="83"/>
      <c r="BX914" s="83"/>
      <c r="BY914" s="83"/>
      <c r="BZ914" s="83"/>
      <c r="CA914" s="83"/>
      <c r="CB914" s="83"/>
      <c r="CC914" s="83"/>
      <c r="CD914" s="83"/>
      <c r="CE914" s="83"/>
      <c r="CF914" s="83"/>
      <c r="CG914" s="83"/>
      <c r="CH914" s="83"/>
      <c r="CI914" s="83"/>
      <c r="CJ914" s="83"/>
      <c r="CK914" s="83"/>
      <c r="CL914" s="83"/>
      <c r="CM914" s="83"/>
      <c r="CN914" s="83"/>
      <c r="CO914" s="83"/>
      <c r="CP914" s="83"/>
      <c r="CQ914" s="83"/>
      <c r="CR914" s="83"/>
      <c r="CS914" s="83"/>
      <c r="CT914" s="83"/>
      <c r="CU914" s="83"/>
      <c r="CV914" s="83"/>
      <c r="CW914" s="83"/>
      <c r="CX914" s="83"/>
      <c r="CY914" s="83"/>
      <c r="CZ914" s="83"/>
      <c r="DA914" s="83"/>
      <c r="DB914" s="83"/>
      <c r="DC914" s="83"/>
    </row>
    <row r="915" spans="1:107" x14ac:dyDescent="0.3">
      <c r="A915" s="83"/>
      <c r="B915" s="83"/>
      <c r="C915" s="83"/>
      <c r="D915" s="83"/>
      <c r="E915" s="83"/>
      <c r="F915" s="83"/>
      <c r="G915" s="83"/>
      <c r="H915" s="83"/>
      <c r="I915" s="83"/>
      <c r="J915" s="83"/>
      <c r="K915" s="83"/>
      <c r="L915" s="83"/>
      <c r="M915" s="83"/>
      <c r="N915" s="83"/>
      <c r="O915" s="83"/>
      <c r="P915" s="83"/>
      <c r="Q915" s="83"/>
      <c r="R915" s="83"/>
      <c r="S915" s="83"/>
      <c r="T915" s="83"/>
      <c r="U915" s="83"/>
      <c r="V915" s="83"/>
      <c r="W915" s="83"/>
      <c r="X915" s="83"/>
      <c r="Y915" s="83"/>
      <c r="Z915" s="83"/>
      <c r="AA915" s="83"/>
      <c r="AB915" s="83"/>
      <c r="AC915" s="83"/>
      <c r="AD915" s="83"/>
      <c r="AE915" s="83"/>
      <c r="AF915" s="83"/>
      <c r="AG915" s="83"/>
      <c r="AH915" s="83"/>
      <c r="AI915" s="83"/>
      <c r="AJ915" s="83"/>
      <c r="AK915" s="83"/>
      <c r="AL915" s="83"/>
      <c r="AM915" s="83"/>
      <c r="AN915" s="83"/>
      <c r="AO915" s="83"/>
      <c r="AP915" s="83"/>
      <c r="AQ915" s="83"/>
      <c r="AR915" s="83"/>
      <c r="AS915" s="83"/>
      <c r="AT915" s="83"/>
      <c r="AU915" s="83"/>
      <c r="AV915" s="83"/>
      <c r="AW915" s="83"/>
      <c r="AX915" s="83"/>
      <c r="AY915" s="83"/>
      <c r="AZ915" s="83"/>
      <c r="BA915" s="83"/>
      <c r="BB915" s="83"/>
      <c r="BC915" s="83"/>
      <c r="BD915" s="83"/>
      <c r="BE915" s="83"/>
      <c r="BF915" s="83"/>
      <c r="BG915" s="83"/>
      <c r="BH915" s="83"/>
      <c r="BI915" s="83"/>
      <c r="BJ915" s="83"/>
      <c r="BK915" s="83"/>
      <c r="BL915" s="83"/>
      <c r="BM915" s="83"/>
      <c r="BN915" s="83"/>
      <c r="BO915" s="83"/>
      <c r="BP915" s="83"/>
      <c r="BQ915" s="83"/>
      <c r="BR915" s="83"/>
      <c r="BS915" s="83"/>
      <c r="BT915" s="83"/>
      <c r="BU915" s="83"/>
      <c r="BV915" s="83"/>
      <c r="BW915" s="83"/>
      <c r="BX915" s="83"/>
      <c r="BY915" s="83"/>
      <c r="BZ915" s="83"/>
      <c r="CA915" s="83"/>
      <c r="CB915" s="83"/>
      <c r="CC915" s="83"/>
      <c r="CD915" s="83"/>
      <c r="CE915" s="83"/>
      <c r="CF915" s="83"/>
      <c r="CG915" s="83"/>
      <c r="CH915" s="83"/>
      <c r="CI915" s="83"/>
      <c r="CJ915" s="83"/>
      <c r="CK915" s="83"/>
      <c r="CL915" s="83"/>
      <c r="CM915" s="83"/>
      <c r="CN915" s="83"/>
      <c r="CO915" s="83"/>
      <c r="CP915" s="83"/>
      <c r="CQ915" s="83"/>
      <c r="CR915" s="83"/>
      <c r="CS915" s="83"/>
      <c r="CT915" s="83"/>
      <c r="CU915" s="83"/>
      <c r="CV915" s="83"/>
      <c r="CW915" s="83"/>
      <c r="CX915" s="83"/>
      <c r="CY915" s="83"/>
      <c r="CZ915" s="83"/>
      <c r="DA915" s="83"/>
      <c r="DB915" s="83"/>
      <c r="DC915" s="83"/>
    </row>
    <row r="916" spans="1:107" x14ac:dyDescent="0.3">
      <c r="A916" s="83"/>
      <c r="B916" s="83"/>
      <c r="C916" s="83"/>
      <c r="D916" s="83"/>
      <c r="E916" s="83"/>
      <c r="F916" s="83"/>
      <c r="G916" s="83"/>
      <c r="H916" s="83"/>
      <c r="I916" s="83"/>
      <c r="J916" s="83"/>
      <c r="K916" s="83"/>
      <c r="L916" s="83"/>
      <c r="M916" s="83"/>
      <c r="N916" s="83"/>
      <c r="O916" s="83"/>
      <c r="P916" s="83"/>
      <c r="Q916" s="83"/>
      <c r="R916" s="83"/>
      <c r="S916" s="83"/>
      <c r="T916" s="83"/>
      <c r="U916" s="83"/>
      <c r="V916" s="83"/>
      <c r="W916" s="83"/>
      <c r="X916" s="83"/>
      <c r="Y916" s="83"/>
      <c r="Z916" s="83"/>
      <c r="AA916" s="83"/>
      <c r="AB916" s="83"/>
      <c r="AC916" s="83"/>
      <c r="AD916" s="83"/>
      <c r="AE916" s="83"/>
      <c r="AF916" s="83"/>
      <c r="AG916" s="83"/>
      <c r="AH916" s="83"/>
      <c r="AI916" s="83"/>
      <c r="AJ916" s="83"/>
      <c r="AK916" s="83"/>
      <c r="AL916" s="83"/>
      <c r="AM916" s="83"/>
      <c r="AN916" s="83"/>
      <c r="AO916" s="83"/>
      <c r="AP916" s="83"/>
      <c r="AQ916" s="83"/>
      <c r="AR916" s="83"/>
      <c r="AS916" s="83"/>
      <c r="AT916" s="83"/>
      <c r="AU916" s="83"/>
      <c r="AV916" s="83"/>
      <c r="AW916" s="83"/>
      <c r="AX916" s="83"/>
      <c r="AY916" s="83"/>
      <c r="AZ916" s="83"/>
      <c r="BA916" s="83"/>
      <c r="BB916" s="83"/>
      <c r="BC916" s="83"/>
      <c r="BD916" s="83"/>
      <c r="BE916" s="83"/>
      <c r="BF916" s="83"/>
      <c r="BG916" s="83"/>
      <c r="BH916" s="83"/>
      <c r="BI916" s="83"/>
      <c r="BJ916" s="83"/>
      <c r="BK916" s="83"/>
      <c r="BL916" s="83"/>
      <c r="BM916" s="83"/>
      <c r="BN916" s="83"/>
      <c r="BO916" s="83"/>
      <c r="BP916" s="83"/>
      <c r="BQ916" s="83"/>
      <c r="BR916" s="83"/>
      <c r="BS916" s="83"/>
      <c r="BT916" s="83"/>
      <c r="BU916" s="83"/>
      <c r="BV916" s="83"/>
      <c r="BW916" s="83"/>
      <c r="BX916" s="83"/>
      <c r="BY916" s="83"/>
      <c r="BZ916" s="83"/>
      <c r="CA916" s="83"/>
      <c r="CB916" s="83"/>
      <c r="CC916" s="83"/>
      <c r="CD916" s="83"/>
      <c r="CE916" s="83"/>
      <c r="CF916" s="83"/>
      <c r="CG916" s="83"/>
      <c r="CH916" s="83"/>
      <c r="CI916" s="83"/>
      <c r="CJ916" s="83"/>
      <c r="CK916" s="83"/>
      <c r="CL916" s="83"/>
      <c r="CM916" s="83"/>
      <c r="CN916" s="83"/>
      <c r="CO916" s="83"/>
      <c r="CP916" s="83"/>
      <c r="CQ916" s="83"/>
      <c r="CR916" s="83"/>
      <c r="CS916" s="83"/>
      <c r="CT916" s="83"/>
      <c r="CU916" s="83"/>
      <c r="CV916" s="83"/>
      <c r="CW916" s="83"/>
      <c r="CX916" s="83"/>
      <c r="CY916" s="83"/>
      <c r="CZ916" s="83"/>
      <c r="DA916" s="83"/>
      <c r="DB916" s="83"/>
      <c r="DC916" s="83"/>
    </row>
    <row r="917" spans="1:107" x14ac:dyDescent="0.3">
      <c r="A917" s="83"/>
      <c r="B917" s="83"/>
      <c r="C917" s="83"/>
      <c r="D917" s="83"/>
      <c r="E917" s="83"/>
      <c r="F917" s="83"/>
      <c r="G917" s="83"/>
      <c r="H917" s="83"/>
      <c r="I917" s="83"/>
      <c r="J917" s="83"/>
      <c r="K917" s="83"/>
      <c r="L917" s="83"/>
      <c r="M917" s="83"/>
      <c r="N917" s="83"/>
      <c r="O917" s="83"/>
      <c r="P917" s="83"/>
      <c r="Q917" s="83"/>
      <c r="R917" s="83"/>
      <c r="S917" s="83"/>
      <c r="T917" s="83"/>
      <c r="U917" s="83"/>
      <c r="V917" s="83"/>
      <c r="W917" s="83"/>
      <c r="X917" s="83"/>
      <c r="Y917" s="83"/>
      <c r="Z917" s="83"/>
      <c r="AA917" s="83"/>
      <c r="AB917" s="83"/>
      <c r="AC917" s="83"/>
      <c r="AD917" s="83"/>
      <c r="AE917" s="83"/>
      <c r="AF917" s="83"/>
      <c r="AG917" s="83"/>
      <c r="AH917" s="83"/>
      <c r="AI917" s="83"/>
      <c r="AJ917" s="83"/>
      <c r="AK917" s="83"/>
      <c r="AL917" s="83"/>
      <c r="AM917" s="83"/>
      <c r="AN917" s="83"/>
      <c r="AO917" s="83"/>
      <c r="AP917" s="83"/>
      <c r="AQ917" s="83"/>
      <c r="AR917" s="83"/>
      <c r="AS917" s="83"/>
      <c r="AT917" s="83"/>
      <c r="AU917" s="83"/>
      <c r="AV917" s="83"/>
      <c r="AW917" s="83"/>
      <c r="AX917" s="83"/>
      <c r="AY917" s="83"/>
      <c r="AZ917" s="83"/>
      <c r="BA917" s="83"/>
      <c r="BB917" s="83"/>
      <c r="BC917" s="83"/>
      <c r="BD917" s="83"/>
      <c r="BE917" s="83"/>
      <c r="BF917" s="83"/>
      <c r="BG917" s="83"/>
      <c r="BH917" s="83"/>
      <c r="BI917" s="83"/>
      <c r="BJ917" s="83"/>
      <c r="BK917" s="83"/>
      <c r="BL917" s="83"/>
      <c r="BM917" s="83"/>
      <c r="BN917" s="83"/>
      <c r="BO917" s="83"/>
      <c r="BP917" s="83"/>
      <c r="BQ917" s="83"/>
      <c r="BR917" s="83"/>
      <c r="BS917" s="83"/>
      <c r="BT917" s="83"/>
      <c r="BU917" s="83"/>
      <c r="BV917" s="83"/>
      <c r="BW917" s="83"/>
      <c r="BX917" s="83"/>
      <c r="BY917" s="83"/>
      <c r="BZ917" s="83"/>
      <c r="CA917" s="83"/>
      <c r="CB917" s="83"/>
      <c r="CC917" s="83"/>
      <c r="CD917" s="83"/>
      <c r="CE917" s="83"/>
      <c r="CF917" s="83"/>
      <c r="CG917" s="83"/>
      <c r="CH917" s="83"/>
      <c r="CI917" s="83"/>
      <c r="CJ917" s="83"/>
      <c r="CK917" s="83"/>
      <c r="CL917" s="83"/>
      <c r="CM917" s="83"/>
      <c r="CN917" s="83"/>
      <c r="CO917" s="83"/>
      <c r="CP917" s="83"/>
      <c r="CQ917" s="83"/>
      <c r="CR917" s="83"/>
      <c r="CS917" s="83"/>
      <c r="CT917" s="83"/>
      <c r="CU917" s="83"/>
      <c r="CV917" s="83"/>
      <c r="CW917" s="83"/>
      <c r="CX917" s="83"/>
      <c r="CY917" s="83"/>
      <c r="CZ917" s="83"/>
      <c r="DA917" s="83"/>
      <c r="DB917" s="83"/>
      <c r="DC917" s="83"/>
    </row>
    <row r="918" spans="1:107" x14ac:dyDescent="0.3">
      <c r="A918" s="83"/>
      <c r="B918" s="83"/>
      <c r="C918" s="83"/>
      <c r="D918" s="83"/>
      <c r="E918" s="83"/>
      <c r="F918" s="83"/>
      <c r="G918" s="83"/>
      <c r="H918" s="83"/>
      <c r="I918" s="83"/>
      <c r="J918" s="83"/>
      <c r="K918" s="83"/>
      <c r="L918" s="83"/>
      <c r="M918" s="83"/>
      <c r="N918" s="83"/>
      <c r="O918" s="83"/>
      <c r="P918" s="83"/>
      <c r="Q918" s="83"/>
      <c r="R918" s="83"/>
      <c r="S918" s="83"/>
      <c r="T918" s="83"/>
      <c r="U918" s="83"/>
      <c r="V918" s="83"/>
      <c r="W918" s="83"/>
      <c r="X918" s="83"/>
      <c r="Y918" s="83"/>
      <c r="Z918" s="83"/>
      <c r="AA918" s="83"/>
      <c r="AB918" s="83"/>
      <c r="AC918" s="83"/>
      <c r="AD918" s="83"/>
      <c r="AE918" s="83"/>
      <c r="AF918" s="83"/>
      <c r="AG918" s="83"/>
      <c r="AH918" s="83"/>
      <c r="AI918" s="83"/>
      <c r="AJ918" s="83"/>
      <c r="AK918" s="83"/>
      <c r="AL918" s="83"/>
      <c r="AM918" s="83"/>
      <c r="AN918" s="83"/>
      <c r="AO918" s="83"/>
      <c r="AP918" s="83"/>
      <c r="AQ918" s="83"/>
      <c r="AR918" s="83"/>
      <c r="AS918" s="83"/>
      <c r="AT918" s="83"/>
      <c r="AU918" s="83"/>
      <c r="AV918" s="83"/>
      <c r="AW918" s="83"/>
      <c r="AX918" s="83"/>
      <c r="AY918" s="83"/>
      <c r="AZ918" s="83"/>
      <c r="BA918" s="83"/>
      <c r="BB918" s="83"/>
      <c r="BC918" s="83"/>
      <c r="BD918" s="83"/>
      <c r="BE918" s="83"/>
      <c r="BF918" s="83"/>
      <c r="BG918" s="83"/>
      <c r="BH918" s="83"/>
      <c r="BI918" s="83"/>
      <c r="BJ918" s="83"/>
      <c r="BK918" s="83"/>
      <c r="BL918" s="83"/>
      <c r="BM918" s="83"/>
      <c r="BN918" s="83"/>
      <c r="BO918" s="83"/>
      <c r="BP918" s="83"/>
      <c r="BQ918" s="83"/>
      <c r="BR918" s="83"/>
      <c r="BS918" s="83"/>
      <c r="BT918" s="83"/>
      <c r="BU918" s="83"/>
      <c r="BV918" s="83"/>
      <c r="BW918" s="83"/>
      <c r="BX918" s="83"/>
      <c r="BY918" s="83"/>
      <c r="BZ918" s="83"/>
      <c r="CA918" s="83"/>
      <c r="CB918" s="83"/>
      <c r="CC918" s="83"/>
      <c r="CD918" s="83"/>
      <c r="CE918" s="83"/>
      <c r="CF918" s="83"/>
      <c r="CG918" s="83"/>
      <c r="CH918" s="83"/>
      <c r="CI918" s="83"/>
      <c r="CJ918" s="83"/>
      <c r="CK918" s="83"/>
      <c r="CL918" s="83"/>
      <c r="CM918" s="83"/>
      <c r="CN918" s="83"/>
      <c r="CO918" s="83"/>
      <c r="CP918" s="83"/>
      <c r="CQ918" s="83"/>
      <c r="CR918" s="83"/>
      <c r="CS918" s="83"/>
      <c r="CT918" s="83"/>
      <c r="CU918" s="83"/>
      <c r="CV918" s="83"/>
      <c r="CW918" s="83"/>
      <c r="CX918" s="83"/>
      <c r="CY918" s="83"/>
      <c r="CZ918" s="83"/>
      <c r="DA918" s="83"/>
      <c r="DB918" s="83"/>
      <c r="DC918" s="83"/>
    </row>
    <row r="919" spans="1:107" x14ac:dyDescent="0.3">
      <c r="A919" s="83"/>
      <c r="B919" s="83"/>
      <c r="C919" s="83"/>
      <c r="D919" s="83"/>
      <c r="E919" s="83"/>
      <c r="F919" s="83"/>
      <c r="G919" s="83"/>
      <c r="H919" s="83"/>
      <c r="I919" s="83"/>
      <c r="J919" s="83"/>
      <c r="K919" s="83"/>
      <c r="L919" s="83"/>
      <c r="M919" s="83"/>
      <c r="N919" s="83"/>
      <c r="O919" s="83"/>
      <c r="P919" s="83"/>
      <c r="Q919" s="83"/>
      <c r="R919" s="83"/>
      <c r="S919" s="83"/>
      <c r="T919" s="83"/>
      <c r="U919" s="83"/>
      <c r="V919" s="83"/>
      <c r="W919" s="83"/>
      <c r="X919" s="83"/>
      <c r="Y919" s="83"/>
      <c r="Z919" s="83"/>
      <c r="AA919" s="83"/>
      <c r="AB919" s="83"/>
      <c r="AC919" s="83"/>
      <c r="AD919" s="83"/>
      <c r="AE919" s="83"/>
      <c r="AF919" s="83"/>
      <c r="AG919" s="83"/>
      <c r="AH919" s="83"/>
      <c r="AI919" s="83"/>
      <c r="AJ919" s="83"/>
      <c r="AK919" s="83"/>
      <c r="AL919" s="83"/>
      <c r="AM919" s="83"/>
      <c r="AN919" s="83"/>
      <c r="AO919" s="83"/>
      <c r="AP919" s="83"/>
      <c r="AQ919" s="83"/>
      <c r="AR919" s="83"/>
      <c r="AS919" s="83"/>
      <c r="AT919" s="83"/>
      <c r="AU919" s="83"/>
      <c r="AV919" s="83"/>
      <c r="AW919" s="83"/>
      <c r="AX919" s="83"/>
      <c r="AY919" s="83"/>
      <c r="AZ919" s="83"/>
      <c r="BA919" s="83"/>
      <c r="BB919" s="83"/>
      <c r="BC919" s="83"/>
      <c r="BD919" s="83"/>
      <c r="BE919" s="83"/>
      <c r="BF919" s="83"/>
      <c r="BG919" s="83"/>
      <c r="BH919" s="83"/>
      <c r="BI919" s="83"/>
      <c r="BJ919" s="83"/>
      <c r="BK919" s="83"/>
      <c r="BL919" s="83"/>
      <c r="BM919" s="83"/>
      <c r="BN919" s="83"/>
      <c r="BO919" s="83"/>
      <c r="BP919" s="83"/>
      <c r="BQ919" s="83"/>
      <c r="BR919" s="83"/>
      <c r="BS919" s="83"/>
      <c r="BT919" s="83"/>
      <c r="BU919" s="83"/>
      <c r="BV919" s="83"/>
      <c r="BW919" s="83"/>
      <c r="BX919" s="83"/>
      <c r="BY919" s="83"/>
      <c r="BZ919" s="83"/>
      <c r="CA919" s="83"/>
      <c r="CB919" s="83"/>
      <c r="CC919" s="83"/>
      <c r="CD919" s="83"/>
      <c r="CE919" s="83"/>
      <c r="CF919" s="83"/>
      <c r="CG919" s="83"/>
      <c r="CH919" s="83"/>
      <c r="CI919" s="83"/>
      <c r="CJ919" s="83"/>
      <c r="CK919" s="83"/>
      <c r="CL919" s="83"/>
      <c r="CM919" s="83"/>
      <c r="CN919" s="83"/>
      <c r="CO919" s="83"/>
      <c r="CP919" s="83"/>
      <c r="CQ919" s="83"/>
      <c r="CR919" s="83"/>
      <c r="CS919" s="83"/>
      <c r="CT919" s="83"/>
      <c r="CU919" s="83"/>
      <c r="CV919" s="83"/>
      <c r="CW919" s="83"/>
      <c r="CX919" s="83"/>
      <c r="CY919" s="83"/>
      <c r="CZ919" s="83"/>
      <c r="DA919" s="83"/>
      <c r="DB919" s="83"/>
      <c r="DC919" s="83"/>
    </row>
    <row r="920" spans="1:107" x14ac:dyDescent="0.3">
      <c r="A920" s="83"/>
      <c r="B920" s="83"/>
      <c r="C920" s="83"/>
      <c r="D920" s="83"/>
      <c r="E920" s="83"/>
      <c r="F920" s="83"/>
      <c r="G920" s="83"/>
      <c r="H920" s="83"/>
      <c r="I920" s="83"/>
      <c r="J920" s="83"/>
      <c r="K920" s="83"/>
      <c r="L920" s="83"/>
      <c r="M920" s="83"/>
      <c r="N920" s="83"/>
      <c r="O920" s="83"/>
      <c r="P920" s="83"/>
      <c r="Q920" s="83"/>
      <c r="R920" s="83"/>
      <c r="S920" s="83"/>
      <c r="T920" s="83"/>
      <c r="U920" s="83"/>
      <c r="V920" s="83"/>
      <c r="W920" s="83"/>
      <c r="X920" s="83"/>
      <c r="Y920" s="83"/>
      <c r="Z920" s="83"/>
      <c r="AA920" s="83"/>
      <c r="AB920" s="83"/>
      <c r="AC920" s="83"/>
      <c r="AD920" s="83"/>
      <c r="AE920" s="83"/>
      <c r="AF920" s="83"/>
      <c r="AG920" s="83"/>
      <c r="AH920" s="83"/>
      <c r="AI920" s="83"/>
      <c r="AJ920" s="83"/>
      <c r="AK920" s="83"/>
      <c r="AL920" s="83"/>
      <c r="AM920" s="83"/>
      <c r="AN920" s="83"/>
      <c r="AO920" s="83"/>
      <c r="AP920" s="83"/>
      <c r="AQ920" s="83"/>
      <c r="AR920" s="83"/>
      <c r="AS920" s="83"/>
      <c r="AT920" s="83"/>
      <c r="AU920" s="83"/>
      <c r="AV920" s="83"/>
      <c r="AW920" s="83"/>
      <c r="AX920" s="83"/>
      <c r="AY920" s="83"/>
      <c r="AZ920" s="83"/>
      <c r="BA920" s="83"/>
      <c r="BB920" s="83"/>
      <c r="BC920" s="83"/>
      <c r="BD920" s="83"/>
      <c r="BE920" s="83"/>
      <c r="BF920" s="83"/>
      <c r="BG920" s="83"/>
      <c r="BH920" s="83"/>
      <c r="BI920" s="83"/>
      <c r="BJ920" s="83"/>
      <c r="BK920" s="83"/>
      <c r="BL920" s="83"/>
      <c r="BM920" s="83"/>
      <c r="BN920" s="83"/>
      <c r="BO920" s="83"/>
      <c r="BP920" s="83"/>
      <c r="BQ920" s="83"/>
      <c r="BR920" s="83"/>
      <c r="BS920" s="83"/>
      <c r="BT920" s="83"/>
      <c r="BU920" s="83"/>
      <c r="BV920" s="83"/>
      <c r="BW920" s="83"/>
      <c r="BX920" s="83"/>
      <c r="BY920" s="83"/>
      <c r="BZ920" s="83"/>
      <c r="CA920" s="83"/>
      <c r="CB920" s="83"/>
      <c r="CC920" s="83"/>
      <c r="CD920" s="83"/>
      <c r="CE920" s="83"/>
      <c r="CF920" s="83"/>
      <c r="CG920" s="83"/>
      <c r="CH920" s="83"/>
      <c r="CI920" s="83"/>
      <c r="CJ920" s="83"/>
      <c r="CK920" s="83"/>
      <c r="CL920" s="83"/>
      <c r="CM920" s="83"/>
      <c r="CN920" s="83"/>
      <c r="CO920" s="83"/>
      <c r="CP920" s="83"/>
      <c r="CQ920" s="83"/>
      <c r="CR920" s="83"/>
      <c r="CS920" s="83"/>
      <c r="CT920" s="83"/>
      <c r="CU920" s="83"/>
      <c r="CV920" s="83"/>
      <c r="CW920" s="83"/>
      <c r="CX920" s="83"/>
      <c r="CY920" s="83"/>
      <c r="CZ920" s="83"/>
      <c r="DA920" s="83"/>
      <c r="DB920" s="83"/>
      <c r="DC920" s="83"/>
    </row>
    <row r="921" spans="1:107" x14ac:dyDescent="0.3">
      <c r="A921" s="83"/>
      <c r="B921" s="83"/>
      <c r="C921" s="83"/>
      <c r="D921" s="83"/>
      <c r="E921" s="83"/>
      <c r="F921" s="83"/>
      <c r="G921" s="83"/>
      <c r="H921" s="83"/>
      <c r="I921" s="83"/>
      <c r="J921" s="83"/>
      <c r="K921" s="83"/>
      <c r="L921" s="83"/>
      <c r="M921" s="83"/>
      <c r="N921" s="83"/>
      <c r="O921" s="83"/>
      <c r="P921" s="83"/>
      <c r="Q921" s="83"/>
      <c r="R921" s="83"/>
      <c r="S921" s="83"/>
      <c r="T921" s="83"/>
      <c r="U921" s="83"/>
      <c r="V921" s="83"/>
      <c r="W921" s="83"/>
      <c r="X921" s="83"/>
      <c r="Y921" s="83"/>
      <c r="Z921" s="83"/>
      <c r="AA921" s="83"/>
      <c r="AB921" s="83"/>
      <c r="AC921" s="83"/>
      <c r="AD921" s="83"/>
      <c r="AE921" s="83"/>
      <c r="AF921" s="83"/>
      <c r="AG921" s="83"/>
      <c r="AH921" s="83"/>
      <c r="AI921" s="83"/>
      <c r="AJ921" s="83"/>
      <c r="AK921" s="83"/>
      <c r="AL921" s="83"/>
      <c r="AM921" s="83"/>
      <c r="AN921" s="83"/>
      <c r="AO921" s="83"/>
      <c r="AP921" s="83"/>
      <c r="AQ921" s="83"/>
      <c r="AR921" s="83"/>
      <c r="AS921" s="83"/>
      <c r="AT921" s="83"/>
      <c r="AU921" s="83"/>
      <c r="AV921" s="83"/>
      <c r="AW921" s="83"/>
      <c r="AX921" s="83"/>
      <c r="AY921" s="83"/>
      <c r="AZ921" s="83"/>
      <c r="BA921" s="83"/>
      <c r="BB921" s="83"/>
      <c r="BC921" s="83"/>
      <c r="BD921" s="83"/>
      <c r="BE921" s="83"/>
      <c r="BF921" s="83"/>
      <c r="BG921" s="83"/>
      <c r="BH921" s="83"/>
      <c r="BI921" s="83"/>
      <c r="BJ921" s="83"/>
      <c r="BK921" s="83"/>
      <c r="BL921" s="83"/>
      <c r="BM921" s="83"/>
      <c r="BN921" s="83"/>
      <c r="BO921" s="83"/>
      <c r="BP921" s="83"/>
      <c r="BQ921" s="83"/>
      <c r="BR921" s="83"/>
      <c r="BS921" s="83"/>
      <c r="BT921" s="83"/>
      <c r="BU921" s="83"/>
      <c r="BV921" s="83"/>
      <c r="BW921" s="83"/>
      <c r="BX921" s="83"/>
      <c r="BY921" s="83"/>
      <c r="BZ921" s="83"/>
      <c r="CA921" s="83"/>
      <c r="CB921" s="83"/>
      <c r="CC921" s="83"/>
      <c r="CD921" s="83"/>
      <c r="CE921" s="83"/>
      <c r="CF921" s="83"/>
      <c r="CG921" s="83"/>
      <c r="CH921" s="83"/>
      <c r="CI921" s="83"/>
      <c r="CJ921" s="83"/>
      <c r="CK921" s="83"/>
      <c r="CL921" s="83"/>
      <c r="CM921" s="83"/>
      <c r="CN921" s="83"/>
      <c r="CO921" s="83"/>
      <c r="CP921" s="83"/>
      <c r="CQ921" s="83"/>
      <c r="CR921" s="83"/>
      <c r="CS921" s="83"/>
      <c r="CT921" s="83"/>
      <c r="CU921" s="83"/>
      <c r="CV921" s="83"/>
      <c r="CW921" s="83"/>
      <c r="CX921" s="83"/>
      <c r="CY921" s="83"/>
      <c r="CZ921" s="83"/>
      <c r="DA921" s="83"/>
      <c r="DB921" s="83"/>
      <c r="DC921" s="83"/>
    </row>
    <row r="922" spans="1:107" x14ac:dyDescent="0.3">
      <c r="A922" s="83"/>
      <c r="B922" s="83"/>
      <c r="C922" s="83"/>
      <c r="D922" s="83"/>
      <c r="E922" s="83"/>
      <c r="F922" s="83"/>
      <c r="G922" s="83"/>
      <c r="H922" s="83"/>
      <c r="I922" s="83"/>
      <c r="J922" s="83"/>
      <c r="K922" s="83"/>
      <c r="L922" s="83"/>
      <c r="M922" s="83"/>
      <c r="N922" s="83"/>
      <c r="O922" s="83"/>
      <c r="P922" s="83"/>
      <c r="Q922" s="83"/>
      <c r="R922" s="83"/>
      <c r="S922" s="83"/>
      <c r="T922" s="83"/>
      <c r="U922" s="83"/>
      <c r="V922" s="83"/>
      <c r="W922" s="83"/>
      <c r="X922" s="83"/>
      <c r="Y922" s="83"/>
      <c r="Z922" s="83"/>
      <c r="AA922" s="83"/>
      <c r="AB922" s="83"/>
      <c r="AC922" s="83"/>
      <c r="AD922" s="83"/>
      <c r="AE922" s="83"/>
      <c r="AF922" s="83"/>
      <c r="AG922" s="83"/>
      <c r="AH922" s="83"/>
      <c r="AI922" s="83"/>
      <c r="AJ922" s="83"/>
      <c r="AK922" s="83"/>
      <c r="AL922" s="83"/>
      <c r="AM922" s="83"/>
      <c r="AN922" s="83"/>
      <c r="AO922" s="83"/>
      <c r="AP922" s="83"/>
      <c r="AQ922" s="83"/>
      <c r="AR922" s="83"/>
      <c r="AS922" s="83"/>
      <c r="AT922" s="83"/>
      <c r="AU922" s="83"/>
      <c r="AV922" s="83"/>
      <c r="AW922" s="83"/>
      <c r="AX922" s="83"/>
      <c r="AY922" s="83"/>
      <c r="AZ922" s="83"/>
      <c r="BA922" s="83"/>
      <c r="BB922" s="83"/>
      <c r="BC922" s="83"/>
      <c r="BD922" s="83"/>
      <c r="BE922" s="83"/>
      <c r="BF922" s="83"/>
      <c r="BG922" s="83"/>
      <c r="BH922" s="83"/>
      <c r="BI922" s="83"/>
      <c r="BJ922" s="83"/>
      <c r="BK922" s="83"/>
      <c r="BL922" s="83"/>
      <c r="BM922" s="83"/>
      <c r="BN922" s="83"/>
      <c r="BO922" s="83"/>
      <c r="BP922" s="83"/>
      <c r="BQ922" s="83"/>
      <c r="BR922" s="83"/>
      <c r="BS922" s="83"/>
      <c r="BT922" s="83"/>
      <c r="BU922" s="83"/>
      <c r="BV922" s="83"/>
      <c r="BW922" s="83"/>
      <c r="BX922" s="83"/>
      <c r="BY922" s="83"/>
      <c r="BZ922" s="83"/>
      <c r="CA922" s="83"/>
      <c r="CB922" s="83"/>
      <c r="CC922" s="83"/>
      <c r="CD922" s="83"/>
      <c r="CE922" s="83"/>
      <c r="CF922" s="83"/>
      <c r="CG922" s="83"/>
      <c r="CH922" s="83"/>
      <c r="CI922" s="83"/>
      <c r="CJ922" s="83"/>
      <c r="CK922" s="83"/>
      <c r="CL922" s="83"/>
      <c r="CM922" s="83"/>
      <c r="CN922" s="83"/>
      <c r="CO922" s="83"/>
      <c r="CP922" s="83"/>
      <c r="CQ922" s="83"/>
      <c r="CR922" s="83"/>
      <c r="CS922" s="83"/>
      <c r="CT922" s="83"/>
      <c r="CU922" s="83"/>
      <c r="CV922" s="83"/>
      <c r="CW922" s="83"/>
      <c r="CX922" s="83"/>
      <c r="CY922" s="83"/>
      <c r="CZ922" s="83"/>
      <c r="DA922" s="83"/>
      <c r="DB922" s="83"/>
      <c r="DC922" s="83"/>
    </row>
    <row r="923" spans="1:107" x14ac:dyDescent="0.3">
      <c r="A923" s="83"/>
      <c r="B923" s="83"/>
      <c r="C923" s="83"/>
      <c r="D923" s="83"/>
      <c r="E923" s="83"/>
      <c r="F923" s="83"/>
      <c r="G923" s="83"/>
      <c r="H923" s="83"/>
      <c r="I923" s="83"/>
      <c r="J923" s="83"/>
      <c r="K923" s="83"/>
      <c r="L923" s="83"/>
      <c r="M923" s="83"/>
      <c r="N923" s="83"/>
      <c r="O923" s="83"/>
      <c r="P923" s="83"/>
      <c r="Q923" s="83"/>
      <c r="R923" s="83"/>
      <c r="S923" s="83"/>
      <c r="T923" s="83"/>
      <c r="U923" s="83"/>
      <c r="V923" s="83"/>
      <c r="W923" s="83"/>
      <c r="X923" s="83"/>
      <c r="Y923" s="83"/>
      <c r="Z923" s="83"/>
      <c r="AA923" s="83"/>
      <c r="AB923" s="83"/>
      <c r="AC923" s="83"/>
      <c r="AD923" s="83"/>
      <c r="AE923" s="83"/>
      <c r="AF923" s="83"/>
      <c r="AG923" s="83"/>
      <c r="AH923" s="83"/>
      <c r="AI923" s="83"/>
      <c r="AJ923" s="83"/>
      <c r="AK923" s="83"/>
      <c r="AL923" s="83"/>
      <c r="AM923" s="83"/>
      <c r="AN923" s="83"/>
      <c r="AO923" s="83"/>
      <c r="AP923" s="83"/>
      <c r="AQ923" s="83"/>
      <c r="AR923" s="83"/>
      <c r="AS923" s="83"/>
      <c r="AT923" s="83"/>
      <c r="AU923" s="83"/>
      <c r="AV923" s="83"/>
      <c r="AW923" s="83"/>
      <c r="AX923" s="83"/>
      <c r="AY923" s="83"/>
      <c r="AZ923" s="83"/>
      <c r="BA923" s="83"/>
      <c r="BB923" s="83"/>
      <c r="BC923" s="83"/>
      <c r="BD923" s="83"/>
      <c r="BE923" s="83"/>
      <c r="BF923" s="83"/>
      <c r="BG923" s="83"/>
      <c r="BH923" s="83"/>
      <c r="BI923" s="83"/>
      <c r="BJ923" s="83"/>
      <c r="BK923" s="83"/>
      <c r="BL923" s="83"/>
      <c r="BM923" s="83"/>
      <c r="BN923" s="83"/>
      <c r="BO923" s="83"/>
      <c r="BP923" s="83"/>
      <c r="BQ923" s="83"/>
      <c r="BR923" s="83"/>
      <c r="BS923" s="83"/>
      <c r="BT923" s="83"/>
      <c r="BU923" s="83"/>
      <c r="BV923" s="83"/>
      <c r="BW923" s="83"/>
      <c r="BX923" s="83"/>
      <c r="BY923" s="83"/>
      <c r="BZ923" s="83"/>
      <c r="CA923" s="83"/>
      <c r="CB923" s="83"/>
      <c r="CC923" s="83"/>
      <c r="CD923" s="83"/>
      <c r="CE923" s="83"/>
      <c r="CF923" s="83"/>
      <c r="CG923" s="83"/>
      <c r="CH923" s="83"/>
      <c r="CI923" s="83"/>
      <c r="CJ923" s="83"/>
      <c r="CK923" s="83"/>
      <c r="CL923" s="83"/>
      <c r="CM923" s="83"/>
      <c r="CN923" s="83"/>
      <c r="CO923" s="83"/>
      <c r="CP923" s="83"/>
      <c r="CQ923" s="83"/>
      <c r="CR923" s="83"/>
      <c r="CS923" s="83"/>
      <c r="CT923" s="83"/>
      <c r="CU923" s="83"/>
      <c r="CV923" s="83"/>
      <c r="CW923" s="83"/>
      <c r="CX923" s="83"/>
      <c r="CY923" s="83"/>
      <c r="CZ923" s="83"/>
      <c r="DA923" s="83"/>
      <c r="DB923" s="83"/>
      <c r="DC923" s="83"/>
    </row>
    <row r="924" spans="1:107" x14ac:dyDescent="0.3">
      <c r="A924" s="83"/>
      <c r="B924" s="83"/>
      <c r="C924" s="83"/>
      <c r="D924" s="83"/>
      <c r="E924" s="83"/>
      <c r="F924" s="83"/>
      <c r="G924" s="83"/>
      <c r="H924" s="83"/>
      <c r="I924" s="83"/>
      <c r="J924" s="83"/>
      <c r="K924" s="83"/>
      <c r="L924" s="83"/>
      <c r="M924" s="83"/>
      <c r="N924" s="83"/>
      <c r="O924" s="83"/>
      <c r="P924" s="83"/>
      <c r="Q924" s="83"/>
      <c r="R924" s="83"/>
      <c r="S924" s="83"/>
      <c r="T924" s="83"/>
      <c r="U924" s="83"/>
      <c r="V924" s="83"/>
      <c r="W924" s="83"/>
      <c r="X924" s="83"/>
      <c r="Y924" s="83"/>
      <c r="Z924" s="83"/>
      <c r="AA924" s="83"/>
      <c r="AB924" s="83"/>
      <c r="AC924" s="83"/>
      <c r="AD924" s="83"/>
      <c r="AE924" s="83"/>
      <c r="AF924" s="83"/>
      <c r="AG924" s="83"/>
      <c r="AH924" s="83"/>
      <c r="AI924" s="83"/>
      <c r="AJ924" s="83"/>
      <c r="AK924" s="83"/>
      <c r="AL924" s="83"/>
      <c r="AM924" s="83"/>
      <c r="AN924" s="83"/>
      <c r="AO924" s="83"/>
      <c r="AP924" s="83"/>
      <c r="AQ924" s="83"/>
      <c r="AR924" s="83"/>
      <c r="AS924" s="83"/>
      <c r="AT924" s="83"/>
      <c r="AU924" s="83"/>
      <c r="AV924" s="83"/>
      <c r="AW924" s="83"/>
      <c r="AX924" s="83"/>
      <c r="AY924" s="83"/>
      <c r="AZ924" s="83"/>
      <c r="BA924" s="83"/>
      <c r="BB924" s="83"/>
      <c r="BC924" s="83"/>
      <c r="BD924" s="83"/>
      <c r="BE924" s="83"/>
      <c r="BF924" s="83"/>
      <c r="BG924" s="83"/>
      <c r="BH924" s="83"/>
      <c r="BI924" s="83"/>
      <c r="BJ924" s="83"/>
      <c r="BK924" s="83"/>
      <c r="BL924" s="83"/>
      <c r="BM924" s="83"/>
      <c r="BN924" s="83"/>
      <c r="BO924" s="83"/>
      <c r="BP924" s="83"/>
      <c r="BQ924" s="83"/>
      <c r="BR924" s="83"/>
      <c r="BS924" s="83"/>
      <c r="BT924" s="83"/>
      <c r="BU924" s="83"/>
      <c r="BV924" s="83"/>
      <c r="BW924" s="83"/>
      <c r="BX924" s="83"/>
      <c r="BY924" s="83"/>
      <c r="BZ924" s="83"/>
      <c r="CA924" s="83"/>
      <c r="CB924" s="83"/>
      <c r="CC924" s="83"/>
      <c r="CD924" s="83"/>
      <c r="CE924" s="83"/>
      <c r="CF924" s="83"/>
      <c r="CG924" s="83"/>
      <c r="CH924" s="83"/>
      <c r="CI924" s="83"/>
      <c r="CJ924" s="83"/>
      <c r="CK924" s="83"/>
      <c r="CL924" s="83"/>
      <c r="CM924" s="83"/>
      <c r="CN924" s="83"/>
      <c r="CO924" s="83"/>
      <c r="CP924" s="83"/>
      <c r="CQ924" s="83"/>
      <c r="CR924" s="83"/>
      <c r="CS924" s="83"/>
      <c r="CT924" s="83"/>
      <c r="CU924" s="83"/>
      <c r="CV924" s="83"/>
      <c r="CW924" s="83"/>
      <c r="CX924" s="83"/>
      <c r="CY924" s="83"/>
      <c r="CZ924" s="83"/>
      <c r="DA924" s="83"/>
      <c r="DB924" s="83"/>
      <c r="DC924" s="83"/>
    </row>
    <row r="925" spans="1:107" x14ac:dyDescent="0.3">
      <c r="A925" s="83"/>
      <c r="B925" s="83"/>
      <c r="C925" s="83"/>
      <c r="D925" s="83"/>
      <c r="E925" s="83"/>
      <c r="F925" s="83"/>
      <c r="G925" s="83"/>
      <c r="H925" s="83"/>
      <c r="I925" s="83"/>
      <c r="J925" s="83"/>
      <c r="K925" s="83"/>
      <c r="L925" s="83"/>
      <c r="M925" s="83"/>
      <c r="N925" s="83"/>
      <c r="O925" s="83"/>
      <c r="P925" s="83"/>
      <c r="Q925" s="83"/>
      <c r="R925" s="83"/>
      <c r="S925" s="83"/>
      <c r="T925" s="83"/>
      <c r="U925" s="83"/>
      <c r="V925" s="83"/>
      <c r="W925" s="83"/>
      <c r="X925" s="83"/>
      <c r="Y925" s="83"/>
      <c r="Z925" s="83"/>
      <c r="AA925" s="83"/>
      <c r="AB925" s="83"/>
      <c r="AC925" s="83"/>
      <c r="AD925" s="83"/>
      <c r="AE925" s="83"/>
      <c r="AF925" s="83"/>
      <c r="AG925" s="83"/>
      <c r="AH925" s="83"/>
      <c r="AI925" s="83"/>
      <c r="AJ925" s="83"/>
      <c r="AK925" s="83"/>
      <c r="AL925" s="83"/>
      <c r="AM925" s="83"/>
      <c r="AN925" s="83"/>
      <c r="AO925" s="83"/>
      <c r="AP925" s="83"/>
      <c r="AQ925" s="83"/>
      <c r="AR925" s="83"/>
      <c r="AS925" s="83"/>
      <c r="AT925" s="83"/>
      <c r="AU925" s="83"/>
      <c r="AV925" s="83"/>
      <c r="AW925" s="83"/>
      <c r="AX925" s="83"/>
      <c r="AY925" s="83"/>
      <c r="AZ925" s="83"/>
      <c r="BA925" s="83"/>
      <c r="BB925" s="83"/>
      <c r="BC925" s="83"/>
      <c r="BD925" s="83"/>
      <c r="BE925" s="83"/>
      <c r="BF925" s="83"/>
      <c r="BG925" s="83"/>
      <c r="BH925" s="83"/>
      <c r="BI925" s="83"/>
      <c r="BJ925" s="83"/>
      <c r="BK925" s="83"/>
      <c r="BL925" s="83"/>
      <c r="BM925" s="83"/>
      <c r="BN925" s="83"/>
      <c r="BO925" s="83"/>
      <c r="BP925" s="83"/>
      <c r="BQ925" s="83"/>
      <c r="BR925" s="83"/>
      <c r="BS925" s="83"/>
      <c r="BT925" s="83"/>
      <c r="BU925" s="83"/>
      <c r="BV925" s="83"/>
      <c r="BW925" s="83"/>
      <c r="BX925" s="83"/>
      <c r="BY925" s="83"/>
      <c r="BZ925" s="83"/>
      <c r="CA925" s="83"/>
      <c r="CB925" s="83"/>
      <c r="CC925" s="83"/>
      <c r="CD925" s="83"/>
      <c r="CE925" s="83"/>
      <c r="CF925" s="83"/>
      <c r="CG925" s="83"/>
      <c r="CH925" s="83"/>
      <c r="CI925" s="83"/>
      <c r="CJ925" s="83"/>
      <c r="CK925" s="83"/>
      <c r="CL925" s="83"/>
      <c r="CM925" s="83"/>
      <c r="CN925" s="83"/>
      <c r="CO925" s="83"/>
      <c r="CP925" s="83"/>
      <c r="CQ925" s="83"/>
      <c r="CR925" s="83"/>
      <c r="CS925" s="83"/>
      <c r="CT925" s="83"/>
      <c r="CU925" s="83"/>
      <c r="CV925" s="83"/>
      <c r="CW925" s="83"/>
      <c r="CX925" s="83"/>
      <c r="CY925" s="83"/>
      <c r="CZ925" s="83"/>
      <c r="DA925" s="83"/>
      <c r="DB925" s="83"/>
      <c r="DC925" s="83"/>
    </row>
    <row r="926" spans="1:107" x14ac:dyDescent="0.3">
      <c r="A926" s="83"/>
      <c r="B926" s="83"/>
      <c r="C926" s="83"/>
      <c r="D926" s="83"/>
      <c r="E926" s="83"/>
      <c r="F926" s="83"/>
      <c r="G926" s="83"/>
      <c r="H926" s="83"/>
      <c r="I926" s="83"/>
      <c r="J926" s="83"/>
      <c r="K926" s="83"/>
      <c r="L926" s="83"/>
      <c r="M926" s="83"/>
      <c r="N926" s="83"/>
      <c r="O926" s="83"/>
      <c r="P926" s="83"/>
      <c r="Q926" s="83"/>
      <c r="R926" s="83"/>
      <c r="S926" s="83"/>
      <c r="T926" s="83"/>
      <c r="U926" s="83"/>
      <c r="V926" s="83"/>
      <c r="W926" s="83"/>
      <c r="X926" s="83"/>
      <c r="Y926" s="83"/>
      <c r="Z926" s="83"/>
      <c r="AA926" s="83"/>
      <c r="AB926" s="83"/>
      <c r="AC926" s="83"/>
      <c r="AD926" s="83"/>
      <c r="AE926" s="83"/>
      <c r="AF926" s="83"/>
      <c r="AG926" s="83"/>
      <c r="AH926" s="83"/>
      <c r="AI926" s="83"/>
      <c r="AJ926" s="83"/>
      <c r="AK926" s="83"/>
      <c r="AL926" s="83"/>
      <c r="AM926" s="83"/>
      <c r="AN926" s="83"/>
      <c r="AO926" s="83"/>
      <c r="AP926" s="83"/>
      <c r="AQ926" s="83"/>
      <c r="AR926" s="83"/>
      <c r="AS926" s="83"/>
      <c r="AT926" s="83"/>
      <c r="AU926" s="83"/>
      <c r="AV926" s="83"/>
      <c r="AW926" s="83"/>
      <c r="AX926" s="83"/>
      <c r="AY926" s="83"/>
      <c r="AZ926" s="83"/>
      <c r="BA926" s="83"/>
      <c r="BB926" s="83"/>
      <c r="BC926" s="83"/>
      <c r="BD926" s="83"/>
      <c r="BE926" s="83"/>
      <c r="BF926" s="83"/>
      <c r="BG926" s="83"/>
      <c r="BH926" s="83"/>
      <c r="BI926" s="83"/>
      <c r="BJ926" s="83"/>
      <c r="BK926" s="83"/>
      <c r="BL926" s="83"/>
      <c r="BM926" s="83"/>
      <c r="BN926" s="83"/>
      <c r="BO926" s="83"/>
      <c r="BP926" s="83"/>
      <c r="BQ926" s="83"/>
      <c r="BR926" s="83"/>
      <c r="BS926" s="83"/>
      <c r="BT926" s="83"/>
      <c r="BU926" s="83"/>
      <c r="BV926" s="83"/>
      <c r="BW926" s="83"/>
      <c r="BX926" s="83"/>
      <c r="BY926" s="83"/>
      <c r="BZ926" s="83"/>
      <c r="CA926" s="83"/>
      <c r="CB926" s="83"/>
      <c r="CC926" s="83"/>
      <c r="CD926" s="83"/>
      <c r="CE926" s="83"/>
      <c r="CF926" s="83"/>
      <c r="CG926" s="83"/>
      <c r="CH926" s="83"/>
      <c r="CI926" s="83"/>
      <c r="CJ926" s="83"/>
      <c r="CK926" s="83"/>
      <c r="CL926" s="83"/>
      <c r="CM926" s="83"/>
      <c r="CN926" s="83"/>
      <c r="CO926" s="83"/>
      <c r="CP926" s="83"/>
      <c r="CQ926" s="83"/>
      <c r="CR926" s="83"/>
      <c r="CS926" s="83"/>
      <c r="CT926" s="83"/>
      <c r="CU926" s="83"/>
      <c r="CV926" s="83"/>
      <c r="CW926" s="83"/>
      <c r="CX926" s="83"/>
      <c r="CY926" s="83"/>
      <c r="CZ926" s="83"/>
      <c r="DA926" s="83"/>
      <c r="DB926" s="83"/>
      <c r="DC926" s="83"/>
    </row>
    <row r="927" spans="1:107" x14ac:dyDescent="0.3">
      <c r="A927" s="83"/>
      <c r="B927" s="83"/>
      <c r="C927" s="83"/>
      <c r="D927" s="83"/>
      <c r="E927" s="83"/>
      <c r="F927" s="83"/>
      <c r="G927" s="83"/>
      <c r="H927" s="83"/>
      <c r="I927" s="83"/>
      <c r="J927" s="83"/>
      <c r="K927" s="83"/>
      <c r="L927" s="83"/>
      <c r="M927" s="83"/>
      <c r="N927" s="83"/>
      <c r="O927" s="83"/>
      <c r="P927" s="83"/>
      <c r="Q927" s="83"/>
      <c r="R927" s="83"/>
      <c r="S927" s="83"/>
      <c r="T927" s="83"/>
      <c r="U927" s="83"/>
      <c r="V927" s="83"/>
      <c r="W927" s="83"/>
      <c r="X927" s="83"/>
      <c r="Y927" s="83"/>
      <c r="Z927" s="83"/>
      <c r="AA927" s="83"/>
      <c r="AB927" s="83"/>
      <c r="AC927" s="83"/>
      <c r="AD927" s="83"/>
      <c r="AE927" s="83"/>
      <c r="AF927" s="83"/>
      <c r="AG927" s="83"/>
      <c r="AH927" s="83"/>
      <c r="AI927" s="83"/>
      <c r="AJ927" s="83"/>
      <c r="AK927" s="83"/>
      <c r="AL927" s="83"/>
      <c r="AM927" s="83"/>
      <c r="AN927" s="83"/>
      <c r="AO927" s="83"/>
      <c r="AP927" s="83"/>
      <c r="AQ927" s="83"/>
      <c r="AR927" s="83"/>
      <c r="AS927" s="83"/>
      <c r="AT927" s="83"/>
      <c r="AU927" s="83"/>
      <c r="AV927" s="83"/>
      <c r="AW927" s="83"/>
      <c r="AX927" s="83"/>
      <c r="AY927" s="83"/>
      <c r="AZ927" s="83"/>
      <c r="BA927" s="83"/>
      <c r="BB927" s="83"/>
      <c r="BC927" s="83"/>
      <c r="BD927" s="83"/>
      <c r="BE927" s="83"/>
      <c r="BF927" s="83"/>
      <c r="BG927" s="83"/>
      <c r="BH927" s="83"/>
      <c r="BI927" s="83"/>
      <c r="BJ927" s="83"/>
      <c r="BK927" s="83"/>
      <c r="BL927" s="83"/>
      <c r="BM927" s="83"/>
      <c r="BN927" s="83"/>
      <c r="BO927" s="83"/>
      <c r="BP927" s="83"/>
      <c r="BQ927" s="83"/>
      <c r="BR927" s="83"/>
      <c r="BS927" s="83"/>
      <c r="BT927" s="83"/>
      <c r="BU927" s="83"/>
      <c r="BV927" s="83"/>
      <c r="BW927" s="83"/>
      <c r="BX927" s="83"/>
      <c r="BY927" s="83"/>
      <c r="BZ927" s="83"/>
      <c r="CA927" s="83"/>
      <c r="CB927" s="83"/>
      <c r="CC927" s="83"/>
      <c r="CD927" s="83"/>
      <c r="CE927" s="83"/>
      <c r="CF927" s="83"/>
      <c r="CG927" s="83"/>
      <c r="CH927" s="83"/>
      <c r="CI927" s="83"/>
      <c r="CJ927" s="83"/>
      <c r="CK927" s="83"/>
      <c r="CL927" s="83"/>
      <c r="CM927" s="83"/>
      <c r="CN927" s="83"/>
      <c r="CO927" s="83"/>
      <c r="CP927" s="83"/>
      <c r="CQ927" s="83"/>
      <c r="CR927" s="83"/>
      <c r="CS927" s="83"/>
      <c r="CT927" s="83"/>
      <c r="CU927" s="83"/>
      <c r="CV927" s="83"/>
      <c r="CW927" s="83"/>
      <c r="CX927" s="83"/>
      <c r="CY927" s="83"/>
      <c r="CZ927" s="83"/>
      <c r="DA927" s="83"/>
      <c r="DB927" s="83"/>
      <c r="DC927" s="83"/>
    </row>
    <row r="928" spans="1:107" x14ac:dyDescent="0.3">
      <c r="A928" s="83"/>
      <c r="B928" s="83"/>
      <c r="C928" s="83"/>
      <c r="D928" s="83"/>
      <c r="E928" s="83"/>
      <c r="F928" s="83"/>
      <c r="G928" s="83"/>
      <c r="H928" s="83"/>
      <c r="I928" s="83"/>
      <c r="J928" s="83"/>
      <c r="K928" s="83"/>
      <c r="L928" s="83"/>
      <c r="M928" s="83"/>
      <c r="N928" s="83"/>
      <c r="O928" s="83"/>
      <c r="P928" s="83"/>
      <c r="Q928" s="83"/>
      <c r="R928" s="83"/>
      <c r="S928" s="83"/>
      <c r="T928" s="83"/>
      <c r="U928" s="83"/>
      <c r="V928" s="83"/>
      <c r="W928" s="83"/>
      <c r="X928" s="83"/>
      <c r="Y928" s="83"/>
      <c r="Z928" s="83"/>
      <c r="AA928" s="83"/>
      <c r="AB928" s="83"/>
      <c r="AC928" s="83"/>
      <c r="AD928" s="83"/>
      <c r="AE928" s="83"/>
      <c r="AF928" s="83"/>
      <c r="AG928" s="83"/>
      <c r="AH928" s="83"/>
      <c r="AI928" s="83"/>
      <c r="AJ928" s="83"/>
      <c r="AK928" s="83"/>
      <c r="AL928" s="83"/>
      <c r="AM928" s="83"/>
      <c r="AN928" s="83"/>
      <c r="AO928" s="83"/>
      <c r="AP928" s="83"/>
      <c r="AQ928" s="83"/>
      <c r="AR928" s="83"/>
      <c r="AS928" s="83"/>
      <c r="AT928" s="83"/>
      <c r="AU928" s="83"/>
      <c r="AV928" s="83"/>
      <c r="AW928" s="83"/>
      <c r="AX928" s="83"/>
      <c r="AY928" s="83"/>
      <c r="AZ928" s="83"/>
      <c r="BA928" s="83"/>
      <c r="BB928" s="83"/>
      <c r="BC928" s="83"/>
      <c r="BD928" s="83"/>
      <c r="BE928" s="83"/>
      <c r="BF928" s="83"/>
      <c r="BG928" s="83"/>
      <c r="BH928" s="83"/>
      <c r="BI928" s="83"/>
      <c r="BJ928" s="83"/>
      <c r="BK928" s="83"/>
      <c r="BL928" s="83"/>
      <c r="BM928" s="83"/>
      <c r="BN928" s="83"/>
      <c r="BO928" s="83"/>
      <c r="BP928" s="83"/>
      <c r="BQ928" s="83"/>
      <c r="BR928" s="83"/>
      <c r="BS928" s="83"/>
      <c r="BT928" s="83"/>
      <c r="BU928" s="83"/>
      <c r="BV928" s="83"/>
      <c r="BW928" s="83"/>
      <c r="BX928" s="83"/>
      <c r="BY928" s="83"/>
      <c r="BZ928" s="83"/>
      <c r="CA928" s="83"/>
      <c r="CB928" s="83"/>
      <c r="CC928" s="83"/>
      <c r="CD928" s="83"/>
      <c r="CE928" s="83"/>
      <c r="CF928" s="83"/>
      <c r="CG928" s="83"/>
      <c r="CH928" s="83"/>
      <c r="CI928" s="83"/>
      <c r="CJ928" s="83"/>
      <c r="CK928" s="83"/>
      <c r="CL928" s="83"/>
      <c r="CM928" s="83"/>
      <c r="CN928" s="83"/>
      <c r="CO928" s="83"/>
      <c r="CP928" s="83"/>
      <c r="CQ928" s="83"/>
      <c r="CR928" s="83"/>
      <c r="CS928" s="83"/>
      <c r="CT928" s="83"/>
      <c r="CU928" s="83"/>
      <c r="CV928" s="83"/>
      <c r="CW928" s="83"/>
      <c r="CX928" s="83"/>
      <c r="CY928" s="83"/>
      <c r="CZ928" s="83"/>
      <c r="DA928" s="83"/>
      <c r="DB928" s="83"/>
      <c r="DC928" s="83"/>
    </row>
    <row r="929" spans="1:107" x14ac:dyDescent="0.3">
      <c r="A929" s="83"/>
      <c r="B929" s="83"/>
      <c r="C929" s="83"/>
      <c r="D929" s="83"/>
      <c r="E929" s="83"/>
      <c r="F929" s="83"/>
      <c r="G929" s="83"/>
      <c r="H929" s="83"/>
      <c r="I929" s="83"/>
      <c r="J929" s="83"/>
      <c r="K929" s="83"/>
      <c r="L929" s="83"/>
      <c r="M929" s="83"/>
      <c r="N929" s="83"/>
      <c r="O929" s="83"/>
      <c r="P929" s="83"/>
      <c r="Q929" s="83"/>
      <c r="R929" s="83"/>
      <c r="S929" s="83"/>
      <c r="T929" s="83"/>
      <c r="U929" s="83"/>
      <c r="V929" s="83"/>
      <c r="W929" s="83"/>
      <c r="X929" s="83"/>
      <c r="Y929" s="83"/>
      <c r="Z929" s="83"/>
      <c r="AA929" s="83"/>
      <c r="AB929" s="83"/>
      <c r="AC929" s="83"/>
      <c r="AD929" s="83"/>
      <c r="AE929" s="83"/>
      <c r="AF929" s="83"/>
      <c r="AG929" s="83"/>
      <c r="AH929" s="83"/>
      <c r="AI929" s="83"/>
      <c r="AJ929" s="83"/>
      <c r="AK929" s="83"/>
      <c r="AL929" s="83"/>
      <c r="AM929" s="83"/>
      <c r="AN929" s="83"/>
      <c r="AO929" s="83"/>
      <c r="AP929" s="83"/>
      <c r="AQ929" s="83"/>
      <c r="AR929" s="83"/>
      <c r="AS929" s="83"/>
      <c r="AT929" s="83"/>
      <c r="AU929" s="83"/>
      <c r="AV929" s="83"/>
      <c r="AW929" s="83"/>
      <c r="AX929" s="83"/>
      <c r="AY929" s="83"/>
      <c r="AZ929" s="83"/>
      <c r="BA929" s="83"/>
      <c r="BB929" s="83"/>
      <c r="BC929" s="83"/>
      <c r="BD929" s="83"/>
      <c r="BE929" s="83"/>
      <c r="BF929" s="83"/>
      <c r="BG929" s="83"/>
      <c r="BH929" s="83"/>
      <c r="BI929" s="83"/>
      <c r="BJ929" s="83"/>
      <c r="BK929" s="83"/>
      <c r="BL929" s="83"/>
      <c r="BM929" s="83"/>
      <c r="BN929" s="83"/>
      <c r="BO929" s="83"/>
      <c r="BP929" s="83"/>
      <c r="BQ929" s="83"/>
      <c r="BR929" s="83"/>
      <c r="BS929" s="83"/>
      <c r="BT929" s="83"/>
      <c r="BU929" s="83"/>
      <c r="BV929" s="83"/>
      <c r="BW929" s="83"/>
      <c r="BX929" s="83"/>
      <c r="BY929" s="83"/>
      <c r="BZ929" s="83"/>
      <c r="CA929" s="83"/>
      <c r="CB929" s="83"/>
      <c r="CC929" s="83"/>
      <c r="CD929" s="83"/>
      <c r="CE929" s="83"/>
      <c r="CF929" s="83"/>
      <c r="CG929" s="83"/>
      <c r="CH929" s="83"/>
      <c r="CI929" s="83"/>
      <c r="CJ929" s="83"/>
      <c r="CK929" s="83"/>
      <c r="CL929" s="83"/>
      <c r="CM929" s="83"/>
      <c r="CN929" s="83"/>
      <c r="CO929" s="83"/>
      <c r="CP929" s="83"/>
      <c r="CQ929" s="83"/>
      <c r="CR929" s="83"/>
      <c r="CS929" s="83"/>
      <c r="CT929" s="83"/>
      <c r="CU929" s="83"/>
      <c r="CV929" s="83"/>
      <c r="CW929" s="83"/>
      <c r="CX929" s="83"/>
      <c r="CY929" s="83"/>
      <c r="CZ929" s="83"/>
      <c r="DA929" s="83"/>
      <c r="DB929" s="83"/>
      <c r="DC929" s="83"/>
    </row>
    <row r="930" spans="1:107" x14ac:dyDescent="0.3">
      <c r="A930" s="83"/>
      <c r="B930" s="83"/>
      <c r="C930" s="83"/>
      <c r="D930" s="83"/>
      <c r="E930" s="83"/>
      <c r="F930" s="83"/>
      <c r="G930" s="83"/>
      <c r="H930" s="83"/>
      <c r="I930" s="83"/>
      <c r="J930" s="83"/>
      <c r="K930" s="83"/>
      <c r="L930" s="83"/>
      <c r="M930" s="83"/>
      <c r="N930" s="83"/>
      <c r="O930" s="83"/>
      <c r="P930" s="83"/>
      <c r="Q930" s="83"/>
      <c r="R930" s="83"/>
      <c r="S930" s="83"/>
      <c r="T930" s="83"/>
      <c r="U930" s="83"/>
      <c r="V930" s="83"/>
      <c r="W930" s="83"/>
      <c r="X930" s="83"/>
      <c r="Y930" s="83"/>
      <c r="Z930" s="83"/>
      <c r="AA930" s="83"/>
      <c r="AB930" s="83"/>
      <c r="AC930" s="83"/>
      <c r="AD930" s="83"/>
      <c r="AE930" s="83"/>
      <c r="AF930" s="83"/>
      <c r="AG930" s="83"/>
      <c r="AH930" s="83"/>
      <c r="AI930" s="83"/>
      <c r="AJ930" s="83"/>
      <c r="AK930" s="83"/>
      <c r="AL930" s="83"/>
      <c r="AM930" s="83"/>
      <c r="AN930" s="83"/>
      <c r="AO930" s="83"/>
      <c r="AP930" s="83"/>
      <c r="AQ930" s="83"/>
      <c r="AR930" s="83"/>
      <c r="AS930" s="83"/>
      <c r="AT930" s="83"/>
      <c r="AU930" s="83"/>
      <c r="AV930" s="83"/>
      <c r="AW930" s="83"/>
      <c r="AX930" s="83"/>
      <c r="AY930" s="83"/>
      <c r="AZ930" s="83"/>
      <c r="BA930" s="83"/>
      <c r="BB930" s="83"/>
      <c r="BC930" s="83"/>
      <c r="BD930" s="83"/>
      <c r="BE930" s="83"/>
      <c r="BF930" s="83"/>
      <c r="BG930" s="83"/>
      <c r="BH930" s="83"/>
      <c r="BI930" s="83"/>
      <c r="BJ930" s="83"/>
      <c r="BK930" s="83"/>
      <c r="BL930" s="83"/>
      <c r="BM930" s="83"/>
      <c r="BN930" s="83"/>
      <c r="BO930" s="83"/>
      <c r="BP930" s="83"/>
      <c r="BQ930" s="83"/>
      <c r="BR930" s="83"/>
      <c r="BS930" s="83"/>
      <c r="BT930" s="83"/>
      <c r="BU930" s="83"/>
      <c r="BV930" s="83"/>
      <c r="BW930" s="83"/>
      <c r="BX930" s="83"/>
      <c r="BY930" s="83"/>
      <c r="BZ930" s="83"/>
      <c r="CA930" s="83"/>
      <c r="CB930" s="83"/>
      <c r="CC930" s="83"/>
      <c r="CD930" s="83"/>
      <c r="CE930" s="83"/>
      <c r="CF930" s="83"/>
      <c r="CG930" s="83"/>
      <c r="CH930" s="83"/>
      <c r="CI930" s="83"/>
      <c r="CJ930" s="83"/>
      <c r="CK930" s="83"/>
      <c r="CL930" s="83"/>
      <c r="CM930" s="83"/>
      <c r="CN930" s="83"/>
      <c r="CO930" s="83"/>
      <c r="CP930" s="83"/>
      <c r="CQ930" s="83"/>
      <c r="CR930" s="83"/>
      <c r="CS930" s="83"/>
      <c r="CT930" s="83"/>
      <c r="CU930" s="83"/>
      <c r="CV930" s="83"/>
      <c r="CW930" s="83"/>
      <c r="CX930" s="83"/>
      <c r="CY930" s="83"/>
      <c r="CZ930" s="83"/>
      <c r="DA930" s="83"/>
      <c r="DB930" s="83"/>
      <c r="DC930" s="83"/>
    </row>
    <row r="931" spans="1:107" x14ac:dyDescent="0.3">
      <c r="A931" s="83"/>
      <c r="B931" s="83"/>
      <c r="C931" s="83"/>
      <c r="D931" s="83"/>
      <c r="E931" s="83"/>
      <c r="F931" s="83"/>
      <c r="G931" s="83"/>
      <c r="H931" s="83"/>
      <c r="I931" s="83"/>
      <c r="J931" s="83"/>
      <c r="K931" s="83"/>
      <c r="L931" s="83"/>
      <c r="M931" s="83"/>
      <c r="N931" s="83"/>
      <c r="O931" s="83"/>
      <c r="P931" s="83"/>
      <c r="Q931" s="83"/>
      <c r="R931" s="83"/>
      <c r="S931" s="83"/>
      <c r="T931" s="83"/>
      <c r="U931" s="83"/>
      <c r="V931" s="83"/>
      <c r="W931" s="83"/>
      <c r="X931" s="83"/>
      <c r="Y931" s="83"/>
      <c r="Z931" s="83"/>
      <c r="AA931" s="83"/>
      <c r="AB931" s="83"/>
      <c r="AC931" s="83"/>
      <c r="AD931" s="83"/>
      <c r="AE931" s="83"/>
      <c r="AF931" s="83"/>
      <c r="AG931" s="83"/>
      <c r="AH931" s="83"/>
      <c r="AI931" s="83"/>
      <c r="AJ931" s="83"/>
      <c r="AK931" s="83"/>
      <c r="AL931" s="83"/>
      <c r="AM931" s="83"/>
      <c r="AN931" s="83"/>
      <c r="AO931" s="83"/>
      <c r="AP931" s="83"/>
      <c r="AQ931" s="83"/>
      <c r="AR931" s="83"/>
      <c r="AS931" s="83"/>
      <c r="AT931" s="83"/>
      <c r="AU931" s="83"/>
      <c r="AV931" s="83"/>
      <c r="AW931" s="83"/>
      <c r="AX931" s="83"/>
      <c r="AY931" s="83"/>
      <c r="AZ931" s="83"/>
      <c r="BA931" s="83"/>
      <c r="BB931" s="83"/>
      <c r="BC931" s="83"/>
      <c r="BD931" s="83"/>
      <c r="BE931" s="83"/>
      <c r="BF931" s="83"/>
      <c r="BG931" s="83"/>
      <c r="BH931" s="83"/>
      <c r="BI931" s="83"/>
      <c r="BJ931" s="83"/>
      <c r="BK931" s="83"/>
      <c r="BL931" s="83"/>
      <c r="BM931" s="83"/>
      <c r="BN931" s="83"/>
      <c r="BO931" s="83"/>
      <c r="BP931" s="83"/>
      <c r="BQ931" s="83"/>
      <c r="BR931" s="83"/>
      <c r="BS931" s="83"/>
      <c r="BT931" s="83"/>
      <c r="BU931" s="83"/>
      <c r="BV931" s="83"/>
      <c r="BW931" s="83"/>
      <c r="BX931" s="83"/>
      <c r="BY931" s="83"/>
      <c r="BZ931" s="83"/>
      <c r="CA931" s="83"/>
      <c r="CB931" s="83"/>
      <c r="CC931" s="83"/>
      <c r="CD931" s="83"/>
      <c r="CE931" s="83"/>
      <c r="CF931" s="83"/>
      <c r="CG931" s="83"/>
      <c r="CH931" s="83"/>
      <c r="CI931" s="83"/>
      <c r="CJ931" s="83"/>
      <c r="CK931" s="83"/>
      <c r="CL931" s="83"/>
      <c r="CM931" s="83"/>
      <c r="CN931" s="83"/>
      <c r="CO931" s="83"/>
      <c r="CP931" s="83"/>
      <c r="CQ931" s="83"/>
      <c r="CR931" s="83"/>
      <c r="CS931" s="83"/>
      <c r="CT931" s="83"/>
      <c r="CU931" s="83"/>
      <c r="CV931" s="83"/>
      <c r="CW931" s="83"/>
      <c r="CX931" s="83"/>
      <c r="CY931" s="83"/>
      <c r="CZ931" s="83"/>
      <c r="DA931" s="83"/>
      <c r="DB931" s="83"/>
      <c r="DC931" s="83"/>
    </row>
    <row r="932" spans="1:107" x14ac:dyDescent="0.3">
      <c r="A932" s="83"/>
      <c r="B932" s="83"/>
      <c r="C932" s="83"/>
      <c r="D932" s="83"/>
      <c r="E932" s="83"/>
      <c r="F932" s="83"/>
      <c r="G932" s="83"/>
      <c r="H932" s="83"/>
      <c r="I932" s="83"/>
      <c r="J932" s="83"/>
      <c r="K932" s="83"/>
      <c r="L932" s="83"/>
      <c r="M932" s="83"/>
      <c r="N932" s="83"/>
      <c r="O932" s="83"/>
      <c r="P932" s="83"/>
      <c r="Q932" s="83"/>
      <c r="R932" s="83"/>
      <c r="S932" s="83"/>
      <c r="T932" s="83"/>
      <c r="U932" s="83"/>
      <c r="V932" s="83"/>
      <c r="W932" s="83"/>
      <c r="X932" s="83"/>
      <c r="Y932" s="83"/>
      <c r="Z932" s="83"/>
      <c r="AA932" s="83"/>
      <c r="AB932" s="83"/>
      <c r="AC932" s="83"/>
      <c r="AD932" s="83"/>
      <c r="AE932" s="83"/>
      <c r="AF932" s="83"/>
      <c r="AG932" s="83"/>
      <c r="AH932" s="83"/>
      <c r="AI932" s="83"/>
      <c r="AJ932" s="83"/>
      <c r="AK932" s="83"/>
      <c r="AL932" s="83"/>
      <c r="AM932" s="83"/>
      <c r="AN932" s="83"/>
      <c r="AO932" s="83"/>
      <c r="AP932" s="83"/>
      <c r="AQ932" s="83"/>
      <c r="AR932" s="83"/>
      <c r="AS932" s="83"/>
      <c r="AT932" s="83"/>
      <c r="AU932" s="83"/>
      <c r="AV932" s="83"/>
      <c r="AW932" s="83"/>
      <c r="AX932" s="83"/>
      <c r="AY932" s="83"/>
      <c r="AZ932" s="83"/>
      <c r="BA932" s="83"/>
      <c r="BB932" s="83"/>
      <c r="BC932" s="83"/>
      <c r="BD932" s="83"/>
      <c r="BE932" s="83"/>
      <c r="BF932" s="83"/>
      <c r="BG932" s="83"/>
      <c r="BH932" s="83"/>
      <c r="BI932" s="83"/>
      <c r="BJ932" s="83"/>
      <c r="BK932" s="83"/>
      <c r="BL932" s="83"/>
      <c r="BM932" s="83"/>
      <c r="BN932" s="83"/>
      <c r="BO932" s="83"/>
      <c r="BP932" s="83"/>
      <c r="BQ932" s="83"/>
      <c r="BR932" s="83"/>
      <c r="BS932" s="83"/>
      <c r="BT932" s="83"/>
      <c r="BU932" s="83"/>
      <c r="BV932" s="83"/>
      <c r="BW932" s="83"/>
      <c r="BX932" s="83"/>
      <c r="BY932" s="83"/>
      <c r="BZ932" s="83"/>
      <c r="CA932" s="83"/>
      <c r="CB932" s="83"/>
      <c r="CC932" s="83"/>
      <c r="CD932" s="83"/>
      <c r="CE932" s="83"/>
      <c r="CF932" s="83"/>
      <c r="CG932" s="83"/>
      <c r="CH932" s="83"/>
      <c r="CI932" s="83"/>
      <c r="CJ932" s="83"/>
      <c r="CK932" s="83"/>
      <c r="CL932" s="83"/>
      <c r="CM932" s="83"/>
      <c r="CN932" s="83"/>
      <c r="CO932" s="83"/>
      <c r="CP932" s="83"/>
      <c r="CQ932" s="83"/>
      <c r="CR932" s="83"/>
      <c r="CS932" s="83"/>
      <c r="CT932" s="83"/>
      <c r="CU932" s="83"/>
      <c r="CV932" s="83"/>
      <c r="CW932" s="83"/>
      <c r="CX932" s="83"/>
      <c r="CY932" s="83"/>
      <c r="CZ932" s="83"/>
      <c r="DA932" s="83"/>
      <c r="DB932" s="83"/>
      <c r="DC932" s="83"/>
    </row>
    <row r="933" spans="1:107" x14ac:dyDescent="0.3">
      <c r="A933" s="83"/>
      <c r="B933" s="83"/>
      <c r="C933" s="83"/>
      <c r="D933" s="83"/>
      <c r="E933" s="83"/>
      <c r="F933" s="83"/>
      <c r="G933" s="83"/>
      <c r="H933" s="83"/>
      <c r="I933" s="83"/>
      <c r="J933" s="83"/>
      <c r="K933" s="83"/>
      <c r="L933" s="83"/>
      <c r="M933" s="83"/>
      <c r="N933" s="83"/>
      <c r="O933" s="83"/>
      <c r="P933" s="83"/>
      <c r="Q933" s="83"/>
      <c r="R933" s="83"/>
      <c r="S933" s="83"/>
      <c r="T933" s="83"/>
      <c r="U933" s="83"/>
      <c r="V933" s="83"/>
      <c r="W933" s="83"/>
      <c r="X933" s="83"/>
      <c r="Y933" s="83"/>
      <c r="Z933" s="83"/>
      <c r="AA933" s="83"/>
      <c r="AB933" s="83"/>
      <c r="AC933" s="83"/>
      <c r="AD933" s="83"/>
      <c r="AE933" s="83"/>
      <c r="AF933" s="83"/>
      <c r="AG933" s="83"/>
      <c r="AH933" s="83"/>
      <c r="AI933" s="83"/>
      <c r="AJ933" s="83"/>
      <c r="AK933" s="83"/>
      <c r="AL933" s="83"/>
      <c r="AM933" s="83"/>
      <c r="AN933" s="83"/>
      <c r="AO933" s="83"/>
      <c r="AP933" s="83"/>
      <c r="AQ933" s="83"/>
      <c r="AR933" s="83"/>
      <c r="AS933" s="83"/>
      <c r="AT933" s="83"/>
      <c r="AU933" s="83"/>
      <c r="AV933" s="83"/>
      <c r="AW933" s="83"/>
      <c r="AX933" s="83"/>
      <c r="AY933" s="83"/>
      <c r="AZ933" s="83"/>
      <c r="BA933" s="83"/>
      <c r="BB933" s="83"/>
      <c r="BC933" s="83"/>
      <c r="BD933" s="83"/>
      <c r="BE933" s="83"/>
      <c r="BF933" s="83"/>
      <c r="BG933" s="83"/>
      <c r="BH933" s="83"/>
      <c r="BI933" s="83"/>
      <c r="BJ933" s="83"/>
      <c r="BK933" s="83"/>
      <c r="BL933" s="83"/>
      <c r="BM933" s="83"/>
      <c r="BN933" s="83"/>
      <c r="BO933" s="83"/>
      <c r="BP933" s="83"/>
      <c r="BQ933" s="83"/>
      <c r="BR933" s="83"/>
      <c r="BS933" s="83"/>
      <c r="BT933" s="83"/>
      <c r="BU933" s="83"/>
      <c r="BV933" s="83"/>
      <c r="BW933" s="83"/>
      <c r="BX933" s="83"/>
      <c r="BY933" s="83"/>
      <c r="BZ933" s="83"/>
      <c r="CA933" s="83"/>
      <c r="CB933" s="83"/>
      <c r="CC933" s="83"/>
      <c r="CD933" s="83"/>
      <c r="CE933" s="83"/>
      <c r="CF933" s="83"/>
      <c r="CG933" s="83"/>
      <c r="CH933" s="83"/>
      <c r="CI933" s="83"/>
      <c r="CJ933" s="83"/>
      <c r="CK933" s="83"/>
      <c r="CL933" s="83"/>
      <c r="CM933" s="83"/>
      <c r="CN933" s="83"/>
      <c r="CO933" s="83"/>
      <c r="CP933" s="83"/>
      <c r="CQ933" s="83"/>
      <c r="CR933" s="83"/>
      <c r="CS933" s="83"/>
      <c r="CT933" s="83"/>
      <c r="CU933" s="83"/>
      <c r="CV933" s="83"/>
      <c r="CW933" s="83"/>
      <c r="CX933" s="83"/>
      <c r="CY933" s="83"/>
      <c r="CZ933" s="83"/>
      <c r="DA933" s="83"/>
      <c r="DB933" s="83"/>
      <c r="DC933" s="83"/>
    </row>
    <row r="934" spans="1:107" x14ac:dyDescent="0.3">
      <c r="A934" s="83"/>
      <c r="B934" s="83"/>
      <c r="C934" s="83"/>
      <c r="D934" s="83"/>
      <c r="E934" s="83"/>
      <c r="F934" s="83"/>
      <c r="G934" s="83"/>
      <c r="H934" s="83"/>
      <c r="I934" s="83"/>
      <c r="J934" s="83"/>
      <c r="K934" s="83"/>
      <c r="L934" s="83"/>
      <c r="M934" s="83"/>
      <c r="N934" s="83"/>
      <c r="O934" s="83"/>
      <c r="P934" s="83"/>
      <c r="Q934" s="83"/>
      <c r="R934" s="83"/>
      <c r="S934" s="83"/>
      <c r="T934" s="83"/>
      <c r="U934" s="83"/>
      <c r="V934" s="83"/>
      <c r="W934" s="83"/>
      <c r="X934" s="83"/>
      <c r="Y934" s="83"/>
      <c r="Z934" s="83"/>
      <c r="AA934" s="83"/>
      <c r="AB934" s="83"/>
      <c r="AC934" s="83"/>
      <c r="AD934" s="83"/>
      <c r="AE934" s="83"/>
      <c r="AF934" s="83"/>
      <c r="AG934" s="83"/>
      <c r="AH934" s="83"/>
      <c r="AI934" s="83"/>
      <c r="AJ934" s="83"/>
      <c r="AK934" s="83"/>
      <c r="AL934" s="83"/>
      <c r="AM934" s="83"/>
      <c r="AN934" s="83"/>
      <c r="AO934" s="83"/>
      <c r="AP934" s="83"/>
      <c r="AQ934" s="83"/>
      <c r="AR934" s="83"/>
      <c r="AS934" s="83"/>
      <c r="AT934" s="83"/>
      <c r="AU934" s="83"/>
      <c r="AV934" s="83"/>
      <c r="AW934" s="83"/>
      <c r="AX934" s="83"/>
      <c r="AY934" s="83"/>
      <c r="AZ934" s="83"/>
      <c r="BA934" s="83"/>
      <c r="BB934" s="83"/>
      <c r="BC934" s="83"/>
      <c r="BD934" s="83"/>
      <c r="BE934" s="83"/>
      <c r="BF934" s="83"/>
      <c r="BG934" s="83"/>
      <c r="BH934" s="83"/>
      <c r="BI934" s="83"/>
      <c r="BJ934" s="83"/>
      <c r="BK934" s="83"/>
      <c r="BL934" s="83"/>
      <c r="BM934" s="83"/>
      <c r="BN934" s="83"/>
      <c r="BO934" s="83"/>
      <c r="BP934" s="83"/>
      <c r="BQ934" s="83"/>
      <c r="BR934" s="83"/>
      <c r="BS934" s="83"/>
      <c r="BT934" s="83"/>
      <c r="BU934" s="83"/>
      <c r="BV934" s="83"/>
      <c r="BW934" s="83"/>
      <c r="BX934" s="83"/>
      <c r="BY934" s="83"/>
      <c r="BZ934" s="83"/>
      <c r="CA934" s="83"/>
      <c r="CB934" s="83"/>
      <c r="CC934" s="83"/>
      <c r="CD934" s="83"/>
      <c r="CE934" s="83"/>
      <c r="CF934" s="83"/>
      <c r="CG934" s="83"/>
      <c r="CH934" s="83"/>
      <c r="CI934" s="83"/>
      <c r="CJ934" s="83"/>
      <c r="CK934" s="83"/>
      <c r="CL934" s="83"/>
      <c r="CM934" s="83"/>
      <c r="CN934" s="83"/>
      <c r="CO934" s="83"/>
      <c r="CP934" s="83"/>
      <c r="CQ934" s="83"/>
      <c r="CR934" s="83"/>
      <c r="CS934" s="83"/>
      <c r="CT934" s="83"/>
      <c r="CU934" s="83"/>
      <c r="CV934" s="83"/>
      <c r="CW934" s="83"/>
      <c r="CX934" s="83"/>
      <c r="CY934" s="83"/>
      <c r="CZ934" s="83"/>
      <c r="DA934" s="83"/>
      <c r="DB934" s="83"/>
      <c r="DC934" s="83"/>
    </row>
    <row r="935" spans="1:107" x14ac:dyDescent="0.3">
      <c r="A935" s="83"/>
      <c r="B935" s="83"/>
      <c r="C935" s="83"/>
      <c r="D935" s="83"/>
      <c r="E935" s="83"/>
      <c r="F935" s="83"/>
      <c r="G935" s="83"/>
      <c r="H935" s="83"/>
      <c r="I935" s="83"/>
      <c r="J935" s="83"/>
      <c r="K935" s="83"/>
      <c r="L935" s="83"/>
      <c r="M935" s="83"/>
      <c r="N935" s="83"/>
      <c r="O935" s="83"/>
      <c r="P935" s="83"/>
      <c r="Q935" s="83"/>
      <c r="R935" s="83"/>
      <c r="S935" s="83"/>
      <c r="T935" s="83"/>
      <c r="U935" s="83"/>
      <c r="V935" s="83"/>
      <c r="W935" s="83"/>
      <c r="X935" s="83"/>
      <c r="Y935" s="83"/>
      <c r="Z935" s="83"/>
      <c r="AA935" s="83"/>
      <c r="AB935" s="83"/>
      <c r="AC935" s="83"/>
      <c r="AD935" s="83"/>
      <c r="AE935" s="83"/>
      <c r="AF935" s="83"/>
      <c r="AG935" s="83"/>
      <c r="AH935" s="83"/>
      <c r="AI935" s="83"/>
      <c r="AJ935" s="83"/>
      <c r="AK935" s="83"/>
      <c r="AL935" s="83"/>
      <c r="AM935" s="83"/>
      <c r="AN935" s="83"/>
      <c r="AO935" s="83"/>
      <c r="AP935" s="83"/>
      <c r="AQ935" s="83"/>
      <c r="AR935" s="83"/>
      <c r="AS935" s="83"/>
      <c r="AT935" s="83"/>
      <c r="AU935" s="83"/>
      <c r="AV935" s="83"/>
      <c r="AW935" s="83"/>
      <c r="AX935" s="83"/>
      <c r="AY935" s="83"/>
      <c r="AZ935" s="83"/>
      <c r="BA935" s="83"/>
      <c r="BB935" s="83"/>
      <c r="BC935" s="83"/>
      <c r="BD935" s="83"/>
      <c r="BE935" s="83"/>
      <c r="BF935" s="83"/>
      <c r="BG935" s="83"/>
      <c r="BH935" s="83"/>
      <c r="BI935" s="83"/>
      <c r="BJ935" s="83"/>
      <c r="BK935" s="83"/>
      <c r="BL935" s="83"/>
      <c r="BM935" s="83"/>
      <c r="BN935" s="83"/>
      <c r="BO935" s="83"/>
      <c r="BP935" s="83"/>
      <c r="BQ935" s="83"/>
      <c r="BR935" s="83"/>
      <c r="BS935" s="83"/>
      <c r="BT935" s="83"/>
      <c r="BU935" s="83"/>
      <c r="BV935" s="83"/>
      <c r="BW935" s="83"/>
      <c r="BX935" s="83"/>
      <c r="BY935" s="83"/>
      <c r="BZ935" s="83"/>
      <c r="CA935" s="83"/>
      <c r="CB935" s="83"/>
      <c r="CC935" s="83"/>
      <c r="CD935" s="83"/>
      <c r="CE935" s="83"/>
      <c r="CF935" s="83"/>
      <c r="CG935" s="83"/>
      <c r="CH935" s="83"/>
      <c r="CI935" s="83"/>
      <c r="CJ935" s="83"/>
      <c r="CK935" s="83"/>
      <c r="CL935" s="83"/>
      <c r="CM935" s="83"/>
      <c r="CN935" s="83"/>
      <c r="CO935" s="83"/>
      <c r="CP935" s="83"/>
      <c r="CQ935" s="83"/>
      <c r="CR935" s="83"/>
      <c r="CS935" s="83"/>
      <c r="CT935" s="83"/>
      <c r="CU935" s="83"/>
      <c r="CV935" s="83"/>
      <c r="CW935" s="83"/>
      <c r="CX935" s="83"/>
      <c r="CY935" s="83"/>
      <c r="CZ935" s="83"/>
      <c r="DA935" s="83"/>
      <c r="DB935" s="83"/>
      <c r="DC935" s="83"/>
    </row>
    <row r="936" spans="1:107" x14ac:dyDescent="0.3">
      <c r="A936" s="83"/>
      <c r="B936" s="83"/>
      <c r="C936" s="83"/>
      <c r="D936" s="83"/>
      <c r="E936" s="83"/>
      <c r="F936" s="83"/>
      <c r="G936" s="83"/>
      <c r="H936" s="83"/>
      <c r="I936" s="83"/>
      <c r="J936" s="83"/>
      <c r="K936" s="83"/>
      <c r="L936" s="83"/>
      <c r="M936" s="83"/>
      <c r="N936" s="83"/>
      <c r="O936" s="83"/>
      <c r="P936" s="83"/>
      <c r="Q936" s="83"/>
      <c r="R936" s="83"/>
      <c r="S936" s="83"/>
      <c r="T936" s="83"/>
      <c r="U936" s="83"/>
      <c r="V936" s="83"/>
      <c r="W936" s="83"/>
      <c r="X936" s="83"/>
      <c r="Y936" s="83"/>
      <c r="Z936" s="83"/>
      <c r="AA936" s="83"/>
      <c r="AB936" s="83"/>
      <c r="AC936" s="83"/>
      <c r="AD936" s="83"/>
      <c r="AE936" s="83"/>
      <c r="AF936" s="83"/>
      <c r="AG936" s="83"/>
      <c r="AH936" s="83"/>
      <c r="AI936" s="83"/>
      <c r="AJ936" s="83"/>
      <c r="AK936" s="83"/>
      <c r="AL936" s="83"/>
      <c r="AM936" s="83"/>
      <c r="AN936" s="83"/>
      <c r="AO936" s="83"/>
      <c r="AP936" s="83"/>
      <c r="AQ936" s="83"/>
      <c r="AR936" s="83"/>
      <c r="AS936" s="83"/>
      <c r="AT936" s="83"/>
      <c r="AU936" s="83"/>
      <c r="AV936" s="83"/>
      <c r="AW936" s="83"/>
      <c r="AX936" s="83"/>
      <c r="AY936" s="83"/>
      <c r="AZ936" s="83"/>
      <c r="BA936" s="83"/>
      <c r="BB936" s="83"/>
      <c r="BC936" s="83"/>
      <c r="BD936" s="83"/>
      <c r="BE936" s="83"/>
      <c r="BF936" s="83"/>
      <c r="BG936" s="83"/>
      <c r="BH936" s="83"/>
      <c r="BI936" s="83"/>
      <c r="BJ936" s="83"/>
      <c r="BK936" s="83"/>
      <c r="BL936" s="83"/>
      <c r="BM936" s="83"/>
      <c r="BN936" s="83"/>
      <c r="BO936" s="83"/>
      <c r="BP936" s="83"/>
      <c r="BQ936" s="83"/>
      <c r="BR936" s="83"/>
      <c r="BS936" s="83"/>
      <c r="BT936" s="83"/>
      <c r="BU936" s="83"/>
      <c r="BV936" s="83"/>
      <c r="BW936" s="83"/>
      <c r="BX936" s="83"/>
      <c r="BY936" s="83"/>
      <c r="BZ936" s="83"/>
      <c r="CA936" s="83"/>
      <c r="CB936" s="83"/>
      <c r="CC936" s="83"/>
      <c r="CD936" s="83"/>
      <c r="CE936" s="83"/>
      <c r="CF936" s="83"/>
      <c r="CG936" s="83"/>
      <c r="CH936" s="83"/>
      <c r="CI936" s="83"/>
      <c r="CJ936" s="83"/>
      <c r="CK936" s="83"/>
      <c r="CL936" s="83"/>
      <c r="CM936" s="83"/>
      <c r="CN936" s="83"/>
      <c r="CO936" s="83"/>
      <c r="CP936" s="83"/>
      <c r="CQ936" s="83"/>
      <c r="CR936" s="83"/>
      <c r="CS936" s="83"/>
      <c r="CT936" s="83"/>
      <c r="CU936" s="83"/>
      <c r="CV936" s="83"/>
      <c r="CW936" s="83"/>
      <c r="CX936" s="83"/>
      <c r="CY936" s="83"/>
      <c r="CZ936" s="83"/>
      <c r="DA936" s="83"/>
      <c r="DB936" s="83"/>
      <c r="DC936" s="83"/>
    </row>
    <row r="937" spans="1:107" x14ac:dyDescent="0.3">
      <c r="A937" s="83"/>
      <c r="B937" s="83"/>
      <c r="C937" s="83"/>
      <c r="D937" s="83"/>
      <c r="E937" s="83"/>
      <c r="F937" s="83"/>
      <c r="G937" s="83"/>
      <c r="H937" s="83"/>
      <c r="I937" s="83"/>
      <c r="J937" s="83"/>
      <c r="K937" s="83"/>
      <c r="L937" s="83"/>
      <c r="M937" s="83"/>
      <c r="N937" s="83"/>
      <c r="O937" s="83"/>
      <c r="P937" s="83"/>
      <c r="Q937" s="83"/>
      <c r="R937" s="83"/>
      <c r="S937" s="83"/>
      <c r="T937" s="83"/>
      <c r="U937" s="83"/>
      <c r="V937" s="83"/>
      <c r="W937" s="83"/>
      <c r="X937" s="83"/>
      <c r="Y937" s="83"/>
      <c r="Z937" s="83"/>
      <c r="AA937" s="83"/>
      <c r="AB937" s="83"/>
      <c r="AC937" s="83"/>
      <c r="AD937" s="83"/>
      <c r="AE937" s="83"/>
      <c r="AF937" s="83"/>
      <c r="AG937" s="83"/>
      <c r="AH937" s="83"/>
      <c r="AI937" s="83"/>
      <c r="AJ937" s="83"/>
      <c r="AK937" s="83"/>
      <c r="AL937" s="83"/>
      <c r="AM937" s="83"/>
      <c r="AN937" s="83"/>
      <c r="AO937" s="83"/>
      <c r="AP937" s="83"/>
      <c r="AQ937" s="83"/>
      <c r="AR937" s="83"/>
      <c r="AS937" s="83"/>
      <c r="AT937" s="83"/>
      <c r="AU937" s="83"/>
      <c r="AV937" s="83"/>
      <c r="AW937" s="83"/>
      <c r="AX937" s="83"/>
      <c r="AY937" s="83"/>
      <c r="AZ937" s="83"/>
      <c r="BA937" s="83"/>
      <c r="BB937" s="83"/>
      <c r="BC937" s="83"/>
      <c r="BD937" s="83"/>
      <c r="BE937" s="83"/>
      <c r="BF937" s="83"/>
      <c r="BG937" s="83"/>
      <c r="BH937" s="83"/>
      <c r="BI937" s="83"/>
      <c r="BJ937" s="83"/>
      <c r="BK937" s="83"/>
      <c r="BL937" s="83"/>
      <c r="BM937" s="83"/>
      <c r="BN937" s="83"/>
      <c r="BO937" s="83"/>
      <c r="BP937" s="83"/>
      <c r="BQ937" s="83"/>
      <c r="BR937" s="83"/>
      <c r="BS937" s="83"/>
      <c r="BT937" s="83"/>
      <c r="BU937" s="83"/>
      <c r="BV937" s="83"/>
      <c r="BW937" s="83"/>
      <c r="BX937" s="83"/>
      <c r="BY937" s="83"/>
      <c r="BZ937" s="83"/>
      <c r="CA937" s="83"/>
      <c r="CB937" s="83"/>
      <c r="CC937" s="83"/>
      <c r="CD937" s="83"/>
      <c r="CE937" s="83"/>
      <c r="CF937" s="83"/>
      <c r="CG937" s="83"/>
      <c r="CH937" s="83"/>
      <c r="CI937" s="83"/>
      <c r="CJ937" s="83"/>
      <c r="CK937" s="83"/>
      <c r="CL937" s="83"/>
      <c r="CM937" s="83"/>
      <c r="CN937" s="83"/>
      <c r="CO937" s="83"/>
      <c r="CP937" s="83"/>
      <c r="CQ937" s="83"/>
      <c r="CR937" s="83"/>
      <c r="CS937" s="83"/>
      <c r="CT937" s="83"/>
      <c r="CU937" s="83"/>
      <c r="CV937" s="83"/>
      <c r="CW937" s="83"/>
      <c r="CX937" s="83"/>
      <c r="CY937" s="83"/>
      <c r="CZ937" s="83"/>
      <c r="DA937" s="83"/>
      <c r="DB937" s="83"/>
      <c r="DC937" s="83"/>
    </row>
    <row r="938" spans="1:107" x14ac:dyDescent="0.3">
      <c r="A938" s="83"/>
      <c r="B938" s="83"/>
      <c r="C938" s="83"/>
      <c r="D938" s="83"/>
      <c r="E938" s="83"/>
      <c r="F938" s="83"/>
      <c r="G938" s="83"/>
      <c r="H938" s="83"/>
      <c r="I938" s="83"/>
      <c r="J938" s="83"/>
      <c r="K938" s="83"/>
      <c r="L938" s="83"/>
      <c r="M938" s="83"/>
      <c r="N938" s="83"/>
      <c r="O938" s="83"/>
      <c r="P938" s="83"/>
      <c r="Q938" s="83"/>
      <c r="R938" s="83"/>
      <c r="S938" s="83"/>
      <c r="T938" s="83"/>
      <c r="U938" s="83"/>
      <c r="V938" s="83"/>
      <c r="W938" s="83"/>
      <c r="X938" s="83"/>
      <c r="Y938" s="83"/>
      <c r="Z938" s="83"/>
      <c r="AA938" s="83"/>
      <c r="AB938" s="83"/>
      <c r="AC938" s="83"/>
      <c r="AD938" s="83"/>
      <c r="AE938" s="83"/>
      <c r="AF938" s="83"/>
      <c r="AG938" s="83"/>
      <c r="AH938" s="83"/>
      <c r="AI938" s="83"/>
      <c r="AJ938" s="83"/>
      <c r="AK938" s="83"/>
      <c r="AL938" s="83"/>
      <c r="AM938" s="83"/>
      <c r="AN938" s="83"/>
      <c r="AO938" s="83"/>
      <c r="AP938" s="83"/>
      <c r="AQ938" s="83"/>
      <c r="AR938" s="83"/>
      <c r="AS938" s="83"/>
      <c r="AT938" s="83"/>
      <c r="AU938" s="83"/>
      <c r="AV938" s="83"/>
      <c r="AW938" s="83"/>
      <c r="AX938" s="83"/>
      <c r="AY938" s="83"/>
      <c r="AZ938" s="83"/>
      <c r="BA938" s="83"/>
      <c r="BB938" s="83"/>
      <c r="BC938" s="83"/>
      <c r="BD938" s="83"/>
      <c r="BE938" s="83"/>
      <c r="BF938" s="83"/>
      <c r="BG938" s="83"/>
      <c r="BH938" s="83"/>
      <c r="BI938" s="83"/>
      <c r="BJ938" s="83"/>
      <c r="BK938" s="83"/>
      <c r="BL938" s="83"/>
      <c r="BM938" s="83"/>
      <c r="BN938" s="83"/>
      <c r="BO938" s="83"/>
      <c r="BP938" s="83"/>
      <c r="BQ938" s="83"/>
      <c r="BR938" s="83"/>
      <c r="BS938" s="83"/>
      <c r="BT938" s="83"/>
      <c r="BU938" s="83"/>
      <c r="BV938" s="83"/>
      <c r="BW938" s="83"/>
      <c r="BX938" s="83"/>
      <c r="BY938" s="83"/>
      <c r="BZ938" s="83"/>
      <c r="CA938" s="83"/>
      <c r="CB938" s="83"/>
      <c r="CC938" s="83"/>
      <c r="CD938" s="83"/>
      <c r="CE938" s="83"/>
      <c r="CF938" s="83"/>
      <c r="CG938" s="83"/>
      <c r="CH938" s="83"/>
      <c r="CI938" s="83"/>
      <c r="CJ938" s="83"/>
      <c r="CK938" s="83"/>
      <c r="CL938" s="83"/>
      <c r="CM938" s="83"/>
      <c r="CN938" s="83"/>
      <c r="CO938" s="83"/>
      <c r="CP938" s="83"/>
      <c r="CQ938" s="83"/>
      <c r="CR938" s="83"/>
      <c r="CS938" s="83"/>
      <c r="CT938" s="83"/>
      <c r="CU938" s="83"/>
      <c r="CV938" s="83"/>
      <c r="CW938" s="83"/>
      <c r="CX938" s="83"/>
      <c r="CY938" s="83"/>
      <c r="CZ938" s="83"/>
      <c r="DA938" s="83"/>
      <c r="DB938" s="83"/>
      <c r="DC938" s="83"/>
    </row>
    <row r="939" spans="1:107" x14ac:dyDescent="0.3">
      <c r="A939" s="83"/>
      <c r="B939" s="83"/>
      <c r="C939" s="83"/>
      <c r="D939" s="83"/>
      <c r="E939" s="83"/>
      <c r="F939" s="83"/>
      <c r="G939" s="83"/>
      <c r="H939" s="83"/>
      <c r="I939" s="83"/>
      <c r="J939" s="83"/>
      <c r="K939" s="83"/>
      <c r="L939" s="83"/>
      <c r="M939" s="83"/>
      <c r="N939" s="83"/>
      <c r="O939" s="83"/>
      <c r="P939" s="83"/>
      <c r="Q939" s="83"/>
      <c r="R939" s="83"/>
      <c r="S939" s="83"/>
      <c r="T939" s="83"/>
      <c r="U939" s="83"/>
      <c r="V939" s="83"/>
      <c r="W939" s="83"/>
      <c r="X939" s="83"/>
      <c r="Y939" s="83"/>
      <c r="Z939" s="83"/>
      <c r="AA939" s="83"/>
      <c r="AB939" s="83"/>
      <c r="AC939" s="83"/>
      <c r="AD939" s="83"/>
      <c r="AE939" s="83"/>
      <c r="AF939" s="83"/>
      <c r="AG939" s="83"/>
      <c r="AH939" s="83"/>
      <c r="AI939" s="83"/>
      <c r="AJ939" s="83"/>
      <c r="AK939" s="83"/>
      <c r="AL939" s="83"/>
      <c r="AM939" s="83"/>
      <c r="AN939" s="83"/>
      <c r="AO939" s="83"/>
      <c r="AP939" s="83"/>
      <c r="AQ939" s="83"/>
      <c r="AR939" s="83"/>
      <c r="AS939" s="83"/>
      <c r="AT939" s="83"/>
      <c r="AU939" s="83"/>
      <c r="AV939" s="83"/>
      <c r="AW939" s="83"/>
      <c r="AX939" s="83"/>
      <c r="AY939" s="83"/>
      <c r="AZ939" s="83"/>
      <c r="BA939" s="83"/>
      <c r="BB939" s="83"/>
      <c r="BC939" s="83"/>
      <c r="BD939" s="83"/>
      <c r="BE939" s="83"/>
      <c r="BF939" s="83"/>
      <c r="BG939" s="83"/>
      <c r="BH939" s="83"/>
      <c r="BI939" s="83"/>
      <c r="BJ939" s="83"/>
      <c r="BK939" s="83"/>
      <c r="BL939" s="83"/>
      <c r="BM939" s="83"/>
      <c r="BN939" s="83"/>
      <c r="BO939" s="83"/>
      <c r="BP939" s="83"/>
      <c r="BQ939" s="83"/>
      <c r="BR939" s="83"/>
      <c r="BS939" s="83"/>
      <c r="BT939" s="83"/>
      <c r="BU939" s="83"/>
      <c r="BV939" s="83"/>
      <c r="BW939" s="83"/>
      <c r="BX939" s="83"/>
      <c r="BY939" s="83"/>
      <c r="BZ939" s="83"/>
      <c r="CA939" s="83"/>
      <c r="CB939" s="83"/>
      <c r="CC939" s="83"/>
      <c r="CD939" s="83"/>
      <c r="CE939" s="83"/>
      <c r="CF939" s="83"/>
      <c r="CG939" s="83"/>
      <c r="CH939" s="83"/>
      <c r="CI939" s="83"/>
      <c r="CJ939" s="83"/>
      <c r="CK939" s="83"/>
      <c r="CL939" s="83"/>
      <c r="CM939" s="83"/>
      <c r="CN939" s="83"/>
      <c r="CO939" s="83"/>
      <c r="CP939" s="83"/>
      <c r="CQ939" s="83"/>
      <c r="CR939" s="83"/>
      <c r="CS939" s="83"/>
      <c r="CT939" s="83"/>
      <c r="CU939" s="83"/>
      <c r="CV939" s="83"/>
      <c r="CW939" s="83"/>
      <c r="CX939" s="83"/>
      <c r="CY939" s="83"/>
      <c r="CZ939" s="83"/>
      <c r="DA939" s="83"/>
      <c r="DB939" s="83"/>
      <c r="DC939" s="83"/>
    </row>
    <row r="940" spans="1:107" x14ac:dyDescent="0.3">
      <c r="A940" s="83"/>
      <c r="B940" s="83"/>
      <c r="C940" s="83"/>
      <c r="D940" s="83"/>
      <c r="E940" s="83"/>
      <c r="F940" s="83"/>
      <c r="G940" s="83"/>
      <c r="H940" s="83"/>
      <c r="I940" s="83"/>
      <c r="J940" s="83"/>
      <c r="K940" s="83"/>
      <c r="L940" s="83"/>
      <c r="M940" s="83"/>
      <c r="N940" s="83"/>
      <c r="O940" s="83"/>
      <c r="P940" s="83"/>
      <c r="Q940" s="83"/>
      <c r="R940" s="83"/>
      <c r="S940" s="83"/>
      <c r="T940" s="83"/>
      <c r="U940" s="83"/>
      <c r="V940" s="83"/>
      <c r="W940" s="83"/>
      <c r="X940" s="83"/>
      <c r="Y940" s="83"/>
      <c r="Z940" s="83"/>
      <c r="AA940" s="83"/>
      <c r="AB940" s="83"/>
      <c r="AC940" s="83"/>
      <c r="AD940" s="83"/>
      <c r="AE940" s="83"/>
      <c r="AF940" s="83"/>
      <c r="AG940" s="83"/>
      <c r="AH940" s="83"/>
      <c r="AI940" s="83"/>
      <c r="AJ940" s="83"/>
      <c r="AK940" s="83"/>
      <c r="AL940" s="83"/>
      <c r="AM940" s="83"/>
      <c r="AN940" s="83"/>
      <c r="AO940" s="83"/>
      <c r="AP940" s="83"/>
      <c r="AQ940" s="83"/>
      <c r="AR940" s="83"/>
      <c r="AS940" s="83"/>
      <c r="AT940" s="83"/>
      <c r="AU940" s="83"/>
      <c r="AV940" s="83"/>
      <c r="AW940" s="83"/>
      <c r="AX940" s="83"/>
      <c r="AY940" s="83"/>
      <c r="AZ940" s="83"/>
      <c r="BA940" s="83"/>
      <c r="BB940" s="83"/>
      <c r="BC940" s="83"/>
      <c r="BD940" s="83"/>
      <c r="BE940" s="83"/>
      <c r="BF940" s="83"/>
      <c r="BG940" s="83"/>
      <c r="BH940" s="83"/>
      <c r="BI940" s="83"/>
      <c r="BJ940" s="83"/>
      <c r="BK940" s="83"/>
      <c r="BL940" s="83"/>
      <c r="BM940" s="83"/>
      <c r="BN940" s="83"/>
      <c r="BO940" s="83"/>
      <c r="BP940" s="83"/>
      <c r="BQ940" s="83"/>
      <c r="BR940" s="83"/>
      <c r="BS940" s="83"/>
      <c r="BT940" s="83"/>
      <c r="BU940" s="83"/>
      <c r="BV940" s="83"/>
      <c r="BW940" s="83"/>
      <c r="BX940" s="83"/>
      <c r="BY940" s="83"/>
      <c r="BZ940" s="83"/>
      <c r="CA940" s="83"/>
      <c r="CB940" s="83"/>
      <c r="CC940" s="83"/>
      <c r="CD940" s="83"/>
      <c r="CE940" s="83"/>
      <c r="CF940" s="83"/>
      <c r="CG940" s="83"/>
      <c r="CH940" s="83"/>
      <c r="CI940" s="83"/>
      <c r="CJ940" s="83"/>
      <c r="CK940" s="83"/>
      <c r="CL940" s="83"/>
      <c r="CM940" s="83"/>
      <c r="CN940" s="83"/>
      <c r="CO940" s="83"/>
      <c r="CP940" s="83"/>
      <c r="CQ940" s="83"/>
      <c r="CR940" s="83"/>
      <c r="CS940" s="83"/>
      <c r="CT940" s="83"/>
      <c r="CU940" s="83"/>
      <c r="CV940" s="83"/>
      <c r="CW940" s="83"/>
      <c r="CX940" s="83"/>
      <c r="CY940" s="83"/>
      <c r="CZ940" s="83"/>
      <c r="DA940" s="83"/>
      <c r="DB940" s="83"/>
      <c r="DC940" s="83"/>
    </row>
    <row r="941" spans="1:107" x14ac:dyDescent="0.3">
      <c r="A941" s="83"/>
      <c r="B941" s="83"/>
      <c r="C941" s="83"/>
      <c r="D941" s="83"/>
      <c r="E941" s="83"/>
      <c r="F941" s="83"/>
      <c r="G941" s="83"/>
      <c r="H941" s="83"/>
      <c r="I941" s="83"/>
      <c r="J941" s="83"/>
      <c r="K941" s="83"/>
      <c r="L941" s="83"/>
      <c r="M941" s="83"/>
      <c r="N941" s="83"/>
      <c r="O941" s="83"/>
      <c r="P941" s="83"/>
      <c r="Q941" s="83"/>
      <c r="R941" s="83"/>
      <c r="S941" s="83"/>
      <c r="T941" s="83"/>
      <c r="U941" s="83"/>
      <c r="V941" s="83"/>
      <c r="W941" s="83"/>
      <c r="X941" s="83"/>
      <c r="Y941" s="83"/>
      <c r="Z941" s="83"/>
      <c r="AA941" s="83"/>
      <c r="AB941" s="83"/>
      <c r="AC941" s="83"/>
      <c r="AD941" s="83"/>
      <c r="AE941" s="83"/>
      <c r="AF941" s="83"/>
      <c r="AG941" s="83"/>
      <c r="AH941" s="83"/>
      <c r="AI941" s="83"/>
      <c r="AJ941" s="83"/>
      <c r="AK941" s="83"/>
      <c r="AL941" s="83"/>
      <c r="AM941" s="83"/>
      <c r="AN941" s="83"/>
      <c r="AO941" s="83"/>
      <c r="AP941" s="83"/>
      <c r="AQ941" s="83"/>
      <c r="AR941" s="83"/>
      <c r="AS941" s="83"/>
      <c r="AT941" s="83"/>
      <c r="AU941" s="83"/>
      <c r="AV941" s="83"/>
      <c r="AW941" s="83"/>
      <c r="AX941" s="83"/>
      <c r="AY941" s="83"/>
      <c r="AZ941" s="83"/>
      <c r="BA941" s="83"/>
      <c r="BB941" s="83"/>
      <c r="BC941" s="83"/>
      <c r="BD941" s="83"/>
      <c r="BE941" s="83"/>
      <c r="BF941" s="83"/>
      <c r="BG941" s="83"/>
      <c r="BH941" s="83"/>
      <c r="BI941" s="83"/>
      <c r="BJ941" s="83"/>
      <c r="BK941" s="83"/>
      <c r="BL941" s="83"/>
      <c r="BM941" s="83"/>
      <c r="BN941" s="83"/>
      <c r="BO941" s="83"/>
      <c r="BP941" s="83"/>
      <c r="BQ941" s="83"/>
      <c r="BR941" s="83"/>
      <c r="BS941" s="83"/>
      <c r="BT941" s="83"/>
      <c r="BU941" s="83"/>
      <c r="BV941" s="83"/>
      <c r="BW941" s="83"/>
      <c r="BX941" s="83"/>
      <c r="BY941" s="83"/>
      <c r="BZ941" s="83"/>
      <c r="CA941" s="83"/>
      <c r="CB941" s="83"/>
      <c r="CC941" s="83"/>
      <c r="CD941" s="83"/>
      <c r="CE941" s="83"/>
      <c r="CF941" s="83"/>
      <c r="CG941" s="83"/>
      <c r="CH941" s="83"/>
      <c r="CI941" s="83"/>
      <c r="CJ941" s="83"/>
      <c r="CK941" s="83"/>
      <c r="CL941" s="83"/>
      <c r="CM941" s="83"/>
      <c r="CN941" s="83"/>
      <c r="CO941" s="83"/>
      <c r="CP941" s="83"/>
      <c r="CQ941" s="83"/>
      <c r="CR941" s="83"/>
      <c r="CS941" s="83"/>
      <c r="CT941" s="83"/>
      <c r="CU941" s="83"/>
      <c r="CV941" s="83"/>
      <c r="CW941" s="83"/>
      <c r="CX941" s="83"/>
      <c r="CY941" s="83"/>
      <c r="CZ941" s="83"/>
      <c r="DA941" s="83"/>
      <c r="DB941" s="83"/>
      <c r="DC941" s="83"/>
    </row>
    <row r="942" spans="1:107" x14ac:dyDescent="0.3">
      <c r="A942" s="83"/>
      <c r="B942" s="83"/>
      <c r="C942" s="83"/>
      <c r="D942" s="83"/>
      <c r="E942" s="83"/>
      <c r="F942" s="83"/>
      <c r="G942" s="83"/>
      <c r="H942" s="83"/>
      <c r="I942" s="83"/>
      <c r="J942" s="83"/>
      <c r="K942" s="83"/>
      <c r="L942" s="83"/>
      <c r="M942" s="83"/>
      <c r="N942" s="83"/>
      <c r="O942" s="83"/>
      <c r="P942" s="83"/>
      <c r="Q942" s="83"/>
      <c r="R942" s="83"/>
      <c r="S942" s="83"/>
      <c r="T942" s="83"/>
      <c r="U942" s="83"/>
      <c r="V942" s="83"/>
      <c r="W942" s="83"/>
      <c r="X942" s="83"/>
      <c r="Y942" s="83"/>
      <c r="Z942" s="83"/>
      <c r="AA942" s="83"/>
      <c r="AB942" s="83"/>
      <c r="AC942" s="83"/>
      <c r="AD942" s="83"/>
      <c r="AE942" s="83"/>
      <c r="AF942" s="83"/>
      <c r="AG942" s="83"/>
      <c r="AH942" s="83"/>
      <c r="AI942" s="83"/>
      <c r="AJ942" s="83"/>
      <c r="AK942" s="83"/>
      <c r="AL942" s="83"/>
      <c r="AM942" s="83"/>
      <c r="AN942" s="83"/>
      <c r="AO942" s="83"/>
      <c r="AP942" s="83"/>
      <c r="AQ942" s="83"/>
      <c r="AR942" s="83"/>
      <c r="AS942" s="83"/>
      <c r="AT942" s="83"/>
      <c r="AU942" s="83"/>
      <c r="AV942" s="83"/>
      <c r="AW942" s="83"/>
      <c r="AX942" s="83"/>
      <c r="AY942" s="83"/>
      <c r="AZ942" s="83"/>
      <c r="BA942" s="83"/>
      <c r="BB942" s="83"/>
      <c r="BC942" s="83"/>
      <c r="BD942" s="83"/>
      <c r="BE942" s="83"/>
      <c r="BF942" s="83"/>
      <c r="BG942" s="83"/>
      <c r="BH942" s="83"/>
      <c r="BI942" s="83"/>
      <c r="BJ942" s="83"/>
      <c r="BK942" s="83"/>
      <c r="BL942" s="83"/>
      <c r="BM942" s="83"/>
      <c r="BN942" s="83"/>
      <c r="BO942" s="83"/>
      <c r="BP942" s="83"/>
      <c r="BQ942" s="83"/>
      <c r="BR942" s="83"/>
      <c r="BS942" s="83"/>
      <c r="BT942" s="83"/>
      <c r="BU942" s="83"/>
      <c r="BV942" s="83"/>
      <c r="BW942" s="83"/>
      <c r="BX942" s="83"/>
      <c r="BY942" s="83"/>
      <c r="BZ942" s="83"/>
      <c r="CA942" s="83"/>
      <c r="CB942" s="83"/>
      <c r="CC942" s="83"/>
      <c r="CD942" s="83"/>
      <c r="CE942" s="83"/>
      <c r="CF942" s="83"/>
      <c r="CG942" s="83"/>
      <c r="CH942" s="83"/>
      <c r="CI942" s="83"/>
      <c r="CJ942" s="83"/>
      <c r="CK942" s="83"/>
      <c r="CL942" s="83"/>
      <c r="CM942" s="83"/>
      <c r="CN942" s="83"/>
      <c r="CO942" s="83"/>
      <c r="CP942" s="83"/>
      <c r="CQ942" s="83"/>
      <c r="CR942" s="83"/>
      <c r="CS942" s="83"/>
      <c r="CT942" s="83"/>
      <c r="CU942" s="83"/>
      <c r="CV942" s="83"/>
      <c r="CW942" s="83"/>
      <c r="CX942" s="83"/>
      <c r="CY942" s="83"/>
      <c r="CZ942" s="83"/>
      <c r="DA942" s="83"/>
      <c r="DB942" s="83"/>
      <c r="DC942" s="83"/>
    </row>
    <row r="943" spans="1:107" x14ac:dyDescent="0.3">
      <c r="A943" s="83"/>
      <c r="B943" s="83"/>
      <c r="C943" s="83"/>
      <c r="D943" s="83"/>
      <c r="E943" s="83"/>
      <c r="F943" s="83"/>
      <c r="G943" s="83"/>
      <c r="H943" s="83"/>
      <c r="I943" s="83"/>
      <c r="J943" s="83"/>
      <c r="K943" s="83"/>
      <c r="L943" s="83"/>
      <c r="M943" s="83"/>
      <c r="N943" s="83"/>
      <c r="O943" s="83"/>
      <c r="P943" s="83"/>
      <c r="Q943" s="83"/>
      <c r="R943" s="83"/>
      <c r="S943" s="83"/>
      <c r="T943" s="83"/>
      <c r="U943" s="83"/>
      <c r="V943" s="83"/>
      <c r="W943" s="83"/>
      <c r="X943" s="83"/>
      <c r="Y943" s="83"/>
      <c r="Z943" s="83"/>
      <c r="AA943" s="83"/>
      <c r="AB943" s="83"/>
      <c r="AC943" s="83"/>
      <c r="AD943" s="83"/>
      <c r="AE943" s="83"/>
      <c r="AF943" s="83"/>
      <c r="AG943" s="83"/>
      <c r="AH943" s="83"/>
      <c r="AI943" s="83"/>
      <c r="AJ943" s="83"/>
      <c r="AK943" s="83"/>
      <c r="AL943" s="83"/>
      <c r="AM943" s="83"/>
      <c r="AN943" s="83"/>
      <c r="AO943" s="83"/>
      <c r="AP943" s="83"/>
      <c r="AQ943" s="83"/>
      <c r="AR943" s="83"/>
      <c r="AS943" s="83"/>
      <c r="AT943" s="83"/>
      <c r="AU943" s="83"/>
      <c r="AV943" s="83"/>
      <c r="AW943" s="83"/>
      <c r="AX943" s="83"/>
      <c r="AY943" s="83"/>
      <c r="AZ943" s="83"/>
      <c r="BA943" s="83"/>
      <c r="BB943" s="83"/>
      <c r="BC943" s="83"/>
      <c r="BD943" s="83"/>
      <c r="BE943" s="83"/>
      <c r="BF943" s="83"/>
      <c r="BG943" s="83"/>
      <c r="BH943" s="83"/>
      <c r="BI943" s="83"/>
      <c r="BJ943" s="83"/>
      <c r="BK943" s="83"/>
      <c r="BL943" s="83"/>
      <c r="BM943" s="83"/>
      <c r="BN943" s="83"/>
      <c r="BO943" s="83"/>
      <c r="BP943" s="83"/>
      <c r="BQ943" s="83"/>
      <c r="BR943" s="83"/>
      <c r="BS943" s="83"/>
      <c r="BT943" s="83"/>
      <c r="BU943" s="83"/>
      <c r="BV943" s="83"/>
      <c r="BW943" s="83"/>
      <c r="BX943" s="83"/>
      <c r="BY943" s="83"/>
      <c r="BZ943" s="83"/>
      <c r="CA943" s="83"/>
      <c r="CB943" s="83"/>
      <c r="CC943" s="83"/>
      <c r="CD943" s="83"/>
      <c r="CE943" s="83"/>
      <c r="CF943" s="83"/>
      <c r="CG943" s="83"/>
      <c r="CH943" s="83"/>
      <c r="CI943" s="83"/>
      <c r="CJ943" s="83"/>
      <c r="CK943" s="83"/>
      <c r="CL943" s="83"/>
      <c r="CM943" s="83"/>
      <c r="CN943" s="83"/>
      <c r="CO943" s="83"/>
      <c r="CP943" s="83"/>
      <c r="CQ943" s="83"/>
      <c r="CR943" s="83"/>
      <c r="CS943" s="83"/>
      <c r="CT943" s="83"/>
      <c r="CU943" s="83"/>
      <c r="CV943" s="83"/>
      <c r="CW943" s="83"/>
      <c r="CX943" s="83"/>
      <c r="CY943" s="83"/>
      <c r="CZ943" s="83"/>
      <c r="DA943" s="83"/>
      <c r="DB943" s="83"/>
      <c r="DC943" s="83"/>
    </row>
    <row r="944" spans="1:107" x14ac:dyDescent="0.3">
      <c r="A944" s="83"/>
      <c r="B944" s="83"/>
      <c r="C944" s="83"/>
      <c r="D944" s="83"/>
      <c r="E944" s="83"/>
      <c r="F944" s="83"/>
      <c r="G944" s="83"/>
      <c r="H944" s="83"/>
      <c r="I944" s="83"/>
      <c r="J944" s="83"/>
      <c r="K944" s="83"/>
      <c r="L944" s="83"/>
      <c r="M944" s="83"/>
      <c r="N944" s="83"/>
      <c r="O944" s="83"/>
      <c r="P944" s="83"/>
      <c r="Q944" s="83"/>
      <c r="R944" s="83"/>
      <c r="S944" s="83"/>
      <c r="T944" s="83"/>
      <c r="U944" s="83"/>
      <c r="V944" s="83"/>
      <c r="W944" s="83"/>
      <c r="X944" s="83"/>
      <c r="Y944" s="83"/>
      <c r="Z944" s="83"/>
      <c r="AA944" s="83"/>
      <c r="AB944" s="83"/>
      <c r="AC944" s="83"/>
      <c r="AD944" s="83"/>
      <c r="AE944" s="83"/>
      <c r="AF944" s="83"/>
      <c r="AG944" s="83"/>
      <c r="AH944" s="83"/>
      <c r="AI944" s="83"/>
      <c r="AJ944" s="83"/>
      <c r="AK944" s="83"/>
      <c r="AL944" s="83"/>
      <c r="AM944" s="83"/>
      <c r="AN944" s="83"/>
      <c r="AO944" s="83"/>
      <c r="AP944" s="83"/>
      <c r="AQ944" s="83"/>
      <c r="AR944" s="83"/>
      <c r="AS944" s="83"/>
      <c r="AT944" s="83"/>
      <c r="AU944" s="83"/>
      <c r="AV944" s="83"/>
      <c r="AW944" s="83"/>
      <c r="AX944" s="83"/>
      <c r="AY944" s="83"/>
      <c r="AZ944" s="83"/>
      <c r="BA944" s="83"/>
      <c r="BB944" s="83"/>
      <c r="BC944" s="83"/>
      <c r="BD944" s="83"/>
      <c r="BE944" s="83"/>
      <c r="BF944" s="83"/>
      <c r="BG944" s="83"/>
      <c r="BH944" s="83"/>
      <c r="BI944" s="83"/>
      <c r="BJ944" s="83"/>
      <c r="BK944" s="83"/>
      <c r="BL944" s="83"/>
      <c r="BM944" s="83"/>
      <c r="BN944" s="83"/>
      <c r="BO944" s="83"/>
      <c r="BP944" s="83"/>
      <c r="BQ944" s="83"/>
      <c r="BR944" s="83"/>
      <c r="BS944" s="83"/>
      <c r="BT944" s="83"/>
      <c r="BU944" s="83"/>
      <c r="BV944" s="83"/>
      <c r="BW944" s="83"/>
      <c r="BX944" s="83"/>
      <c r="BY944" s="83"/>
      <c r="BZ944" s="83"/>
      <c r="CA944" s="83"/>
      <c r="CB944" s="83"/>
      <c r="CC944" s="83"/>
      <c r="CD944" s="83"/>
      <c r="CE944" s="83"/>
      <c r="CF944" s="83"/>
      <c r="CG944" s="83"/>
      <c r="CH944" s="83"/>
      <c r="CI944" s="83"/>
      <c r="CJ944" s="83"/>
      <c r="CK944" s="83"/>
      <c r="CL944" s="83"/>
      <c r="CM944" s="83"/>
      <c r="CN944" s="83"/>
      <c r="CO944" s="83"/>
      <c r="CP944" s="83"/>
      <c r="CQ944" s="83"/>
      <c r="CR944" s="83"/>
      <c r="CS944" s="83"/>
      <c r="CT944" s="83"/>
      <c r="CU944" s="83"/>
      <c r="CV944" s="83"/>
      <c r="CW944" s="83"/>
      <c r="CX944" s="83"/>
      <c r="CY944" s="83"/>
      <c r="CZ944" s="83"/>
      <c r="DA944" s="83"/>
      <c r="DB944" s="83"/>
      <c r="DC944" s="83"/>
    </row>
    <row r="945" spans="1:107" x14ac:dyDescent="0.3">
      <c r="A945" s="83"/>
      <c r="B945" s="83"/>
      <c r="C945" s="83"/>
      <c r="D945" s="83"/>
      <c r="E945" s="83"/>
      <c r="F945" s="83"/>
      <c r="G945" s="83"/>
      <c r="H945" s="83"/>
      <c r="I945" s="83"/>
      <c r="J945" s="83"/>
      <c r="K945" s="83"/>
      <c r="L945" s="83"/>
      <c r="M945" s="83"/>
      <c r="N945" s="83"/>
      <c r="O945" s="83"/>
      <c r="P945" s="83"/>
      <c r="Q945" s="83"/>
      <c r="R945" s="83"/>
      <c r="S945" s="83"/>
      <c r="T945" s="83"/>
      <c r="U945" s="83"/>
      <c r="V945" s="83"/>
      <c r="W945" s="83"/>
      <c r="X945" s="83"/>
      <c r="Y945" s="83"/>
      <c r="Z945" s="83"/>
      <c r="AA945" s="83"/>
      <c r="AB945" s="83"/>
      <c r="AC945" s="83"/>
      <c r="AD945" s="83"/>
      <c r="AE945" s="83"/>
      <c r="AF945" s="83"/>
      <c r="AG945" s="83"/>
      <c r="AH945" s="83"/>
      <c r="AI945" s="83"/>
      <c r="AJ945" s="83"/>
      <c r="AK945" s="83"/>
      <c r="AL945" s="83"/>
      <c r="AM945" s="83"/>
      <c r="AN945" s="83"/>
      <c r="AO945" s="83"/>
      <c r="AP945" s="83"/>
      <c r="AQ945" s="83"/>
      <c r="AR945" s="83"/>
      <c r="AS945" s="83"/>
      <c r="AT945" s="83"/>
      <c r="AU945" s="83"/>
      <c r="AV945" s="83"/>
      <c r="AW945" s="83"/>
      <c r="AX945" s="83"/>
      <c r="AY945" s="83"/>
      <c r="AZ945" s="83"/>
      <c r="BA945" s="83"/>
      <c r="BB945" s="83"/>
      <c r="BC945" s="83"/>
      <c r="BD945" s="83"/>
      <c r="BE945" s="83"/>
      <c r="BF945" s="83"/>
      <c r="BG945" s="83"/>
      <c r="BH945" s="83"/>
      <c r="BI945" s="83"/>
      <c r="BJ945" s="83"/>
      <c r="BK945" s="83"/>
      <c r="BL945" s="83"/>
      <c r="BM945" s="83"/>
      <c r="BN945" s="83"/>
      <c r="BO945" s="83"/>
      <c r="BP945" s="83"/>
      <c r="BQ945" s="83"/>
      <c r="BR945" s="83"/>
      <c r="BS945" s="83"/>
      <c r="BT945" s="83"/>
      <c r="BU945" s="83"/>
      <c r="BV945" s="83"/>
      <c r="BW945" s="83"/>
      <c r="BX945" s="83"/>
      <c r="BY945" s="83"/>
      <c r="BZ945" s="83"/>
      <c r="CA945" s="83"/>
      <c r="CB945" s="83"/>
      <c r="CC945" s="83"/>
      <c r="CD945" s="83"/>
      <c r="CE945" s="83"/>
      <c r="CF945" s="83"/>
      <c r="CG945" s="83"/>
      <c r="CH945" s="83"/>
      <c r="CI945" s="83"/>
      <c r="CJ945" s="83"/>
      <c r="CK945" s="83"/>
      <c r="CL945" s="83"/>
      <c r="CM945" s="83"/>
      <c r="CN945" s="83"/>
      <c r="CO945" s="83"/>
      <c r="CP945" s="83"/>
      <c r="CQ945" s="83"/>
      <c r="CR945" s="83"/>
      <c r="CS945" s="83"/>
      <c r="CT945" s="83"/>
      <c r="CU945" s="83"/>
      <c r="CV945" s="83"/>
      <c r="CW945" s="83"/>
      <c r="CX945" s="83"/>
      <c r="CY945" s="83"/>
      <c r="CZ945" s="83"/>
      <c r="DA945" s="83"/>
      <c r="DB945" s="83"/>
      <c r="DC945" s="83"/>
    </row>
    <row r="946" spans="1:107" x14ac:dyDescent="0.3">
      <c r="A946" s="83"/>
      <c r="B946" s="83"/>
      <c r="C946" s="83"/>
      <c r="D946" s="83"/>
      <c r="E946" s="83"/>
      <c r="F946" s="83"/>
      <c r="G946" s="83"/>
      <c r="H946" s="83"/>
      <c r="I946" s="83"/>
      <c r="J946" s="83"/>
      <c r="K946" s="83"/>
      <c r="L946" s="83"/>
      <c r="M946" s="83"/>
      <c r="N946" s="83"/>
      <c r="O946" s="83"/>
      <c r="P946" s="83"/>
      <c r="Q946" s="83"/>
      <c r="R946" s="83"/>
      <c r="S946" s="83"/>
      <c r="T946" s="83"/>
      <c r="U946" s="83"/>
      <c r="V946" s="83"/>
      <c r="W946" s="83"/>
      <c r="X946" s="83"/>
      <c r="Y946" s="83"/>
      <c r="Z946" s="83"/>
      <c r="AA946" s="83"/>
      <c r="AB946" s="83"/>
      <c r="AC946" s="83"/>
      <c r="AD946" s="83"/>
      <c r="AE946" s="83"/>
      <c r="AF946" s="83"/>
      <c r="AG946" s="83"/>
      <c r="AH946" s="83"/>
      <c r="AI946" s="83"/>
      <c r="AJ946" s="83"/>
      <c r="AK946" s="83"/>
      <c r="AL946" s="83"/>
      <c r="AM946" s="83"/>
      <c r="AN946" s="83"/>
      <c r="AO946" s="83"/>
      <c r="AP946" s="83"/>
      <c r="AQ946" s="83"/>
      <c r="AR946" s="83"/>
      <c r="AS946" s="83"/>
      <c r="AT946" s="83"/>
      <c r="AU946" s="83"/>
      <c r="AV946" s="83"/>
      <c r="AW946" s="83"/>
      <c r="AX946" s="83"/>
      <c r="AY946" s="83"/>
      <c r="AZ946" s="83"/>
      <c r="BA946" s="83"/>
      <c r="BB946" s="83"/>
      <c r="BC946" s="83"/>
      <c r="BD946" s="83"/>
      <c r="BE946" s="83"/>
      <c r="BF946" s="83"/>
      <c r="BG946" s="83"/>
      <c r="BH946" s="83"/>
      <c r="BI946" s="83"/>
      <c r="BJ946" s="83"/>
      <c r="BK946" s="83"/>
      <c r="BL946" s="83"/>
      <c r="BM946" s="83"/>
      <c r="BN946" s="83"/>
      <c r="BO946" s="83"/>
      <c r="BP946" s="83"/>
      <c r="BQ946" s="83"/>
      <c r="BR946" s="83"/>
      <c r="BS946" s="83"/>
      <c r="BT946" s="83"/>
      <c r="BU946" s="83"/>
      <c r="BV946" s="83"/>
      <c r="BW946" s="83"/>
      <c r="BX946" s="83"/>
      <c r="BY946" s="83"/>
      <c r="BZ946" s="83"/>
      <c r="CA946" s="83"/>
      <c r="CB946" s="83"/>
      <c r="CC946" s="83"/>
      <c r="CD946" s="83"/>
      <c r="CE946" s="83"/>
      <c r="CF946" s="83"/>
      <c r="CG946" s="83"/>
      <c r="CH946" s="83"/>
      <c r="CI946" s="83"/>
      <c r="CJ946" s="83"/>
      <c r="CK946" s="83"/>
      <c r="CL946" s="83"/>
      <c r="CM946" s="83"/>
      <c r="CN946" s="83"/>
      <c r="CO946" s="83"/>
      <c r="CP946" s="83"/>
      <c r="CQ946" s="83"/>
      <c r="CR946" s="83"/>
      <c r="CS946" s="83"/>
      <c r="CT946" s="83"/>
      <c r="CU946" s="83"/>
      <c r="CV946" s="83"/>
      <c r="CW946" s="83"/>
      <c r="CX946" s="83"/>
      <c r="CY946" s="83"/>
      <c r="CZ946" s="83"/>
      <c r="DA946" s="83"/>
      <c r="DB946" s="83"/>
      <c r="DC946" s="83"/>
    </row>
    <row r="947" spans="1:107" x14ac:dyDescent="0.3">
      <c r="A947" s="83"/>
      <c r="B947" s="83"/>
      <c r="C947" s="83"/>
      <c r="D947" s="83"/>
      <c r="E947" s="83"/>
      <c r="F947" s="83"/>
      <c r="G947" s="83"/>
      <c r="H947" s="83"/>
      <c r="I947" s="83"/>
      <c r="J947" s="83"/>
      <c r="K947" s="83"/>
      <c r="L947" s="83"/>
      <c r="M947" s="83"/>
      <c r="N947" s="83"/>
      <c r="O947" s="83"/>
      <c r="P947" s="83"/>
      <c r="Q947" s="83"/>
      <c r="R947" s="83"/>
      <c r="S947" s="83"/>
      <c r="T947" s="83"/>
      <c r="U947" s="83"/>
      <c r="V947" s="83"/>
      <c r="W947" s="83"/>
      <c r="X947" s="83"/>
      <c r="Y947" s="83"/>
      <c r="Z947" s="83"/>
      <c r="AA947" s="83"/>
      <c r="AB947" s="83"/>
      <c r="AC947" s="83"/>
      <c r="AD947" s="83"/>
      <c r="AE947" s="83"/>
      <c r="AF947" s="83"/>
      <c r="AG947" s="83"/>
      <c r="AH947" s="83"/>
      <c r="AI947" s="83"/>
      <c r="AJ947" s="83"/>
      <c r="AK947" s="83"/>
      <c r="AL947" s="83"/>
      <c r="AM947" s="83"/>
      <c r="AN947" s="83"/>
      <c r="AO947" s="83"/>
      <c r="AP947" s="83"/>
      <c r="AQ947" s="83"/>
      <c r="AR947" s="83"/>
      <c r="AS947" s="83"/>
      <c r="AT947" s="83"/>
      <c r="AU947" s="83"/>
      <c r="AV947" s="83"/>
      <c r="AW947" s="83"/>
      <c r="AX947" s="83"/>
      <c r="AY947" s="83"/>
      <c r="AZ947" s="83"/>
      <c r="BA947" s="83"/>
      <c r="BB947" s="83"/>
      <c r="BC947" s="83"/>
      <c r="BD947" s="83"/>
      <c r="BE947" s="83"/>
      <c r="BF947" s="83"/>
      <c r="BG947" s="83"/>
      <c r="BH947" s="83"/>
      <c r="BI947" s="83"/>
      <c r="BJ947" s="83"/>
      <c r="BK947" s="83"/>
      <c r="BL947" s="83"/>
      <c r="BM947" s="83"/>
      <c r="BN947" s="83"/>
      <c r="BO947" s="83"/>
      <c r="BP947" s="83"/>
      <c r="BQ947" s="83"/>
      <c r="BR947" s="83"/>
      <c r="BS947" s="83"/>
      <c r="BT947" s="83"/>
      <c r="BU947" s="83"/>
      <c r="BV947" s="83"/>
      <c r="BW947" s="83"/>
      <c r="BX947" s="83"/>
      <c r="BY947" s="83"/>
      <c r="BZ947" s="83"/>
      <c r="CA947" s="83"/>
      <c r="CB947" s="83"/>
      <c r="CC947" s="83"/>
      <c r="CD947" s="83"/>
      <c r="CE947" s="83"/>
      <c r="CF947" s="83"/>
      <c r="CG947" s="83"/>
      <c r="CH947" s="83"/>
      <c r="CI947" s="83"/>
      <c r="CJ947" s="83"/>
      <c r="CK947" s="83"/>
      <c r="CL947" s="83"/>
      <c r="CM947" s="83"/>
      <c r="CN947" s="83"/>
      <c r="CO947" s="83"/>
      <c r="CP947" s="83"/>
      <c r="CQ947" s="83"/>
      <c r="CR947" s="83"/>
      <c r="CS947" s="83"/>
      <c r="CT947" s="83"/>
      <c r="CU947" s="83"/>
      <c r="CV947" s="83"/>
      <c r="CW947" s="83"/>
      <c r="CX947" s="83"/>
      <c r="CY947" s="83"/>
      <c r="CZ947" s="83"/>
      <c r="DA947" s="83"/>
      <c r="DB947" s="83"/>
      <c r="DC947" s="83"/>
    </row>
    <row r="948" spans="1:107" x14ac:dyDescent="0.3">
      <c r="A948" s="83"/>
      <c r="B948" s="83"/>
      <c r="C948" s="83"/>
      <c r="D948" s="83"/>
      <c r="E948" s="83"/>
      <c r="F948" s="83"/>
      <c r="G948" s="83"/>
      <c r="H948" s="83"/>
      <c r="I948" s="83"/>
      <c r="J948" s="83"/>
      <c r="K948" s="83"/>
      <c r="L948" s="83"/>
      <c r="M948" s="83"/>
      <c r="N948" s="83"/>
      <c r="O948" s="83"/>
      <c r="P948" s="83"/>
      <c r="Q948" s="83"/>
      <c r="R948" s="83"/>
      <c r="S948" s="83"/>
      <c r="T948" s="83"/>
      <c r="U948" s="83"/>
      <c r="V948" s="83"/>
      <c r="W948" s="83"/>
      <c r="X948" s="83"/>
      <c r="Y948" s="83"/>
      <c r="Z948" s="83"/>
      <c r="AA948" s="83"/>
      <c r="AB948" s="83"/>
      <c r="AC948" s="83"/>
      <c r="AD948" s="83"/>
      <c r="AE948" s="83"/>
      <c r="AF948" s="83"/>
      <c r="AG948" s="83"/>
      <c r="AH948" s="83"/>
      <c r="AI948" s="83"/>
      <c r="AJ948" s="83"/>
      <c r="AK948" s="83"/>
      <c r="AL948" s="83"/>
      <c r="AM948" s="83"/>
      <c r="AN948" s="83"/>
      <c r="AO948" s="83"/>
      <c r="AP948" s="83"/>
      <c r="AQ948" s="83"/>
      <c r="AR948" s="83"/>
      <c r="AS948" s="83"/>
      <c r="AT948" s="83"/>
      <c r="AU948" s="83"/>
      <c r="AV948" s="83"/>
      <c r="AW948" s="83"/>
      <c r="AX948" s="83"/>
      <c r="AY948" s="83"/>
      <c r="AZ948" s="83"/>
      <c r="BA948" s="83"/>
      <c r="BB948" s="83"/>
      <c r="BC948" s="83"/>
      <c r="BD948" s="83"/>
      <c r="BE948" s="83"/>
      <c r="BF948" s="83"/>
      <c r="BG948" s="83"/>
      <c r="BH948" s="83"/>
      <c r="BI948" s="83"/>
      <c r="BJ948" s="83"/>
      <c r="BK948" s="83"/>
      <c r="BL948" s="83"/>
      <c r="BM948" s="83"/>
      <c r="BN948" s="83"/>
      <c r="BO948" s="83"/>
      <c r="BP948" s="83"/>
      <c r="BQ948" s="83"/>
      <c r="BR948" s="83"/>
      <c r="BS948" s="83"/>
      <c r="BT948" s="83"/>
      <c r="BU948" s="83"/>
      <c r="BV948" s="83"/>
      <c r="BW948" s="83"/>
      <c r="BX948" s="83"/>
      <c r="BY948" s="83"/>
      <c r="BZ948" s="83"/>
      <c r="CA948" s="83"/>
      <c r="CB948" s="83"/>
      <c r="CC948" s="83"/>
      <c r="CD948" s="83"/>
      <c r="CE948" s="83"/>
      <c r="CF948" s="83"/>
      <c r="CG948" s="83"/>
      <c r="CH948" s="83"/>
      <c r="CI948" s="83"/>
      <c r="CJ948" s="83"/>
      <c r="CK948" s="83"/>
      <c r="CL948" s="83"/>
      <c r="CM948" s="83"/>
      <c r="CN948" s="83"/>
      <c r="CO948" s="83"/>
      <c r="CP948" s="83"/>
      <c r="CQ948" s="83"/>
      <c r="CR948" s="83"/>
      <c r="CS948" s="83"/>
      <c r="CT948" s="83"/>
      <c r="CU948" s="83"/>
      <c r="CV948" s="83"/>
      <c r="CW948" s="83"/>
      <c r="CX948" s="83"/>
      <c r="CY948" s="83"/>
      <c r="CZ948" s="83"/>
      <c r="DA948" s="83"/>
      <c r="DB948" s="83"/>
      <c r="DC948" s="83"/>
    </row>
  </sheetData>
  <mergeCells count="2">
    <mergeCell ref="J2:K2"/>
    <mergeCell ref="G24:I24"/>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3"/>
  <dimension ref="B2:K163"/>
  <sheetViews>
    <sheetView showGridLines="0" topLeftCell="A112" zoomScale="70" zoomScaleNormal="70" workbookViewId="0">
      <selection activeCell="G131" sqref="G131"/>
    </sheetView>
  </sheetViews>
  <sheetFormatPr defaultColWidth="11.109375" defaultRowHeight="14.4" x14ac:dyDescent="0.3"/>
  <cols>
    <col min="1" max="1" width="2.5546875" customWidth="1"/>
    <col min="2" max="2" width="6.6640625" customWidth="1"/>
    <col min="3" max="3" width="41.6640625" bestFit="1" customWidth="1"/>
    <col min="4" max="4" width="28.33203125" bestFit="1" customWidth="1"/>
    <col min="5" max="5" width="31.5546875" bestFit="1" customWidth="1"/>
    <col min="6" max="6" width="25.44140625" bestFit="1" customWidth="1"/>
    <col min="7" max="7" width="30.6640625" bestFit="1" customWidth="1"/>
    <col min="8" max="8" width="31.6640625" customWidth="1"/>
    <col min="11" max="11" width="22" customWidth="1"/>
  </cols>
  <sheetData>
    <row r="2" spans="2:11" ht="25.95" customHeight="1" x14ac:dyDescent="0.3">
      <c r="B2" s="1036" t="s">
        <v>330</v>
      </c>
      <c r="C2" s="1037"/>
      <c r="D2" s="1037"/>
      <c r="E2" s="1037"/>
      <c r="F2" s="1038"/>
    </row>
    <row r="3" spans="2:11" x14ac:dyDescent="0.3">
      <c r="B3" s="97"/>
      <c r="J3" s="342"/>
      <c r="K3" s="86" t="s">
        <v>629</v>
      </c>
    </row>
    <row r="4" spans="2:11" x14ac:dyDescent="0.3">
      <c r="B4" s="97"/>
      <c r="J4" s="343"/>
      <c r="K4" s="86" t="s">
        <v>630</v>
      </c>
    </row>
    <row r="5" spans="2:11" ht="18" x14ac:dyDescent="0.3">
      <c r="B5" s="87" t="s">
        <v>342</v>
      </c>
      <c r="C5" s="130" t="s">
        <v>312</v>
      </c>
      <c r="D5" s="131" t="s">
        <v>350</v>
      </c>
      <c r="E5" s="131" t="s">
        <v>286</v>
      </c>
      <c r="F5" s="132" t="s">
        <v>376</v>
      </c>
      <c r="G5" s="133" t="s">
        <v>628</v>
      </c>
      <c r="H5" s="134" t="s">
        <v>627</v>
      </c>
    </row>
    <row r="6" spans="2:11" ht="15.6" x14ac:dyDescent="0.3">
      <c r="B6" s="1043">
        <v>1</v>
      </c>
      <c r="C6" s="1040" t="s">
        <v>313</v>
      </c>
      <c r="D6" s="135" t="s">
        <v>238</v>
      </c>
      <c r="E6" s="135"/>
      <c r="F6" s="136"/>
      <c r="G6" s="321"/>
      <c r="H6" s="325"/>
    </row>
    <row r="7" spans="2:11" ht="15.6" x14ac:dyDescent="0.3">
      <c r="B7" s="1044"/>
      <c r="C7" s="1041"/>
      <c r="D7" s="137"/>
      <c r="E7" s="137" t="s">
        <v>290</v>
      </c>
      <c r="F7" s="138" t="s">
        <v>288</v>
      </c>
      <c r="G7" s="317"/>
      <c r="H7" s="93"/>
    </row>
    <row r="8" spans="2:11" ht="15.6" x14ac:dyDescent="0.3">
      <c r="B8" s="1044"/>
      <c r="C8" s="1041"/>
      <c r="D8" s="137"/>
      <c r="E8" s="137"/>
      <c r="F8" s="138" t="s">
        <v>294</v>
      </c>
      <c r="G8" s="317"/>
      <c r="H8" s="100"/>
    </row>
    <row r="9" spans="2:11" ht="15.6" x14ac:dyDescent="0.3">
      <c r="B9" s="1044"/>
      <c r="C9" s="1041"/>
      <c r="D9" s="137"/>
      <c r="E9" s="137"/>
      <c r="F9" s="138" t="s">
        <v>287</v>
      </c>
      <c r="G9" s="317"/>
      <c r="H9" s="100"/>
    </row>
    <row r="10" spans="2:11" ht="15.6" x14ac:dyDescent="0.3">
      <c r="B10" s="1044"/>
      <c r="C10" s="1041"/>
      <c r="D10" s="137"/>
      <c r="E10" s="137"/>
      <c r="F10" s="138" t="s">
        <v>289</v>
      </c>
      <c r="G10" s="344"/>
      <c r="H10" s="100" t="s">
        <v>229</v>
      </c>
    </row>
    <row r="11" spans="2:11" ht="15.6" x14ac:dyDescent="0.3">
      <c r="B11" s="1044"/>
      <c r="C11" s="1041"/>
      <c r="D11" s="137"/>
      <c r="E11" s="137" t="s">
        <v>398</v>
      </c>
      <c r="F11" s="138"/>
      <c r="G11" s="317"/>
      <c r="H11" s="100"/>
    </row>
    <row r="12" spans="2:11" ht="15.6" x14ac:dyDescent="0.3">
      <c r="B12" s="1045"/>
      <c r="C12" s="1042"/>
      <c r="D12" s="139"/>
      <c r="E12" s="139" t="s">
        <v>291</v>
      </c>
      <c r="F12" s="145"/>
      <c r="G12" s="318"/>
      <c r="H12" s="326"/>
    </row>
    <row r="13" spans="2:11" ht="15.6" x14ac:dyDescent="0.3">
      <c r="B13" s="1044">
        <v>2</v>
      </c>
      <c r="C13" s="1040" t="s">
        <v>419</v>
      </c>
      <c r="D13" s="140" t="s">
        <v>285</v>
      </c>
      <c r="E13" s="140"/>
      <c r="F13" s="135" t="s">
        <v>295</v>
      </c>
      <c r="G13" s="322"/>
      <c r="H13" s="325"/>
    </row>
    <row r="14" spans="2:11" ht="15.6" x14ac:dyDescent="0.3">
      <c r="B14" s="1044"/>
      <c r="C14" s="1041"/>
      <c r="D14" s="141"/>
      <c r="E14" s="141" t="s">
        <v>292</v>
      </c>
      <c r="F14" s="137" t="s">
        <v>296</v>
      </c>
      <c r="G14" s="165"/>
      <c r="H14" s="100"/>
    </row>
    <row r="15" spans="2:11" ht="15.6" x14ac:dyDescent="0.3">
      <c r="B15" s="1044"/>
      <c r="C15" s="1041"/>
      <c r="D15" s="141"/>
      <c r="E15" s="141" t="s">
        <v>338</v>
      </c>
      <c r="F15" s="137" t="s">
        <v>323</v>
      </c>
      <c r="G15" s="345"/>
      <c r="H15" s="100"/>
    </row>
    <row r="16" spans="2:11" ht="15.6" x14ac:dyDescent="0.3">
      <c r="B16" s="1044"/>
      <c r="C16" s="1041"/>
      <c r="D16" s="141"/>
      <c r="E16" s="141" t="s">
        <v>293</v>
      </c>
      <c r="F16" s="137" t="s">
        <v>324</v>
      </c>
      <c r="G16" s="314"/>
      <c r="H16" s="100"/>
    </row>
    <row r="17" spans="2:8" ht="15.6" x14ac:dyDescent="0.3">
      <c r="B17" s="1044"/>
      <c r="C17" s="1041"/>
      <c r="D17" s="141"/>
      <c r="E17" s="141" t="s">
        <v>297</v>
      </c>
      <c r="F17" s="137" t="s">
        <v>336</v>
      </c>
      <c r="G17" s="314"/>
      <c r="H17" s="100"/>
    </row>
    <row r="18" spans="2:8" ht="15.6" x14ac:dyDescent="0.3">
      <c r="B18" s="1044"/>
      <c r="C18" s="1041"/>
      <c r="D18" s="141"/>
      <c r="E18" s="141" t="s">
        <v>335</v>
      </c>
      <c r="F18" s="137" t="s">
        <v>337</v>
      </c>
      <c r="G18" s="314"/>
      <c r="H18" s="100"/>
    </row>
    <row r="19" spans="2:8" ht="15.6" x14ac:dyDescent="0.3">
      <c r="B19" s="1044"/>
      <c r="C19" s="1041"/>
      <c r="D19" s="141"/>
      <c r="E19" s="141" t="s">
        <v>339</v>
      </c>
      <c r="F19" s="137" t="s">
        <v>345</v>
      </c>
      <c r="G19" s="314"/>
      <c r="H19" s="100"/>
    </row>
    <row r="20" spans="2:8" ht="15.6" x14ac:dyDescent="0.3">
      <c r="B20" s="1044"/>
      <c r="C20" s="1041"/>
      <c r="D20" s="141"/>
      <c r="E20" s="141"/>
      <c r="F20" s="137" t="s">
        <v>346</v>
      </c>
      <c r="G20" s="314"/>
      <c r="H20" s="100"/>
    </row>
    <row r="21" spans="2:8" ht="15.6" x14ac:dyDescent="0.3">
      <c r="B21" s="1044"/>
      <c r="C21" s="1041"/>
      <c r="D21" s="141"/>
      <c r="E21" s="141"/>
      <c r="F21" s="137" t="s">
        <v>347</v>
      </c>
      <c r="G21" s="314"/>
      <c r="H21" s="100"/>
    </row>
    <row r="22" spans="2:8" ht="15.6" x14ac:dyDescent="0.3">
      <c r="B22" s="1044"/>
      <c r="C22" s="1041"/>
      <c r="D22" s="141" t="s">
        <v>317</v>
      </c>
      <c r="E22" s="141"/>
      <c r="F22" s="137"/>
      <c r="G22" s="314"/>
      <c r="H22" s="100"/>
    </row>
    <row r="23" spans="2:8" ht="15.6" x14ac:dyDescent="0.3">
      <c r="B23" s="1044"/>
      <c r="C23" s="1041"/>
      <c r="D23" s="141"/>
      <c r="E23" s="141" t="s">
        <v>318</v>
      </c>
      <c r="F23" s="137"/>
      <c r="G23" s="314"/>
      <c r="H23" s="100"/>
    </row>
    <row r="24" spans="2:8" ht="15.6" x14ac:dyDescent="0.3">
      <c r="B24" s="1044"/>
      <c r="C24" s="1041"/>
      <c r="D24" s="141"/>
      <c r="E24" s="141" t="s">
        <v>319</v>
      </c>
      <c r="F24" s="137"/>
      <c r="G24" s="314"/>
      <c r="H24" s="100"/>
    </row>
    <row r="25" spans="2:8" ht="15.6" x14ac:dyDescent="0.3">
      <c r="B25" s="1044"/>
      <c r="C25" s="1041"/>
      <c r="D25" s="141"/>
      <c r="E25" s="141" t="s">
        <v>390</v>
      </c>
      <c r="F25" s="137" t="s">
        <v>391</v>
      </c>
      <c r="G25" s="314"/>
      <c r="H25" s="100"/>
    </row>
    <row r="26" spans="2:8" ht="15.6" x14ac:dyDescent="0.3">
      <c r="B26" s="1044"/>
      <c r="C26" s="1041"/>
      <c r="D26" s="141"/>
      <c r="E26" s="141"/>
      <c r="F26" s="137" t="s">
        <v>392</v>
      </c>
      <c r="G26" s="314"/>
      <c r="H26" s="100"/>
    </row>
    <row r="27" spans="2:8" ht="15.6" x14ac:dyDescent="0.3">
      <c r="B27" s="1045"/>
      <c r="C27" s="1042"/>
      <c r="D27" s="142"/>
      <c r="E27" s="142" t="s">
        <v>434</v>
      </c>
      <c r="F27" s="139"/>
      <c r="G27" s="319"/>
      <c r="H27" s="326"/>
    </row>
    <row r="28" spans="2:8" ht="15.6" x14ac:dyDescent="0.3">
      <c r="B28" s="1043">
        <v>3</v>
      </c>
      <c r="C28" s="897" t="s">
        <v>316</v>
      </c>
      <c r="D28" s="135" t="s">
        <v>40</v>
      </c>
      <c r="E28" s="135"/>
      <c r="F28" s="136"/>
      <c r="G28" s="321"/>
      <c r="H28" s="325"/>
    </row>
    <row r="29" spans="2:8" ht="15.6" x14ac:dyDescent="0.3">
      <c r="B29" s="1044"/>
      <c r="C29" s="1039"/>
      <c r="D29" s="137"/>
      <c r="E29" s="137" t="s">
        <v>298</v>
      </c>
      <c r="F29" s="138" t="s">
        <v>301</v>
      </c>
      <c r="G29" s="317"/>
      <c r="H29" s="100"/>
    </row>
    <row r="30" spans="2:8" ht="15.6" x14ac:dyDescent="0.3">
      <c r="B30" s="1044"/>
      <c r="C30" s="1039"/>
      <c r="D30" s="137"/>
      <c r="E30" s="137" t="s">
        <v>299</v>
      </c>
      <c r="F30" s="138" t="s">
        <v>302</v>
      </c>
      <c r="G30" s="317"/>
      <c r="H30" s="100"/>
    </row>
    <row r="31" spans="2:8" ht="15.6" x14ac:dyDescent="0.3">
      <c r="B31" s="1044"/>
      <c r="C31" s="1039"/>
      <c r="D31" s="137"/>
      <c r="E31" s="137" t="s">
        <v>300</v>
      </c>
      <c r="F31" s="138" t="s">
        <v>303</v>
      </c>
      <c r="G31" s="317"/>
      <c r="H31" s="100"/>
    </row>
    <row r="32" spans="2:8" ht="15.6" x14ac:dyDescent="0.3">
      <c r="B32" s="1044"/>
      <c r="C32" s="1039"/>
      <c r="D32" s="137"/>
      <c r="E32" s="137" t="s">
        <v>363</v>
      </c>
      <c r="F32" s="138"/>
      <c r="G32" s="317"/>
      <c r="H32" s="100"/>
    </row>
    <row r="33" spans="2:8" ht="15.6" x14ac:dyDescent="0.3">
      <c r="B33" s="1044"/>
      <c r="C33" s="1039"/>
      <c r="D33" s="137" t="s">
        <v>405</v>
      </c>
      <c r="E33" s="137" t="s">
        <v>41</v>
      </c>
      <c r="F33" s="138"/>
      <c r="G33" s="317"/>
      <c r="H33" s="100"/>
    </row>
    <row r="34" spans="2:8" ht="15.6" x14ac:dyDescent="0.3">
      <c r="B34" s="1044"/>
      <c r="C34" s="1039"/>
      <c r="D34" s="137"/>
      <c r="E34" s="137" t="s">
        <v>331</v>
      </c>
      <c r="F34" s="138" t="s">
        <v>410</v>
      </c>
      <c r="G34" s="317"/>
      <c r="H34" s="100"/>
    </row>
    <row r="35" spans="2:8" ht="15.6" x14ac:dyDescent="0.3">
      <c r="B35" s="1044"/>
      <c r="C35" s="1039"/>
      <c r="D35" s="137"/>
      <c r="E35" s="137"/>
      <c r="F35" s="138" t="s">
        <v>411</v>
      </c>
      <c r="G35" s="317"/>
      <c r="H35" s="100"/>
    </row>
    <row r="36" spans="2:8" ht="15.6" x14ac:dyDescent="0.3">
      <c r="B36" s="1044"/>
      <c r="C36" s="1039"/>
      <c r="D36" s="137"/>
      <c r="E36" s="137" t="s">
        <v>406</v>
      </c>
      <c r="F36" s="138" t="s">
        <v>409</v>
      </c>
      <c r="G36" s="317"/>
      <c r="H36" s="100"/>
    </row>
    <row r="37" spans="2:8" ht="15.6" x14ac:dyDescent="0.3">
      <c r="B37" s="1044"/>
      <c r="C37" s="1039"/>
      <c r="D37" s="137" t="s">
        <v>414</v>
      </c>
      <c r="E37" s="137" t="s">
        <v>332</v>
      </c>
      <c r="F37" s="138"/>
      <c r="G37" s="317"/>
      <c r="H37" s="100"/>
    </row>
    <row r="38" spans="2:8" ht="15.6" x14ac:dyDescent="0.3">
      <c r="B38" s="1044"/>
      <c r="C38" s="1039"/>
      <c r="D38" s="137"/>
      <c r="E38" s="137" t="s">
        <v>349</v>
      </c>
      <c r="F38" s="138"/>
      <c r="G38" s="317"/>
      <c r="H38" s="100"/>
    </row>
    <row r="39" spans="2:8" ht="15.6" x14ac:dyDescent="0.3">
      <c r="B39" s="1044"/>
      <c r="C39" s="1039"/>
      <c r="D39" s="137" t="s">
        <v>408</v>
      </c>
      <c r="E39" s="137" t="s">
        <v>436</v>
      </c>
      <c r="F39" s="138"/>
      <c r="G39" s="317"/>
      <c r="H39" s="100"/>
    </row>
    <row r="40" spans="2:8" ht="15.6" x14ac:dyDescent="0.3">
      <c r="B40" s="1044"/>
      <c r="C40" s="1039"/>
      <c r="D40" s="137" t="s">
        <v>437</v>
      </c>
      <c r="E40" s="137"/>
      <c r="F40" s="138"/>
      <c r="G40" s="317"/>
      <c r="H40" s="100"/>
    </row>
    <row r="41" spans="2:8" ht="15.6" x14ac:dyDescent="0.3">
      <c r="B41" s="1044"/>
      <c r="C41" s="1039"/>
      <c r="D41" s="137"/>
      <c r="E41" s="137" t="s">
        <v>404</v>
      </c>
      <c r="F41" s="138"/>
      <c r="G41" s="317"/>
      <c r="H41" s="100"/>
    </row>
    <row r="42" spans="2:8" ht="15.6" x14ac:dyDescent="0.3">
      <c r="B42" s="1044"/>
      <c r="C42" s="1039"/>
      <c r="D42" s="137"/>
      <c r="E42" s="137" t="s">
        <v>407</v>
      </c>
      <c r="F42" s="138"/>
      <c r="G42" s="317"/>
      <c r="H42" s="100"/>
    </row>
    <row r="43" spans="2:8" ht="15.6" x14ac:dyDescent="0.3">
      <c r="B43" s="1044"/>
      <c r="C43" s="1039"/>
      <c r="D43" s="137" t="s">
        <v>375</v>
      </c>
      <c r="E43" s="137"/>
      <c r="F43" s="138"/>
      <c r="G43" s="317"/>
      <c r="H43" s="100"/>
    </row>
    <row r="44" spans="2:8" ht="15.6" x14ac:dyDescent="0.3">
      <c r="B44" s="1044"/>
      <c r="C44" s="1039"/>
      <c r="D44" s="137" t="s">
        <v>402</v>
      </c>
      <c r="E44" s="137"/>
      <c r="F44" s="138"/>
      <c r="G44" s="317"/>
      <c r="H44" s="100"/>
    </row>
    <row r="45" spans="2:8" ht="15.6" x14ac:dyDescent="0.3">
      <c r="B45" s="1044"/>
      <c r="C45" s="1039"/>
      <c r="D45" s="137" t="s">
        <v>403</v>
      </c>
      <c r="E45" s="137"/>
      <c r="F45" s="138"/>
      <c r="G45" s="317"/>
      <c r="H45" s="100"/>
    </row>
    <row r="46" spans="2:8" ht="15.6" x14ac:dyDescent="0.3">
      <c r="B46" s="1044"/>
      <c r="C46" s="1039"/>
      <c r="D46" s="137"/>
      <c r="E46" s="137" t="s">
        <v>400</v>
      </c>
      <c r="F46" s="138"/>
      <c r="G46" s="317"/>
      <c r="H46" s="100"/>
    </row>
    <row r="47" spans="2:8" ht="15.6" x14ac:dyDescent="0.3">
      <c r="B47" s="1044"/>
      <c r="C47" s="1039"/>
      <c r="D47" s="137"/>
      <c r="E47" s="137" t="s">
        <v>412</v>
      </c>
      <c r="F47" s="138"/>
      <c r="G47" s="317"/>
      <c r="H47" s="100"/>
    </row>
    <row r="48" spans="2:8" ht="15.6" x14ac:dyDescent="0.3">
      <c r="B48" s="1044"/>
      <c r="C48" s="1039"/>
      <c r="D48" s="137" t="s">
        <v>355</v>
      </c>
      <c r="E48" s="137"/>
      <c r="F48" s="138"/>
      <c r="G48" s="317"/>
      <c r="H48" s="100"/>
    </row>
    <row r="49" spans="2:8" ht="15.6" x14ac:dyDescent="0.3">
      <c r="B49" s="1044"/>
      <c r="C49" s="1039"/>
      <c r="D49" s="143"/>
      <c r="E49" s="137" t="s">
        <v>413</v>
      </c>
      <c r="F49" s="138"/>
      <c r="G49" s="317"/>
      <c r="H49" s="100"/>
    </row>
    <row r="50" spans="2:8" ht="15.6" x14ac:dyDescent="0.3">
      <c r="B50" s="1044"/>
      <c r="C50" s="1039"/>
      <c r="D50" s="143"/>
      <c r="E50" s="137" t="s">
        <v>401</v>
      </c>
      <c r="F50" s="138"/>
      <c r="G50" s="317"/>
      <c r="H50" s="100"/>
    </row>
    <row r="51" spans="2:8" ht="15.6" x14ac:dyDescent="0.3">
      <c r="B51" s="1045"/>
      <c r="C51" s="898"/>
      <c r="D51" s="340"/>
      <c r="E51" s="139" t="s">
        <v>364</v>
      </c>
      <c r="F51" s="145"/>
      <c r="G51" s="318"/>
      <c r="H51" s="326"/>
    </row>
    <row r="52" spans="2:8" ht="15.6" x14ac:dyDescent="0.3">
      <c r="B52" s="1043">
        <v>4</v>
      </c>
      <c r="C52" s="1046" t="s">
        <v>435</v>
      </c>
      <c r="D52" s="135" t="s">
        <v>344</v>
      </c>
      <c r="E52" s="140"/>
      <c r="F52" s="135"/>
      <c r="G52" s="321"/>
      <c r="H52" s="325"/>
    </row>
    <row r="53" spans="2:8" ht="15.6" x14ac:dyDescent="0.3">
      <c r="B53" s="1044"/>
      <c r="C53" s="1047"/>
      <c r="D53" s="137"/>
      <c r="E53" s="141" t="s">
        <v>307</v>
      </c>
      <c r="F53" s="137" t="s">
        <v>304</v>
      </c>
      <c r="G53" s="317"/>
      <c r="H53" s="100"/>
    </row>
    <row r="54" spans="2:8" ht="15.6" x14ac:dyDescent="0.3">
      <c r="B54" s="1044"/>
      <c r="C54" s="1047"/>
      <c r="D54" s="137"/>
      <c r="E54" s="141" t="s">
        <v>306</v>
      </c>
      <c r="F54" s="137" t="s">
        <v>305</v>
      </c>
      <c r="G54" s="317"/>
      <c r="H54" s="100"/>
    </row>
    <row r="55" spans="2:8" ht="15.6" x14ac:dyDescent="0.3">
      <c r="B55" s="1044"/>
      <c r="C55" s="1047"/>
      <c r="D55" s="137"/>
      <c r="E55" s="141" t="s">
        <v>429</v>
      </c>
      <c r="F55" s="137"/>
      <c r="G55" s="317"/>
      <c r="H55" s="100"/>
    </row>
    <row r="56" spans="2:8" ht="15.6" x14ac:dyDescent="0.3">
      <c r="B56" s="1044"/>
      <c r="C56" s="1047"/>
      <c r="D56" s="137" t="s">
        <v>343</v>
      </c>
      <c r="E56" s="141"/>
      <c r="F56" s="137"/>
      <c r="G56" s="317"/>
      <c r="H56" s="100"/>
    </row>
    <row r="57" spans="2:8" ht="15.6" x14ac:dyDescent="0.3">
      <c r="B57" s="1044"/>
      <c r="C57" s="1047"/>
      <c r="D57" s="137"/>
      <c r="E57" s="141" t="s">
        <v>307</v>
      </c>
      <c r="F57" s="137"/>
      <c r="G57" s="317"/>
      <c r="H57" s="100"/>
    </row>
    <row r="58" spans="2:8" ht="15.6" x14ac:dyDescent="0.3">
      <c r="B58" s="1044"/>
      <c r="C58" s="1047"/>
      <c r="D58" s="137" t="s">
        <v>430</v>
      </c>
      <c r="E58" s="341"/>
      <c r="F58" s="137"/>
      <c r="G58" s="317"/>
      <c r="H58" s="100"/>
    </row>
    <row r="59" spans="2:8" ht="15.6" x14ac:dyDescent="0.3">
      <c r="B59" s="1044"/>
      <c r="C59" s="1047"/>
      <c r="D59" s="137"/>
      <c r="E59" s="141" t="s">
        <v>423</v>
      </c>
      <c r="F59" s="137" t="s">
        <v>427</v>
      </c>
      <c r="G59" s="317"/>
      <c r="H59" s="100"/>
    </row>
    <row r="60" spans="2:8" ht="15.6" x14ac:dyDescent="0.3">
      <c r="B60" s="1044"/>
      <c r="C60" s="1047"/>
      <c r="D60" s="137"/>
      <c r="E60" s="141" t="s">
        <v>425</v>
      </c>
      <c r="F60" s="137" t="s">
        <v>200</v>
      </c>
      <c r="G60" s="317"/>
      <c r="H60" s="100"/>
    </row>
    <row r="61" spans="2:8" ht="15.6" x14ac:dyDescent="0.3">
      <c r="B61" s="1044"/>
      <c r="C61" s="1047"/>
      <c r="D61" s="137"/>
      <c r="E61" s="141" t="s">
        <v>424</v>
      </c>
      <c r="F61" s="137" t="s">
        <v>428</v>
      </c>
      <c r="G61" s="317"/>
      <c r="H61" s="100"/>
    </row>
    <row r="62" spans="2:8" ht="15.6" x14ac:dyDescent="0.3">
      <c r="B62" s="1044"/>
      <c r="C62" s="1047"/>
      <c r="D62" s="137" t="s">
        <v>631</v>
      </c>
      <c r="E62" s="141"/>
      <c r="F62" s="137"/>
      <c r="G62" s="317"/>
      <c r="H62" s="100"/>
    </row>
    <row r="63" spans="2:8" ht="15.6" x14ac:dyDescent="0.3">
      <c r="B63" s="1045"/>
      <c r="C63" s="1048"/>
      <c r="D63" s="139"/>
      <c r="E63" s="142"/>
      <c r="F63" s="139"/>
      <c r="G63" s="318"/>
      <c r="H63" s="326"/>
    </row>
    <row r="64" spans="2:8" ht="15.6" x14ac:dyDescent="0.3">
      <c r="B64" s="1043">
        <v>5</v>
      </c>
      <c r="C64" s="1040" t="s">
        <v>420</v>
      </c>
      <c r="D64" s="135" t="s">
        <v>328</v>
      </c>
      <c r="E64" s="135"/>
      <c r="F64" s="136"/>
      <c r="G64" s="321"/>
      <c r="H64" s="325"/>
    </row>
    <row r="65" spans="2:8" ht="15.6" x14ac:dyDescent="0.3">
      <c r="B65" s="1044"/>
      <c r="C65" s="1041"/>
      <c r="D65" s="137"/>
      <c r="E65" s="137" t="s">
        <v>308</v>
      </c>
      <c r="F65" s="138" t="s">
        <v>305</v>
      </c>
      <c r="G65" s="317"/>
      <c r="H65" s="100"/>
    </row>
    <row r="66" spans="2:8" ht="15.6" x14ac:dyDescent="0.3">
      <c r="B66" s="1044"/>
      <c r="C66" s="1041"/>
      <c r="D66" s="137"/>
      <c r="E66" s="137"/>
      <c r="F66" s="138" t="s">
        <v>310</v>
      </c>
      <c r="G66" s="317"/>
      <c r="H66" s="100"/>
    </row>
    <row r="67" spans="2:8" ht="15.6" x14ac:dyDescent="0.3">
      <c r="B67" s="1044"/>
      <c r="C67" s="1041"/>
      <c r="D67" s="137"/>
      <c r="E67" s="137" t="s">
        <v>309</v>
      </c>
      <c r="F67" s="143" t="s">
        <v>311</v>
      </c>
      <c r="G67" s="317"/>
      <c r="H67" s="100"/>
    </row>
    <row r="68" spans="2:8" ht="15.6" x14ac:dyDescent="0.3">
      <c r="B68" s="1044"/>
      <c r="C68" s="1041"/>
      <c r="D68" s="137"/>
      <c r="E68" s="137"/>
      <c r="F68" s="138" t="s">
        <v>260</v>
      </c>
      <c r="G68" s="317"/>
      <c r="H68" s="100"/>
    </row>
    <row r="69" spans="2:8" ht="15.6" x14ac:dyDescent="0.3">
      <c r="B69" s="1044"/>
      <c r="C69" s="1041"/>
      <c r="D69" s="137"/>
      <c r="E69" s="137" t="s">
        <v>334</v>
      </c>
      <c r="F69" s="138"/>
      <c r="G69" s="317"/>
      <c r="H69" s="100"/>
    </row>
    <row r="70" spans="2:8" ht="15.6" x14ac:dyDescent="0.3">
      <c r="B70" s="1044"/>
      <c r="C70" s="1041"/>
      <c r="D70" s="137" t="s">
        <v>418</v>
      </c>
      <c r="E70" s="137"/>
      <c r="F70" s="138"/>
      <c r="G70" s="317"/>
      <c r="H70" s="100"/>
    </row>
    <row r="71" spans="2:8" ht="15.6" x14ac:dyDescent="0.3">
      <c r="B71" s="1044"/>
      <c r="C71" s="1041"/>
      <c r="D71" s="137"/>
      <c r="E71" s="137" t="s">
        <v>291</v>
      </c>
      <c r="F71" s="138"/>
      <c r="G71" s="317"/>
      <c r="H71" s="100"/>
    </row>
    <row r="72" spans="2:8" ht="15.6" x14ac:dyDescent="0.3">
      <c r="B72" s="1044"/>
      <c r="C72" s="1041"/>
      <c r="D72" s="137" t="s">
        <v>393</v>
      </c>
      <c r="E72" s="137"/>
      <c r="F72" s="138"/>
      <c r="G72" s="317"/>
      <c r="H72" s="100"/>
    </row>
    <row r="73" spans="2:8" ht="15.6" x14ac:dyDescent="0.3">
      <c r="B73" s="1044"/>
      <c r="C73" s="1041"/>
      <c r="D73" s="137"/>
      <c r="E73" s="137" t="s">
        <v>394</v>
      </c>
      <c r="F73" s="138" t="s">
        <v>391</v>
      </c>
      <c r="G73" s="317"/>
      <c r="H73" s="100"/>
    </row>
    <row r="74" spans="2:8" ht="15.6" x14ac:dyDescent="0.3">
      <c r="B74" s="1044"/>
      <c r="C74" s="1041"/>
      <c r="D74" s="137"/>
      <c r="E74" s="137" t="s">
        <v>395</v>
      </c>
      <c r="F74" s="138" t="s">
        <v>396</v>
      </c>
      <c r="G74" s="317"/>
      <c r="H74" s="100"/>
    </row>
    <row r="75" spans="2:8" ht="15.6" x14ac:dyDescent="0.3">
      <c r="B75" s="1044"/>
      <c r="C75" s="1041"/>
      <c r="D75" s="137" t="s">
        <v>426</v>
      </c>
      <c r="E75" s="137"/>
      <c r="F75" s="138"/>
      <c r="G75" s="317"/>
      <c r="H75" s="100"/>
    </row>
    <row r="76" spans="2:8" ht="15.6" x14ac:dyDescent="0.3">
      <c r="B76" s="1044"/>
      <c r="C76" s="1041"/>
      <c r="D76" s="137"/>
      <c r="E76" s="137" t="s">
        <v>421</v>
      </c>
      <c r="F76" s="138"/>
      <c r="G76" s="317"/>
      <c r="H76" s="100"/>
    </row>
    <row r="77" spans="2:8" ht="15.6" x14ac:dyDescent="0.3">
      <c r="B77" s="1044"/>
      <c r="C77" s="1041"/>
      <c r="D77" s="137"/>
      <c r="E77" s="144"/>
      <c r="F77" s="138" t="s">
        <v>333</v>
      </c>
      <c r="G77" s="317"/>
      <c r="H77" s="100"/>
    </row>
    <row r="78" spans="2:8" ht="15.6" x14ac:dyDescent="0.3">
      <c r="B78" s="1044"/>
      <c r="C78" s="1041"/>
      <c r="D78" s="137"/>
      <c r="E78" s="144"/>
      <c r="F78" s="138" t="s">
        <v>433</v>
      </c>
      <c r="G78" s="317"/>
      <c r="H78" s="100"/>
    </row>
    <row r="79" spans="2:8" ht="15.6" x14ac:dyDescent="0.3">
      <c r="B79" s="1044"/>
      <c r="C79" s="1041"/>
      <c r="D79" s="137"/>
      <c r="E79" s="137" t="s">
        <v>422</v>
      </c>
      <c r="F79" s="138"/>
      <c r="G79" s="317"/>
      <c r="H79" s="100"/>
    </row>
    <row r="80" spans="2:8" ht="15.6" x14ac:dyDescent="0.3">
      <c r="B80" s="1044"/>
      <c r="C80" s="1041"/>
      <c r="D80" s="137"/>
      <c r="E80" s="137"/>
      <c r="F80" s="138"/>
      <c r="G80" s="317"/>
      <c r="H80" s="100"/>
    </row>
    <row r="81" spans="2:8" ht="15.6" x14ac:dyDescent="0.3">
      <c r="B81" s="1044"/>
      <c r="C81" s="1041"/>
      <c r="D81" s="137"/>
      <c r="E81" s="137"/>
      <c r="F81" s="138"/>
      <c r="G81" s="317"/>
      <c r="H81" s="100"/>
    </row>
    <row r="82" spans="2:8" ht="15.6" x14ac:dyDescent="0.3">
      <c r="B82" s="1044"/>
      <c r="C82" s="1041"/>
      <c r="D82" s="137"/>
      <c r="E82" s="137"/>
      <c r="F82" s="138"/>
      <c r="G82" s="317"/>
      <c r="H82" s="100"/>
    </row>
    <row r="83" spans="2:8" ht="15.6" x14ac:dyDescent="0.3">
      <c r="B83" s="1045"/>
      <c r="C83" s="1042"/>
      <c r="D83" s="139"/>
      <c r="E83" s="139"/>
      <c r="F83" s="145"/>
      <c r="G83" s="318"/>
      <c r="H83" s="326"/>
    </row>
    <row r="84" spans="2:8" ht="15.6" x14ac:dyDescent="0.3">
      <c r="B84" s="1043">
        <v>6</v>
      </c>
      <c r="C84" s="897" t="s">
        <v>431</v>
      </c>
      <c r="D84" s="135" t="s">
        <v>326</v>
      </c>
      <c r="E84" s="135"/>
      <c r="F84" s="136"/>
      <c r="G84" s="321"/>
      <c r="H84" s="325"/>
    </row>
    <row r="85" spans="2:8" ht="15.6" x14ac:dyDescent="0.3">
      <c r="B85" s="1044"/>
      <c r="C85" s="1039"/>
      <c r="D85" s="137"/>
      <c r="E85" s="137" t="s">
        <v>320</v>
      </c>
      <c r="F85" s="138" t="s">
        <v>321</v>
      </c>
      <c r="G85" s="317"/>
      <c r="H85" s="100"/>
    </row>
    <row r="86" spans="2:8" ht="15.6" x14ac:dyDescent="0.3">
      <c r="B86" s="1044"/>
      <c r="C86" s="1039"/>
      <c r="D86" s="137"/>
      <c r="E86" s="137"/>
      <c r="F86" s="138" t="s">
        <v>325</v>
      </c>
      <c r="G86" s="317"/>
      <c r="H86" s="100"/>
    </row>
    <row r="87" spans="2:8" ht="15.6" x14ac:dyDescent="0.3">
      <c r="B87" s="1044"/>
      <c r="C87" s="1039"/>
      <c r="D87" s="137" t="s">
        <v>327</v>
      </c>
      <c r="E87" s="137"/>
      <c r="F87" s="138"/>
      <c r="G87" s="317"/>
      <c r="H87" s="100"/>
    </row>
    <row r="88" spans="2:8" ht="15.6" x14ac:dyDescent="0.3">
      <c r="B88" s="1044"/>
      <c r="C88" s="1039"/>
      <c r="D88" s="137"/>
      <c r="E88" s="137" t="s">
        <v>322</v>
      </c>
      <c r="F88" s="138"/>
      <c r="G88" s="317"/>
      <c r="H88" s="100"/>
    </row>
    <row r="89" spans="2:8" ht="15.6" x14ac:dyDescent="0.3">
      <c r="B89" s="1044"/>
      <c r="C89" s="1039"/>
      <c r="D89" s="137"/>
      <c r="E89" s="137" t="s">
        <v>329</v>
      </c>
      <c r="F89" s="138"/>
      <c r="G89" s="317"/>
      <c r="H89" s="100"/>
    </row>
    <row r="90" spans="2:8" ht="15.6" x14ac:dyDescent="0.3">
      <c r="B90" s="1044"/>
      <c r="C90" s="1039"/>
      <c r="D90" s="137"/>
      <c r="E90" s="137" t="s">
        <v>389</v>
      </c>
      <c r="F90" s="138"/>
      <c r="G90" s="317"/>
      <c r="H90" s="100"/>
    </row>
    <row r="91" spans="2:8" ht="15.6" x14ac:dyDescent="0.3">
      <c r="B91" s="1044"/>
      <c r="C91" s="1039"/>
      <c r="D91" s="137"/>
      <c r="E91" s="137"/>
      <c r="F91" s="138" t="s">
        <v>432</v>
      </c>
      <c r="G91" s="317"/>
      <c r="H91" s="100"/>
    </row>
    <row r="92" spans="2:8" ht="15.6" x14ac:dyDescent="0.3">
      <c r="B92" s="1044"/>
      <c r="C92" s="1039"/>
      <c r="D92" s="137" t="s">
        <v>361</v>
      </c>
      <c r="E92" s="137"/>
      <c r="F92" s="138"/>
      <c r="G92" s="317"/>
      <c r="H92" s="100"/>
    </row>
    <row r="93" spans="2:8" ht="15.6" x14ac:dyDescent="0.3">
      <c r="B93" s="1044"/>
      <c r="C93" s="1039"/>
      <c r="D93" s="137"/>
      <c r="E93" s="137" t="s">
        <v>362</v>
      </c>
      <c r="F93" s="138" t="s">
        <v>366</v>
      </c>
      <c r="G93" s="317"/>
      <c r="H93" s="100"/>
    </row>
    <row r="94" spans="2:8" ht="15.6" x14ac:dyDescent="0.3">
      <c r="B94" s="1044"/>
      <c r="C94" s="1039"/>
      <c r="D94" s="137"/>
      <c r="E94" s="137"/>
      <c r="F94" s="138" t="s">
        <v>367</v>
      </c>
      <c r="G94" s="317"/>
      <c r="H94" s="100"/>
    </row>
    <row r="95" spans="2:8" ht="15.6" x14ac:dyDescent="0.3">
      <c r="B95" s="1044"/>
      <c r="C95" s="1039"/>
      <c r="D95" s="137" t="s">
        <v>368</v>
      </c>
      <c r="E95" s="137"/>
      <c r="F95" s="138"/>
      <c r="G95" s="317"/>
      <c r="H95" s="100"/>
    </row>
    <row r="96" spans="2:8" ht="15.6" x14ac:dyDescent="0.3">
      <c r="B96" s="1044"/>
      <c r="C96" s="1039"/>
      <c r="D96" s="137"/>
      <c r="E96" s="137" t="s">
        <v>369</v>
      </c>
      <c r="F96" s="138" t="s">
        <v>371</v>
      </c>
      <c r="G96" s="317"/>
      <c r="H96" s="100"/>
    </row>
    <row r="97" spans="2:8" ht="15.6" x14ac:dyDescent="0.3">
      <c r="B97" s="1044"/>
      <c r="C97" s="1039"/>
      <c r="D97" s="137"/>
      <c r="E97" s="137" t="s">
        <v>370</v>
      </c>
      <c r="F97" s="138" t="s">
        <v>372</v>
      </c>
      <c r="G97" s="317"/>
      <c r="H97" s="100"/>
    </row>
    <row r="98" spans="2:8" ht="15.6" x14ac:dyDescent="0.3">
      <c r="B98" s="1044"/>
      <c r="C98" s="1039"/>
      <c r="D98" s="137"/>
      <c r="E98" s="137"/>
      <c r="F98" s="138" t="s">
        <v>373</v>
      </c>
      <c r="G98" s="317"/>
      <c r="H98" s="100"/>
    </row>
    <row r="99" spans="2:8" ht="15.6" x14ac:dyDescent="0.3">
      <c r="B99" s="1045"/>
      <c r="C99" s="898"/>
      <c r="D99" s="139"/>
      <c r="E99" s="139" t="s">
        <v>374</v>
      </c>
      <c r="F99" s="145"/>
      <c r="G99" s="318"/>
      <c r="H99" s="326"/>
    </row>
    <row r="100" spans="2:8" ht="15.6" x14ac:dyDescent="0.3">
      <c r="B100" s="850">
        <v>7</v>
      </c>
      <c r="C100" s="1039" t="s">
        <v>415</v>
      </c>
      <c r="D100" s="137"/>
      <c r="E100" s="137"/>
      <c r="F100" s="138"/>
      <c r="G100" s="317"/>
      <c r="H100" s="100"/>
    </row>
    <row r="101" spans="2:8" ht="15.6" x14ac:dyDescent="0.3">
      <c r="B101" s="1015"/>
      <c r="C101" s="1039"/>
      <c r="D101" s="137" t="s">
        <v>377</v>
      </c>
      <c r="E101" s="146" t="s">
        <v>378</v>
      </c>
      <c r="F101" s="138"/>
      <c r="G101" s="317"/>
      <c r="H101" s="100"/>
    </row>
    <row r="102" spans="2:8" ht="15.6" x14ac:dyDescent="0.3">
      <c r="B102" s="1015"/>
      <c r="C102" s="1039"/>
      <c r="D102" s="137"/>
      <c r="E102" s="137" t="s">
        <v>397</v>
      </c>
      <c r="F102" s="138" t="s">
        <v>381</v>
      </c>
      <c r="G102" s="317"/>
      <c r="H102" s="100"/>
    </row>
    <row r="103" spans="2:8" ht="15.6" x14ac:dyDescent="0.3">
      <c r="B103" s="1015"/>
      <c r="C103" s="1039"/>
      <c r="D103" s="137" t="s">
        <v>382</v>
      </c>
      <c r="E103" s="137"/>
      <c r="F103" s="138"/>
      <c r="G103" s="317"/>
      <c r="H103" s="100"/>
    </row>
    <row r="104" spans="2:8" ht="15.6" x14ac:dyDescent="0.3">
      <c r="B104" s="1015"/>
      <c r="C104" s="1039"/>
      <c r="D104" s="137"/>
      <c r="E104" s="146" t="s">
        <v>379</v>
      </c>
      <c r="F104" s="138" t="s">
        <v>416</v>
      </c>
      <c r="G104" s="317"/>
      <c r="H104" s="100"/>
    </row>
    <row r="105" spans="2:8" ht="15.6" x14ac:dyDescent="0.3">
      <c r="B105" s="1015"/>
      <c r="C105" s="1039"/>
      <c r="D105" s="137"/>
      <c r="E105" s="137" t="s">
        <v>383</v>
      </c>
      <c r="F105" s="138" t="s">
        <v>417</v>
      </c>
      <c r="G105" s="317"/>
      <c r="H105" s="100"/>
    </row>
    <row r="106" spans="2:8" ht="15.6" x14ac:dyDescent="0.3">
      <c r="B106" s="1015"/>
      <c r="C106" s="1039"/>
      <c r="D106" s="137"/>
      <c r="E106" s="137" t="s">
        <v>365</v>
      </c>
      <c r="F106" s="138"/>
      <c r="G106" s="317"/>
      <c r="H106" s="100"/>
    </row>
    <row r="107" spans="2:8" ht="15.6" x14ac:dyDescent="0.3">
      <c r="B107" s="1015"/>
      <c r="C107" s="1039"/>
      <c r="D107" s="137" t="s">
        <v>380</v>
      </c>
      <c r="E107" s="137"/>
      <c r="F107" s="138"/>
      <c r="G107" s="317"/>
      <c r="H107" s="100"/>
    </row>
    <row r="108" spans="2:8" ht="15.6" x14ac:dyDescent="0.3">
      <c r="B108" s="1015"/>
      <c r="C108" s="1039"/>
      <c r="D108" s="137"/>
      <c r="E108" s="137" t="s">
        <v>387</v>
      </c>
      <c r="F108" s="138"/>
      <c r="G108" s="317"/>
      <c r="H108" s="100"/>
    </row>
    <row r="109" spans="2:8" ht="15.6" x14ac:dyDescent="0.3">
      <c r="B109" s="1015"/>
      <c r="C109" s="1039"/>
      <c r="D109" s="137"/>
      <c r="E109" s="137" t="s">
        <v>399</v>
      </c>
      <c r="F109" s="138"/>
      <c r="G109" s="317"/>
      <c r="H109" s="100"/>
    </row>
    <row r="110" spans="2:8" ht="15.6" x14ac:dyDescent="0.3">
      <c r="B110" s="1015"/>
      <c r="C110" s="1039"/>
      <c r="D110" s="137" t="s">
        <v>385</v>
      </c>
      <c r="E110" s="144"/>
      <c r="F110" s="138"/>
      <c r="G110" s="317"/>
      <c r="H110" s="100"/>
    </row>
    <row r="111" spans="2:8" ht="15.6" x14ac:dyDescent="0.3">
      <c r="B111" s="1015"/>
      <c r="C111" s="1039"/>
      <c r="D111" s="137"/>
      <c r="E111" s="137" t="s">
        <v>384</v>
      </c>
      <c r="F111" s="138"/>
      <c r="G111" s="317"/>
      <c r="H111" s="100"/>
    </row>
    <row r="112" spans="2:8" ht="15.6" x14ac:dyDescent="0.3">
      <c r="B112" s="1015"/>
      <c r="C112" s="1039"/>
      <c r="D112" s="137"/>
      <c r="E112" s="137" t="s">
        <v>386</v>
      </c>
      <c r="F112" s="138"/>
      <c r="G112" s="317"/>
      <c r="H112" s="100"/>
    </row>
    <row r="113" spans="2:8" ht="15.6" x14ac:dyDescent="0.3">
      <c r="B113" s="853"/>
      <c r="C113" s="898"/>
      <c r="D113" s="139"/>
      <c r="E113" s="139" t="s">
        <v>388</v>
      </c>
      <c r="F113" s="145"/>
      <c r="G113" s="318"/>
      <c r="H113" s="326"/>
    </row>
    <row r="117" spans="2:8" x14ac:dyDescent="0.3">
      <c r="C117" t="s">
        <v>312</v>
      </c>
      <c r="D117" t="s">
        <v>464</v>
      </c>
      <c r="E117" s="252" t="s">
        <v>477</v>
      </c>
      <c r="F117" s="338" t="s">
        <v>315</v>
      </c>
      <c r="G117" s="250" t="s">
        <v>637</v>
      </c>
      <c r="H117" s="250" t="s">
        <v>638</v>
      </c>
    </row>
    <row r="118" spans="2:8" x14ac:dyDescent="0.3">
      <c r="C118" s="250" t="str">
        <f>+C6</f>
        <v>Oxidant Stream</v>
      </c>
      <c r="D118" s="250" t="s">
        <v>487</v>
      </c>
      <c r="E118" s="165" t="s">
        <v>478</v>
      </c>
      <c r="F118" s="324">
        <v>1995</v>
      </c>
      <c r="G118" s="250">
        <v>1</v>
      </c>
      <c r="H118" s="250">
        <v>1</v>
      </c>
    </row>
    <row r="119" spans="2:8" x14ac:dyDescent="0.3">
      <c r="C119" s="250" t="str">
        <f>+C13</f>
        <v>Primary Conversion</v>
      </c>
      <c r="D119" s="253" t="s">
        <v>456</v>
      </c>
      <c r="E119" s="165" t="s">
        <v>479</v>
      </c>
      <c r="F119" s="116">
        <v>1996</v>
      </c>
      <c r="G119" s="250">
        <v>2</v>
      </c>
      <c r="H119" s="250">
        <v>2</v>
      </c>
    </row>
    <row r="120" spans="2:8" x14ac:dyDescent="0.3">
      <c r="C120" s="250" t="str">
        <f>+C28</f>
        <v>Power Generation</v>
      </c>
      <c r="D120" s="250"/>
      <c r="E120" s="165" t="s">
        <v>480</v>
      </c>
      <c r="F120" s="116">
        <v>1997</v>
      </c>
      <c r="G120" s="250">
        <v>3</v>
      </c>
      <c r="H120" s="250">
        <v>3</v>
      </c>
    </row>
    <row r="121" spans="2:8" x14ac:dyDescent="0.3">
      <c r="C121" s="250" t="str">
        <f>+C64</f>
        <v>Secondary Conversion</v>
      </c>
      <c r="D121" s="250"/>
      <c r="E121" s="165" t="s">
        <v>481</v>
      </c>
      <c r="F121" s="116">
        <v>1998</v>
      </c>
      <c r="G121" s="250">
        <v>4</v>
      </c>
      <c r="H121" s="250">
        <v>4</v>
      </c>
    </row>
    <row r="122" spans="2:8" x14ac:dyDescent="0.3">
      <c r="C122" s="250" t="str">
        <f>+C84</f>
        <v>Contaminant Removal</v>
      </c>
      <c r="D122" s="250"/>
      <c r="E122" s="165" t="s">
        <v>482</v>
      </c>
      <c r="F122" s="116">
        <v>1999</v>
      </c>
      <c r="G122" s="250"/>
      <c r="H122" s="250">
        <v>5</v>
      </c>
    </row>
    <row r="123" spans="2:8" x14ac:dyDescent="0.3">
      <c r="C123" s="250" t="str">
        <f>+C100</f>
        <v>Energy Storage</v>
      </c>
      <c r="D123" s="250"/>
      <c r="E123" s="165" t="s">
        <v>488</v>
      </c>
      <c r="F123" s="116">
        <v>2000</v>
      </c>
      <c r="G123" s="250"/>
      <c r="H123" s="250">
        <v>6</v>
      </c>
    </row>
    <row r="124" spans="2:8" x14ac:dyDescent="0.3">
      <c r="C124" s="250" t="s">
        <v>435</v>
      </c>
      <c r="D124" s="250"/>
      <c r="E124" s="165" t="s">
        <v>600</v>
      </c>
      <c r="F124" s="116">
        <v>2001</v>
      </c>
      <c r="G124" s="250"/>
      <c r="H124" s="250">
        <v>7</v>
      </c>
    </row>
    <row r="125" spans="2:8" x14ac:dyDescent="0.3">
      <c r="C125" s="250"/>
      <c r="D125" s="250"/>
      <c r="E125" s="165" t="s">
        <v>483</v>
      </c>
      <c r="F125" s="116">
        <v>2002</v>
      </c>
      <c r="G125" s="250"/>
      <c r="H125" s="250">
        <v>8</v>
      </c>
    </row>
    <row r="126" spans="2:8" x14ac:dyDescent="0.3">
      <c r="C126" s="250"/>
      <c r="D126" s="250"/>
      <c r="E126" s="165" t="s">
        <v>602</v>
      </c>
      <c r="F126" s="116">
        <v>2003</v>
      </c>
      <c r="G126" s="250"/>
      <c r="H126" s="250">
        <v>9</v>
      </c>
    </row>
    <row r="127" spans="2:8" x14ac:dyDescent="0.3">
      <c r="C127" s="250"/>
      <c r="D127" s="250"/>
      <c r="E127" s="165" t="s">
        <v>484</v>
      </c>
      <c r="F127" s="116">
        <v>2004</v>
      </c>
      <c r="G127" s="250"/>
      <c r="H127" s="250">
        <v>10</v>
      </c>
    </row>
    <row r="128" spans="2:8" x14ac:dyDescent="0.3">
      <c r="E128" s="333" t="s">
        <v>601</v>
      </c>
      <c r="F128" s="116">
        <v>2005</v>
      </c>
      <c r="G128" s="250"/>
      <c r="H128" s="250">
        <v>11</v>
      </c>
    </row>
    <row r="129" spans="5:8" x14ac:dyDescent="0.3">
      <c r="E129" s="333" t="s">
        <v>625</v>
      </c>
      <c r="F129" s="116">
        <v>2006</v>
      </c>
      <c r="G129" s="250"/>
      <c r="H129" s="250">
        <v>12</v>
      </c>
    </row>
    <row r="130" spans="5:8" x14ac:dyDescent="0.3">
      <c r="E130" s="333" t="s">
        <v>597</v>
      </c>
      <c r="F130" s="116">
        <v>2007</v>
      </c>
      <c r="G130" s="250"/>
      <c r="H130" s="250">
        <v>13</v>
      </c>
    </row>
    <row r="131" spans="5:8" x14ac:dyDescent="0.3">
      <c r="E131" s="333" t="s">
        <v>598</v>
      </c>
      <c r="F131" s="116">
        <v>2008</v>
      </c>
      <c r="G131" s="250"/>
      <c r="H131" s="250">
        <v>14</v>
      </c>
    </row>
    <row r="132" spans="5:8" x14ac:dyDescent="0.3">
      <c r="E132" s="333" t="s">
        <v>599</v>
      </c>
      <c r="F132" s="116">
        <v>2009</v>
      </c>
      <c r="G132" s="250"/>
      <c r="H132" s="250">
        <v>15</v>
      </c>
    </row>
    <row r="133" spans="5:8" x14ac:dyDescent="0.3">
      <c r="F133" s="116">
        <v>2010</v>
      </c>
      <c r="G133" s="250"/>
      <c r="H133" s="250">
        <v>16</v>
      </c>
    </row>
    <row r="134" spans="5:8" x14ac:dyDescent="0.3">
      <c r="F134" s="116">
        <v>2011</v>
      </c>
      <c r="G134" s="250"/>
      <c r="H134" s="250">
        <v>17</v>
      </c>
    </row>
    <row r="135" spans="5:8" x14ac:dyDescent="0.3">
      <c r="F135" s="116">
        <v>2012</v>
      </c>
      <c r="G135" s="250"/>
      <c r="H135" s="250">
        <v>18</v>
      </c>
    </row>
    <row r="136" spans="5:8" x14ac:dyDescent="0.3">
      <c r="F136" s="116">
        <v>2013</v>
      </c>
      <c r="G136" s="250"/>
      <c r="H136" s="250">
        <v>19</v>
      </c>
    </row>
    <row r="137" spans="5:8" x14ac:dyDescent="0.3">
      <c r="F137" s="116">
        <v>2014</v>
      </c>
      <c r="G137" s="250"/>
      <c r="H137" s="250">
        <v>20</v>
      </c>
    </row>
    <row r="138" spans="5:8" x14ac:dyDescent="0.3">
      <c r="F138" s="116">
        <v>2015</v>
      </c>
      <c r="G138" s="250"/>
      <c r="H138" s="250">
        <v>21</v>
      </c>
    </row>
    <row r="139" spans="5:8" x14ac:dyDescent="0.3">
      <c r="F139" s="116">
        <v>2016</v>
      </c>
      <c r="G139" s="250"/>
      <c r="H139" s="250">
        <v>22</v>
      </c>
    </row>
    <row r="140" spans="5:8" x14ac:dyDescent="0.3">
      <c r="F140" s="116">
        <v>2017</v>
      </c>
      <c r="G140" s="250"/>
      <c r="H140" s="250">
        <v>23</v>
      </c>
    </row>
    <row r="141" spans="5:8" x14ac:dyDescent="0.3">
      <c r="F141" s="116">
        <v>2018</v>
      </c>
      <c r="G141" s="250"/>
      <c r="H141" s="250">
        <v>24</v>
      </c>
    </row>
    <row r="142" spans="5:8" x14ac:dyDescent="0.3">
      <c r="F142" s="116">
        <v>2019</v>
      </c>
      <c r="G142" s="250"/>
      <c r="H142" s="250">
        <v>25</v>
      </c>
    </row>
    <row r="143" spans="5:8" x14ac:dyDescent="0.3">
      <c r="F143" s="116">
        <v>2020</v>
      </c>
      <c r="G143" s="250"/>
      <c r="H143" s="250">
        <v>26</v>
      </c>
    </row>
    <row r="144" spans="5:8" x14ac:dyDescent="0.3">
      <c r="F144" s="116">
        <v>2021</v>
      </c>
      <c r="G144" s="250"/>
      <c r="H144" s="250">
        <v>27</v>
      </c>
    </row>
    <row r="145" spans="6:8" x14ac:dyDescent="0.3">
      <c r="F145" s="116">
        <v>2022</v>
      </c>
      <c r="G145" s="250"/>
      <c r="H145" s="250">
        <v>28</v>
      </c>
    </row>
    <row r="146" spans="6:8" x14ac:dyDescent="0.3">
      <c r="F146" s="116">
        <v>2023</v>
      </c>
      <c r="G146" s="250"/>
      <c r="H146" s="250">
        <v>29</v>
      </c>
    </row>
    <row r="147" spans="6:8" x14ac:dyDescent="0.3">
      <c r="F147" s="116">
        <v>2024</v>
      </c>
      <c r="G147" s="250"/>
      <c r="H147" s="250">
        <v>30</v>
      </c>
    </row>
    <row r="148" spans="6:8" x14ac:dyDescent="0.3">
      <c r="F148" s="116">
        <v>2025</v>
      </c>
      <c r="G148" s="250"/>
      <c r="H148" s="250">
        <v>31</v>
      </c>
    </row>
    <row r="149" spans="6:8" x14ac:dyDescent="0.3">
      <c r="F149" s="116">
        <v>2026</v>
      </c>
      <c r="G149" s="250"/>
      <c r="H149" s="250">
        <v>32</v>
      </c>
    </row>
    <row r="150" spans="6:8" x14ac:dyDescent="0.3">
      <c r="F150" s="116">
        <v>2027</v>
      </c>
      <c r="G150" s="250"/>
      <c r="H150" s="250">
        <v>33</v>
      </c>
    </row>
    <row r="151" spans="6:8" x14ac:dyDescent="0.3">
      <c r="F151" s="116">
        <v>2028</v>
      </c>
      <c r="G151" s="250"/>
      <c r="H151" s="250">
        <v>34</v>
      </c>
    </row>
    <row r="152" spans="6:8" x14ac:dyDescent="0.3">
      <c r="F152" s="116">
        <v>2029</v>
      </c>
      <c r="G152" s="250"/>
      <c r="H152" s="250">
        <v>35</v>
      </c>
    </row>
    <row r="153" spans="6:8" x14ac:dyDescent="0.3">
      <c r="F153" s="116">
        <v>2030</v>
      </c>
      <c r="G153" s="250"/>
      <c r="H153" s="250">
        <v>36</v>
      </c>
    </row>
    <row r="154" spans="6:8" x14ac:dyDescent="0.3">
      <c r="F154" s="116">
        <v>2031</v>
      </c>
      <c r="G154" s="250"/>
      <c r="H154" s="250">
        <v>37</v>
      </c>
    </row>
    <row r="155" spans="6:8" x14ac:dyDescent="0.3">
      <c r="F155" s="116">
        <v>2032</v>
      </c>
      <c r="G155" s="250"/>
      <c r="H155" s="250">
        <v>38</v>
      </c>
    </row>
    <row r="156" spans="6:8" x14ac:dyDescent="0.3">
      <c r="F156" s="116">
        <v>2033</v>
      </c>
      <c r="G156" s="250"/>
      <c r="H156" s="250">
        <v>39</v>
      </c>
    </row>
    <row r="157" spans="6:8" x14ac:dyDescent="0.3">
      <c r="F157" s="116">
        <v>2034</v>
      </c>
      <c r="G157" s="250"/>
      <c r="H157" s="250">
        <v>40</v>
      </c>
    </row>
    <row r="158" spans="6:8" x14ac:dyDescent="0.3">
      <c r="F158" s="116">
        <v>2035</v>
      </c>
    </row>
    <row r="159" spans="6:8" x14ac:dyDescent="0.3">
      <c r="F159" s="116">
        <v>2036</v>
      </c>
    </row>
    <row r="160" spans="6:8" x14ac:dyDescent="0.3">
      <c r="F160" s="116">
        <v>2037</v>
      </c>
    </row>
    <row r="161" spans="6:6" x14ac:dyDescent="0.3">
      <c r="F161" s="116">
        <v>2038</v>
      </c>
    </row>
    <row r="162" spans="6:6" x14ac:dyDescent="0.3">
      <c r="F162" s="116">
        <v>2039</v>
      </c>
    </row>
    <row r="163" spans="6:6" x14ac:dyDescent="0.3">
      <c r="F163" s="116">
        <v>2040</v>
      </c>
    </row>
  </sheetData>
  <mergeCells count="15">
    <mergeCell ref="B2:F2"/>
    <mergeCell ref="B100:B113"/>
    <mergeCell ref="C100:C113"/>
    <mergeCell ref="C64:C83"/>
    <mergeCell ref="B64:B83"/>
    <mergeCell ref="B84:B99"/>
    <mergeCell ref="C84:C99"/>
    <mergeCell ref="B6:B12"/>
    <mergeCell ref="B13:B27"/>
    <mergeCell ref="B52:B63"/>
    <mergeCell ref="C28:C51"/>
    <mergeCell ref="B28:B51"/>
    <mergeCell ref="C6:C12"/>
    <mergeCell ref="C13:C27"/>
    <mergeCell ref="C52:C63"/>
  </mergeCells>
  <pageMargins left="0.7" right="0.7" top="0.75" bottom="0.75" header="0.3" footer="0.3"/>
  <legacyDrawing r:id="rId1"/>
  <tableParts count="6">
    <tablePart r:id="rId2"/>
    <tablePart r:id="rId3"/>
    <tablePart r:id="rId4"/>
    <tablePart r:id="rId5"/>
    <tablePart r:id="rId6"/>
    <tablePart r:id="rId7"/>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25DC0-6ED4-4470-ACD3-EB9BFE1EB371}">
  <sheetPr codeName="Hoja27"/>
  <dimension ref="A1:IG507"/>
  <sheetViews>
    <sheetView showGridLines="0" topLeftCell="A184" zoomScale="85" zoomScaleNormal="85" workbookViewId="0">
      <selection activeCell="H139" sqref="H139"/>
    </sheetView>
  </sheetViews>
  <sheetFormatPr defaultColWidth="11.109375" defaultRowHeight="14.4" x14ac:dyDescent="0.3"/>
  <cols>
    <col min="2" max="2" width="52.109375" bestFit="1" customWidth="1"/>
  </cols>
  <sheetData>
    <row r="1" spans="1:24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c r="DD1" s="83"/>
      <c r="DE1" s="83"/>
      <c r="DF1" s="83"/>
      <c r="DG1" s="83"/>
      <c r="DH1" s="83"/>
      <c r="DI1" s="83"/>
      <c r="DJ1" s="83"/>
      <c r="DK1" s="83"/>
      <c r="DL1" s="83"/>
      <c r="DM1" s="83"/>
      <c r="DN1" s="83"/>
      <c r="DO1" s="83"/>
      <c r="DP1" s="83"/>
      <c r="DQ1" s="83"/>
      <c r="DR1" s="83"/>
      <c r="DS1" s="83"/>
      <c r="DT1" s="83"/>
      <c r="DU1" s="83"/>
      <c r="DV1" s="83"/>
      <c r="DW1" s="83"/>
      <c r="DX1" s="83"/>
      <c r="DY1" s="83"/>
      <c r="DZ1" s="83"/>
      <c r="EA1" s="83"/>
      <c r="EB1" s="83"/>
      <c r="EC1" s="83"/>
      <c r="ED1" s="83"/>
      <c r="EE1" s="83"/>
      <c r="EF1" s="83"/>
      <c r="EG1" s="83"/>
      <c r="EH1" s="83"/>
      <c r="EI1" s="83"/>
      <c r="EJ1" s="83"/>
      <c r="EK1" s="83"/>
      <c r="EL1" s="83"/>
      <c r="EM1" s="83"/>
      <c r="EN1" s="83"/>
      <c r="EO1" s="83"/>
      <c r="EP1" s="83"/>
      <c r="EQ1" s="83"/>
      <c r="ER1" s="83"/>
      <c r="ES1" s="83"/>
      <c r="ET1" s="83"/>
      <c r="EU1" s="83"/>
      <c r="EV1" s="83"/>
      <c r="EW1" s="83"/>
      <c r="EX1" s="83"/>
      <c r="EY1" s="83"/>
      <c r="EZ1" s="83"/>
      <c r="FA1" s="83"/>
      <c r="FB1" s="83"/>
      <c r="FC1" s="83"/>
      <c r="FD1" s="83"/>
      <c r="FE1" s="83"/>
      <c r="FF1" s="83"/>
      <c r="FG1" s="83"/>
      <c r="FH1" s="83"/>
      <c r="FI1" s="83"/>
      <c r="FJ1" s="83"/>
      <c r="FK1" s="83"/>
      <c r="FL1" s="83"/>
      <c r="FM1" s="83"/>
      <c r="FN1" s="83"/>
      <c r="FO1" s="83"/>
      <c r="FP1" s="83"/>
      <c r="FQ1" s="83"/>
      <c r="FR1" s="83"/>
      <c r="FS1" s="83"/>
      <c r="FT1" s="83"/>
      <c r="FU1" s="83"/>
      <c r="FV1" s="83"/>
      <c r="FW1" s="83"/>
      <c r="FX1" s="83"/>
      <c r="FY1" s="83"/>
      <c r="FZ1" s="83"/>
      <c r="GA1" s="83"/>
      <c r="GB1" s="83"/>
      <c r="GC1" s="83"/>
      <c r="GD1" s="83"/>
      <c r="GE1" s="83"/>
      <c r="GF1" s="83"/>
      <c r="GG1" s="83"/>
      <c r="GH1" s="83"/>
      <c r="GI1" s="83"/>
      <c r="GJ1" s="83"/>
      <c r="GK1" s="83"/>
      <c r="GL1" s="83"/>
      <c r="GM1" s="83"/>
      <c r="GN1" s="83"/>
      <c r="GO1" s="83"/>
      <c r="GP1" s="83"/>
      <c r="GQ1" s="83"/>
      <c r="GR1" s="83"/>
      <c r="GS1" s="83"/>
      <c r="GT1" s="83"/>
      <c r="GU1" s="83"/>
      <c r="GV1" s="83"/>
      <c r="GW1" s="83"/>
      <c r="GX1" s="83"/>
      <c r="GY1" s="83"/>
      <c r="GZ1" s="83"/>
      <c r="HA1" s="83"/>
      <c r="HB1" s="83"/>
      <c r="HC1" s="83"/>
      <c r="HD1" s="83"/>
      <c r="HE1" s="83"/>
      <c r="HF1" s="83"/>
      <c r="HG1" s="83"/>
      <c r="HH1" s="83"/>
      <c r="HI1" s="83"/>
      <c r="HJ1" s="83"/>
      <c r="HK1" s="83"/>
      <c r="HL1" s="83"/>
      <c r="HM1" s="83"/>
      <c r="HN1" s="83"/>
      <c r="HO1" s="83"/>
      <c r="HP1" s="83"/>
      <c r="HQ1" s="83"/>
      <c r="HR1" s="83"/>
      <c r="HS1" s="83"/>
      <c r="HT1" s="83"/>
      <c r="HU1" s="83"/>
      <c r="HV1" s="83"/>
      <c r="HW1" s="83"/>
      <c r="HX1" s="83"/>
      <c r="HY1" s="83"/>
      <c r="HZ1" s="83"/>
      <c r="IA1" s="83"/>
      <c r="IB1" s="83"/>
      <c r="IC1" s="83"/>
      <c r="ID1" s="83"/>
      <c r="IE1" s="83"/>
      <c r="IF1" s="83"/>
      <c r="IG1" s="83"/>
    </row>
    <row r="2" spans="1:241" x14ac:dyDescent="0.3">
      <c r="A2" s="83"/>
      <c r="B2" s="2" t="s">
        <v>241</v>
      </c>
      <c r="C2" s="1"/>
      <c r="D2" s="1"/>
      <c r="E2" s="1"/>
      <c r="F2" s="1"/>
      <c r="G2" s="1"/>
      <c r="H2" s="1"/>
      <c r="I2" s="1"/>
      <c r="J2" s="1"/>
      <c r="K2" s="1"/>
      <c r="L2" s="1"/>
      <c r="M2" s="1"/>
      <c r="N2" s="1"/>
      <c r="O2" s="1"/>
      <c r="P2" s="1"/>
      <c r="Q2" s="1"/>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c r="DD2" s="83"/>
      <c r="DE2" s="83"/>
      <c r="DF2" s="83"/>
      <c r="DG2" s="83"/>
      <c r="DH2" s="83"/>
      <c r="DI2" s="83"/>
      <c r="DJ2" s="83"/>
      <c r="DK2" s="83"/>
      <c r="DL2" s="83"/>
      <c r="DM2" s="83"/>
      <c r="DN2" s="83"/>
      <c r="DO2" s="83"/>
      <c r="DP2" s="83"/>
      <c r="DQ2" s="83"/>
      <c r="DR2" s="83"/>
      <c r="DS2" s="83"/>
      <c r="DT2" s="83"/>
      <c r="DU2" s="83"/>
      <c r="DV2" s="83"/>
      <c r="DW2" s="83"/>
      <c r="DX2" s="83"/>
      <c r="DY2" s="83"/>
      <c r="DZ2" s="83"/>
      <c r="EA2" s="83"/>
      <c r="EB2" s="83"/>
      <c r="EC2" s="83"/>
      <c r="ED2" s="83"/>
      <c r="EE2" s="83"/>
      <c r="EF2" s="83"/>
      <c r="EG2" s="83"/>
      <c r="EH2" s="83"/>
      <c r="EI2" s="83"/>
      <c r="EJ2" s="83"/>
      <c r="EK2" s="83"/>
      <c r="EL2" s="83"/>
      <c r="EM2" s="83"/>
      <c r="EN2" s="83"/>
      <c r="EO2" s="83"/>
      <c r="EP2" s="83"/>
      <c r="EQ2" s="83"/>
      <c r="ER2" s="83"/>
      <c r="ES2" s="83"/>
      <c r="ET2" s="83"/>
      <c r="EU2" s="83"/>
      <c r="EV2" s="83"/>
      <c r="EW2" s="83"/>
      <c r="EX2" s="83"/>
      <c r="EY2" s="83"/>
      <c r="EZ2" s="83"/>
      <c r="FA2" s="83"/>
      <c r="FB2" s="83"/>
      <c r="FC2" s="83"/>
      <c r="FD2" s="83"/>
      <c r="FE2" s="83"/>
      <c r="FF2" s="83"/>
      <c r="FG2" s="83"/>
      <c r="FH2" s="83"/>
      <c r="FI2" s="83"/>
      <c r="FJ2" s="83"/>
      <c r="FK2" s="83"/>
      <c r="FL2" s="83"/>
      <c r="FM2" s="83"/>
      <c r="FN2" s="83"/>
      <c r="FO2" s="83"/>
      <c r="FP2" s="83"/>
      <c r="FQ2" s="83"/>
      <c r="FR2" s="83"/>
      <c r="FS2" s="83"/>
      <c r="FT2" s="83"/>
      <c r="FU2" s="83"/>
      <c r="FV2" s="83"/>
      <c r="FW2" s="83"/>
      <c r="FX2" s="83"/>
      <c r="FY2" s="83"/>
      <c r="FZ2" s="83"/>
      <c r="GA2" s="83"/>
      <c r="GB2" s="83"/>
      <c r="GC2" s="83"/>
      <c r="GD2" s="83"/>
      <c r="GE2" s="83"/>
      <c r="GF2" s="83"/>
      <c r="GG2" s="83"/>
      <c r="GH2" s="83"/>
      <c r="GI2" s="83"/>
      <c r="GJ2" s="83"/>
      <c r="GK2" s="83"/>
      <c r="GL2" s="83"/>
      <c r="GM2" s="83"/>
      <c r="GN2" s="83"/>
      <c r="GO2" s="83"/>
      <c r="GP2" s="83"/>
      <c r="GQ2" s="83"/>
      <c r="GR2" s="83"/>
      <c r="GS2" s="83"/>
      <c r="GT2" s="83"/>
      <c r="GU2" s="83"/>
      <c r="GV2" s="83"/>
      <c r="GW2" s="83"/>
      <c r="GX2" s="83"/>
      <c r="GY2" s="83"/>
      <c r="GZ2" s="83"/>
      <c r="HA2" s="83"/>
      <c r="HB2" s="83"/>
      <c r="HC2" s="83"/>
      <c r="HD2" s="83"/>
      <c r="HE2" s="83"/>
      <c r="HF2" s="83"/>
      <c r="HG2" s="83"/>
      <c r="HH2" s="83"/>
      <c r="HI2" s="83"/>
      <c r="HJ2" s="83"/>
      <c r="HK2" s="83"/>
      <c r="HL2" s="83"/>
      <c r="HM2" s="83"/>
      <c r="HN2" s="83"/>
      <c r="HO2" s="83"/>
      <c r="HP2" s="83"/>
      <c r="HQ2" s="83"/>
      <c r="HR2" s="83"/>
      <c r="HS2" s="83"/>
      <c r="HT2" s="83"/>
      <c r="HU2" s="83"/>
      <c r="HV2" s="83"/>
      <c r="HW2" s="83"/>
      <c r="HX2" s="83"/>
      <c r="HY2" s="83"/>
      <c r="HZ2" s="83"/>
      <c r="IA2" s="83"/>
      <c r="IB2" s="83"/>
      <c r="IC2" s="83"/>
      <c r="ID2" s="83"/>
      <c r="IE2" s="83"/>
      <c r="IF2" s="83"/>
      <c r="IG2" s="83"/>
    </row>
    <row r="3" spans="1:241" ht="16.8" x14ac:dyDescent="0.35">
      <c r="A3" s="83"/>
      <c r="B3" s="3" t="s">
        <v>0</v>
      </c>
      <c r="C3" s="4" t="s">
        <v>1</v>
      </c>
      <c r="D3" s="4" t="s">
        <v>2</v>
      </c>
      <c r="E3" s="4" t="s">
        <v>3</v>
      </c>
      <c r="F3" s="4" t="s">
        <v>4</v>
      </c>
      <c r="G3" s="5" t="s">
        <v>5</v>
      </c>
      <c r="H3" s="6" t="s">
        <v>6</v>
      </c>
      <c r="I3" s="1"/>
      <c r="J3" s="1"/>
      <c r="K3" s="1"/>
      <c r="L3" s="1"/>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c r="DD3" s="83"/>
      <c r="DE3" s="83"/>
      <c r="DF3" s="83"/>
      <c r="DG3" s="83"/>
      <c r="DH3" s="83"/>
      <c r="DI3" s="83"/>
      <c r="DJ3" s="83"/>
      <c r="DK3" s="83"/>
      <c r="DL3" s="83"/>
      <c r="DM3" s="83"/>
      <c r="DN3" s="83"/>
      <c r="DO3" s="83"/>
      <c r="DP3" s="83"/>
      <c r="DQ3" s="83"/>
      <c r="DR3" s="83"/>
      <c r="DS3" s="83"/>
      <c r="DT3" s="83"/>
      <c r="DU3" s="83"/>
      <c r="DV3" s="83"/>
      <c r="DW3" s="83"/>
      <c r="DX3" s="83"/>
      <c r="DY3" s="83"/>
      <c r="DZ3" s="83"/>
      <c r="EA3" s="83"/>
      <c r="EB3" s="83"/>
      <c r="EC3" s="83"/>
      <c r="ED3" s="83"/>
      <c r="EE3" s="83"/>
      <c r="EF3" s="83"/>
      <c r="EG3" s="83"/>
      <c r="EH3" s="83"/>
      <c r="EI3" s="83"/>
      <c r="EJ3" s="83"/>
      <c r="EK3" s="83"/>
      <c r="EL3" s="83"/>
      <c r="EM3" s="83"/>
      <c r="EN3" s="83"/>
      <c r="EO3" s="83"/>
      <c r="EP3" s="83"/>
      <c r="EQ3" s="83"/>
      <c r="ER3" s="83"/>
      <c r="ES3" s="83"/>
      <c r="ET3" s="83"/>
      <c r="EU3" s="83"/>
      <c r="EV3" s="83"/>
      <c r="EW3" s="83"/>
      <c r="EX3" s="83"/>
      <c r="EY3" s="83"/>
      <c r="EZ3" s="83"/>
      <c r="FA3" s="83"/>
      <c r="FB3" s="83"/>
      <c r="FC3" s="83"/>
      <c r="FD3" s="83"/>
      <c r="FE3" s="83"/>
      <c r="FF3" s="83"/>
      <c r="FG3" s="83"/>
      <c r="FH3" s="83"/>
      <c r="FI3" s="83"/>
      <c r="FJ3" s="83"/>
      <c r="FK3" s="83"/>
      <c r="FL3" s="83"/>
      <c r="FM3" s="83"/>
      <c r="FN3" s="83"/>
      <c r="FO3" s="83"/>
      <c r="FP3" s="83"/>
      <c r="FQ3" s="83"/>
      <c r="FR3" s="83"/>
      <c r="FS3" s="83"/>
      <c r="FT3" s="83"/>
      <c r="FU3" s="83"/>
      <c r="FV3" s="83"/>
      <c r="FW3" s="83"/>
      <c r="FX3" s="83"/>
      <c r="FY3" s="83"/>
      <c r="FZ3" s="83"/>
      <c r="GA3" s="83"/>
      <c r="GB3" s="83"/>
      <c r="GC3" s="83"/>
      <c r="GD3" s="83"/>
      <c r="GE3" s="83"/>
      <c r="GF3" s="83"/>
      <c r="GG3" s="83"/>
      <c r="GH3" s="83"/>
      <c r="GI3" s="83"/>
      <c r="GJ3" s="83"/>
      <c r="GK3" s="83"/>
      <c r="GL3" s="83"/>
      <c r="GM3" s="83"/>
      <c r="GN3" s="83"/>
      <c r="GO3" s="83"/>
      <c r="GP3" s="83"/>
      <c r="GQ3" s="83"/>
      <c r="GR3" s="83"/>
      <c r="GS3" s="83"/>
      <c r="GT3" s="83"/>
      <c r="GU3" s="83"/>
      <c r="GV3" s="83"/>
      <c r="GW3" s="83"/>
      <c r="GX3" s="83"/>
      <c r="GY3" s="83"/>
      <c r="GZ3" s="83"/>
      <c r="HA3" s="83"/>
      <c r="HB3" s="83"/>
      <c r="HC3" s="83"/>
      <c r="HD3" s="83"/>
      <c r="HE3" s="83"/>
      <c r="HF3" s="83"/>
      <c r="HG3" s="83"/>
      <c r="HH3" s="83"/>
      <c r="HI3" s="83"/>
      <c r="HJ3" s="83"/>
      <c r="HK3" s="83"/>
      <c r="HL3" s="83"/>
      <c r="HM3" s="83"/>
      <c r="HN3" s="83"/>
      <c r="HO3" s="83"/>
      <c r="HP3" s="83"/>
      <c r="HQ3" s="83"/>
      <c r="HR3" s="83"/>
      <c r="HS3" s="83"/>
      <c r="HT3" s="83"/>
      <c r="HU3" s="83"/>
      <c r="HV3" s="83"/>
      <c r="HW3" s="83"/>
      <c r="HX3" s="83"/>
      <c r="HY3" s="83"/>
      <c r="HZ3" s="83"/>
      <c r="IA3" s="83"/>
      <c r="IB3" s="83"/>
      <c r="IC3" s="83"/>
      <c r="ID3" s="83"/>
      <c r="IE3" s="83"/>
      <c r="IF3" s="83"/>
      <c r="IG3" s="83"/>
    </row>
    <row r="4" spans="1:241" x14ac:dyDescent="0.3">
      <c r="A4" s="83"/>
      <c r="B4" s="7" t="s">
        <v>7</v>
      </c>
      <c r="C4" s="8">
        <v>5.0141</v>
      </c>
      <c r="D4" s="8">
        <v>0.5867</v>
      </c>
      <c r="E4" s="8">
        <v>0.32240000000000002</v>
      </c>
      <c r="F4" s="8">
        <v>0.14000000000000001</v>
      </c>
      <c r="G4" s="9">
        <v>3</v>
      </c>
      <c r="H4" s="10">
        <v>1.1200000000000001</v>
      </c>
      <c r="I4" s="1"/>
      <c r="J4" s="11"/>
      <c r="K4" s="1"/>
      <c r="L4" s="1"/>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c r="DD4" s="83"/>
      <c r="DE4" s="83"/>
      <c r="DF4" s="83"/>
      <c r="DG4" s="83"/>
      <c r="DH4" s="83"/>
      <c r="DI4" s="83"/>
      <c r="DJ4" s="83"/>
      <c r="DK4" s="83"/>
      <c r="DL4" s="83"/>
      <c r="DM4" s="83"/>
      <c r="DN4" s="83"/>
      <c r="DO4" s="83"/>
      <c r="DP4" s="83"/>
      <c r="DQ4" s="83"/>
      <c r="DR4" s="83"/>
      <c r="DS4" s="83"/>
      <c r="DT4" s="83"/>
      <c r="DU4" s="83"/>
      <c r="DV4" s="83"/>
      <c r="DW4" s="83"/>
      <c r="DX4" s="83"/>
      <c r="DY4" s="83"/>
      <c r="DZ4" s="83"/>
      <c r="EA4" s="83"/>
      <c r="EB4" s="83"/>
      <c r="EC4" s="83"/>
      <c r="ED4" s="83"/>
      <c r="EE4" s="83"/>
      <c r="EF4" s="83"/>
      <c r="EG4" s="83"/>
      <c r="EH4" s="83"/>
      <c r="EI4" s="83"/>
      <c r="EJ4" s="83"/>
      <c r="EK4" s="83"/>
      <c r="EL4" s="83"/>
      <c r="EM4" s="83"/>
      <c r="EN4" s="83"/>
      <c r="EO4" s="83"/>
      <c r="EP4" s="83"/>
      <c r="EQ4" s="83"/>
      <c r="ER4" s="83"/>
      <c r="ES4" s="83"/>
      <c r="ET4" s="83"/>
      <c r="EU4" s="83"/>
      <c r="EV4" s="83"/>
      <c r="EW4" s="83"/>
      <c r="EX4" s="83"/>
      <c r="EY4" s="83"/>
      <c r="EZ4" s="83"/>
      <c r="FA4" s="83"/>
      <c r="FB4" s="83"/>
      <c r="FC4" s="83"/>
      <c r="FD4" s="83"/>
      <c r="FE4" s="83"/>
      <c r="FF4" s="83"/>
      <c r="FG4" s="83"/>
      <c r="FH4" s="83"/>
      <c r="FI4" s="83"/>
      <c r="FJ4" s="83"/>
      <c r="FK4" s="83"/>
      <c r="FL4" s="83"/>
      <c r="FM4" s="83"/>
      <c r="FN4" s="83"/>
      <c r="FO4" s="83"/>
      <c r="FP4" s="83"/>
      <c r="FQ4" s="83"/>
      <c r="FR4" s="83"/>
      <c r="FS4" s="83"/>
      <c r="FT4" s="83"/>
      <c r="FU4" s="83"/>
      <c r="FV4" s="83"/>
      <c r="FW4" s="83"/>
      <c r="FX4" s="83"/>
      <c r="FY4" s="83"/>
      <c r="FZ4" s="83"/>
      <c r="GA4" s="83"/>
      <c r="GB4" s="83"/>
      <c r="GC4" s="83"/>
      <c r="GD4" s="83"/>
      <c r="GE4" s="83"/>
      <c r="GF4" s="83"/>
      <c r="GG4" s="83"/>
      <c r="GH4" s="83"/>
      <c r="GI4" s="83"/>
      <c r="GJ4" s="83"/>
      <c r="GK4" s="83"/>
      <c r="GL4" s="83"/>
      <c r="GM4" s="83"/>
      <c r="GN4" s="83"/>
      <c r="GO4" s="83"/>
      <c r="GP4" s="83"/>
      <c r="GQ4" s="83"/>
      <c r="GR4" s="83"/>
      <c r="GS4" s="83"/>
      <c r="GT4" s="83"/>
      <c r="GU4" s="83"/>
      <c r="GV4" s="83"/>
      <c r="GW4" s="83"/>
      <c r="GX4" s="83"/>
      <c r="GY4" s="83"/>
      <c r="GZ4" s="83"/>
      <c r="HA4" s="83"/>
      <c r="HB4" s="83"/>
      <c r="HC4" s="83"/>
      <c r="HD4" s="83"/>
      <c r="HE4" s="83"/>
      <c r="HF4" s="83"/>
      <c r="HG4" s="83"/>
      <c r="HH4" s="83"/>
      <c r="HI4" s="83"/>
      <c r="HJ4" s="83"/>
      <c r="HK4" s="83"/>
      <c r="HL4" s="83"/>
      <c r="HM4" s="83"/>
      <c r="HN4" s="83"/>
      <c r="HO4" s="83"/>
      <c r="HP4" s="83"/>
      <c r="HQ4" s="83"/>
      <c r="HR4" s="83"/>
      <c r="HS4" s="83"/>
      <c r="HT4" s="83"/>
      <c r="HU4" s="83"/>
      <c r="HV4" s="83"/>
      <c r="HW4" s="83"/>
      <c r="HX4" s="83"/>
      <c r="HY4" s="83"/>
      <c r="HZ4" s="83"/>
      <c r="IA4" s="83"/>
      <c r="IB4" s="83"/>
      <c r="IC4" s="83"/>
      <c r="ID4" s="83"/>
      <c r="IE4" s="83"/>
      <c r="IF4" s="83"/>
      <c r="IG4" s="83"/>
    </row>
    <row r="5" spans="1:241" x14ac:dyDescent="0.3">
      <c r="A5" s="83"/>
      <c r="B5" s="12" t="s">
        <v>8</v>
      </c>
      <c r="C5" s="13">
        <v>4.1365999999999996</v>
      </c>
      <c r="D5" s="13">
        <v>0.50719999999999998</v>
      </c>
      <c r="E5" s="14">
        <v>7.0000000000000001E-3</v>
      </c>
      <c r="F5" s="15">
        <v>0.7</v>
      </c>
      <c r="G5" s="16">
        <v>11</v>
      </c>
      <c r="H5" s="10">
        <v>1.1200000000000001</v>
      </c>
      <c r="I5" s="1"/>
      <c r="J5" s="11"/>
      <c r="K5" s="1"/>
      <c r="L5" s="1"/>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c r="DD5" s="83"/>
      <c r="DE5" s="83"/>
      <c r="DF5" s="83"/>
      <c r="DG5" s="83"/>
      <c r="DH5" s="83"/>
      <c r="DI5" s="83"/>
      <c r="DJ5" s="83"/>
      <c r="DK5" s="83"/>
      <c r="DL5" s="83"/>
      <c r="DM5" s="83"/>
      <c r="DN5" s="83"/>
      <c r="DO5" s="83"/>
      <c r="DP5" s="83"/>
      <c r="DQ5" s="83"/>
      <c r="DR5" s="83"/>
      <c r="DS5" s="83"/>
      <c r="DT5" s="83"/>
      <c r="DU5" s="83"/>
      <c r="DV5" s="83"/>
      <c r="DW5" s="83"/>
      <c r="DX5" s="83"/>
      <c r="DY5" s="83"/>
      <c r="DZ5" s="83"/>
      <c r="EA5" s="83"/>
      <c r="EB5" s="83"/>
      <c r="EC5" s="83"/>
      <c r="ED5" s="83"/>
      <c r="EE5" s="83"/>
      <c r="EF5" s="83"/>
      <c r="EG5" s="83"/>
      <c r="EH5" s="83"/>
      <c r="EI5" s="83"/>
      <c r="EJ5" s="83"/>
      <c r="EK5" s="83"/>
      <c r="EL5" s="83"/>
      <c r="EM5" s="83"/>
      <c r="EN5" s="83"/>
      <c r="EO5" s="83"/>
      <c r="EP5" s="83"/>
      <c r="EQ5" s="83"/>
      <c r="ER5" s="83"/>
      <c r="ES5" s="83"/>
      <c r="ET5" s="83"/>
      <c r="EU5" s="83"/>
      <c r="EV5" s="83"/>
      <c r="EW5" s="83"/>
      <c r="EX5" s="83"/>
      <c r="EY5" s="83"/>
      <c r="EZ5" s="83"/>
      <c r="FA5" s="83"/>
      <c r="FB5" s="83"/>
      <c r="FC5" s="83"/>
      <c r="FD5" s="83"/>
      <c r="FE5" s="83"/>
      <c r="FF5" s="83"/>
      <c r="FG5" s="83"/>
      <c r="FH5" s="83"/>
      <c r="FI5" s="83"/>
      <c r="FJ5" s="83"/>
      <c r="FK5" s="83"/>
      <c r="FL5" s="83"/>
      <c r="FM5" s="83"/>
      <c r="FN5" s="83"/>
      <c r="FO5" s="83"/>
      <c r="FP5" s="83"/>
      <c r="FQ5" s="83"/>
      <c r="FR5" s="83"/>
      <c r="FS5" s="83"/>
      <c r="FT5" s="83"/>
      <c r="FU5" s="83"/>
      <c r="FV5" s="83"/>
      <c r="FW5" s="83"/>
      <c r="FX5" s="83"/>
      <c r="FY5" s="83"/>
      <c r="FZ5" s="83"/>
      <c r="GA5" s="83"/>
      <c r="GB5" s="83"/>
      <c r="GC5" s="83"/>
      <c r="GD5" s="83"/>
      <c r="GE5" s="83"/>
      <c r="GF5" s="83"/>
      <c r="GG5" s="83"/>
      <c r="GH5" s="83"/>
      <c r="GI5" s="83"/>
      <c r="GJ5" s="83"/>
      <c r="GK5" s="83"/>
      <c r="GL5" s="83"/>
      <c r="GM5" s="83"/>
      <c r="GN5" s="83"/>
      <c r="GO5" s="83"/>
      <c r="GP5" s="83"/>
      <c r="GQ5" s="83"/>
      <c r="GR5" s="83"/>
      <c r="GS5" s="83"/>
      <c r="GT5" s="83"/>
      <c r="GU5" s="83"/>
      <c r="GV5" s="83"/>
      <c r="GW5" s="83"/>
      <c r="GX5" s="83"/>
      <c r="GY5" s="83"/>
      <c r="GZ5" s="83"/>
      <c r="HA5" s="83"/>
      <c r="HB5" s="83"/>
      <c r="HC5" s="83"/>
      <c r="HD5" s="83"/>
      <c r="HE5" s="83"/>
      <c r="HF5" s="83"/>
      <c r="HG5" s="83"/>
      <c r="HH5" s="83"/>
      <c r="HI5" s="83"/>
      <c r="HJ5" s="83"/>
      <c r="HK5" s="83"/>
      <c r="HL5" s="83"/>
      <c r="HM5" s="83"/>
      <c r="HN5" s="83"/>
      <c r="HO5" s="83"/>
      <c r="HP5" s="83"/>
      <c r="HQ5" s="83"/>
      <c r="HR5" s="83"/>
      <c r="HS5" s="83"/>
      <c r="HT5" s="83"/>
      <c r="HU5" s="83"/>
      <c r="HV5" s="83"/>
      <c r="HW5" s="83"/>
      <c r="HX5" s="83"/>
      <c r="HY5" s="83"/>
      <c r="HZ5" s="83"/>
      <c r="IA5" s="83"/>
      <c r="IB5" s="83"/>
      <c r="IC5" s="83"/>
      <c r="ID5" s="83"/>
      <c r="IE5" s="83"/>
      <c r="IF5" s="83"/>
      <c r="IG5" s="83"/>
    </row>
    <row r="6" spans="1:241" x14ac:dyDescent="0.3">
      <c r="A6" s="83"/>
      <c r="B6" s="17" t="s">
        <v>9</v>
      </c>
      <c r="C6" s="18">
        <v>4.1365999999999996</v>
      </c>
      <c r="D6" s="18">
        <v>0.50719999999999998</v>
      </c>
      <c r="E6" s="19">
        <v>7.0000000000000001E-3</v>
      </c>
      <c r="F6" s="20">
        <v>0.7</v>
      </c>
      <c r="G6" s="21">
        <v>11</v>
      </c>
      <c r="H6" s="22">
        <v>1.1200000000000001</v>
      </c>
      <c r="I6" s="1"/>
      <c r="J6" s="11"/>
      <c r="K6" s="1"/>
      <c r="L6" s="1"/>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c r="DD6" s="83"/>
      <c r="DE6" s="83"/>
      <c r="DF6" s="83"/>
      <c r="DG6" s="83"/>
      <c r="DH6" s="83"/>
      <c r="DI6" s="83"/>
      <c r="DJ6" s="83"/>
      <c r="DK6" s="83"/>
      <c r="DL6" s="83"/>
      <c r="DM6" s="83"/>
      <c r="DN6" s="83"/>
      <c r="DO6" s="83"/>
      <c r="DP6" s="83"/>
      <c r="DQ6" s="83"/>
      <c r="DR6" s="83"/>
      <c r="DS6" s="83"/>
      <c r="DT6" s="83"/>
      <c r="DU6" s="83"/>
      <c r="DV6" s="83"/>
      <c r="DW6" s="83"/>
      <c r="DX6" s="83"/>
      <c r="DY6" s="83"/>
      <c r="DZ6" s="83"/>
      <c r="EA6" s="83"/>
      <c r="EB6" s="83"/>
      <c r="EC6" s="83"/>
      <c r="ED6" s="83"/>
      <c r="EE6" s="83"/>
      <c r="EF6" s="83"/>
      <c r="EG6" s="83"/>
      <c r="EH6" s="83"/>
      <c r="EI6" s="83"/>
      <c r="EJ6" s="83"/>
      <c r="EK6" s="83"/>
      <c r="EL6" s="83"/>
      <c r="EM6" s="83"/>
      <c r="EN6" s="83"/>
      <c r="EO6" s="83"/>
      <c r="EP6" s="83"/>
      <c r="EQ6" s="83"/>
      <c r="ER6" s="83"/>
      <c r="ES6" s="83"/>
      <c r="ET6" s="83"/>
      <c r="EU6" s="83"/>
      <c r="EV6" s="83"/>
      <c r="EW6" s="83"/>
      <c r="EX6" s="83"/>
      <c r="EY6" s="83"/>
      <c r="EZ6" s="83"/>
      <c r="FA6" s="83"/>
      <c r="FB6" s="83"/>
      <c r="FC6" s="83"/>
      <c r="FD6" s="83"/>
      <c r="FE6" s="83"/>
      <c r="FF6" s="83"/>
      <c r="FG6" s="83"/>
      <c r="FH6" s="83"/>
      <c r="FI6" s="83"/>
      <c r="FJ6" s="83"/>
      <c r="FK6" s="83"/>
      <c r="FL6" s="83"/>
      <c r="FM6" s="83"/>
      <c r="FN6" s="83"/>
      <c r="FO6" s="83"/>
      <c r="FP6" s="83"/>
      <c r="FQ6" s="83"/>
      <c r="FR6" s="83"/>
      <c r="FS6" s="83"/>
      <c r="FT6" s="83"/>
      <c r="FU6" s="83"/>
      <c r="FV6" s="83"/>
      <c r="FW6" s="83"/>
      <c r="FX6" s="83"/>
      <c r="FY6" s="83"/>
      <c r="FZ6" s="83"/>
      <c r="GA6" s="83"/>
      <c r="GB6" s="83"/>
      <c r="GC6" s="83"/>
      <c r="GD6" s="83"/>
      <c r="GE6" s="83"/>
      <c r="GF6" s="83"/>
      <c r="GG6" s="83"/>
      <c r="GH6" s="83"/>
      <c r="GI6" s="83"/>
      <c r="GJ6" s="83"/>
      <c r="GK6" s="83"/>
      <c r="GL6" s="83"/>
      <c r="GM6" s="83"/>
      <c r="GN6" s="83"/>
      <c r="GO6" s="83"/>
      <c r="GP6" s="83"/>
      <c r="GQ6" s="83"/>
      <c r="GR6" s="83"/>
      <c r="GS6" s="83"/>
      <c r="GT6" s="83"/>
      <c r="GU6" s="83"/>
      <c r="GV6" s="83"/>
      <c r="GW6" s="83"/>
      <c r="GX6" s="83"/>
      <c r="GY6" s="83"/>
      <c r="GZ6" s="83"/>
      <c r="HA6" s="83"/>
      <c r="HB6" s="83"/>
      <c r="HC6" s="83"/>
      <c r="HD6" s="83"/>
      <c r="HE6" s="83"/>
      <c r="HF6" s="83"/>
      <c r="HG6" s="83"/>
      <c r="HH6" s="83"/>
      <c r="HI6" s="83"/>
      <c r="HJ6" s="83"/>
      <c r="HK6" s="83"/>
      <c r="HL6" s="83"/>
      <c r="HM6" s="83"/>
      <c r="HN6" s="83"/>
      <c r="HO6" s="83"/>
      <c r="HP6" s="83"/>
      <c r="HQ6" s="83"/>
      <c r="HR6" s="83"/>
      <c r="HS6" s="83"/>
      <c r="HT6" s="83"/>
      <c r="HU6" s="83"/>
      <c r="HV6" s="83"/>
      <c r="HW6" s="83"/>
      <c r="HX6" s="83"/>
      <c r="HY6" s="83"/>
      <c r="HZ6" s="83"/>
      <c r="IA6" s="83"/>
      <c r="IB6" s="83"/>
      <c r="IC6" s="83"/>
      <c r="ID6" s="83"/>
      <c r="IE6" s="83"/>
      <c r="IF6" s="83"/>
      <c r="IG6" s="83"/>
    </row>
    <row r="7" spans="1:241" x14ac:dyDescent="0.3">
      <c r="A7" s="83"/>
      <c r="B7" s="1"/>
      <c r="C7" s="1"/>
      <c r="D7" s="1"/>
      <c r="E7" s="1"/>
      <c r="F7" s="1"/>
      <c r="G7" s="1"/>
      <c r="H7" s="1"/>
      <c r="I7" s="1"/>
      <c r="J7" s="1"/>
      <c r="K7" s="1"/>
      <c r="L7" s="1"/>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c r="DD7" s="83"/>
      <c r="DE7" s="83"/>
      <c r="DF7" s="83"/>
      <c r="DG7" s="83"/>
      <c r="DH7" s="83"/>
      <c r="DI7" s="83"/>
      <c r="DJ7" s="83"/>
      <c r="DK7" s="83"/>
      <c r="DL7" s="83"/>
      <c r="DM7" s="83"/>
      <c r="DN7" s="83"/>
      <c r="DO7" s="83"/>
      <c r="DP7" s="83"/>
      <c r="DQ7" s="83"/>
      <c r="DR7" s="83"/>
      <c r="DS7" s="83"/>
      <c r="DT7" s="83"/>
      <c r="DU7" s="83"/>
      <c r="DV7" s="83"/>
      <c r="DW7" s="83"/>
      <c r="DX7" s="83"/>
      <c r="DY7" s="83"/>
      <c r="DZ7" s="83"/>
      <c r="EA7" s="83"/>
      <c r="EB7" s="83"/>
      <c r="EC7" s="83"/>
      <c r="ED7" s="83"/>
      <c r="EE7" s="83"/>
      <c r="EF7" s="83"/>
      <c r="EG7" s="83"/>
      <c r="EH7" s="83"/>
      <c r="EI7" s="83"/>
      <c r="EJ7" s="83"/>
      <c r="EK7" s="83"/>
      <c r="EL7" s="83"/>
      <c r="EM7" s="83"/>
      <c r="EN7" s="83"/>
      <c r="EO7" s="83"/>
      <c r="EP7" s="83"/>
      <c r="EQ7" s="83"/>
      <c r="ER7" s="83"/>
      <c r="ES7" s="83"/>
      <c r="ET7" s="83"/>
      <c r="EU7" s="83"/>
      <c r="EV7" s="83"/>
      <c r="EW7" s="83"/>
      <c r="EX7" s="83"/>
      <c r="EY7" s="83"/>
      <c r="EZ7" s="83"/>
      <c r="FA7" s="83"/>
      <c r="FB7" s="83"/>
      <c r="FC7" s="83"/>
      <c r="FD7" s="83"/>
      <c r="FE7" s="83"/>
      <c r="FF7" s="83"/>
      <c r="FG7" s="83"/>
      <c r="FH7" s="83"/>
      <c r="FI7" s="83"/>
      <c r="FJ7" s="83"/>
      <c r="FK7" s="83"/>
      <c r="FL7" s="83"/>
      <c r="FM7" s="83"/>
      <c r="FN7" s="83"/>
      <c r="FO7" s="83"/>
      <c r="FP7" s="83"/>
      <c r="FQ7" s="83"/>
      <c r="FR7" s="83"/>
      <c r="FS7" s="83"/>
      <c r="FT7" s="83"/>
      <c r="FU7" s="83"/>
      <c r="FV7" s="83"/>
      <c r="FW7" s="83"/>
      <c r="FX7" s="83"/>
      <c r="FY7" s="83"/>
      <c r="FZ7" s="83"/>
      <c r="GA7" s="83"/>
      <c r="GB7" s="83"/>
      <c r="GC7" s="83"/>
      <c r="GD7" s="83"/>
      <c r="GE7" s="83"/>
      <c r="GF7" s="83"/>
      <c r="GG7" s="83"/>
      <c r="GH7" s="83"/>
      <c r="GI7" s="83"/>
      <c r="GJ7" s="83"/>
      <c r="GK7" s="83"/>
      <c r="GL7" s="83"/>
      <c r="GM7" s="83"/>
      <c r="GN7" s="83"/>
      <c r="GO7" s="83"/>
      <c r="GP7" s="83"/>
      <c r="GQ7" s="83"/>
      <c r="GR7" s="83"/>
      <c r="GS7" s="83"/>
      <c r="GT7" s="83"/>
      <c r="GU7" s="83"/>
      <c r="GV7" s="83"/>
      <c r="GW7" s="83"/>
      <c r="GX7" s="83"/>
      <c r="GY7" s="83"/>
      <c r="GZ7" s="83"/>
      <c r="HA7" s="83"/>
      <c r="HB7" s="83"/>
      <c r="HC7" s="83"/>
      <c r="HD7" s="83"/>
      <c r="HE7" s="83"/>
      <c r="HF7" s="83"/>
      <c r="HG7" s="83"/>
      <c r="HH7" s="83"/>
      <c r="HI7" s="83"/>
      <c r="HJ7" s="83"/>
      <c r="HK7" s="83"/>
      <c r="HL7" s="83"/>
      <c r="HM7" s="83"/>
      <c r="HN7" s="83"/>
      <c r="HO7" s="83"/>
      <c r="HP7" s="83"/>
      <c r="HQ7" s="83"/>
      <c r="HR7" s="83"/>
      <c r="HS7" s="83"/>
      <c r="HT7" s="83"/>
      <c r="HU7" s="83"/>
      <c r="HV7" s="83"/>
      <c r="HW7" s="83"/>
      <c r="HX7" s="83"/>
      <c r="HY7" s="83"/>
      <c r="HZ7" s="83"/>
      <c r="IA7" s="83"/>
      <c r="IB7" s="83"/>
      <c r="IC7" s="83"/>
      <c r="ID7" s="83"/>
      <c r="IE7" s="83"/>
      <c r="IF7" s="83"/>
      <c r="IG7" s="83"/>
    </row>
    <row r="8" spans="1:241" x14ac:dyDescent="0.3">
      <c r="A8" s="83"/>
      <c r="B8" s="1"/>
      <c r="C8" s="1"/>
      <c r="D8" s="1"/>
      <c r="E8" s="1"/>
      <c r="F8" s="1"/>
      <c r="G8" s="1"/>
      <c r="H8" s="1"/>
      <c r="I8" s="1"/>
      <c r="J8" s="1"/>
      <c r="K8" s="1"/>
      <c r="L8" s="1"/>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c r="DD8" s="83"/>
      <c r="DE8" s="83"/>
      <c r="DF8" s="83"/>
      <c r="DG8" s="83"/>
      <c r="DH8" s="83"/>
      <c r="DI8" s="83"/>
      <c r="DJ8" s="83"/>
      <c r="DK8" s="83"/>
      <c r="DL8" s="83"/>
      <c r="DM8" s="83"/>
      <c r="DN8" s="83"/>
      <c r="DO8" s="83"/>
      <c r="DP8" s="83"/>
      <c r="DQ8" s="83"/>
      <c r="DR8" s="83"/>
      <c r="DS8" s="83"/>
      <c r="DT8" s="83"/>
      <c r="DU8" s="83"/>
      <c r="DV8" s="83"/>
      <c r="DW8" s="83"/>
      <c r="DX8" s="83"/>
      <c r="DY8" s="83"/>
      <c r="DZ8" s="83"/>
      <c r="EA8" s="83"/>
      <c r="EB8" s="83"/>
      <c r="EC8" s="83"/>
      <c r="ED8" s="83"/>
      <c r="EE8" s="83"/>
      <c r="EF8" s="83"/>
      <c r="EG8" s="83"/>
      <c r="EH8" s="83"/>
      <c r="EI8" s="83"/>
      <c r="EJ8" s="83"/>
      <c r="EK8" s="83"/>
      <c r="EL8" s="83"/>
      <c r="EM8" s="83"/>
      <c r="EN8" s="83"/>
      <c r="EO8" s="83"/>
      <c r="EP8" s="83"/>
      <c r="EQ8" s="83"/>
      <c r="ER8" s="83"/>
      <c r="ES8" s="83"/>
      <c r="ET8" s="83"/>
      <c r="EU8" s="83"/>
      <c r="EV8" s="83"/>
      <c r="EW8" s="83"/>
      <c r="EX8" s="83"/>
      <c r="EY8" s="83"/>
      <c r="EZ8" s="83"/>
      <c r="FA8" s="83"/>
      <c r="FB8" s="83"/>
      <c r="FC8" s="83"/>
      <c r="FD8" s="83"/>
      <c r="FE8" s="83"/>
      <c r="FF8" s="83"/>
      <c r="FG8" s="83"/>
      <c r="FH8" s="83"/>
      <c r="FI8" s="83"/>
      <c r="FJ8" s="83"/>
      <c r="FK8" s="83"/>
      <c r="FL8" s="83"/>
      <c r="FM8" s="83"/>
      <c r="FN8" s="83"/>
      <c r="FO8" s="83"/>
      <c r="FP8" s="83"/>
      <c r="FQ8" s="83"/>
      <c r="FR8" s="83"/>
      <c r="FS8" s="83"/>
      <c r="FT8" s="83"/>
      <c r="FU8" s="83"/>
      <c r="FV8" s="83"/>
      <c r="FW8" s="83"/>
      <c r="FX8" s="83"/>
      <c r="FY8" s="83"/>
      <c r="FZ8" s="83"/>
      <c r="GA8" s="83"/>
      <c r="GB8" s="83"/>
      <c r="GC8" s="83"/>
      <c r="GD8" s="83"/>
      <c r="GE8" s="83"/>
      <c r="GF8" s="83"/>
      <c r="GG8" s="83"/>
      <c r="GH8" s="83"/>
      <c r="GI8" s="83"/>
      <c r="GJ8" s="83"/>
      <c r="GK8" s="83"/>
      <c r="GL8" s="83"/>
      <c r="GM8" s="83"/>
      <c r="GN8" s="83"/>
      <c r="GO8" s="83"/>
      <c r="GP8" s="83"/>
      <c r="GQ8" s="83"/>
      <c r="GR8" s="83"/>
      <c r="GS8" s="83"/>
      <c r="GT8" s="83"/>
      <c r="GU8" s="83"/>
      <c r="GV8" s="83"/>
      <c r="GW8" s="83"/>
      <c r="GX8" s="83"/>
      <c r="GY8" s="83"/>
      <c r="GZ8" s="83"/>
      <c r="HA8" s="83"/>
      <c r="HB8" s="83"/>
      <c r="HC8" s="83"/>
      <c r="HD8" s="83"/>
      <c r="HE8" s="83"/>
      <c r="HF8" s="83"/>
      <c r="HG8" s="83"/>
      <c r="HH8" s="83"/>
      <c r="HI8" s="83"/>
      <c r="HJ8" s="83"/>
      <c r="HK8" s="83"/>
      <c r="HL8" s="83"/>
      <c r="HM8" s="83"/>
      <c r="HN8" s="83"/>
      <c r="HO8" s="83"/>
      <c r="HP8" s="83"/>
      <c r="HQ8" s="83"/>
      <c r="HR8" s="83"/>
      <c r="HS8" s="83"/>
      <c r="HT8" s="83"/>
      <c r="HU8" s="83"/>
      <c r="HV8" s="83"/>
      <c r="HW8" s="83"/>
      <c r="HX8" s="83"/>
      <c r="HY8" s="83"/>
      <c r="HZ8" s="83"/>
      <c r="IA8" s="83"/>
      <c r="IB8" s="83"/>
      <c r="IC8" s="83"/>
      <c r="ID8" s="83"/>
      <c r="IE8" s="83"/>
      <c r="IF8" s="83"/>
      <c r="IG8" s="83"/>
    </row>
    <row r="9" spans="1:241" x14ac:dyDescent="0.3">
      <c r="A9" s="83"/>
      <c r="B9" s="2" t="s">
        <v>242</v>
      </c>
      <c r="C9" s="1"/>
      <c r="D9" s="1"/>
      <c r="E9" s="1"/>
      <c r="F9" s="1"/>
      <c r="G9" s="1"/>
      <c r="H9" s="1"/>
      <c r="I9" s="1"/>
      <c r="J9" s="1"/>
      <c r="K9" s="1"/>
      <c r="L9" s="1"/>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c r="DD9" s="83"/>
      <c r="DE9" s="83"/>
      <c r="DF9" s="83"/>
      <c r="DG9" s="83"/>
      <c r="DH9" s="83"/>
      <c r="DI9" s="83"/>
      <c r="DJ9" s="83"/>
      <c r="DK9" s="83"/>
      <c r="DL9" s="83"/>
      <c r="DM9" s="83"/>
      <c r="DN9" s="83"/>
      <c r="DO9" s="83"/>
      <c r="DP9" s="83"/>
      <c r="DQ9" s="83"/>
      <c r="DR9" s="83"/>
      <c r="DS9" s="83"/>
      <c r="DT9" s="83"/>
      <c r="DU9" s="83"/>
      <c r="DV9" s="83"/>
      <c r="DW9" s="83"/>
      <c r="DX9" s="83"/>
      <c r="DY9" s="83"/>
      <c r="DZ9" s="83"/>
      <c r="EA9" s="83"/>
      <c r="EB9" s="83"/>
      <c r="EC9" s="83"/>
      <c r="ED9" s="83"/>
      <c r="EE9" s="83"/>
      <c r="EF9" s="83"/>
      <c r="EG9" s="83"/>
      <c r="EH9" s="83"/>
      <c r="EI9" s="83"/>
      <c r="EJ9" s="83"/>
      <c r="EK9" s="83"/>
      <c r="EL9" s="83"/>
      <c r="EM9" s="83"/>
      <c r="EN9" s="83"/>
      <c r="EO9" s="83"/>
      <c r="EP9" s="83"/>
      <c r="EQ9" s="83"/>
      <c r="ER9" s="83"/>
      <c r="ES9" s="83"/>
      <c r="ET9" s="83"/>
      <c r="EU9" s="83"/>
      <c r="EV9" s="83"/>
      <c r="EW9" s="83"/>
      <c r="EX9" s="83"/>
      <c r="EY9" s="83"/>
      <c r="EZ9" s="83"/>
      <c r="FA9" s="83"/>
      <c r="FB9" s="83"/>
      <c r="FC9" s="83"/>
      <c r="FD9" s="83"/>
      <c r="FE9" s="83"/>
      <c r="FF9" s="83"/>
      <c r="FG9" s="83"/>
      <c r="FH9" s="83"/>
      <c r="FI9" s="83"/>
      <c r="FJ9" s="83"/>
      <c r="FK9" s="83"/>
      <c r="FL9" s="83"/>
      <c r="FM9" s="83"/>
      <c r="FN9" s="83"/>
      <c r="FO9" s="83"/>
      <c r="FP9" s="83"/>
      <c r="FQ9" s="83"/>
      <c r="FR9" s="83"/>
      <c r="FS9" s="83"/>
      <c r="FT9" s="83"/>
      <c r="FU9" s="83"/>
      <c r="FV9" s="83"/>
      <c r="FW9" s="83"/>
      <c r="FX9" s="83"/>
      <c r="FY9" s="83"/>
      <c r="FZ9" s="83"/>
      <c r="GA9" s="83"/>
      <c r="GB9" s="83"/>
      <c r="GC9" s="83"/>
      <c r="GD9" s="83"/>
      <c r="GE9" s="83"/>
      <c r="GF9" s="83"/>
      <c r="GG9" s="83"/>
      <c r="GH9" s="83"/>
      <c r="GI9" s="83"/>
      <c r="GJ9" s="83"/>
      <c r="GK9" s="83"/>
      <c r="GL9" s="83"/>
      <c r="GM9" s="83"/>
      <c r="GN9" s="83"/>
      <c r="GO9" s="83"/>
      <c r="GP9" s="83"/>
      <c r="GQ9" s="83"/>
      <c r="GR9" s="83"/>
      <c r="GS9" s="83"/>
      <c r="GT9" s="83"/>
      <c r="GU9" s="83"/>
      <c r="GV9" s="83"/>
      <c r="GW9" s="83"/>
      <c r="GX9" s="83"/>
      <c r="GY9" s="83"/>
      <c r="GZ9" s="83"/>
      <c r="HA9" s="83"/>
      <c r="HB9" s="83"/>
      <c r="HC9" s="83"/>
      <c r="HD9" s="83"/>
      <c r="HE9" s="83"/>
      <c r="HF9" s="83"/>
      <c r="HG9" s="83"/>
      <c r="HH9" s="83"/>
      <c r="HI9" s="83"/>
      <c r="HJ9" s="83"/>
      <c r="HK9" s="83"/>
      <c r="HL9" s="83"/>
      <c r="HM9" s="83"/>
      <c r="HN9" s="83"/>
      <c r="HO9" s="83"/>
      <c r="HP9" s="83"/>
      <c r="HQ9" s="83"/>
      <c r="HR9" s="83"/>
      <c r="HS9" s="83"/>
      <c r="HT9" s="83"/>
      <c r="HU9" s="83"/>
      <c r="HV9" s="83"/>
      <c r="HW9" s="83"/>
      <c r="HX9" s="83"/>
      <c r="HY9" s="83"/>
      <c r="HZ9" s="83"/>
      <c r="IA9" s="83"/>
      <c r="IB9" s="83"/>
      <c r="IC9" s="83"/>
      <c r="ID9" s="83"/>
      <c r="IE9" s="83"/>
      <c r="IF9" s="83"/>
      <c r="IG9" s="83"/>
    </row>
    <row r="10" spans="1:241" ht="15.6" x14ac:dyDescent="0.35">
      <c r="A10" s="83"/>
      <c r="B10" s="23" t="s">
        <v>10</v>
      </c>
      <c r="C10" s="8" t="s">
        <v>1</v>
      </c>
      <c r="D10" s="8" t="s">
        <v>2</v>
      </c>
      <c r="E10" s="8" t="s">
        <v>3</v>
      </c>
      <c r="F10" s="8" t="s">
        <v>11</v>
      </c>
      <c r="G10" s="24" t="s">
        <v>12</v>
      </c>
      <c r="H10" s="6" t="s">
        <v>6</v>
      </c>
      <c r="I10" s="1"/>
      <c r="J10" s="1"/>
      <c r="K10" s="1"/>
      <c r="L10" s="1"/>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c r="DD10" s="83"/>
      <c r="DE10" s="83"/>
      <c r="DF10" s="83"/>
      <c r="DG10" s="83"/>
      <c r="DH10" s="83"/>
      <c r="DI10" s="83"/>
      <c r="DJ10" s="83"/>
      <c r="DK10" s="83"/>
      <c r="DL10" s="83"/>
      <c r="DM10" s="83"/>
      <c r="DN10" s="83"/>
      <c r="DO10" s="83"/>
      <c r="DP10" s="83"/>
      <c r="DQ10" s="83"/>
      <c r="DR10" s="83"/>
      <c r="DS10" s="83"/>
      <c r="DT10" s="83"/>
      <c r="DU10" s="83"/>
      <c r="DV10" s="83"/>
      <c r="DW10" s="83"/>
      <c r="DX10" s="83"/>
      <c r="DY10" s="83"/>
      <c r="DZ10" s="83"/>
      <c r="EA10" s="83"/>
      <c r="EB10" s="83"/>
      <c r="EC10" s="83"/>
      <c r="ED10" s="83"/>
      <c r="EE10" s="83"/>
      <c r="EF10" s="83"/>
      <c r="EG10" s="83"/>
      <c r="EH10" s="83"/>
      <c r="EI10" s="83"/>
      <c r="EJ10" s="83"/>
      <c r="EK10" s="83"/>
      <c r="EL10" s="83"/>
      <c r="EM10" s="83"/>
      <c r="EN10" s="83"/>
      <c r="EO10" s="83"/>
      <c r="EP10" s="83"/>
      <c r="EQ10" s="83"/>
      <c r="ER10" s="83"/>
      <c r="ES10" s="83"/>
      <c r="ET10" s="83"/>
      <c r="EU10" s="83"/>
      <c r="EV10" s="83"/>
      <c r="EW10" s="83"/>
      <c r="EX10" s="83"/>
      <c r="EY10" s="83"/>
      <c r="EZ10" s="83"/>
      <c r="FA10" s="83"/>
      <c r="FB10" s="83"/>
      <c r="FC10" s="83"/>
      <c r="FD10" s="83"/>
      <c r="FE10" s="83"/>
      <c r="FF10" s="83"/>
      <c r="FG10" s="83"/>
      <c r="FH10" s="83"/>
      <c r="FI10" s="83"/>
      <c r="FJ10" s="83"/>
      <c r="FK10" s="83"/>
      <c r="FL10" s="83"/>
      <c r="FM10" s="83"/>
      <c r="FN10" s="83"/>
      <c r="FO10" s="83"/>
      <c r="FP10" s="83"/>
      <c r="FQ10" s="83"/>
      <c r="FR10" s="83"/>
      <c r="FS10" s="83"/>
      <c r="FT10" s="83"/>
      <c r="FU10" s="83"/>
      <c r="FV10" s="83"/>
      <c r="FW10" s="83"/>
      <c r="FX10" s="83"/>
      <c r="FY10" s="83"/>
      <c r="FZ10" s="83"/>
      <c r="GA10" s="83"/>
      <c r="GB10" s="83"/>
      <c r="GC10" s="83"/>
      <c r="GD10" s="83"/>
      <c r="GE10" s="83"/>
      <c r="GF10" s="83"/>
      <c r="GG10" s="83"/>
      <c r="GH10" s="83"/>
      <c r="GI10" s="83"/>
      <c r="GJ10" s="83"/>
      <c r="GK10" s="83"/>
      <c r="GL10" s="83"/>
      <c r="GM10" s="83"/>
      <c r="GN10" s="83"/>
      <c r="GO10" s="83"/>
      <c r="GP10" s="83"/>
      <c r="GQ10" s="83"/>
      <c r="GR10" s="83"/>
      <c r="GS10" s="83"/>
      <c r="GT10" s="83"/>
      <c r="GU10" s="83"/>
      <c r="GV10" s="83"/>
      <c r="GW10" s="83"/>
      <c r="GX10" s="83"/>
      <c r="GY10" s="83"/>
      <c r="GZ10" s="83"/>
      <c r="HA10" s="83"/>
      <c r="HB10" s="83"/>
      <c r="HC10" s="83"/>
      <c r="HD10" s="83"/>
      <c r="HE10" s="83"/>
      <c r="HF10" s="83"/>
      <c r="HG10" s="83"/>
      <c r="HH10" s="83"/>
      <c r="HI10" s="83"/>
      <c r="HJ10" s="83"/>
      <c r="HK10" s="83"/>
      <c r="HL10" s="83"/>
      <c r="HM10" s="83"/>
      <c r="HN10" s="83"/>
      <c r="HO10" s="83"/>
      <c r="HP10" s="83"/>
      <c r="HQ10" s="83"/>
      <c r="HR10" s="83"/>
      <c r="HS10" s="83"/>
      <c r="HT10" s="83"/>
      <c r="HU10" s="83"/>
      <c r="HV10" s="83"/>
      <c r="HW10" s="83"/>
      <c r="HX10" s="83"/>
      <c r="HY10" s="83"/>
      <c r="HZ10" s="83"/>
      <c r="IA10" s="83"/>
      <c r="IB10" s="83"/>
      <c r="IC10" s="83"/>
      <c r="ID10" s="83"/>
      <c r="IE10" s="83"/>
      <c r="IF10" s="83"/>
      <c r="IG10" s="83"/>
    </row>
    <row r="11" spans="1:241" x14ac:dyDescent="0.3">
      <c r="A11" s="83"/>
      <c r="B11" s="7" t="s">
        <v>13</v>
      </c>
      <c r="C11" s="25">
        <v>4.7680999999999996</v>
      </c>
      <c r="D11" s="25">
        <v>0.97399999999999998</v>
      </c>
      <c r="E11" s="25">
        <v>2.4E-2</v>
      </c>
      <c r="F11" s="26">
        <v>0.5</v>
      </c>
      <c r="G11" s="24">
        <v>1.7</v>
      </c>
      <c r="H11" s="27">
        <v>1.57</v>
      </c>
      <c r="I11" s="11"/>
      <c r="J11" s="1"/>
      <c r="K11" s="1"/>
      <c r="L11" s="1"/>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c r="DD11" s="83"/>
      <c r="DE11" s="83"/>
      <c r="DF11" s="83"/>
      <c r="DG11" s="83"/>
      <c r="DH11" s="83"/>
      <c r="DI11" s="83"/>
      <c r="DJ11" s="83"/>
      <c r="DK11" s="83"/>
      <c r="DL11" s="83"/>
      <c r="DM11" s="83"/>
      <c r="DN11" s="83"/>
      <c r="DO11" s="83"/>
      <c r="DP11" s="83"/>
      <c r="DQ11" s="83"/>
      <c r="DR11" s="83"/>
      <c r="DS11" s="83"/>
      <c r="DT11" s="83"/>
      <c r="DU11" s="83"/>
      <c r="DV11" s="83"/>
      <c r="DW11" s="83"/>
      <c r="DX11" s="83"/>
      <c r="DY11" s="83"/>
      <c r="DZ11" s="83"/>
      <c r="EA11" s="83"/>
      <c r="EB11" s="83"/>
      <c r="EC11" s="83"/>
      <c r="ED11" s="83"/>
      <c r="EE11" s="83"/>
      <c r="EF11" s="83"/>
      <c r="EG11" s="83"/>
      <c r="EH11" s="83"/>
      <c r="EI11" s="83"/>
      <c r="EJ11" s="83"/>
      <c r="EK11" s="83"/>
      <c r="EL11" s="83"/>
      <c r="EM11" s="83"/>
      <c r="EN11" s="83"/>
      <c r="EO11" s="83"/>
      <c r="EP11" s="83"/>
      <c r="EQ11" s="83"/>
      <c r="ER11" s="83"/>
      <c r="ES11" s="83"/>
      <c r="ET11" s="83"/>
      <c r="EU11" s="83"/>
      <c r="EV11" s="83"/>
      <c r="EW11" s="83"/>
      <c r="EX11" s="83"/>
      <c r="EY11" s="83"/>
      <c r="EZ11" s="83"/>
      <c r="FA11" s="83"/>
      <c r="FB11" s="83"/>
      <c r="FC11" s="83"/>
      <c r="FD11" s="83"/>
      <c r="FE11" s="83"/>
      <c r="FF11" s="83"/>
      <c r="FG11" s="83"/>
      <c r="FH11" s="83"/>
      <c r="FI11" s="83"/>
      <c r="FJ11" s="83"/>
      <c r="FK11" s="83"/>
      <c r="FL11" s="83"/>
      <c r="FM11" s="83"/>
      <c r="FN11" s="83"/>
      <c r="FO11" s="83"/>
      <c r="FP11" s="83"/>
      <c r="FQ11" s="83"/>
      <c r="FR11" s="83"/>
      <c r="FS11" s="83"/>
      <c r="FT11" s="83"/>
      <c r="FU11" s="83"/>
      <c r="FV11" s="83"/>
      <c r="FW11" s="83"/>
      <c r="FX11" s="83"/>
      <c r="FY11" s="83"/>
      <c r="FZ11" s="83"/>
      <c r="GA11" s="83"/>
      <c r="GB11" s="83"/>
      <c r="GC11" s="83"/>
      <c r="GD11" s="83"/>
      <c r="GE11" s="83"/>
      <c r="GF11" s="83"/>
      <c r="GG11" s="83"/>
      <c r="GH11" s="83"/>
      <c r="GI11" s="83"/>
      <c r="GJ11" s="83"/>
      <c r="GK11" s="83"/>
      <c r="GL11" s="83"/>
      <c r="GM11" s="83"/>
      <c r="GN11" s="83"/>
      <c r="GO11" s="83"/>
      <c r="GP11" s="83"/>
      <c r="GQ11" s="83"/>
      <c r="GR11" s="83"/>
      <c r="GS11" s="83"/>
      <c r="GT11" s="83"/>
      <c r="GU11" s="83"/>
      <c r="GV11" s="83"/>
      <c r="GW11" s="83"/>
      <c r="GX11" s="83"/>
      <c r="GY11" s="83"/>
      <c r="GZ11" s="83"/>
      <c r="HA11" s="83"/>
      <c r="HB11" s="83"/>
      <c r="HC11" s="83"/>
      <c r="HD11" s="83"/>
      <c r="HE11" s="83"/>
      <c r="HF11" s="83"/>
      <c r="HG11" s="83"/>
      <c r="HH11" s="83"/>
      <c r="HI11" s="83"/>
      <c r="HJ11" s="83"/>
      <c r="HK11" s="83"/>
      <c r="HL11" s="83"/>
      <c r="HM11" s="83"/>
      <c r="HN11" s="83"/>
      <c r="HO11" s="83"/>
      <c r="HP11" s="83"/>
      <c r="HQ11" s="83"/>
      <c r="HR11" s="83"/>
      <c r="HS11" s="83"/>
      <c r="HT11" s="83"/>
      <c r="HU11" s="83"/>
      <c r="HV11" s="83"/>
      <c r="HW11" s="83"/>
      <c r="HX11" s="83"/>
      <c r="HY11" s="83"/>
      <c r="HZ11" s="83"/>
      <c r="IA11" s="83"/>
      <c r="IB11" s="83"/>
      <c r="IC11" s="83"/>
      <c r="ID11" s="83"/>
      <c r="IE11" s="83"/>
      <c r="IF11" s="83"/>
      <c r="IG11" s="83"/>
    </row>
    <row r="12" spans="1:241" x14ac:dyDescent="0.3">
      <c r="A12" s="83"/>
      <c r="B12" s="12" t="s">
        <v>14</v>
      </c>
      <c r="C12" s="14">
        <v>4.3612000000000002</v>
      </c>
      <c r="D12" s="14">
        <v>0.87639999999999996</v>
      </c>
      <c r="E12" s="14">
        <v>-4.8999999999999998E-3</v>
      </c>
      <c r="F12" s="15">
        <v>0.5</v>
      </c>
      <c r="G12" s="28">
        <v>1</v>
      </c>
      <c r="H12" s="10">
        <v>1.57</v>
      </c>
      <c r="I12" s="11"/>
      <c r="J12" s="1"/>
      <c r="K12" s="1"/>
      <c r="L12" s="1"/>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c r="DD12" s="83"/>
      <c r="DE12" s="83"/>
      <c r="DF12" s="83"/>
      <c r="DG12" s="83"/>
      <c r="DH12" s="83"/>
      <c r="DI12" s="83"/>
      <c r="DJ12" s="83"/>
      <c r="DK12" s="83"/>
      <c r="DL12" s="83"/>
      <c r="DM12" s="83"/>
      <c r="DN12" s="83"/>
      <c r="DO12" s="83"/>
      <c r="DP12" s="83"/>
      <c r="DQ12" s="83"/>
      <c r="DR12" s="83"/>
      <c r="DS12" s="83"/>
      <c r="DT12" s="83"/>
      <c r="DU12" s="83"/>
      <c r="DV12" s="83"/>
      <c r="DW12" s="83"/>
      <c r="DX12" s="83"/>
      <c r="DY12" s="83"/>
      <c r="DZ12" s="83"/>
      <c r="EA12" s="83"/>
      <c r="EB12" s="83"/>
      <c r="EC12" s="83"/>
      <c r="ED12" s="83"/>
      <c r="EE12" s="83"/>
      <c r="EF12" s="83"/>
      <c r="EG12" s="83"/>
      <c r="EH12" s="83"/>
      <c r="EI12" s="83"/>
      <c r="EJ12" s="83"/>
      <c r="EK12" s="83"/>
      <c r="EL12" s="83"/>
      <c r="EM12" s="83"/>
      <c r="EN12" s="83"/>
      <c r="EO12" s="83"/>
      <c r="EP12" s="83"/>
      <c r="EQ12" s="83"/>
      <c r="ER12" s="83"/>
      <c r="ES12" s="83"/>
      <c r="ET12" s="83"/>
      <c r="EU12" s="83"/>
      <c r="EV12" s="83"/>
      <c r="EW12" s="83"/>
      <c r="EX12" s="83"/>
      <c r="EY12" s="83"/>
      <c r="EZ12" s="83"/>
      <c r="FA12" s="83"/>
      <c r="FB12" s="83"/>
      <c r="FC12" s="83"/>
      <c r="FD12" s="83"/>
      <c r="FE12" s="83"/>
      <c r="FF12" s="83"/>
      <c r="FG12" s="83"/>
      <c r="FH12" s="83"/>
      <c r="FI12" s="83"/>
      <c r="FJ12" s="83"/>
      <c r="FK12" s="83"/>
      <c r="FL12" s="83"/>
      <c r="FM12" s="83"/>
      <c r="FN12" s="83"/>
      <c r="FO12" s="83"/>
      <c r="FP12" s="83"/>
      <c r="FQ12" s="83"/>
      <c r="FR12" s="83"/>
      <c r="FS12" s="83"/>
      <c r="FT12" s="83"/>
      <c r="FU12" s="83"/>
      <c r="FV12" s="83"/>
      <c r="FW12" s="83"/>
      <c r="FX12" s="83"/>
      <c r="FY12" s="83"/>
      <c r="FZ12" s="83"/>
      <c r="GA12" s="83"/>
      <c r="GB12" s="83"/>
      <c r="GC12" s="83"/>
      <c r="GD12" s="83"/>
      <c r="GE12" s="83"/>
      <c r="GF12" s="83"/>
      <c r="GG12" s="83"/>
      <c r="GH12" s="83"/>
      <c r="GI12" s="83"/>
      <c r="GJ12" s="83"/>
      <c r="GK12" s="83"/>
      <c r="GL12" s="83"/>
      <c r="GM12" s="83"/>
      <c r="GN12" s="83"/>
      <c r="GO12" s="83"/>
      <c r="GP12" s="83"/>
      <c r="GQ12" s="83"/>
      <c r="GR12" s="83"/>
      <c r="GS12" s="83"/>
      <c r="GT12" s="83"/>
      <c r="GU12" s="83"/>
      <c r="GV12" s="83"/>
      <c r="GW12" s="83"/>
      <c r="GX12" s="83"/>
      <c r="GY12" s="83"/>
      <c r="GZ12" s="83"/>
      <c r="HA12" s="83"/>
      <c r="HB12" s="83"/>
      <c r="HC12" s="83"/>
      <c r="HD12" s="83"/>
      <c r="HE12" s="83"/>
      <c r="HF12" s="83"/>
      <c r="HG12" s="83"/>
      <c r="HH12" s="83"/>
      <c r="HI12" s="83"/>
      <c r="HJ12" s="83"/>
      <c r="HK12" s="83"/>
      <c r="HL12" s="83"/>
      <c r="HM12" s="83"/>
      <c r="HN12" s="83"/>
      <c r="HO12" s="83"/>
      <c r="HP12" s="83"/>
      <c r="HQ12" s="83"/>
      <c r="HR12" s="83"/>
      <c r="HS12" s="83"/>
      <c r="HT12" s="83"/>
      <c r="HU12" s="83"/>
      <c r="HV12" s="83"/>
      <c r="HW12" s="83"/>
      <c r="HX12" s="83"/>
      <c r="HY12" s="83"/>
      <c r="HZ12" s="83"/>
      <c r="IA12" s="83"/>
      <c r="IB12" s="83"/>
      <c r="IC12" s="83"/>
      <c r="ID12" s="83"/>
      <c r="IE12" s="83"/>
      <c r="IF12" s="83"/>
      <c r="IG12" s="83"/>
    </row>
    <row r="13" spans="1:241" x14ac:dyDescent="0.3">
      <c r="A13" s="83"/>
      <c r="B13" s="12" t="s">
        <v>15</v>
      </c>
      <c r="C13" s="14">
        <v>4.8600000000000003</v>
      </c>
      <c r="D13" s="14">
        <v>0.33400000000000002</v>
      </c>
      <c r="E13" s="14">
        <v>0.10630000000000001</v>
      </c>
      <c r="F13" s="15">
        <v>0.5</v>
      </c>
      <c r="G13" s="28">
        <v>1.1000000000000001</v>
      </c>
      <c r="H13" s="10">
        <v>1.57</v>
      </c>
      <c r="I13" s="11"/>
      <c r="J13" s="1"/>
      <c r="K13" s="1"/>
      <c r="L13" s="1"/>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c r="DD13" s="83"/>
      <c r="DE13" s="83"/>
      <c r="DF13" s="83"/>
      <c r="DG13" s="83"/>
      <c r="DH13" s="83"/>
      <c r="DI13" s="83"/>
      <c r="DJ13" s="83"/>
      <c r="DK13" s="83"/>
      <c r="DL13" s="83"/>
      <c r="DM13" s="83"/>
      <c r="DN13" s="83"/>
      <c r="DO13" s="83"/>
      <c r="DP13" s="83"/>
      <c r="DQ13" s="83"/>
      <c r="DR13" s="83"/>
      <c r="DS13" s="83"/>
      <c r="DT13" s="83"/>
      <c r="DU13" s="83"/>
      <c r="DV13" s="83"/>
      <c r="DW13" s="83"/>
      <c r="DX13" s="83"/>
      <c r="DY13" s="83"/>
      <c r="DZ13" s="83"/>
      <c r="EA13" s="83"/>
      <c r="EB13" s="83"/>
      <c r="EC13" s="83"/>
      <c r="ED13" s="83"/>
      <c r="EE13" s="83"/>
      <c r="EF13" s="83"/>
      <c r="EG13" s="83"/>
      <c r="EH13" s="83"/>
      <c r="EI13" s="83"/>
      <c r="EJ13" s="83"/>
      <c r="EK13" s="83"/>
      <c r="EL13" s="83"/>
      <c r="EM13" s="83"/>
      <c r="EN13" s="83"/>
      <c r="EO13" s="83"/>
      <c r="EP13" s="83"/>
      <c r="EQ13" s="83"/>
      <c r="ER13" s="83"/>
      <c r="ES13" s="83"/>
      <c r="ET13" s="83"/>
      <c r="EU13" s="83"/>
      <c r="EV13" s="83"/>
      <c r="EW13" s="83"/>
      <c r="EX13" s="83"/>
      <c r="EY13" s="83"/>
      <c r="EZ13" s="83"/>
      <c r="FA13" s="83"/>
      <c r="FB13" s="83"/>
      <c r="FC13" s="83"/>
      <c r="FD13" s="83"/>
      <c r="FE13" s="83"/>
      <c r="FF13" s="83"/>
      <c r="FG13" s="83"/>
      <c r="FH13" s="83"/>
      <c r="FI13" s="83"/>
      <c r="FJ13" s="83"/>
      <c r="FK13" s="83"/>
      <c r="FL13" s="83"/>
      <c r="FM13" s="83"/>
      <c r="FN13" s="83"/>
      <c r="FO13" s="83"/>
      <c r="FP13" s="83"/>
      <c r="FQ13" s="83"/>
      <c r="FR13" s="83"/>
      <c r="FS13" s="83"/>
      <c r="FT13" s="83"/>
      <c r="FU13" s="83"/>
      <c r="FV13" s="83"/>
      <c r="FW13" s="83"/>
      <c r="FX13" s="83"/>
      <c r="FY13" s="83"/>
      <c r="FZ13" s="83"/>
      <c r="GA13" s="83"/>
      <c r="GB13" s="83"/>
      <c r="GC13" s="83"/>
      <c r="GD13" s="83"/>
      <c r="GE13" s="83"/>
      <c r="GF13" s="83"/>
      <c r="GG13" s="83"/>
      <c r="GH13" s="83"/>
      <c r="GI13" s="83"/>
      <c r="GJ13" s="83"/>
      <c r="GK13" s="83"/>
      <c r="GL13" s="83"/>
      <c r="GM13" s="83"/>
      <c r="GN13" s="83"/>
      <c r="GO13" s="83"/>
      <c r="GP13" s="83"/>
      <c r="GQ13" s="83"/>
      <c r="GR13" s="83"/>
      <c r="GS13" s="83"/>
      <c r="GT13" s="83"/>
      <c r="GU13" s="83"/>
      <c r="GV13" s="83"/>
      <c r="GW13" s="83"/>
      <c r="GX13" s="83"/>
      <c r="GY13" s="83"/>
      <c r="GZ13" s="83"/>
      <c r="HA13" s="83"/>
      <c r="HB13" s="83"/>
      <c r="HC13" s="83"/>
      <c r="HD13" s="83"/>
      <c r="HE13" s="83"/>
      <c r="HF13" s="83"/>
      <c r="HG13" s="83"/>
      <c r="HH13" s="83"/>
      <c r="HI13" s="83"/>
      <c r="HJ13" s="83"/>
      <c r="HK13" s="83"/>
      <c r="HL13" s="83"/>
      <c r="HM13" s="83"/>
      <c r="HN13" s="83"/>
      <c r="HO13" s="83"/>
      <c r="HP13" s="83"/>
      <c r="HQ13" s="83"/>
      <c r="HR13" s="83"/>
      <c r="HS13" s="83"/>
      <c r="HT13" s="83"/>
      <c r="HU13" s="83"/>
      <c r="HV13" s="83"/>
      <c r="HW13" s="83"/>
      <c r="HX13" s="83"/>
      <c r="HY13" s="83"/>
      <c r="HZ13" s="83"/>
      <c r="IA13" s="83"/>
      <c r="IB13" s="83"/>
      <c r="IC13" s="83"/>
      <c r="ID13" s="83"/>
      <c r="IE13" s="83"/>
      <c r="IF13" s="83"/>
      <c r="IG13" s="83"/>
    </row>
    <row r="14" spans="1:241" x14ac:dyDescent="0.3">
      <c r="A14" s="83"/>
      <c r="B14" s="17" t="s">
        <v>16</v>
      </c>
      <c r="C14" s="19">
        <v>4.9696999999999996</v>
      </c>
      <c r="D14" s="19">
        <v>1.1689000000000001</v>
      </c>
      <c r="E14" s="19">
        <v>3.8E-3</v>
      </c>
      <c r="F14" s="20">
        <v>0.3</v>
      </c>
      <c r="G14" s="29">
        <v>2</v>
      </c>
      <c r="H14" s="22">
        <v>1.27</v>
      </c>
      <c r="I14" s="11"/>
      <c r="J14" s="1"/>
      <c r="K14" s="1"/>
      <c r="L14" s="1"/>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c r="DD14" s="83"/>
      <c r="DE14" s="83"/>
      <c r="DF14" s="83"/>
      <c r="DG14" s="83"/>
      <c r="DH14" s="83"/>
      <c r="DI14" s="83"/>
      <c r="DJ14" s="83"/>
      <c r="DK14" s="83"/>
      <c r="DL14" s="83"/>
      <c r="DM14" s="83"/>
      <c r="DN14" s="83"/>
      <c r="DO14" s="83"/>
      <c r="DP14" s="83"/>
      <c r="DQ14" s="83"/>
      <c r="DR14" s="83"/>
      <c r="DS14" s="83"/>
      <c r="DT14" s="83"/>
      <c r="DU14" s="83"/>
      <c r="DV14" s="83"/>
      <c r="DW14" s="83"/>
      <c r="DX14" s="83"/>
      <c r="DY14" s="83"/>
      <c r="DZ14" s="83"/>
      <c r="EA14" s="83"/>
      <c r="EB14" s="83"/>
      <c r="EC14" s="83"/>
      <c r="ED14" s="83"/>
      <c r="EE14" s="83"/>
      <c r="EF14" s="83"/>
      <c r="EG14" s="83"/>
      <c r="EH14" s="83"/>
      <c r="EI14" s="83"/>
      <c r="EJ14" s="83"/>
      <c r="EK14" s="83"/>
      <c r="EL14" s="83"/>
      <c r="EM14" s="83"/>
      <c r="EN14" s="83"/>
      <c r="EO14" s="83"/>
      <c r="EP14" s="83"/>
      <c r="EQ14" s="83"/>
      <c r="ER14" s="83"/>
      <c r="ES14" s="83"/>
      <c r="ET14" s="83"/>
      <c r="EU14" s="83"/>
      <c r="EV14" s="83"/>
      <c r="EW14" s="83"/>
      <c r="EX14" s="83"/>
      <c r="EY14" s="83"/>
      <c r="EZ14" s="83"/>
      <c r="FA14" s="83"/>
      <c r="FB14" s="83"/>
      <c r="FC14" s="83"/>
      <c r="FD14" s="83"/>
      <c r="FE14" s="83"/>
      <c r="FF14" s="83"/>
      <c r="FG14" s="83"/>
      <c r="FH14" s="83"/>
      <c r="FI14" s="83"/>
      <c r="FJ14" s="83"/>
      <c r="FK14" s="83"/>
      <c r="FL14" s="83"/>
      <c r="FM14" s="83"/>
      <c r="FN14" s="83"/>
      <c r="FO14" s="83"/>
      <c r="FP14" s="83"/>
      <c r="FQ14" s="83"/>
      <c r="FR14" s="83"/>
      <c r="FS14" s="83"/>
      <c r="FT14" s="83"/>
      <c r="FU14" s="83"/>
      <c r="FV14" s="83"/>
      <c r="FW14" s="83"/>
      <c r="FX14" s="83"/>
      <c r="FY14" s="83"/>
      <c r="FZ14" s="83"/>
      <c r="GA14" s="83"/>
      <c r="GB14" s="83"/>
      <c r="GC14" s="83"/>
      <c r="GD14" s="83"/>
      <c r="GE14" s="83"/>
      <c r="GF14" s="83"/>
      <c r="GG14" s="83"/>
      <c r="GH14" s="83"/>
      <c r="GI14" s="83"/>
      <c r="GJ14" s="83"/>
      <c r="GK14" s="83"/>
      <c r="GL14" s="83"/>
      <c r="GM14" s="83"/>
      <c r="GN14" s="83"/>
      <c r="GO14" s="83"/>
      <c r="GP14" s="83"/>
      <c r="GQ14" s="83"/>
      <c r="GR14" s="83"/>
      <c r="GS14" s="83"/>
      <c r="GT14" s="83"/>
      <c r="GU14" s="83"/>
      <c r="GV14" s="83"/>
      <c r="GW14" s="83"/>
      <c r="GX14" s="83"/>
      <c r="GY14" s="83"/>
      <c r="GZ14" s="83"/>
      <c r="HA14" s="83"/>
      <c r="HB14" s="83"/>
      <c r="HC14" s="83"/>
      <c r="HD14" s="83"/>
      <c r="HE14" s="83"/>
      <c r="HF14" s="83"/>
      <c r="HG14" s="83"/>
      <c r="HH14" s="83"/>
      <c r="HI14" s="83"/>
      <c r="HJ14" s="83"/>
      <c r="HK14" s="83"/>
      <c r="HL14" s="83"/>
      <c r="HM14" s="83"/>
      <c r="HN14" s="83"/>
      <c r="HO14" s="83"/>
      <c r="HP14" s="83"/>
      <c r="HQ14" s="83"/>
      <c r="HR14" s="83"/>
      <c r="HS14" s="83"/>
      <c r="HT14" s="83"/>
      <c r="HU14" s="83"/>
      <c r="HV14" s="83"/>
      <c r="HW14" s="83"/>
      <c r="HX14" s="83"/>
      <c r="HY14" s="83"/>
      <c r="HZ14" s="83"/>
      <c r="IA14" s="83"/>
      <c r="IB14" s="83"/>
      <c r="IC14" s="83"/>
      <c r="ID14" s="83"/>
      <c r="IE14" s="83"/>
      <c r="IF14" s="83"/>
      <c r="IG14" s="83"/>
    </row>
    <row r="15" spans="1:241" x14ac:dyDescent="0.3">
      <c r="A15" s="83"/>
      <c r="B15" s="1"/>
      <c r="C15" s="14"/>
      <c r="D15" s="14"/>
      <c r="E15" s="14"/>
      <c r="F15" s="15"/>
      <c r="G15" s="15"/>
      <c r="H15" s="1"/>
      <c r="I15" s="1"/>
      <c r="J15" s="1"/>
      <c r="K15" s="1"/>
      <c r="L15" s="1"/>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c r="DD15" s="83"/>
      <c r="DE15" s="83"/>
      <c r="DF15" s="83"/>
      <c r="DG15" s="83"/>
      <c r="DH15" s="83"/>
      <c r="DI15" s="83"/>
      <c r="DJ15" s="83"/>
      <c r="DK15" s="83"/>
      <c r="DL15" s="83"/>
      <c r="DM15" s="83"/>
      <c r="DN15" s="83"/>
      <c r="DO15" s="83"/>
      <c r="DP15" s="83"/>
      <c r="DQ15" s="83"/>
      <c r="DR15" s="83"/>
      <c r="DS15" s="83"/>
      <c r="DT15" s="83"/>
      <c r="DU15" s="83"/>
      <c r="DV15" s="83"/>
      <c r="DW15" s="83"/>
      <c r="DX15" s="83"/>
      <c r="DY15" s="83"/>
      <c r="DZ15" s="83"/>
      <c r="EA15" s="83"/>
      <c r="EB15" s="83"/>
      <c r="EC15" s="83"/>
      <c r="ED15" s="83"/>
      <c r="EE15" s="83"/>
      <c r="EF15" s="83"/>
      <c r="EG15" s="83"/>
      <c r="EH15" s="83"/>
      <c r="EI15" s="83"/>
      <c r="EJ15" s="83"/>
      <c r="EK15" s="83"/>
      <c r="EL15" s="83"/>
      <c r="EM15" s="83"/>
      <c r="EN15" s="83"/>
      <c r="EO15" s="83"/>
      <c r="EP15" s="83"/>
      <c r="EQ15" s="83"/>
      <c r="ER15" s="83"/>
      <c r="ES15" s="83"/>
      <c r="ET15" s="83"/>
      <c r="EU15" s="83"/>
      <c r="EV15" s="83"/>
      <c r="EW15" s="83"/>
      <c r="EX15" s="83"/>
      <c r="EY15" s="83"/>
      <c r="EZ15" s="83"/>
      <c r="FA15" s="83"/>
      <c r="FB15" s="83"/>
      <c r="FC15" s="83"/>
      <c r="FD15" s="83"/>
      <c r="FE15" s="83"/>
      <c r="FF15" s="83"/>
      <c r="FG15" s="83"/>
      <c r="FH15" s="83"/>
      <c r="FI15" s="83"/>
      <c r="FJ15" s="83"/>
      <c r="FK15" s="83"/>
      <c r="FL15" s="83"/>
      <c r="FM15" s="83"/>
      <c r="FN15" s="83"/>
      <c r="FO15" s="83"/>
      <c r="FP15" s="83"/>
      <c r="FQ15" s="83"/>
      <c r="FR15" s="83"/>
      <c r="FS15" s="83"/>
      <c r="FT15" s="83"/>
      <c r="FU15" s="83"/>
      <c r="FV15" s="83"/>
      <c r="FW15" s="83"/>
      <c r="FX15" s="83"/>
      <c r="FY15" s="83"/>
      <c r="FZ15" s="83"/>
      <c r="GA15" s="83"/>
      <c r="GB15" s="83"/>
      <c r="GC15" s="83"/>
      <c r="GD15" s="83"/>
      <c r="GE15" s="83"/>
      <c r="GF15" s="83"/>
      <c r="GG15" s="83"/>
      <c r="GH15" s="83"/>
      <c r="GI15" s="83"/>
      <c r="GJ15" s="83"/>
      <c r="GK15" s="83"/>
      <c r="GL15" s="83"/>
      <c r="GM15" s="83"/>
      <c r="GN15" s="83"/>
      <c r="GO15" s="83"/>
      <c r="GP15" s="83"/>
      <c r="GQ15" s="83"/>
      <c r="GR15" s="83"/>
      <c r="GS15" s="83"/>
      <c r="GT15" s="83"/>
      <c r="GU15" s="83"/>
      <c r="GV15" s="83"/>
      <c r="GW15" s="83"/>
      <c r="GX15" s="83"/>
      <c r="GY15" s="83"/>
      <c r="GZ15" s="83"/>
      <c r="HA15" s="83"/>
      <c r="HB15" s="83"/>
      <c r="HC15" s="83"/>
      <c r="HD15" s="83"/>
      <c r="HE15" s="83"/>
      <c r="HF15" s="83"/>
      <c r="HG15" s="83"/>
      <c r="HH15" s="83"/>
      <c r="HI15" s="83"/>
      <c r="HJ15" s="83"/>
      <c r="HK15" s="83"/>
      <c r="HL15" s="83"/>
      <c r="HM15" s="83"/>
      <c r="HN15" s="83"/>
      <c r="HO15" s="83"/>
      <c r="HP15" s="83"/>
      <c r="HQ15" s="83"/>
      <c r="HR15" s="83"/>
      <c r="HS15" s="83"/>
      <c r="HT15" s="83"/>
      <c r="HU15" s="83"/>
      <c r="HV15" s="83"/>
      <c r="HW15" s="83"/>
      <c r="HX15" s="83"/>
      <c r="HY15" s="83"/>
      <c r="HZ15" s="83"/>
      <c r="IA15" s="83"/>
      <c r="IB15" s="83"/>
      <c r="IC15" s="83"/>
      <c r="ID15" s="83"/>
      <c r="IE15" s="83"/>
      <c r="IF15" s="83"/>
      <c r="IG15" s="83"/>
    </row>
    <row r="16" spans="1:241" x14ac:dyDescent="0.3">
      <c r="A16" s="83"/>
      <c r="B16" s="1"/>
      <c r="C16" s="14"/>
      <c r="D16" s="14"/>
      <c r="E16" s="14"/>
      <c r="F16" s="15"/>
      <c r="G16" s="15"/>
      <c r="H16" s="1"/>
      <c r="I16" s="1"/>
      <c r="J16" s="1"/>
      <c r="K16" s="1"/>
      <c r="L16" s="1"/>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c r="DD16" s="83"/>
      <c r="DE16" s="83"/>
      <c r="DF16" s="83"/>
      <c r="DG16" s="83"/>
      <c r="DH16" s="83"/>
      <c r="DI16" s="83"/>
      <c r="DJ16" s="83"/>
      <c r="DK16" s="83"/>
      <c r="DL16" s="83"/>
      <c r="DM16" s="83"/>
      <c r="DN16" s="83"/>
      <c r="DO16" s="83"/>
      <c r="DP16" s="83"/>
      <c r="DQ16" s="83"/>
      <c r="DR16" s="83"/>
      <c r="DS16" s="83"/>
      <c r="DT16" s="83"/>
      <c r="DU16" s="83"/>
      <c r="DV16" s="83"/>
      <c r="DW16" s="83"/>
      <c r="DX16" s="83"/>
      <c r="DY16" s="83"/>
      <c r="DZ16" s="83"/>
      <c r="EA16" s="83"/>
      <c r="EB16" s="83"/>
      <c r="EC16" s="83"/>
      <c r="ED16" s="83"/>
      <c r="EE16" s="83"/>
      <c r="EF16" s="83"/>
      <c r="EG16" s="83"/>
      <c r="EH16" s="83"/>
      <c r="EI16" s="83"/>
      <c r="EJ16" s="83"/>
      <c r="EK16" s="83"/>
      <c r="EL16" s="83"/>
      <c r="EM16" s="83"/>
      <c r="EN16" s="83"/>
      <c r="EO16" s="83"/>
      <c r="EP16" s="83"/>
      <c r="EQ16" s="83"/>
      <c r="ER16" s="83"/>
      <c r="ES16" s="83"/>
      <c r="ET16" s="83"/>
      <c r="EU16" s="83"/>
      <c r="EV16" s="83"/>
      <c r="EW16" s="83"/>
      <c r="EX16" s="83"/>
      <c r="EY16" s="83"/>
      <c r="EZ16" s="83"/>
      <c r="FA16" s="83"/>
      <c r="FB16" s="83"/>
      <c r="FC16" s="83"/>
      <c r="FD16" s="83"/>
      <c r="FE16" s="83"/>
      <c r="FF16" s="83"/>
      <c r="FG16" s="83"/>
      <c r="FH16" s="83"/>
      <c r="FI16" s="83"/>
      <c r="FJ16" s="83"/>
      <c r="FK16" s="83"/>
      <c r="FL16" s="83"/>
      <c r="FM16" s="83"/>
      <c r="FN16" s="83"/>
      <c r="FO16" s="83"/>
      <c r="FP16" s="83"/>
      <c r="FQ16" s="83"/>
      <c r="FR16" s="83"/>
      <c r="FS16" s="83"/>
      <c r="FT16" s="83"/>
      <c r="FU16" s="83"/>
      <c r="FV16" s="83"/>
      <c r="FW16" s="83"/>
      <c r="FX16" s="83"/>
      <c r="FY16" s="83"/>
      <c r="FZ16" s="83"/>
      <c r="GA16" s="83"/>
      <c r="GB16" s="83"/>
      <c r="GC16" s="83"/>
      <c r="GD16" s="83"/>
      <c r="GE16" s="83"/>
      <c r="GF16" s="83"/>
      <c r="GG16" s="83"/>
      <c r="GH16" s="83"/>
      <c r="GI16" s="83"/>
      <c r="GJ16" s="83"/>
      <c r="GK16" s="83"/>
      <c r="GL16" s="83"/>
      <c r="GM16" s="83"/>
      <c r="GN16" s="83"/>
      <c r="GO16" s="83"/>
      <c r="GP16" s="83"/>
      <c r="GQ16" s="83"/>
      <c r="GR16" s="83"/>
      <c r="GS16" s="83"/>
      <c r="GT16" s="83"/>
      <c r="GU16" s="83"/>
      <c r="GV16" s="83"/>
      <c r="GW16" s="83"/>
      <c r="GX16" s="83"/>
      <c r="GY16" s="83"/>
      <c r="GZ16" s="83"/>
      <c r="HA16" s="83"/>
      <c r="HB16" s="83"/>
      <c r="HC16" s="83"/>
      <c r="HD16" s="83"/>
      <c r="HE16" s="83"/>
      <c r="HF16" s="83"/>
      <c r="HG16" s="83"/>
      <c r="HH16" s="83"/>
      <c r="HI16" s="83"/>
      <c r="HJ16" s="83"/>
      <c r="HK16" s="83"/>
      <c r="HL16" s="83"/>
      <c r="HM16" s="83"/>
      <c r="HN16" s="83"/>
      <c r="HO16" s="83"/>
      <c r="HP16" s="83"/>
      <c r="HQ16" s="83"/>
      <c r="HR16" s="83"/>
      <c r="HS16" s="83"/>
      <c r="HT16" s="83"/>
      <c r="HU16" s="83"/>
      <c r="HV16" s="83"/>
      <c r="HW16" s="83"/>
      <c r="HX16" s="83"/>
      <c r="HY16" s="83"/>
      <c r="HZ16" s="83"/>
      <c r="IA16" s="83"/>
      <c r="IB16" s="83"/>
      <c r="IC16" s="83"/>
      <c r="ID16" s="83"/>
      <c r="IE16" s="83"/>
      <c r="IF16" s="83"/>
      <c r="IG16" s="83"/>
    </row>
    <row r="17" spans="1:241" x14ac:dyDescent="0.3">
      <c r="A17" s="83"/>
      <c r="B17" s="2" t="s">
        <v>261</v>
      </c>
      <c r="C17" s="1"/>
      <c r="D17" s="1"/>
      <c r="E17" s="1"/>
      <c r="F17" s="1"/>
      <c r="G17" s="1"/>
      <c r="H17" s="1"/>
      <c r="I17" s="1"/>
      <c r="J17" s="1"/>
      <c r="K17" s="1"/>
      <c r="L17" s="1"/>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c r="DD17" s="83"/>
      <c r="DE17" s="83"/>
      <c r="DF17" s="83"/>
      <c r="DG17" s="83"/>
      <c r="DH17" s="83"/>
      <c r="DI17" s="83"/>
      <c r="DJ17" s="83"/>
      <c r="DK17" s="83"/>
      <c r="DL17" s="83"/>
      <c r="DM17" s="83"/>
      <c r="DN17" s="83"/>
      <c r="DO17" s="83"/>
      <c r="DP17" s="83"/>
      <c r="DQ17" s="83"/>
      <c r="DR17" s="83"/>
      <c r="DS17" s="83"/>
      <c r="DT17" s="83"/>
      <c r="DU17" s="83"/>
      <c r="DV17" s="83"/>
      <c r="DW17" s="83"/>
      <c r="DX17" s="83"/>
      <c r="DY17" s="83"/>
      <c r="DZ17" s="83"/>
      <c r="EA17" s="83"/>
      <c r="EB17" s="83"/>
      <c r="EC17" s="83"/>
      <c r="ED17" s="83"/>
      <c r="EE17" s="83"/>
      <c r="EF17" s="83"/>
      <c r="EG17" s="83"/>
      <c r="EH17" s="83"/>
      <c r="EI17" s="83"/>
      <c r="EJ17" s="83"/>
      <c r="EK17" s="83"/>
      <c r="EL17" s="83"/>
      <c r="EM17" s="83"/>
      <c r="EN17" s="83"/>
      <c r="EO17" s="83"/>
      <c r="EP17" s="83"/>
      <c r="EQ17" s="83"/>
      <c r="ER17" s="83"/>
      <c r="ES17" s="83"/>
      <c r="ET17" s="83"/>
      <c r="EU17" s="83"/>
      <c r="EV17" s="83"/>
      <c r="EW17" s="83"/>
      <c r="EX17" s="83"/>
      <c r="EY17" s="83"/>
      <c r="EZ17" s="83"/>
      <c r="FA17" s="83"/>
      <c r="FB17" s="83"/>
      <c r="FC17" s="83"/>
      <c r="FD17" s="83"/>
      <c r="FE17" s="83"/>
      <c r="FF17" s="83"/>
      <c r="FG17" s="83"/>
      <c r="FH17" s="83"/>
      <c r="FI17" s="83"/>
      <c r="FJ17" s="83"/>
      <c r="FK17" s="83"/>
      <c r="FL17" s="83"/>
      <c r="FM17" s="83"/>
      <c r="FN17" s="83"/>
      <c r="FO17" s="83"/>
      <c r="FP17" s="83"/>
      <c r="FQ17" s="83"/>
      <c r="FR17" s="83"/>
      <c r="FS17" s="83"/>
      <c r="FT17" s="83"/>
      <c r="FU17" s="83"/>
      <c r="FV17" s="83"/>
      <c r="FW17" s="83"/>
      <c r="FX17" s="83"/>
      <c r="FY17" s="83"/>
      <c r="FZ17" s="83"/>
      <c r="GA17" s="83"/>
      <c r="GB17" s="83"/>
      <c r="GC17" s="83"/>
      <c r="GD17" s="83"/>
      <c r="GE17" s="83"/>
      <c r="GF17" s="83"/>
      <c r="GG17" s="83"/>
      <c r="GH17" s="83"/>
      <c r="GI17" s="83"/>
      <c r="GJ17" s="83"/>
      <c r="GK17" s="83"/>
      <c r="GL17" s="83"/>
      <c r="GM17" s="83"/>
      <c r="GN17" s="83"/>
      <c r="GO17" s="83"/>
      <c r="GP17" s="83"/>
      <c r="GQ17" s="83"/>
      <c r="GR17" s="83"/>
      <c r="GS17" s="83"/>
      <c r="GT17" s="83"/>
      <c r="GU17" s="83"/>
      <c r="GV17" s="83"/>
      <c r="GW17" s="83"/>
      <c r="GX17" s="83"/>
      <c r="GY17" s="83"/>
      <c r="GZ17" s="83"/>
      <c r="HA17" s="83"/>
      <c r="HB17" s="83"/>
      <c r="HC17" s="83"/>
      <c r="HD17" s="83"/>
      <c r="HE17" s="83"/>
      <c r="HF17" s="83"/>
      <c r="HG17" s="83"/>
      <c r="HH17" s="83"/>
      <c r="HI17" s="83"/>
      <c r="HJ17" s="83"/>
      <c r="HK17" s="83"/>
      <c r="HL17" s="83"/>
      <c r="HM17" s="83"/>
      <c r="HN17" s="83"/>
      <c r="HO17" s="83"/>
      <c r="HP17" s="83"/>
      <c r="HQ17" s="83"/>
      <c r="HR17" s="83"/>
      <c r="HS17" s="83"/>
      <c r="HT17" s="83"/>
      <c r="HU17" s="83"/>
      <c r="HV17" s="83"/>
      <c r="HW17" s="83"/>
      <c r="HX17" s="83"/>
      <c r="HY17" s="83"/>
      <c r="HZ17" s="83"/>
      <c r="IA17" s="83"/>
      <c r="IB17" s="83"/>
      <c r="IC17" s="83"/>
      <c r="ID17" s="83"/>
      <c r="IE17" s="83"/>
      <c r="IF17" s="83"/>
      <c r="IG17" s="83"/>
    </row>
    <row r="18" spans="1:241" ht="15.6" x14ac:dyDescent="0.35">
      <c r="A18" s="83"/>
      <c r="B18" s="23" t="s">
        <v>17</v>
      </c>
      <c r="C18" s="8" t="s">
        <v>1</v>
      </c>
      <c r="D18" s="8" t="s">
        <v>2</v>
      </c>
      <c r="E18" s="8" t="s">
        <v>3</v>
      </c>
      <c r="F18" s="8" t="s">
        <v>18</v>
      </c>
      <c r="G18" s="8" t="s">
        <v>19</v>
      </c>
      <c r="H18" s="8" t="s">
        <v>20</v>
      </c>
      <c r="I18" s="8" t="s">
        <v>21</v>
      </c>
      <c r="J18" s="9" t="s">
        <v>22</v>
      </c>
      <c r="K18" s="1"/>
      <c r="L18" s="1"/>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c r="DD18" s="83"/>
      <c r="DE18" s="83"/>
      <c r="DF18" s="83"/>
      <c r="DG18" s="83"/>
      <c r="DH18" s="83"/>
      <c r="DI18" s="83"/>
      <c r="DJ18" s="83"/>
      <c r="DK18" s="83"/>
      <c r="DL18" s="83"/>
      <c r="DM18" s="83"/>
      <c r="DN18" s="83"/>
      <c r="DO18" s="83"/>
      <c r="DP18" s="83"/>
      <c r="DQ18" s="83"/>
      <c r="DR18" s="83"/>
      <c r="DS18" s="83"/>
      <c r="DT18" s="83"/>
      <c r="DU18" s="83"/>
      <c r="DV18" s="83"/>
      <c r="DW18" s="83"/>
      <c r="DX18" s="83"/>
      <c r="DY18" s="83"/>
      <c r="DZ18" s="83"/>
      <c r="EA18" s="83"/>
      <c r="EB18" s="83"/>
      <c r="EC18" s="83"/>
      <c r="ED18" s="83"/>
      <c r="EE18" s="83"/>
      <c r="EF18" s="83"/>
      <c r="EG18" s="83"/>
      <c r="EH18" s="83"/>
      <c r="EI18" s="83"/>
      <c r="EJ18" s="83"/>
      <c r="EK18" s="83"/>
      <c r="EL18" s="83"/>
      <c r="EM18" s="83"/>
      <c r="EN18" s="83"/>
      <c r="EO18" s="83"/>
      <c r="EP18" s="83"/>
      <c r="EQ18" s="83"/>
      <c r="ER18" s="83"/>
      <c r="ES18" s="83"/>
      <c r="ET18" s="83"/>
      <c r="EU18" s="83"/>
      <c r="EV18" s="83"/>
      <c r="EW18" s="83"/>
      <c r="EX18" s="83"/>
      <c r="EY18" s="83"/>
      <c r="EZ18" s="83"/>
      <c r="FA18" s="83"/>
      <c r="FB18" s="83"/>
      <c r="FC18" s="83"/>
      <c r="FD18" s="83"/>
      <c r="FE18" s="83"/>
      <c r="FF18" s="83"/>
      <c r="FG18" s="83"/>
      <c r="FH18" s="83"/>
      <c r="FI18" s="83"/>
      <c r="FJ18" s="83"/>
      <c r="FK18" s="83"/>
      <c r="FL18" s="83"/>
      <c r="FM18" s="83"/>
      <c r="FN18" s="83"/>
      <c r="FO18" s="83"/>
      <c r="FP18" s="83"/>
      <c r="FQ18" s="83"/>
      <c r="FR18" s="83"/>
      <c r="FS18" s="83"/>
      <c r="FT18" s="83"/>
      <c r="FU18" s="83"/>
      <c r="FV18" s="83"/>
      <c r="FW18" s="83"/>
      <c r="FX18" s="83"/>
      <c r="FY18" s="83"/>
      <c r="FZ18" s="83"/>
      <c r="GA18" s="83"/>
      <c r="GB18" s="83"/>
      <c r="GC18" s="83"/>
      <c r="GD18" s="83"/>
      <c r="GE18" s="83"/>
      <c r="GF18" s="83"/>
      <c r="GG18" s="83"/>
      <c r="GH18" s="83"/>
      <c r="GI18" s="83"/>
      <c r="GJ18" s="83"/>
      <c r="GK18" s="83"/>
      <c r="GL18" s="83"/>
      <c r="GM18" s="83"/>
      <c r="GN18" s="83"/>
      <c r="GO18" s="83"/>
      <c r="GP18" s="83"/>
      <c r="GQ18" s="83"/>
      <c r="GR18" s="83"/>
      <c r="GS18" s="83"/>
      <c r="GT18" s="83"/>
      <c r="GU18" s="83"/>
      <c r="GV18" s="83"/>
      <c r="GW18" s="83"/>
      <c r="GX18" s="83"/>
      <c r="GY18" s="83"/>
      <c r="GZ18" s="83"/>
      <c r="HA18" s="83"/>
      <c r="HB18" s="83"/>
      <c r="HC18" s="83"/>
      <c r="HD18" s="83"/>
      <c r="HE18" s="83"/>
      <c r="HF18" s="83"/>
      <c r="HG18" s="83"/>
      <c r="HH18" s="83"/>
      <c r="HI18" s="83"/>
      <c r="HJ18" s="83"/>
      <c r="HK18" s="83"/>
      <c r="HL18" s="83"/>
      <c r="HM18" s="83"/>
      <c r="HN18" s="83"/>
      <c r="HO18" s="83"/>
      <c r="HP18" s="83"/>
      <c r="HQ18" s="83"/>
      <c r="HR18" s="83"/>
      <c r="HS18" s="83"/>
      <c r="HT18" s="83"/>
      <c r="HU18" s="83"/>
      <c r="HV18" s="83"/>
      <c r="HW18" s="83"/>
      <c r="HX18" s="83"/>
      <c r="HY18" s="83"/>
      <c r="HZ18" s="83"/>
      <c r="IA18" s="83"/>
      <c r="IB18" s="83"/>
      <c r="IC18" s="83"/>
      <c r="ID18" s="83"/>
      <c r="IE18" s="83"/>
      <c r="IF18" s="83"/>
      <c r="IG18" s="83"/>
    </row>
    <row r="19" spans="1:241" x14ac:dyDescent="0.3">
      <c r="A19" s="83"/>
      <c r="B19" s="7" t="s">
        <v>23</v>
      </c>
      <c r="C19" s="25">
        <v>2.2890999999999999</v>
      </c>
      <c r="D19" s="25">
        <v>1.3604000000000001</v>
      </c>
      <c r="E19" s="25">
        <v>-0.1027</v>
      </c>
      <c r="F19" s="30">
        <v>2.74</v>
      </c>
      <c r="G19" s="30">
        <v>5.75</v>
      </c>
      <c r="H19" s="30">
        <v>11.45</v>
      </c>
      <c r="I19" s="8">
        <v>450</v>
      </c>
      <c r="J19" s="9">
        <v>3000</v>
      </c>
      <c r="K19" s="1"/>
      <c r="L19" s="1"/>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c r="DD19" s="83"/>
      <c r="DE19" s="83"/>
      <c r="DF19" s="83"/>
      <c r="DG19" s="83"/>
      <c r="DH19" s="83"/>
      <c r="DI19" s="83"/>
      <c r="DJ19" s="83"/>
      <c r="DK19" s="83"/>
      <c r="DL19" s="83"/>
      <c r="DM19" s="83"/>
      <c r="DN19" s="83"/>
      <c r="DO19" s="83"/>
      <c r="DP19" s="83"/>
      <c r="DQ19" s="83"/>
      <c r="DR19" s="83"/>
      <c r="DS19" s="83"/>
      <c r="DT19" s="83"/>
      <c r="DU19" s="83"/>
      <c r="DV19" s="83"/>
      <c r="DW19" s="83"/>
      <c r="DX19" s="83"/>
      <c r="DY19" s="83"/>
      <c r="DZ19" s="83"/>
      <c r="EA19" s="83"/>
      <c r="EB19" s="83"/>
      <c r="EC19" s="83"/>
      <c r="ED19" s="83"/>
      <c r="EE19" s="83"/>
      <c r="EF19" s="83"/>
      <c r="EG19" s="83"/>
      <c r="EH19" s="83"/>
      <c r="EI19" s="83"/>
      <c r="EJ19" s="83"/>
      <c r="EK19" s="83"/>
      <c r="EL19" s="83"/>
      <c r="EM19" s="83"/>
      <c r="EN19" s="83"/>
      <c r="EO19" s="83"/>
      <c r="EP19" s="83"/>
      <c r="EQ19" s="83"/>
      <c r="ER19" s="83"/>
      <c r="ES19" s="83"/>
      <c r="ET19" s="83"/>
      <c r="EU19" s="83"/>
      <c r="EV19" s="83"/>
      <c r="EW19" s="83"/>
      <c r="EX19" s="83"/>
      <c r="EY19" s="83"/>
      <c r="EZ19" s="83"/>
      <c r="FA19" s="83"/>
      <c r="FB19" s="83"/>
      <c r="FC19" s="83"/>
      <c r="FD19" s="83"/>
      <c r="FE19" s="83"/>
      <c r="FF19" s="83"/>
      <c r="FG19" s="83"/>
      <c r="FH19" s="83"/>
      <c r="FI19" s="83"/>
      <c r="FJ19" s="83"/>
      <c r="FK19" s="83"/>
      <c r="FL19" s="83"/>
      <c r="FM19" s="83"/>
      <c r="FN19" s="83"/>
      <c r="FO19" s="83"/>
      <c r="FP19" s="83"/>
      <c r="FQ19" s="83"/>
      <c r="FR19" s="83"/>
      <c r="FS19" s="83"/>
      <c r="FT19" s="83"/>
      <c r="FU19" s="83"/>
      <c r="FV19" s="83"/>
      <c r="FW19" s="83"/>
      <c r="FX19" s="83"/>
      <c r="FY19" s="83"/>
      <c r="FZ19" s="83"/>
      <c r="GA19" s="83"/>
      <c r="GB19" s="83"/>
      <c r="GC19" s="83"/>
      <c r="GD19" s="83"/>
      <c r="GE19" s="83"/>
      <c r="GF19" s="83"/>
      <c r="GG19" s="83"/>
      <c r="GH19" s="83"/>
      <c r="GI19" s="83"/>
      <c r="GJ19" s="83"/>
      <c r="GK19" s="83"/>
      <c r="GL19" s="83"/>
      <c r="GM19" s="83"/>
      <c r="GN19" s="83"/>
      <c r="GO19" s="83"/>
      <c r="GP19" s="83"/>
      <c r="GQ19" s="83"/>
      <c r="GR19" s="83"/>
      <c r="GS19" s="83"/>
      <c r="GT19" s="83"/>
      <c r="GU19" s="83"/>
      <c r="GV19" s="83"/>
      <c r="GW19" s="83"/>
      <c r="GX19" s="83"/>
      <c r="GY19" s="83"/>
      <c r="GZ19" s="83"/>
      <c r="HA19" s="83"/>
      <c r="HB19" s="83"/>
      <c r="HC19" s="83"/>
      <c r="HD19" s="83"/>
      <c r="HE19" s="83"/>
      <c r="HF19" s="83"/>
      <c r="HG19" s="83"/>
      <c r="HH19" s="83"/>
      <c r="HI19" s="83"/>
      <c r="HJ19" s="83"/>
      <c r="HK19" s="83"/>
      <c r="HL19" s="83"/>
      <c r="HM19" s="83"/>
      <c r="HN19" s="83"/>
      <c r="HO19" s="83"/>
      <c r="HP19" s="83"/>
      <c r="HQ19" s="83"/>
      <c r="HR19" s="83"/>
      <c r="HS19" s="83"/>
      <c r="HT19" s="83"/>
      <c r="HU19" s="83"/>
      <c r="HV19" s="83"/>
      <c r="HW19" s="83"/>
      <c r="HX19" s="83"/>
      <c r="HY19" s="83"/>
      <c r="HZ19" s="83"/>
      <c r="IA19" s="83"/>
      <c r="IB19" s="83"/>
      <c r="IC19" s="83"/>
      <c r="ID19" s="83"/>
      <c r="IE19" s="83"/>
      <c r="IF19" s="83"/>
      <c r="IG19" s="83"/>
    </row>
    <row r="20" spans="1:241" x14ac:dyDescent="0.3">
      <c r="A20" s="83"/>
      <c r="B20" s="12" t="s">
        <v>24</v>
      </c>
      <c r="C20" s="14">
        <v>2.2890999999999999</v>
      </c>
      <c r="D20" s="14">
        <v>1.3604000000000001</v>
      </c>
      <c r="E20" s="14">
        <v>-0.1027</v>
      </c>
      <c r="F20" s="31">
        <v>3.83</v>
      </c>
      <c r="G20" s="31">
        <v>8.0399999999999991</v>
      </c>
      <c r="H20" s="31">
        <v>15.92</v>
      </c>
      <c r="I20" s="13">
        <v>450</v>
      </c>
      <c r="J20" s="16">
        <v>3000</v>
      </c>
      <c r="K20" s="1"/>
      <c r="L20" s="1"/>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c r="DD20" s="83"/>
      <c r="DE20" s="83"/>
      <c r="DF20" s="83"/>
      <c r="DG20" s="83"/>
      <c r="DH20" s="83"/>
      <c r="DI20" s="83"/>
      <c r="DJ20" s="83"/>
      <c r="DK20" s="83"/>
      <c r="DL20" s="83"/>
      <c r="DM20" s="83"/>
      <c r="DN20" s="83"/>
      <c r="DO20" s="83"/>
      <c r="DP20" s="83"/>
      <c r="DQ20" s="83"/>
      <c r="DR20" s="83"/>
      <c r="DS20" s="83"/>
      <c r="DT20" s="83"/>
      <c r="DU20" s="83"/>
      <c r="DV20" s="83"/>
      <c r="DW20" s="83"/>
      <c r="DX20" s="83"/>
      <c r="DY20" s="83"/>
      <c r="DZ20" s="83"/>
      <c r="EA20" s="83"/>
      <c r="EB20" s="83"/>
      <c r="EC20" s="83"/>
      <c r="ED20" s="83"/>
      <c r="EE20" s="83"/>
      <c r="EF20" s="83"/>
      <c r="EG20" s="83"/>
      <c r="EH20" s="83"/>
      <c r="EI20" s="83"/>
      <c r="EJ20" s="83"/>
      <c r="EK20" s="83"/>
      <c r="EL20" s="83"/>
      <c r="EM20" s="83"/>
      <c r="EN20" s="83"/>
      <c r="EO20" s="83"/>
      <c r="EP20" s="83"/>
      <c r="EQ20" s="83"/>
      <c r="ER20" s="83"/>
      <c r="ES20" s="83"/>
      <c r="ET20" s="83"/>
      <c r="EU20" s="83"/>
      <c r="EV20" s="83"/>
      <c r="EW20" s="83"/>
      <c r="EX20" s="83"/>
      <c r="EY20" s="83"/>
      <c r="EZ20" s="83"/>
      <c r="FA20" s="83"/>
      <c r="FB20" s="83"/>
      <c r="FC20" s="83"/>
      <c r="FD20" s="83"/>
      <c r="FE20" s="83"/>
      <c r="FF20" s="83"/>
      <c r="FG20" s="83"/>
      <c r="FH20" s="83"/>
      <c r="FI20" s="83"/>
      <c r="FJ20" s="83"/>
      <c r="FK20" s="83"/>
      <c r="FL20" s="83"/>
      <c r="FM20" s="83"/>
      <c r="FN20" s="83"/>
      <c r="FO20" s="83"/>
      <c r="FP20" s="83"/>
      <c r="FQ20" s="83"/>
      <c r="FR20" s="83"/>
      <c r="FS20" s="83"/>
      <c r="FT20" s="83"/>
      <c r="FU20" s="83"/>
      <c r="FV20" s="83"/>
      <c r="FW20" s="83"/>
      <c r="FX20" s="83"/>
      <c r="FY20" s="83"/>
      <c r="FZ20" s="83"/>
      <c r="GA20" s="83"/>
      <c r="GB20" s="83"/>
      <c r="GC20" s="83"/>
      <c r="GD20" s="83"/>
      <c r="GE20" s="83"/>
      <c r="GF20" s="83"/>
      <c r="GG20" s="83"/>
      <c r="GH20" s="83"/>
      <c r="GI20" s="83"/>
      <c r="GJ20" s="83"/>
      <c r="GK20" s="83"/>
      <c r="GL20" s="83"/>
      <c r="GM20" s="83"/>
      <c r="GN20" s="83"/>
      <c r="GO20" s="83"/>
      <c r="GP20" s="83"/>
      <c r="GQ20" s="83"/>
      <c r="GR20" s="83"/>
      <c r="GS20" s="83"/>
      <c r="GT20" s="83"/>
      <c r="GU20" s="83"/>
      <c r="GV20" s="83"/>
      <c r="GW20" s="83"/>
      <c r="GX20" s="83"/>
      <c r="GY20" s="83"/>
      <c r="GZ20" s="83"/>
      <c r="HA20" s="83"/>
      <c r="HB20" s="83"/>
      <c r="HC20" s="83"/>
      <c r="HD20" s="83"/>
      <c r="HE20" s="83"/>
      <c r="HF20" s="83"/>
      <c r="HG20" s="83"/>
      <c r="HH20" s="83"/>
      <c r="HI20" s="83"/>
      <c r="HJ20" s="83"/>
      <c r="HK20" s="83"/>
      <c r="HL20" s="83"/>
      <c r="HM20" s="83"/>
      <c r="HN20" s="83"/>
      <c r="HO20" s="83"/>
      <c r="HP20" s="83"/>
      <c r="HQ20" s="83"/>
      <c r="HR20" s="83"/>
      <c r="HS20" s="83"/>
      <c r="HT20" s="83"/>
      <c r="HU20" s="83"/>
      <c r="HV20" s="83"/>
      <c r="HW20" s="83"/>
      <c r="HX20" s="83"/>
      <c r="HY20" s="83"/>
      <c r="HZ20" s="83"/>
      <c r="IA20" s="83"/>
      <c r="IB20" s="83"/>
      <c r="IC20" s="83"/>
      <c r="ID20" s="83"/>
      <c r="IE20" s="83"/>
      <c r="IF20" s="83"/>
      <c r="IG20" s="83"/>
    </row>
    <row r="21" spans="1:241" x14ac:dyDescent="0.3">
      <c r="A21" s="83"/>
      <c r="B21" s="12" t="s">
        <v>9</v>
      </c>
      <c r="C21" s="14">
        <v>5.0354999999999999</v>
      </c>
      <c r="D21" s="14">
        <v>-1.8002</v>
      </c>
      <c r="E21" s="14">
        <v>0.82530000000000003</v>
      </c>
      <c r="F21" s="31">
        <v>2.41</v>
      </c>
      <c r="G21" s="31">
        <v>5.04</v>
      </c>
      <c r="H21" s="31">
        <v>9.85</v>
      </c>
      <c r="I21" s="13">
        <v>18</v>
      </c>
      <c r="J21" s="16">
        <v>950</v>
      </c>
      <c r="K21" s="1"/>
      <c r="L21" s="1"/>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c r="DD21" s="83"/>
      <c r="DE21" s="83"/>
      <c r="DF21" s="83"/>
      <c r="DG21" s="83"/>
      <c r="DH21" s="83"/>
      <c r="DI21" s="83"/>
      <c r="DJ21" s="83"/>
      <c r="DK21" s="83"/>
      <c r="DL21" s="83"/>
      <c r="DM21" s="83"/>
      <c r="DN21" s="83"/>
      <c r="DO21" s="83"/>
      <c r="DP21" s="83"/>
      <c r="DQ21" s="83"/>
      <c r="DR21" s="83"/>
      <c r="DS21" s="83"/>
      <c r="DT21" s="83"/>
      <c r="DU21" s="83"/>
      <c r="DV21" s="83"/>
      <c r="DW21" s="83"/>
      <c r="DX21" s="83"/>
      <c r="DY21" s="83"/>
      <c r="DZ21" s="83"/>
      <c r="EA21" s="83"/>
      <c r="EB21" s="83"/>
      <c r="EC21" s="83"/>
      <c r="ED21" s="83"/>
      <c r="EE21" s="83"/>
      <c r="EF21" s="83"/>
      <c r="EG21" s="83"/>
      <c r="EH21" s="83"/>
      <c r="EI21" s="83"/>
      <c r="EJ21" s="83"/>
      <c r="EK21" s="83"/>
      <c r="EL21" s="83"/>
      <c r="EM21" s="83"/>
      <c r="EN21" s="83"/>
      <c r="EO21" s="83"/>
      <c r="EP21" s="83"/>
      <c r="EQ21" s="83"/>
      <c r="ER21" s="83"/>
      <c r="ES21" s="83"/>
      <c r="ET21" s="83"/>
      <c r="EU21" s="83"/>
      <c r="EV21" s="83"/>
      <c r="EW21" s="83"/>
      <c r="EX21" s="83"/>
      <c r="EY21" s="83"/>
      <c r="EZ21" s="83"/>
      <c r="FA21" s="83"/>
      <c r="FB21" s="83"/>
      <c r="FC21" s="83"/>
      <c r="FD21" s="83"/>
      <c r="FE21" s="83"/>
      <c r="FF21" s="83"/>
      <c r="FG21" s="83"/>
      <c r="FH21" s="83"/>
      <c r="FI21" s="83"/>
      <c r="FJ21" s="83"/>
      <c r="FK21" s="83"/>
      <c r="FL21" s="83"/>
      <c r="FM21" s="83"/>
      <c r="FN21" s="83"/>
      <c r="FO21" s="83"/>
      <c r="FP21" s="83"/>
      <c r="FQ21" s="83"/>
      <c r="FR21" s="83"/>
      <c r="FS21" s="83"/>
      <c r="FT21" s="83"/>
      <c r="FU21" s="83"/>
      <c r="FV21" s="83"/>
      <c r="FW21" s="83"/>
      <c r="FX21" s="83"/>
      <c r="FY21" s="83"/>
      <c r="FZ21" s="83"/>
      <c r="GA21" s="83"/>
      <c r="GB21" s="83"/>
      <c r="GC21" s="83"/>
      <c r="GD21" s="83"/>
      <c r="GE21" s="83"/>
      <c r="GF21" s="83"/>
      <c r="GG21" s="83"/>
      <c r="GH21" s="83"/>
      <c r="GI21" s="83"/>
      <c r="GJ21" s="83"/>
      <c r="GK21" s="83"/>
      <c r="GL21" s="83"/>
      <c r="GM21" s="83"/>
      <c r="GN21" s="83"/>
      <c r="GO21" s="83"/>
      <c r="GP21" s="83"/>
      <c r="GQ21" s="83"/>
      <c r="GR21" s="83"/>
      <c r="GS21" s="83"/>
      <c r="GT21" s="83"/>
      <c r="GU21" s="83"/>
      <c r="GV21" s="83"/>
      <c r="GW21" s="83"/>
      <c r="GX21" s="83"/>
      <c r="GY21" s="83"/>
      <c r="GZ21" s="83"/>
      <c r="HA21" s="83"/>
      <c r="HB21" s="83"/>
      <c r="HC21" s="83"/>
      <c r="HD21" s="83"/>
      <c r="HE21" s="83"/>
      <c r="HF21" s="83"/>
      <c r="HG21" s="83"/>
      <c r="HH21" s="83"/>
      <c r="HI21" s="83"/>
      <c r="HJ21" s="83"/>
      <c r="HK21" s="83"/>
      <c r="HL21" s="83"/>
      <c r="HM21" s="83"/>
      <c r="HN21" s="83"/>
      <c r="HO21" s="83"/>
      <c r="HP21" s="83"/>
      <c r="HQ21" s="83"/>
      <c r="HR21" s="83"/>
      <c r="HS21" s="83"/>
      <c r="HT21" s="83"/>
      <c r="HU21" s="83"/>
      <c r="HV21" s="83"/>
      <c r="HW21" s="83"/>
      <c r="HX21" s="83"/>
      <c r="HY21" s="83"/>
      <c r="HZ21" s="83"/>
      <c r="IA21" s="83"/>
      <c r="IB21" s="83"/>
      <c r="IC21" s="83"/>
      <c r="ID21" s="83"/>
      <c r="IE21" s="83"/>
      <c r="IF21" s="83"/>
      <c r="IG21" s="83"/>
    </row>
    <row r="22" spans="1:241" x14ac:dyDescent="0.3">
      <c r="A22" s="83"/>
      <c r="B22" s="17" t="s">
        <v>25</v>
      </c>
      <c r="C22" s="19">
        <v>2.2890999999999999</v>
      </c>
      <c r="D22" s="19">
        <v>1.3604000000000001</v>
      </c>
      <c r="E22" s="19">
        <v>-0.1027</v>
      </c>
      <c r="F22" s="32">
        <v>3.37</v>
      </c>
      <c r="G22" s="32">
        <v>7</v>
      </c>
      <c r="H22" s="32">
        <v>13.88</v>
      </c>
      <c r="I22" s="18">
        <v>450</v>
      </c>
      <c r="J22" s="21">
        <v>3000</v>
      </c>
      <c r="K22" s="1"/>
      <c r="L22" s="1"/>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c r="DD22" s="83"/>
      <c r="DE22" s="83"/>
      <c r="DF22" s="83"/>
      <c r="DG22" s="83"/>
      <c r="DH22" s="83"/>
      <c r="DI22" s="83"/>
      <c r="DJ22" s="83"/>
      <c r="DK22" s="83"/>
      <c r="DL22" s="83"/>
      <c r="DM22" s="83"/>
      <c r="DN22" s="83"/>
      <c r="DO22" s="83"/>
      <c r="DP22" s="83"/>
      <c r="DQ22" s="83"/>
      <c r="DR22" s="83"/>
      <c r="DS22" s="83"/>
      <c r="DT22" s="83"/>
      <c r="DU22" s="83"/>
      <c r="DV22" s="83"/>
      <c r="DW22" s="83"/>
      <c r="DX22" s="83"/>
      <c r="DY22" s="83"/>
      <c r="DZ22" s="83"/>
      <c r="EA22" s="83"/>
      <c r="EB22" s="83"/>
      <c r="EC22" s="83"/>
      <c r="ED22" s="83"/>
      <c r="EE22" s="83"/>
      <c r="EF22" s="83"/>
      <c r="EG22" s="83"/>
      <c r="EH22" s="83"/>
      <c r="EI22" s="83"/>
      <c r="EJ22" s="83"/>
      <c r="EK22" s="83"/>
      <c r="EL22" s="83"/>
      <c r="EM22" s="83"/>
      <c r="EN22" s="83"/>
      <c r="EO22" s="83"/>
      <c r="EP22" s="83"/>
      <c r="EQ22" s="83"/>
      <c r="ER22" s="83"/>
      <c r="ES22" s="83"/>
      <c r="ET22" s="83"/>
      <c r="EU22" s="83"/>
      <c r="EV22" s="83"/>
      <c r="EW22" s="83"/>
      <c r="EX22" s="83"/>
      <c r="EY22" s="83"/>
      <c r="EZ22" s="83"/>
      <c r="FA22" s="83"/>
      <c r="FB22" s="83"/>
      <c r="FC22" s="83"/>
      <c r="FD22" s="83"/>
      <c r="FE22" s="83"/>
      <c r="FF22" s="83"/>
      <c r="FG22" s="83"/>
      <c r="FH22" s="83"/>
      <c r="FI22" s="83"/>
      <c r="FJ22" s="83"/>
      <c r="FK22" s="83"/>
      <c r="FL22" s="83"/>
      <c r="FM22" s="83"/>
      <c r="FN22" s="83"/>
      <c r="FO22" s="83"/>
      <c r="FP22" s="83"/>
      <c r="FQ22" s="83"/>
      <c r="FR22" s="83"/>
      <c r="FS22" s="83"/>
      <c r="FT22" s="83"/>
      <c r="FU22" s="83"/>
      <c r="FV22" s="83"/>
      <c r="FW22" s="83"/>
      <c r="FX22" s="83"/>
      <c r="FY22" s="83"/>
      <c r="FZ22" s="83"/>
      <c r="GA22" s="83"/>
      <c r="GB22" s="83"/>
      <c r="GC22" s="83"/>
      <c r="GD22" s="83"/>
      <c r="GE22" s="83"/>
      <c r="GF22" s="83"/>
      <c r="GG22" s="83"/>
      <c r="GH22" s="83"/>
      <c r="GI22" s="83"/>
      <c r="GJ22" s="83"/>
      <c r="GK22" s="83"/>
      <c r="GL22" s="83"/>
      <c r="GM22" s="83"/>
      <c r="GN22" s="83"/>
      <c r="GO22" s="83"/>
      <c r="GP22" s="83"/>
      <c r="GQ22" s="83"/>
      <c r="GR22" s="83"/>
      <c r="GS22" s="83"/>
      <c r="GT22" s="83"/>
      <c r="GU22" s="83"/>
      <c r="GV22" s="83"/>
      <c r="GW22" s="83"/>
      <c r="GX22" s="83"/>
      <c r="GY22" s="83"/>
      <c r="GZ22" s="83"/>
      <c r="HA22" s="83"/>
      <c r="HB22" s="83"/>
      <c r="HC22" s="83"/>
      <c r="HD22" s="83"/>
      <c r="HE22" s="83"/>
      <c r="HF22" s="83"/>
      <c r="HG22" s="83"/>
      <c r="HH22" s="83"/>
      <c r="HI22" s="83"/>
      <c r="HJ22" s="83"/>
      <c r="HK22" s="83"/>
      <c r="HL22" s="83"/>
      <c r="HM22" s="83"/>
      <c r="HN22" s="83"/>
      <c r="HO22" s="83"/>
      <c r="HP22" s="83"/>
      <c r="HQ22" s="83"/>
      <c r="HR22" s="83"/>
      <c r="HS22" s="83"/>
      <c r="HT22" s="83"/>
      <c r="HU22" s="83"/>
      <c r="HV22" s="83"/>
      <c r="HW22" s="83"/>
      <c r="HX22" s="83"/>
      <c r="HY22" s="83"/>
      <c r="HZ22" s="83"/>
      <c r="IA22" s="83"/>
      <c r="IB22" s="83"/>
      <c r="IC22" s="83"/>
      <c r="ID22" s="83"/>
      <c r="IE22" s="83"/>
      <c r="IF22" s="83"/>
      <c r="IG22" s="83"/>
    </row>
    <row r="23" spans="1:241" x14ac:dyDescent="0.3">
      <c r="A23" s="83"/>
      <c r="B23" s="1"/>
      <c r="C23" s="14"/>
      <c r="D23" s="14"/>
      <c r="E23" s="14"/>
      <c r="F23" s="31"/>
      <c r="G23" s="31"/>
      <c r="H23" s="31"/>
      <c r="I23" s="13"/>
      <c r="J23" s="13"/>
      <c r="K23" s="1"/>
      <c r="L23" s="1"/>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c r="DD23" s="83"/>
      <c r="DE23" s="83"/>
      <c r="DF23" s="83"/>
      <c r="DG23" s="83"/>
      <c r="DH23" s="83"/>
      <c r="DI23" s="83"/>
      <c r="DJ23" s="83"/>
      <c r="DK23" s="83"/>
      <c r="DL23" s="83"/>
      <c r="DM23" s="83"/>
      <c r="DN23" s="83"/>
      <c r="DO23" s="83"/>
      <c r="DP23" s="83"/>
      <c r="DQ23" s="83"/>
      <c r="DR23" s="83"/>
      <c r="DS23" s="83"/>
      <c r="DT23" s="83"/>
      <c r="DU23" s="83"/>
      <c r="DV23" s="83"/>
      <c r="DW23" s="83"/>
      <c r="DX23" s="83"/>
      <c r="DY23" s="83"/>
      <c r="DZ23" s="83"/>
      <c r="EA23" s="83"/>
      <c r="EB23" s="83"/>
      <c r="EC23" s="83"/>
      <c r="ED23" s="83"/>
      <c r="EE23" s="83"/>
      <c r="EF23" s="83"/>
      <c r="EG23" s="83"/>
      <c r="EH23" s="83"/>
      <c r="EI23" s="83"/>
      <c r="EJ23" s="83"/>
      <c r="EK23" s="83"/>
      <c r="EL23" s="83"/>
      <c r="EM23" s="83"/>
      <c r="EN23" s="83"/>
      <c r="EO23" s="83"/>
      <c r="EP23" s="83"/>
      <c r="EQ23" s="83"/>
      <c r="ER23" s="83"/>
      <c r="ES23" s="83"/>
      <c r="ET23" s="83"/>
      <c r="EU23" s="83"/>
      <c r="EV23" s="83"/>
      <c r="EW23" s="83"/>
      <c r="EX23" s="83"/>
      <c r="EY23" s="83"/>
      <c r="EZ23" s="83"/>
      <c r="FA23" s="83"/>
      <c r="FB23" s="83"/>
      <c r="FC23" s="83"/>
      <c r="FD23" s="83"/>
      <c r="FE23" s="83"/>
      <c r="FF23" s="83"/>
      <c r="FG23" s="83"/>
      <c r="FH23" s="83"/>
      <c r="FI23" s="83"/>
      <c r="FJ23" s="83"/>
      <c r="FK23" s="83"/>
      <c r="FL23" s="83"/>
      <c r="FM23" s="83"/>
      <c r="FN23" s="83"/>
      <c r="FO23" s="83"/>
      <c r="FP23" s="83"/>
      <c r="FQ23" s="83"/>
      <c r="FR23" s="83"/>
      <c r="FS23" s="83"/>
      <c r="FT23" s="83"/>
      <c r="FU23" s="83"/>
      <c r="FV23" s="83"/>
      <c r="FW23" s="83"/>
      <c r="FX23" s="83"/>
      <c r="FY23" s="83"/>
      <c r="FZ23" s="83"/>
      <c r="GA23" s="83"/>
      <c r="GB23" s="83"/>
      <c r="GC23" s="83"/>
      <c r="GD23" s="83"/>
      <c r="GE23" s="83"/>
      <c r="GF23" s="83"/>
      <c r="GG23" s="83"/>
      <c r="GH23" s="83"/>
      <c r="GI23" s="83"/>
      <c r="GJ23" s="83"/>
      <c r="GK23" s="83"/>
      <c r="GL23" s="83"/>
      <c r="GM23" s="83"/>
      <c r="GN23" s="83"/>
      <c r="GO23" s="83"/>
      <c r="GP23" s="83"/>
      <c r="GQ23" s="83"/>
      <c r="GR23" s="83"/>
      <c r="GS23" s="83"/>
      <c r="GT23" s="83"/>
      <c r="GU23" s="83"/>
      <c r="GV23" s="83"/>
      <c r="GW23" s="83"/>
      <c r="GX23" s="83"/>
      <c r="GY23" s="83"/>
      <c r="GZ23" s="83"/>
      <c r="HA23" s="83"/>
      <c r="HB23" s="83"/>
      <c r="HC23" s="83"/>
      <c r="HD23" s="83"/>
      <c r="HE23" s="83"/>
      <c r="HF23" s="83"/>
      <c r="HG23" s="83"/>
      <c r="HH23" s="83"/>
      <c r="HI23" s="83"/>
      <c r="HJ23" s="83"/>
      <c r="HK23" s="83"/>
      <c r="HL23" s="83"/>
      <c r="HM23" s="83"/>
      <c r="HN23" s="83"/>
      <c r="HO23" s="83"/>
      <c r="HP23" s="83"/>
      <c r="HQ23" s="83"/>
      <c r="HR23" s="83"/>
      <c r="HS23" s="83"/>
      <c r="HT23" s="83"/>
      <c r="HU23" s="83"/>
      <c r="HV23" s="83"/>
      <c r="HW23" s="83"/>
      <c r="HX23" s="83"/>
      <c r="HY23" s="83"/>
      <c r="HZ23" s="83"/>
      <c r="IA23" s="83"/>
      <c r="IB23" s="83"/>
      <c r="IC23" s="83"/>
      <c r="ID23" s="83"/>
      <c r="IE23" s="83"/>
      <c r="IF23" s="83"/>
      <c r="IG23" s="83"/>
    </row>
    <row r="24" spans="1:241" x14ac:dyDescent="0.3">
      <c r="A24" s="83"/>
      <c r="B24" s="1"/>
      <c r="C24" s="14"/>
      <c r="D24" s="14"/>
      <c r="E24" s="14"/>
      <c r="F24" s="31"/>
      <c r="G24" s="31"/>
      <c r="H24" s="31"/>
      <c r="I24" s="13"/>
      <c r="J24" s="13"/>
      <c r="K24" s="1"/>
      <c r="L24" s="1"/>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c r="DD24" s="83"/>
      <c r="DE24" s="83"/>
      <c r="DF24" s="83"/>
      <c r="DG24" s="83"/>
      <c r="DH24" s="83"/>
      <c r="DI24" s="83"/>
      <c r="DJ24" s="83"/>
      <c r="DK24" s="83"/>
      <c r="DL24" s="83"/>
      <c r="DM24" s="83"/>
      <c r="DN24" s="83"/>
      <c r="DO24" s="83"/>
      <c r="DP24" s="83"/>
      <c r="DQ24" s="83"/>
      <c r="DR24" s="83"/>
      <c r="DS24" s="83"/>
      <c r="DT24" s="83"/>
      <c r="DU24" s="83"/>
      <c r="DV24" s="83"/>
      <c r="DW24" s="83"/>
      <c r="DX24" s="83"/>
      <c r="DY24" s="83"/>
      <c r="DZ24" s="83"/>
      <c r="EA24" s="83"/>
      <c r="EB24" s="83"/>
      <c r="EC24" s="83"/>
      <c r="ED24" s="83"/>
      <c r="EE24" s="83"/>
      <c r="EF24" s="83"/>
      <c r="EG24" s="83"/>
      <c r="EH24" s="83"/>
      <c r="EI24" s="83"/>
      <c r="EJ24" s="83"/>
      <c r="EK24" s="83"/>
      <c r="EL24" s="83"/>
      <c r="EM24" s="83"/>
      <c r="EN24" s="83"/>
      <c r="EO24" s="83"/>
      <c r="EP24" s="83"/>
      <c r="EQ24" s="83"/>
      <c r="ER24" s="83"/>
      <c r="ES24" s="83"/>
      <c r="ET24" s="83"/>
      <c r="EU24" s="83"/>
      <c r="EV24" s="83"/>
      <c r="EW24" s="83"/>
      <c r="EX24" s="83"/>
      <c r="EY24" s="83"/>
      <c r="EZ24" s="83"/>
      <c r="FA24" s="83"/>
      <c r="FB24" s="83"/>
      <c r="FC24" s="83"/>
      <c r="FD24" s="83"/>
      <c r="FE24" s="83"/>
      <c r="FF24" s="83"/>
      <c r="FG24" s="83"/>
      <c r="FH24" s="83"/>
      <c r="FI24" s="83"/>
      <c r="FJ24" s="83"/>
      <c r="FK24" s="83"/>
      <c r="FL24" s="83"/>
      <c r="FM24" s="83"/>
      <c r="FN24" s="83"/>
      <c r="FO24" s="83"/>
      <c r="FP24" s="83"/>
      <c r="FQ24" s="83"/>
      <c r="FR24" s="83"/>
      <c r="FS24" s="83"/>
      <c r="FT24" s="83"/>
      <c r="FU24" s="83"/>
      <c r="FV24" s="83"/>
      <c r="FW24" s="83"/>
      <c r="FX24" s="83"/>
      <c r="FY24" s="83"/>
      <c r="FZ24" s="83"/>
      <c r="GA24" s="83"/>
      <c r="GB24" s="83"/>
      <c r="GC24" s="83"/>
      <c r="GD24" s="83"/>
      <c r="GE24" s="83"/>
      <c r="GF24" s="83"/>
      <c r="GG24" s="83"/>
      <c r="GH24" s="83"/>
      <c r="GI24" s="83"/>
      <c r="GJ24" s="83"/>
      <c r="GK24" s="83"/>
      <c r="GL24" s="83"/>
      <c r="GM24" s="83"/>
      <c r="GN24" s="83"/>
      <c r="GO24" s="83"/>
      <c r="GP24" s="83"/>
      <c r="GQ24" s="83"/>
      <c r="GR24" s="83"/>
      <c r="GS24" s="83"/>
      <c r="GT24" s="83"/>
      <c r="GU24" s="83"/>
      <c r="GV24" s="83"/>
      <c r="GW24" s="83"/>
      <c r="GX24" s="83"/>
      <c r="GY24" s="83"/>
      <c r="GZ24" s="83"/>
      <c r="HA24" s="83"/>
      <c r="HB24" s="83"/>
      <c r="HC24" s="83"/>
      <c r="HD24" s="83"/>
      <c r="HE24" s="83"/>
      <c r="HF24" s="83"/>
      <c r="HG24" s="83"/>
      <c r="HH24" s="83"/>
      <c r="HI24" s="83"/>
      <c r="HJ24" s="83"/>
      <c r="HK24" s="83"/>
      <c r="HL24" s="83"/>
      <c r="HM24" s="83"/>
      <c r="HN24" s="83"/>
      <c r="HO24" s="83"/>
      <c r="HP24" s="83"/>
      <c r="HQ24" s="83"/>
      <c r="HR24" s="83"/>
      <c r="HS24" s="83"/>
      <c r="HT24" s="83"/>
      <c r="HU24" s="83"/>
      <c r="HV24" s="83"/>
      <c r="HW24" s="83"/>
      <c r="HX24" s="83"/>
      <c r="HY24" s="83"/>
      <c r="HZ24" s="83"/>
      <c r="IA24" s="83"/>
      <c r="IB24" s="83"/>
      <c r="IC24" s="83"/>
      <c r="ID24" s="83"/>
      <c r="IE24" s="83"/>
      <c r="IF24" s="83"/>
      <c r="IG24" s="83"/>
    </row>
    <row r="25" spans="1:241" x14ac:dyDescent="0.3">
      <c r="A25" s="83"/>
      <c r="B25" s="2" t="s">
        <v>243</v>
      </c>
      <c r="C25" s="1"/>
      <c r="D25" s="14"/>
      <c r="E25" s="14"/>
      <c r="F25" s="1"/>
      <c r="G25" s="15"/>
      <c r="H25" s="31"/>
      <c r="I25" s="13"/>
      <c r="J25" s="1"/>
      <c r="K25" s="1"/>
      <c r="L25" s="1"/>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c r="DD25" s="83"/>
      <c r="DE25" s="83"/>
      <c r="DF25" s="83"/>
      <c r="DG25" s="83"/>
      <c r="DH25" s="83"/>
      <c r="DI25" s="83"/>
      <c r="DJ25" s="83"/>
      <c r="DK25" s="83"/>
      <c r="DL25" s="83"/>
      <c r="DM25" s="83"/>
      <c r="DN25" s="83"/>
      <c r="DO25" s="83"/>
      <c r="DP25" s="83"/>
      <c r="DQ25" s="83"/>
      <c r="DR25" s="83"/>
      <c r="DS25" s="83"/>
      <c r="DT25" s="83"/>
      <c r="DU25" s="83"/>
      <c r="DV25" s="83"/>
      <c r="DW25" s="83"/>
      <c r="DX25" s="83"/>
      <c r="DY25" s="83"/>
      <c r="DZ25" s="83"/>
      <c r="EA25" s="83"/>
      <c r="EB25" s="83"/>
      <c r="EC25" s="83"/>
      <c r="ED25" s="83"/>
      <c r="EE25" s="83"/>
      <c r="EF25" s="83"/>
      <c r="EG25" s="83"/>
      <c r="EH25" s="83"/>
      <c r="EI25" s="83"/>
      <c r="EJ25" s="83"/>
      <c r="EK25" s="83"/>
      <c r="EL25" s="83"/>
      <c r="EM25" s="83"/>
      <c r="EN25" s="83"/>
      <c r="EO25" s="83"/>
      <c r="EP25" s="83"/>
      <c r="EQ25" s="83"/>
      <c r="ER25" s="83"/>
      <c r="ES25" s="83"/>
      <c r="ET25" s="83"/>
      <c r="EU25" s="83"/>
      <c r="EV25" s="83"/>
      <c r="EW25" s="83"/>
      <c r="EX25" s="83"/>
      <c r="EY25" s="83"/>
      <c r="EZ25" s="83"/>
      <c r="FA25" s="83"/>
      <c r="FB25" s="83"/>
      <c r="FC25" s="83"/>
      <c r="FD25" s="83"/>
      <c r="FE25" s="83"/>
      <c r="FF25" s="83"/>
      <c r="FG25" s="83"/>
      <c r="FH25" s="83"/>
      <c r="FI25" s="83"/>
      <c r="FJ25" s="83"/>
      <c r="FK25" s="83"/>
      <c r="FL25" s="83"/>
      <c r="FM25" s="83"/>
      <c r="FN25" s="83"/>
      <c r="FO25" s="83"/>
      <c r="FP25" s="83"/>
      <c r="FQ25" s="83"/>
      <c r="FR25" s="83"/>
      <c r="FS25" s="83"/>
      <c r="FT25" s="83"/>
      <c r="FU25" s="83"/>
      <c r="FV25" s="83"/>
      <c r="FW25" s="83"/>
      <c r="FX25" s="83"/>
      <c r="FY25" s="83"/>
      <c r="FZ25" s="83"/>
      <c r="GA25" s="83"/>
      <c r="GB25" s="83"/>
      <c r="GC25" s="83"/>
      <c r="GD25" s="83"/>
      <c r="GE25" s="83"/>
      <c r="GF25" s="83"/>
      <c r="GG25" s="83"/>
      <c r="GH25" s="83"/>
      <c r="GI25" s="83"/>
      <c r="GJ25" s="83"/>
      <c r="GK25" s="83"/>
      <c r="GL25" s="83"/>
      <c r="GM25" s="83"/>
      <c r="GN25" s="83"/>
      <c r="GO25" s="83"/>
      <c r="GP25" s="83"/>
      <c r="GQ25" s="83"/>
      <c r="GR25" s="83"/>
      <c r="GS25" s="83"/>
      <c r="GT25" s="83"/>
      <c r="GU25" s="83"/>
      <c r="GV25" s="83"/>
      <c r="GW25" s="83"/>
      <c r="GX25" s="83"/>
      <c r="GY25" s="83"/>
      <c r="GZ25" s="83"/>
      <c r="HA25" s="83"/>
      <c r="HB25" s="83"/>
      <c r="HC25" s="83"/>
      <c r="HD25" s="83"/>
      <c r="HE25" s="83"/>
      <c r="HF25" s="83"/>
      <c r="HG25" s="83"/>
      <c r="HH25" s="83"/>
      <c r="HI25" s="83"/>
      <c r="HJ25" s="83"/>
      <c r="HK25" s="83"/>
      <c r="HL25" s="83"/>
      <c r="HM25" s="83"/>
      <c r="HN25" s="83"/>
      <c r="HO25" s="83"/>
      <c r="HP25" s="83"/>
      <c r="HQ25" s="83"/>
      <c r="HR25" s="83"/>
      <c r="HS25" s="83"/>
      <c r="HT25" s="83"/>
      <c r="HU25" s="83"/>
      <c r="HV25" s="83"/>
      <c r="HW25" s="83"/>
      <c r="HX25" s="83"/>
      <c r="HY25" s="83"/>
      <c r="HZ25" s="83"/>
      <c r="IA25" s="83"/>
      <c r="IB25" s="83"/>
      <c r="IC25" s="83"/>
      <c r="ID25" s="83"/>
      <c r="IE25" s="83"/>
      <c r="IF25" s="83"/>
      <c r="IG25" s="83"/>
    </row>
    <row r="26" spans="1:241" ht="16.8" x14ac:dyDescent="0.35">
      <c r="A26" s="83"/>
      <c r="B26" s="3" t="s">
        <v>26</v>
      </c>
      <c r="C26" s="4" t="s">
        <v>1</v>
      </c>
      <c r="D26" s="4" t="s">
        <v>2</v>
      </c>
      <c r="E26" s="4" t="s">
        <v>3</v>
      </c>
      <c r="F26" s="4" t="s">
        <v>27</v>
      </c>
      <c r="G26" s="5" t="s">
        <v>28</v>
      </c>
      <c r="H26" s="6" t="s">
        <v>6</v>
      </c>
      <c r="I26" s="13"/>
      <c r="J26" s="13"/>
      <c r="K26" s="1"/>
      <c r="L26" s="1"/>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c r="DD26" s="83"/>
      <c r="DE26" s="83"/>
      <c r="DF26" s="83"/>
      <c r="DG26" s="83"/>
      <c r="DH26" s="83"/>
      <c r="DI26" s="83"/>
      <c r="DJ26" s="83"/>
      <c r="DK26" s="83"/>
      <c r="DL26" s="83"/>
      <c r="DM26" s="83"/>
      <c r="DN26" s="83"/>
      <c r="DO26" s="83"/>
      <c r="DP26" s="83"/>
      <c r="DQ26" s="83"/>
      <c r="DR26" s="83"/>
      <c r="DS26" s="83"/>
      <c r="DT26" s="83"/>
      <c r="DU26" s="83"/>
      <c r="DV26" s="83"/>
      <c r="DW26" s="83"/>
      <c r="DX26" s="83"/>
      <c r="DY26" s="83"/>
      <c r="DZ26" s="83"/>
      <c r="EA26" s="83"/>
      <c r="EB26" s="83"/>
      <c r="EC26" s="83"/>
      <c r="ED26" s="83"/>
      <c r="EE26" s="83"/>
      <c r="EF26" s="83"/>
      <c r="EG26" s="83"/>
      <c r="EH26" s="83"/>
      <c r="EI26" s="83"/>
      <c r="EJ26" s="83"/>
      <c r="EK26" s="83"/>
      <c r="EL26" s="83"/>
      <c r="EM26" s="83"/>
      <c r="EN26" s="83"/>
      <c r="EO26" s="83"/>
      <c r="EP26" s="83"/>
      <c r="EQ26" s="83"/>
      <c r="ER26" s="83"/>
      <c r="ES26" s="83"/>
      <c r="ET26" s="83"/>
      <c r="EU26" s="83"/>
      <c r="EV26" s="83"/>
      <c r="EW26" s="83"/>
      <c r="EX26" s="83"/>
      <c r="EY26" s="83"/>
      <c r="EZ26" s="83"/>
      <c r="FA26" s="83"/>
      <c r="FB26" s="83"/>
      <c r="FC26" s="83"/>
      <c r="FD26" s="83"/>
      <c r="FE26" s="83"/>
      <c r="FF26" s="83"/>
      <c r="FG26" s="83"/>
      <c r="FH26" s="83"/>
      <c r="FI26" s="83"/>
      <c r="FJ26" s="83"/>
      <c r="FK26" s="83"/>
      <c r="FL26" s="83"/>
      <c r="FM26" s="83"/>
      <c r="FN26" s="83"/>
      <c r="FO26" s="83"/>
      <c r="FP26" s="83"/>
      <c r="FQ26" s="83"/>
      <c r="FR26" s="83"/>
      <c r="FS26" s="83"/>
      <c r="FT26" s="83"/>
      <c r="FU26" s="83"/>
      <c r="FV26" s="83"/>
      <c r="FW26" s="83"/>
      <c r="FX26" s="83"/>
      <c r="FY26" s="83"/>
      <c r="FZ26" s="83"/>
      <c r="GA26" s="83"/>
      <c r="GB26" s="83"/>
      <c r="GC26" s="83"/>
      <c r="GD26" s="83"/>
      <c r="GE26" s="83"/>
      <c r="GF26" s="83"/>
      <c r="GG26" s="83"/>
      <c r="GH26" s="83"/>
      <c r="GI26" s="83"/>
      <c r="GJ26" s="83"/>
      <c r="GK26" s="83"/>
      <c r="GL26" s="83"/>
      <c r="GM26" s="83"/>
      <c r="GN26" s="83"/>
      <c r="GO26" s="83"/>
      <c r="GP26" s="83"/>
      <c r="GQ26" s="83"/>
      <c r="GR26" s="83"/>
      <c r="GS26" s="83"/>
      <c r="GT26" s="83"/>
      <c r="GU26" s="83"/>
      <c r="GV26" s="83"/>
      <c r="GW26" s="83"/>
      <c r="GX26" s="83"/>
      <c r="GY26" s="83"/>
      <c r="GZ26" s="83"/>
      <c r="HA26" s="83"/>
      <c r="HB26" s="83"/>
      <c r="HC26" s="83"/>
      <c r="HD26" s="83"/>
      <c r="HE26" s="83"/>
      <c r="HF26" s="83"/>
      <c r="HG26" s="83"/>
      <c r="HH26" s="83"/>
      <c r="HI26" s="83"/>
      <c r="HJ26" s="83"/>
      <c r="HK26" s="83"/>
      <c r="HL26" s="83"/>
      <c r="HM26" s="83"/>
      <c r="HN26" s="83"/>
      <c r="HO26" s="83"/>
      <c r="HP26" s="83"/>
      <c r="HQ26" s="83"/>
      <c r="HR26" s="83"/>
      <c r="HS26" s="83"/>
      <c r="HT26" s="83"/>
      <c r="HU26" s="83"/>
      <c r="HV26" s="83"/>
      <c r="HW26" s="83"/>
      <c r="HX26" s="83"/>
      <c r="HY26" s="83"/>
      <c r="HZ26" s="83"/>
      <c r="IA26" s="83"/>
      <c r="IB26" s="83"/>
      <c r="IC26" s="83"/>
      <c r="ID26" s="83"/>
      <c r="IE26" s="83"/>
      <c r="IF26" s="83"/>
      <c r="IG26" s="83"/>
    </row>
    <row r="27" spans="1:241" x14ac:dyDescent="0.3">
      <c r="A27" s="83"/>
      <c r="B27" s="7" t="s">
        <v>29</v>
      </c>
      <c r="C27" s="25">
        <v>3.9255</v>
      </c>
      <c r="D27" s="25">
        <v>0.50390000000000001</v>
      </c>
      <c r="E27" s="25">
        <v>0.15060000000000001</v>
      </c>
      <c r="F27" s="26">
        <v>1</v>
      </c>
      <c r="G27" s="24">
        <v>15</v>
      </c>
      <c r="H27" s="27">
        <v>2</v>
      </c>
      <c r="I27" s="13"/>
      <c r="J27" s="13"/>
      <c r="K27" s="1"/>
      <c r="L27" s="1"/>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c r="DD27" s="83"/>
      <c r="DE27" s="83"/>
      <c r="DF27" s="83"/>
      <c r="DG27" s="83"/>
      <c r="DH27" s="83"/>
      <c r="DI27" s="83"/>
      <c r="DJ27" s="83"/>
      <c r="DK27" s="83"/>
      <c r="DL27" s="83"/>
      <c r="DM27" s="83"/>
      <c r="DN27" s="83"/>
      <c r="DO27" s="83"/>
      <c r="DP27" s="83"/>
      <c r="DQ27" s="83"/>
      <c r="DR27" s="83"/>
      <c r="DS27" s="83"/>
      <c r="DT27" s="83"/>
      <c r="DU27" s="83"/>
      <c r="DV27" s="83"/>
      <c r="DW27" s="83"/>
      <c r="DX27" s="83"/>
      <c r="DY27" s="83"/>
      <c r="DZ27" s="83"/>
      <c r="EA27" s="83"/>
      <c r="EB27" s="83"/>
      <c r="EC27" s="83"/>
      <c r="ED27" s="83"/>
      <c r="EE27" s="83"/>
      <c r="EF27" s="83"/>
      <c r="EG27" s="83"/>
      <c r="EH27" s="83"/>
      <c r="EI27" s="83"/>
      <c r="EJ27" s="83"/>
      <c r="EK27" s="83"/>
      <c r="EL27" s="83"/>
      <c r="EM27" s="83"/>
      <c r="EN27" s="83"/>
      <c r="EO27" s="83"/>
      <c r="EP27" s="83"/>
      <c r="EQ27" s="83"/>
      <c r="ER27" s="83"/>
      <c r="ES27" s="83"/>
      <c r="ET27" s="83"/>
      <c r="EU27" s="83"/>
      <c r="EV27" s="83"/>
      <c r="EW27" s="83"/>
      <c r="EX27" s="83"/>
      <c r="EY27" s="83"/>
      <c r="EZ27" s="83"/>
      <c r="FA27" s="83"/>
      <c r="FB27" s="83"/>
      <c r="FC27" s="83"/>
      <c r="FD27" s="83"/>
      <c r="FE27" s="83"/>
      <c r="FF27" s="83"/>
      <c r="FG27" s="83"/>
      <c r="FH27" s="83"/>
      <c r="FI27" s="83"/>
      <c r="FJ27" s="83"/>
      <c r="FK27" s="83"/>
      <c r="FL27" s="83"/>
      <c r="FM27" s="83"/>
      <c r="FN27" s="83"/>
      <c r="FO27" s="83"/>
      <c r="FP27" s="83"/>
      <c r="FQ27" s="83"/>
      <c r="FR27" s="83"/>
      <c r="FS27" s="83"/>
      <c r="FT27" s="83"/>
      <c r="FU27" s="83"/>
      <c r="FV27" s="83"/>
      <c r="FW27" s="83"/>
      <c r="FX27" s="83"/>
      <c r="FY27" s="83"/>
      <c r="FZ27" s="83"/>
      <c r="GA27" s="83"/>
      <c r="GB27" s="83"/>
      <c r="GC27" s="83"/>
      <c r="GD27" s="83"/>
      <c r="GE27" s="83"/>
      <c r="GF27" s="83"/>
      <c r="GG27" s="83"/>
      <c r="GH27" s="83"/>
      <c r="GI27" s="83"/>
      <c r="GJ27" s="83"/>
      <c r="GK27" s="83"/>
      <c r="GL27" s="83"/>
      <c r="GM27" s="83"/>
      <c r="GN27" s="83"/>
      <c r="GO27" s="83"/>
      <c r="GP27" s="83"/>
      <c r="GQ27" s="83"/>
      <c r="GR27" s="83"/>
      <c r="GS27" s="83"/>
      <c r="GT27" s="83"/>
      <c r="GU27" s="83"/>
      <c r="GV27" s="83"/>
      <c r="GW27" s="83"/>
      <c r="GX27" s="83"/>
      <c r="GY27" s="83"/>
      <c r="GZ27" s="83"/>
      <c r="HA27" s="83"/>
      <c r="HB27" s="83"/>
      <c r="HC27" s="83"/>
      <c r="HD27" s="83"/>
      <c r="HE27" s="83"/>
      <c r="HF27" s="83"/>
      <c r="HG27" s="83"/>
      <c r="HH27" s="83"/>
      <c r="HI27" s="83"/>
      <c r="HJ27" s="83"/>
      <c r="HK27" s="83"/>
      <c r="HL27" s="83"/>
      <c r="HM27" s="83"/>
      <c r="HN27" s="83"/>
      <c r="HO27" s="83"/>
      <c r="HP27" s="83"/>
      <c r="HQ27" s="83"/>
      <c r="HR27" s="83"/>
      <c r="HS27" s="83"/>
      <c r="HT27" s="83"/>
      <c r="HU27" s="83"/>
      <c r="HV27" s="83"/>
      <c r="HW27" s="83"/>
      <c r="HX27" s="83"/>
      <c r="HY27" s="83"/>
      <c r="HZ27" s="83"/>
      <c r="IA27" s="83"/>
      <c r="IB27" s="83"/>
      <c r="IC27" s="83"/>
      <c r="ID27" s="83"/>
      <c r="IE27" s="83"/>
      <c r="IF27" s="83"/>
      <c r="IG27" s="83"/>
    </row>
    <row r="28" spans="1:241" x14ac:dyDescent="0.3">
      <c r="A28" s="83"/>
      <c r="B28" s="12" t="s">
        <v>30</v>
      </c>
      <c r="C28" s="14">
        <v>4.0636999999999999</v>
      </c>
      <c r="D28" s="14">
        <v>0.25840000000000002</v>
      </c>
      <c r="E28" s="14">
        <v>0.155</v>
      </c>
      <c r="F28" s="15">
        <v>0.5</v>
      </c>
      <c r="G28" s="28">
        <v>325</v>
      </c>
      <c r="H28" s="10">
        <v>1.25</v>
      </c>
      <c r="I28" s="13"/>
      <c r="J28" s="13"/>
      <c r="K28" s="1"/>
      <c r="L28" s="1"/>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c r="DD28" s="83"/>
      <c r="DE28" s="83"/>
      <c r="DF28" s="83"/>
      <c r="DG28" s="83"/>
      <c r="DH28" s="83"/>
      <c r="DI28" s="83"/>
      <c r="DJ28" s="83"/>
      <c r="DK28" s="83"/>
      <c r="DL28" s="83"/>
      <c r="DM28" s="83"/>
      <c r="DN28" s="83"/>
      <c r="DO28" s="83"/>
      <c r="DP28" s="83"/>
      <c r="DQ28" s="83"/>
      <c r="DR28" s="83"/>
      <c r="DS28" s="83"/>
      <c r="DT28" s="83"/>
      <c r="DU28" s="83"/>
      <c r="DV28" s="83"/>
      <c r="DW28" s="83"/>
      <c r="DX28" s="83"/>
      <c r="DY28" s="83"/>
      <c r="DZ28" s="83"/>
      <c r="EA28" s="83"/>
      <c r="EB28" s="83"/>
      <c r="EC28" s="83"/>
      <c r="ED28" s="83"/>
      <c r="EE28" s="83"/>
      <c r="EF28" s="83"/>
      <c r="EG28" s="83"/>
      <c r="EH28" s="83"/>
      <c r="EI28" s="83"/>
      <c r="EJ28" s="83"/>
      <c r="EK28" s="83"/>
      <c r="EL28" s="83"/>
      <c r="EM28" s="83"/>
      <c r="EN28" s="83"/>
      <c r="EO28" s="83"/>
      <c r="EP28" s="83"/>
      <c r="EQ28" s="83"/>
      <c r="ER28" s="83"/>
      <c r="ES28" s="83"/>
      <c r="ET28" s="83"/>
      <c r="EU28" s="83"/>
      <c r="EV28" s="83"/>
      <c r="EW28" s="83"/>
      <c r="EX28" s="83"/>
      <c r="EY28" s="83"/>
      <c r="EZ28" s="83"/>
      <c r="FA28" s="83"/>
      <c r="FB28" s="83"/>
      <c r="FC28" s="83"/>
      <c r="FD28" s="83"/>
      <c r="FE28" s="83"/>
      <c r="FF28" s="83"/>
      <c r="FG28" s="83"/>
      <c r="FH28" s="83"/>
      <c r="FI28" s="83"/>
      <c r="FJ28" s="83"/>
      <c r="FK28" s="83"/>
      <c r="FL28" s="83"/>
      <c r="FM28" s="83"/>
      <c r="FN28" s="83"/>
      <c r="FO28" s="83"/>
      <c r="FP28" s="83"/>
      <c r="FQ28" s="83"/>
      <c r="FR28" s="83"/>
      <c r="FS28" s="83"/>
      <c r="FT28" s="83"/>
      <c r="FU28" s="83"/>
      <c r="FV28" s="83"/>
      <c r="FW28" s="83"/>
      <c r="FX28" s="83"/>
      <c r="FY28" s="83"/>
      <c r="FZ28" s="83"/>
      <c r="GA28" s="83"/>
      <c r="GB28" s="83"/>
      <c r="GC28" s="83"/>
      <c r="GD28" s="83"/>
      <c r="GE28" s="83"/>
      <c r="GF28" s="83"/>
      <c r="GG28" s="83"/>
      <c r="GH28" s="83"/>
      <c r="GI28" s="83"/>
      <c r="GJ28" s="83"/>
      <c r="GK28" s="83"/>
      <c r="GL28" s="83"/>
      <c r="GM28" s="83"/>
      <c r="GN28" s="83"/>
      <c r="GO28" s="83"/>
      <c r="GP28" s="83"/>
      <c r="GQ28" s="83"/>
      <c r="GR28" s="83"/>
      <c r="GS28" s="83"/>
      <c r="GT28" s="83"/>
      <c r="GU28" s="83"/>
      <c r="GV28" s="83"/>
      <c r="GW28" s="83"/>
      <c r="GX28" s="83"/>
      <c r="GY28" s="83"/>
      <c r="GZ28" s="83"/>
      <c r="HA28" s="83"/>
      <c r="HB28" s="83"/>
      <c r="HC28" s="83"/>
      <c r="HD28" s="83"/>
      <c r="HE28" s="83"/>
      <c r="HF28" s="83"/>
      <c r="HG28" s="83"/>
      <c r="HH28" s="83"/>
      <c r="HI28" s="83"/>
      <c r="HJ28" s="83"/>
      <c r="HK28" s="83"/>
      <c r="HL28" s="83"/>
      <c r="HM28" s="83"/>
      <c r="HN28" s="83"/>
      <c r="HO28" s="83"/>
      <c r="HP28" s="83"/>
      <c r="HQ28" s="83"/>
      <c r="HR28" s="83"/>
      <c r="HS28" s="83"/>
      <c r="HT28" s="83"/>
      <c r="HU28" s="83"/>
      <c r="HV28" s="83"/>
      <c r="HW28" s="83"/>
      <c r="HX28" s="83"/>
      <c r="HY28" s="83"/>
      <c r="HZ28" s="83"/>
      <c r="IA28" s="83"/>
      <c r="IB28" s="83"/>
      <c r="IC28" s="83"/>
      <c r="ID28" s="83"/>
      <c r="IE28" s="83"/>
      <c r="IF28" s="83"/>
      <c r="IG28" s="83"/>
    </row>
    <row r="29" spans="1:241" x14ac:dyDescent="0.3">
      <c r="A29" s="83"/>
      <c r="B29" s="12" t="s">
        <v>31</v>
      </c>
      <c r="C29" s="14">
        <v>4.6616</v>
      </c>
      <c r="D29" s="14">
        <v>0.32050000000000001</v>
      </c>
      <c r="E29" s="14">
        <v>6.3799999999999996E-2</v>
      </c>
      <c r="F29" s="15">
        <v>0.75</v>
      </c>
      <c r="G29" s="28">
        <v>65</v>
      </c>
      <c r="H29" s="10">
        <v>1.25</v>
      </c>
      <c r="I29" s="13"/>
      <c r="J29" s="13"/>
      <c r="K29" s="1"/>
      <c r="L29" s="1"/>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c r="DD29" s="83"/>
      <c r="DE29" s="83"/>
      <c r="DF29" s="83"/>
      <c r="DG29" s="83"/>
      <c r="DH29" s="83"/>
      <c r="DI29" s="83"/>
      <c r="DJ29" s="83"/>
      <c r="DK29" s="83"/>
      <c r="DL29" s="83"/>
      <c r="DM29" s="83"/>
      <c r="DN29" s="83"/>
      <c r="DO29" s="83"/>
      <c r="DP29" s="83"/>
      <c r="DQ29" s="83"/>
      <c r="DR29" s="83"/>
      <c r="DS29" s="83"/>
      <c r="DT29" s="83"/>
      <c r="DU29" s="83"/>
      <c r="DV29" s="83"/>
      <c r="DW29" s="83"/>
      <c r="DX29" s="83"/>
      <c r="DY29" s="83"/>
      <c r="DZ29" s="83"/>
      <c r="EA29" s="83"/>
      <c r="EB29" s="83"/>
      <c r="EC29" s="83"/>
      <c r="ED29" s="83"/>
      <c r="EE29" s="83"/>
      <c r="EF29" s="83"/>
      <c r="EG29" s="83"/>
      <c r="EH29" s="83"/>
      <c r="EI29" s="83"/>
      <c r="EJ29" s="83"/>
      <c r="EK29" s="83"/>
      <c r="EL29" s="83"/>
      <c r="EM29" s="83"/>
      <c r="EN29" s="83"/>
      <c r="EO29" s="83"/>
      <c r="EP29" s="83"/>
      <c r="EQ29" s="83"/>
      <c r="ER29" s="83"/>
      <c r="ES29" s="83"/>
      <c r="ET29" s="83"/>
      <c r="EU29" s="83"/>
      <c r="EV29" s="83"/>
      <c r="EW29" s="83"/>
      <c r="EX29" s="83"/>
      <c r="EY29" s="83"/>
      <c r="EZ29" s="83"/>
      <c r="FA29" s="83"/>
      <c r="FB29" s="83"/>
      <c r="FC29" s="83"/>
      <c r="FD29" s="83"/>
      <c r="FE29" s="83"/>
      <c r="FF29" s="83"/>
      <c r="FG29" s="83"/>
      <c r="FH29" s="83"/>
      <c r="FI29" s="83"/>
      <c r="FJ29" s="83"/>
      <c r="FK29" s="83"/>
      <c r="FL29" s="83"/>
      <c r="FM29" s="83"/>
      <c r="FN29" s="83"/>
      <c r="FO29" s="83"/>
      <c r="FP29" s="83"/>
      <c r="FQ29" s="83"/>
      <c r="FR29" s="83"/>
      <c r="FS29" s="83"/>
      <c r="FT29" s="83"/>
      <c r="FU29" s="83"/>
      <c r="FV29" s="83"/>
      <c r="FW29" s="83"/>
      <c r="FX29" s="83"/>
      <c r="FY29" s="83"/>
      <c r="FZ29" s="83"/>
      <c r="GA29" s="83"/>
      <c r="GB29" s="83"/>
      <c r="GC29" s="83"/>
      <c r="GD29" s="83"/>
      <c r="GE29" s="83"/>
      <c r="GF29" s="83"/>
      <c r="GG29" s="83"/>
      <c r="GH29" s="83"/>
      <c r="GI29" s="83"/>
      <c r="GJ29" s="83"/>
      <c r="GK29" s="83"/>
      <c r="GL29" s="83"/>
      <c r="GM29" s="83"/>
      <c r="GN29" s="83"/>
      <c r="GO29" s="83"/>
      <c r="GP29" s="83"/>
      <c r="GQ29" s="83"/>
      <c r="GR29" s="83"/>
      <c r="GS29" s="83"/>
      <c r="GT29" s="83"/>
      <c r="GU29" s="83"/>
      <c r="GV29" s="83"/>
      <c r="GW29" s="83"/>
      <c r="GX29" s="83"/>
      <c r="GY29" s="83"/>
      <c r="GZ29" s="83"/>
      <c r="HA29" s="83"/>
      <c r="HB29" s="83"/>
      <c r="HC29" s="83"/>
      <c r="HD29" s="83"/>
      <c r="HE29" s="83"/>
      <c r="HF29" s="83"/>
      <c r="HG29" s="83"/>
      <c r="HH29" s="83"/>
      <c r="HI29" s="83"/>
      <c r="HJ29" s="83"/>
      <c r="HK29" s="83"/>
      <c r="HL29" s="83"/>
      <c r="HM29" s="83"/>
      <c r="HN29" s="83"/>
      <c r="HO29" s="83"/>
      <c r="HP29" s="83"/>
      <c r="HQ29" s="83"/>
      <c r="HR29" s="83"/>
      <c r="HS29" s="83"/>
      <c r="HT29" s="83"/>
      <c r="HU29" s="83"/>
      <c r="HV29" s="83"/>
      <c r="HW29" s="83"/>
      <c r="HX29" s="83"/>
      <c r="HY29" s="83"/>
      <c r="HZ29" s="83"/>
      <c r="IA29" s="83"/>
      <c r="IB29" s="83"/>
      <c r="IC29" s="83"/>
      <c r="ID29" s="83"/>
      <c r="IE29" s="83"/>
      <c r="IF29" s="83"/>
      <c r="IG29" s="83"/>
    </row>
    <row r="30" spans="1:241" x14ac:dyDescent="0.3">
      <c r="A30" s="83"/>
      <c r="B30" s="17" t="s">
        <v>32</v>
      </c>
      <c r="C30" s="19">
        <v>3.6061999999999999</v>
      </c>
      <c r="D30" s="19">
        <v>0.26590000000000003</v>
      </c>
      <c r="E30" s="19">
        <v>0.19819999999999999</v>
      </c>
      <c r="F30" s="20">
        <v>0.5</v>
      </c>
      <c r="G30" s="29">
        <v>30</v>
      </c>
      <c r="H30" s="22">
        <v>1.1000000000000001</v>
      </c>
      <c r="I30" s="13"/>
      <c r="J30" s="13"/>
      <c r="K30" s="1"/>
      <c r="L30" s="1"/>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c r="DD30" s="83"/>
      <c r="DE30" s="83"/>
      <c r="DF30" s="83"/>
      <c r="DG30" s="83"/>
      <c r="DH30" s="83"/>
      <c r="DI30" s="83"/>
      <c r="DJ30" s="83"/>
      <c r="DK30" s="83"/>
      <c r="DL30" s="83"/>
      <c r="DM30" s="83"/>
      <c r="DN30" s="83"/>
      <c r="DO30" s="83"/>
      <c r="DP30" s="83"/>
      <c r="DQ30" s="83"/>
      <c r="DR30" s="83"/>
      <c r="DS30" s="83"/>
      <c r="DT30" s="83"/>
      <c r="DU30" s="83"/>
      <c r="DV30" s="83"/>
      <c r="DW30" s="83"/>
      <c r="DX30" s="83"/>
      <c r="DY30" s="83"/>
      <c r="DZ30" s="83"/>
      <c r="EA30" s="83"/>
      <c r="EB30" s="83"/>
      <c r="EC30" s="83"/>
      <c r="ED30" s="83"/>
      <c r="EE30" s="83"/>
      <c r="EF30" s="83"/>
      <c r="EG30" s="83"/>
      <c r="EH30" s="83"/>
      <c r="EI30" s="83"/>
      <c r="EJ30" s="83"/>
      <c r="EK30" s="83"/>
      <c r="EL30" s="83"/>
      <c r="EM30" s="83"/>
      <c r="EN30" s="83"/>
      <c r="EO30" s="83"/>
      <c r="EP30" s="83"/>
      <c r="EQ30" s="83"/>
      <c r="ER30" s="83"/>
      <c r="ES30" s="83"/>
      <c r="ET30" s="83"/>
      <c r="EU30" s="83"/>
      <c r="EV30" s="83"/>
      <c r="EW30" s="83"/>
      <c r="EX30" s="83"/>
      <c r="EY30" s="83"/>
      <c r="EZ30" s="83"/>
      <c r="FA30" s="83"/>
      <c r="FB30" s="83"/>
      <c r="FC30" s="83"/>
      <c r="FD30" s="83"/>
      <c r="FE30" s="83"/>
      <c r="FF30" s="83"/>
      <c r="FG30" s="83"/>
      <c r="FH30" s="83"/>
      <c r="FI30" s="83"/>
      <c r="FJ30" s="83"/>
      <c r="FK30" s="83"/>
      <c r="FL30" s="83"/>
      <c r="FM30" s="83"/>
      <c r="FN30" s="83"/>
      <c r="FO30" s="83"/>
      <c r="FP30" s="83"/>
      <c r="FQ30" s="83"/>
      <c r="FR30" s="83"/>
      <c r="FS30" s="83"/>
      <c r="FT30" s="83"/>
      <c r="FU30" s="83"/>
      <c r="FV30" s="83"/>
      <c r="FW30" s="83"/>
      <c r="FX30" s="83"/>
      <c r="FY30" s="83"/>
      <c r="FZ30" s="83"/>
      <c r="GA30" s="83"/>
      <c r="GB30" s="83"/>
      <c r="GC30" s="83"/>
      <c r="GD30" s="83"/>
      <c r="GE30" s="83"/>
      <c r="GF30" s="83"/>
      <c r="GG30" s="83"/>
      <c r="GH30" s="83"/>
      <c r="GI30" s="83"/>
      <c r="GJ30" s="83"/>
      <c r="GK30" s="83"/>
      <c r="GL30" s="83"/>
      <c r="GM30" s="83"/>
      <c r="GN30" s="83"/>
      <c r="GO30" s="83"/>
      <c r="GP30" s="83"/>
      <c r="GQ30" s="83"/>
      <c r="GR30" s="83"/>
      <c r="GS30" s="83"/>
      <c r="GT30" s="83"/>
      <c r="GU30" s="83"/>
      <c r="GV30" s="83"/>
      <c r="GW30" s="83"/>
      <c r="GX30" s="83"/>
      <c r="GY30" s="83"/>
      <c r="GZ30" s="83"/>
      <c r="HA30" s="83"/>
      <c r="HB30" s="83"/>
      <c r="HC30" s="83"/>
      <c r="HD30" s="83"/>
      <c r="HE30" s="83"/>
      <c r="HF30" s="83"/>
      <c r="HG30" s="83"/>
      <c r="HH30" s="83"/>
      <c r="HI30" s="83"/>
      <c r="HJ30" s="83"/>
      <c r="HK30" s="83"/>
      <c r="HL30" s="83"/>
      <c r="HM30" s="83"/>
      <c r="HN30" s="83"/>
      <c r="HO30" s="83"/>
      <c r="HP30" s="83"/>
      <c r="HQ30" s="83"/>
      <c r="HR30" s="83"/>
      <c r="HS30" s="83"/>
      <c r="HT30" s="83"/>
      <c r="HU30" s="83"/>
      <c r="HV30" s="83"/>
      <c r="HW30" s="83"/>
      <c r="HX30" s="83"/>
      <c r="HY30" s="83"/>
      <c r="HZ30" s="83"/>
      <c r="IA30" s="83"/>
      <c r="IB30" s="83"/>
      <c r="IC30" s="83"/>
      <c r="ID30" s="83"/>
      <c r="IE30" s="83"/>
      <c r="IF30" s="83"/>
      <c r="IG30" s="83"/>
    </row>
    <row r="31" spans="1:241" x14ac:dyDescent="0.3">
      <c r="A31" s="83"/>
      <c r="B31" s="1"/>
      <c r="C31" s="14"/>
      <c r="D31" s="14"/>
      <c r="E31" s="14"/>
      <c r="F31" s="31"/>
      <c r="G31" s="31"/>
      <c r="H31" s="31"/>
      <c r="I31" s="13"/>
      <c r="J31" s="13"/>
      <c r="K31" s="1"/>
      <c r="L31" s="1"/>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c r="DD31" s="83"/>
      <c r="DE31" s="83"/>
      <c r="DF31" s="83"/>
      <c r="DG31" s="83"/>
      <c r="DH31" s="83"/>
      <c r="DI31" s="83"/>
      <c r="DJ31" s="83"/>
      <c r="DK31" s="83"/>
      <c r="DL31" s="83"/>
      <c r="DM31" s="83"/>
      <c r="DN31" s="83"/>
      <c r="DO31" s="83"/>
      <c r="DP31" s="83"/>
      <c r="DQ31" s="83"/>
      <c r="DR31" s="83"/>
      <c r="DS31" s="83"/>
      <c r="DT31" s="83"/>
      <c r="DU31" s="83"/>
      <c r="DV31" s="83"/>
      <c r="DW31" s="83"/>
      <c r="DX31" s="83"/>
      <c r="DY31" s="83"/>
      <c r="DZ31" s="83"/>
      <c r="EA31" s="83"/>
      <c r="EB31" s="83"/>
      <c r="EC31" s="83"/>
      <c r="ED31" s="83"/>
      <c r="EE31" s="83"/>
      <c r="EF31" s="83"/>
      <c r="EG31" s="83"/>
      <c r="EH31" s="83"/>
      <c r="EI31" s="83"/>
      <c r="EJ31" s="83"/>
      <c r="EK31" s="83"/>
      <c r="EL31" s="83"/>
      <c r="EM31" s="83"/>
      <c r="EN31" s="83"/>
      <c r="EO31" s="83"/>
      <c r="EP31" s="83"/>
      <c r="EQ31" s="83"/>
      <c r="ER31" s="83"/>
      <c r="ES31" s="83"/>
      <c r="ET31" s="83"/>
      <c r="EU31" s="83"/>
      <c r="EV31" s="83"/>
      <c r="EW31" s="83"/>
      <c r="EX31" s="83"/>
      <c r="EY31" s="83"/>
      <c r="EZ31" s="83"/>
      <c r="FA31" s="83"/>
      <c r="FB31" s="83"/>
      <c r="FC31" s="83"/>
      <c r="FD31" s="83"/>
      <c r="FE31" s="83"/>
      <c r="FF31" s="83"/>
      <c r="FG31" s="83"/>
      <c r="FH31" s="83"/>
      <c r="FI31" s="83"/>
      <c r="FJ31" s="83"/>
      <c r="FK31" s="83"/>
      <c r="FL31" s="83"/>
      <c r="FM31" s="83"/>
      <c r="FN31" s="83"/>
      <c r="FO31" s="83"/>
      <c r="FP31" s="83"/>
      <c r="FQ31" s="83"/>
      <c r="FR31" s="83"/>
      <c r="FS31" s="83"/>
      <c r="FT31" s="83"/>
      <c r="FU31" s="83"/>
      <c r="FV31" s="83"/>
      <c r="FW31" s="83"/>
      <c r="FX31" s="83"/>
      <c r="FY31" s="83"/>
      <c r="FZ31" s="83"/>
      <c r="GA31" s="83"/>
      <c r="GB31" s="83"/>
      <c r="GC31" s="83"/>
      <c r="GD31" s="83"/>
      <c r="GE31" s="83"/>
      <c r="GF31" s="83"/>
      <c r="GG31" s="83"/>
      <c r="GH31" s="83"/>
      <c r="GI31" s="83"/>
      <c r="GJ31" s="83"/>
      <c r="GK31" s="83"/>
      <c r="GL31" s="83"/>
      <c r="GM31" s="83"/>
      <c r="GN31" s="83"/>
      <c r="GO31" s="83"/>
      <c r="GP31" s="83"/>
      <c r="GQ31" s="83"/>
      <c r="GR31" s="83"/>
      <c r="GS31" s="83"/>
      <c r="GT31" s="83"/>
      <c r="GU31" s="83"/>
      <c r="GV31" s="83"/>
      <c r="GW31" s="83"/>
      <c r="GX31" s="83"/>
      <c r="GY31" s="83"/>
      <c r="GZ31" s="83"/>
      <c r="HA31" s="83"/>
      <c r="HB31" s="83"/>
      <c r="HC31" s="83"/>
      <c r="HD31" s="83"/>
      <c r="HE31" s="83"/>
      <c r="HF31" s="83"/>
      <c r="HG31" s="83"/>
      <c r="HH31" s="83"/>
      <c r="HI31" s="83"/>
      <c r="HJ31" s="83"/>
      <c r="HK31" s="83"/>
      <c r="HL31" s="83"/>
      <c r="HM31" s="83"/>
      <c r="HN31" s="83"/>
      <c r="HO31" s="83"/>
      <c r="HP31" s="83"/>
      <c r="HQ31" s="83"/>
      <c r="HR31" s="83"/>
      <c r="HS31" s="83"/>
      <c r="HT31" s="83"/>
      <c r="HU31" s="83"/>
      <c r="HV31" s="83"/>
      <c r="HW31" s="83"/>
      <c r="HX31" s="83"/>
      <c r="HY31" s="83"/>
      <c r="HZ31" s="83"/>
      <c r="IA31" s="83"/>
      <c r="IB31" s="83"/>
      <c r="IC31" s="83"/>
      <c r="ID31" s="83"/>
      <c r="IE31" s="83"/>
      <c r="IF31" s="83"/>
      <c r="IG31" s="83"/>
    </row>
    <row r="32" spans="1:241" x14ac:dyDescent="0.3">
      <c r="A32" s="83"/>
      <c r="B32" s="1"/>
      <c r="C32" s="14"/>
      <c r="D32" s="14"/>
      <c r="E32" s="14"/>
      <c r="F32" s="31"/>
      <c r="G32" s="31"/>
      <c r="H32" s="31"/>
      <c r="I32" s="13"/>
      <c r="J32" s="13"/>
      <c r="K32" s="1"/>
      <c r="L32" s="1"/>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c r="DD32" s="83"/>
      <c r="DE32" s="83"/>
      <c r="DF32" s="83"/>
      <c r="DG32" s="83"/>
      <c r="DH32" s="83"/>
      <c r="DI32" s="83"/>
      <c r="DJ32" s="83"/>
      <c r="DK32" s="83"/>
      <c r="DL32" s="83"/>
      <c r="DM32" s="83"/>
      <c r="DN32" s="83"/>
      <c r="DO32" s="83"/>
      <c r="DP32" s="83"/>
      <c r="DQ32" s="83"/>
      <c r="DR32" s="83"/>
      <c r="DS32" s="83"/>
      <c r="DT32" s="83"/>
      <c r="DU32" s="83"/>
      <c r="DV32" s="83"/>
      <c r="DW32" s="83"/>
      <c r="DX32" s="83"/>
      <c r="DY32" s="83"/>
      <c r="DZ32" s="83"/>
      <c r="EA32" s="83"/>
      <c r="EB32" s="83"/>
      <c r="EC32" s="83"/>
      <c r="ED32" s="83"/>
      <c r="EE32" s="83"/>
      <c r="EF32" s="83"/>
      <c r="EG32" s="83"/>
      <c r="EH32" s="83"/>
      <c r="EI32" s="83"/>
      <c r="EJ32" s="83"/>
      <c r="EK32" s="83"/>
      <c r="EL32" s="83"/>
      <c r="EM32" s="83"/>
      <c r="EN32" s="83"/>
      <c r="EO32" s="83"/>
      <c r="EP32" s="83"/>
      <c r="EQ32" s="83"/>
      <c r="ER32" s="83"/>
      <c r="ES32" s="83"/>
      <c r="ET32" s="83"/>
      <c r="EU32" s="83"/>
      <c r="EV32" s="83"/>
      <c r="EW32" s="83"/>
      <c r="EX32" s="83"/>
      <c r="EY32" s="83"/>
      <c r="EZ32" s="83"/>
      <c r="FA32" s="83"/>
      <c r="FB32" s="83"/>
      <c r="FC32" s="83"/>
      <c r="FD32" s="83"/>
      <c r="FE32" s="83"/>
      <c r="FF32" s="83"/>
      <c r="FG32" s="83"/>
      <c r="FH32" s="83"/>
      <c r="FI32" s="83"/>
      <c r="FJ32" s="83"/>
      <c r="FK32" s="83"/>
      <c r="FL32" s="83"/>
      <c r="FM32" s="83"/>
      <c r="FN32" s="83"/>
      <c r="FO32" s="83"/>
      <c r="FP32" s="83"/>
      <c r="FQ32" s="83"/>
      <c r="FR32" s="83"/>
      <c r="FS32" s="83"/>
      <c r="FT32" s="83"/>
      <c r="FU32" s="83"/>
      <c r="FV32" s="83"/>
      <c r="FW32" s="83"/>
      <c r="FX32" s="83"/>
      <c r="FY32" s="83"/>
      <c r="FZ32" s="83"/>
      <c r="GA32" s="83"/>
      <c r="GB32" s="83"/>
      <c r="GC32" s="83"/>
      <c r="GD32" s="83"/>
      <c r="GE32" s="83"/>
      <c r="GF32" s="83"/>
      <c r="GG32" s="83"/>
      <c r="GH32" s="83"/>
      <c r="GI32" s="83"/>
      <c r="GJ32" s="83"/>
      <c r="GK32" s="83"/>
      <c r="GL32" s="83"/>
      <c r="GM32" s="83"/>
      <c r="GN32" s="83"/>
      <c r="GO32" s="83"/>
      <c r="GP32" s="83"/>
      <c r="GQ32" s="83"/>
      <c r="GR32" s="83"/>
      <c r="GS32" s="83"/>
      <c r="GT32" s="83"/>
      <c r="GU32" s="83"/>
      <c r="GV32" s="83"/>
      <c r="GW32" s="83"/>
      <c r="GX32" s="83"/>
      <c r="GY32" s="83"/>
      <c r="GZ32" s="83"/>
      <c r="HA32" s="83"/>
      <c r="HB32" s="83"/>
      <c r="HC32" s="83"/>
      <c r="HD32" s="83"/>
      <c r="HE32" s="83"/>
      <c r="HF32" s="83"/>
      <c r="HG32" s="83"/>
      <c r="HH32" s="83"/>
      <c r="HI32" s="83"/>
      <c r="HJ32" s="83"/>
      <c r="HK32" s="83"/>
      <c r="HL32" s="83"/>
      <c r="HM32" s="83"/>
      <c r="HN32" s="83"/>
      <c r="HO32" s="83"/>
      <c r="HP32" s="83"/>
      <c r="HQ32" s="83"/>
      <c r="HR32" s="83"/>
      <c r="HS32" s="83"/>
      <c r="HT32" s="83"/>
      <c r="HU32" s="83"/>
      <c r="HV32" s="83"/>
      <c r="HW32" s="83"/>
      <c r="HX32" s="83"/>
      <c r="HY32" s="83"/>
      <c r="HZ32" s="83"/>
      <c r="IA32" s="83"/>
      <c r="IB32" s="83"/>
      <c r="IC32" s="83"/>
      <c r="ID32" s="83"/>
      <c r="IE32" s="83"/>
      <c r="IF32" s="83"/>
      <c r="IG32" s="83"/>
    </row>
    <row r="33" spans="1:241" x14ac:dyDescent="0.3">
      <c r="A33" s="83"/>
      <c r="B33" s="2" t="s">
        <v>244</v>
      </c>
      <c r="C33" s="1"/>
      <c r="D33" s="14"/>
      <c r="E33" s="14"/>
      <c r="F33" s="1"/>
      <c r="G33" s="15"/>
      <c r="H33" s="31"/>
      <c r="I33" s="13"/>
      <c r="J33" s="13"/>
      <c r="K33" s="1"/>
      <c r="L33" s="1"/>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c r="DD33" s="83"/>
      <c r="DE33" s="83"/>
      <c r="DF33" s="83"/>
      <c r="DG33" s="83"/>
      <c r="DH33" s="83"/>
      <c r="DI33" s="83"/>
      <c r="DJ33" s="83"/>
      <c r="DK33" s="83"/>
      <c r="DL33" s="83"/>
      <c r="DM33" s="83"/>
      <c r="DN33" s="83"/>
      <c r="DO33" s="83"/>
      <c r="DP33" s="83"/>
      <c r="DQ33" s="83"/>
      <c r="DR33" s="83"/>
      <c r="DS33" s="83"/>
      <c r="DT33" s="83"/>
      <c r="DU33" s="83"/>
      <c r="DV33" s="83"/>
      <c r="DW33" s="83"/>
      <c r="DX33" s="83"/>
      <c r="DY33" s="83"/>
      <c r="DZ33" s="83"/>
      <c r="EA33" s="83"/>
      <c r="EB33" s="83"/>
      <c r="EC33" s="83"/>
      <c r="ED33" s="83"/>
      <c r="EE33" s="83"/>
      <c r="EF33" s="83"/>
      <c r="EG33" s="83"/>
      <c r="EH33" s="83"/>
      <c r="EI33" s="83"/>
      <c r="EJ33" s="83"/>
      <c r="EK33" s="83"/>
      <c r="EL33" s="83"/>
      <c r="EM33" s="83"/>
      <c r="EN33" s="83"/>
      <c r="EO33" s="83"/>
      <c r="EP33" s="83"/>
      <c r="EQ33" s="83"/>
      <c r="ER33" s="83"/>
      <c r="ES33" s="83"/>
      <c r="ET33" s="83"/>
      <c r="EU33" s="83"/>
      <c r="EV33" s="83"/>
      <c r="EW33" s="83"/>
      <c r="EX33" s="83"/>
      <c r="EY33" s="83"/>
      <c r="EZ33" s="83"/>
      <c r="FA33" s="83"/>
      <c r="FB33" s="83"/>
      <c r="FC33" s="83"/>
      <c r="FD33" s="83"/>
      <c r="FE33" s="83"/>
      <c r="FF33" s="83"/>
      <c r="FG33" s="83"/>
      <c r="FH33" s="83"/>
      <c r="FI33" s="83"/>
      <c r="FJ33" s="83"/>
      <c r="FK33" s="83"/>
      <c r="FL33" s="83"/>
      <c r="FM33" s="83"/>
      <c r="FN33" s="83"/>
      <c r="FO33" s="83"/>
      <c r="FP33" s="83"/>
      <c r="FQ33" s="83"/>
      <c r="FR33" s="83"/>
      <c r="FS33" s="83"/>
      <c r="FT33" s="83"/>
      <c r="FU33" s="83"/>
      <c r="FV33" s="83"/>
      <c r="FW33" s="83"/>
      <c r="FX33" s="83"/>
      <c r="FY33" s="83"/>
      <c r="FZ33" s="83"/>
      <c r="GA33" s="83"/>
      <c r="GB33" s="83"/>
      <c r="GC33" s="83"/>
      <c r="GD33" s="83"/>
      <c r="GE33" s="83"/>
      <c r="GF33" s="83"/>
      <c r="GG33" s="83"/>
      <c r="GH33" s="83"/>
      <c r="GI33" s="83"/>
      <c r="GJ33" s="83"/>
      <c r="GK33" s="83"/>
      <c r="GL33" s="83"/>
      <c r="GM33" s="83"/>
      <c r="GN33" s="83"/>
      <c r="GO33" s="83"/>
      <c r="GP33" s="83"/>
      <c r="GQ33" s="83"/>
      <c r="GR33" s="83"/>
      <c r="GS33" s="83"/>
      <c r="GT33" s="83"/>
      <c r="GU33" s="83"/>
      <c r="GV33" s="83"/>
      <c r="GW33" s="83"/>
      <c r="GX33" s="83"/>
      <c r="GY33" s="83"/>
      <c r="GZ33" s="83"/>
      <c r="HA33" s="83"/>
      <c r="HB33" s="83"/>
      <c r="HC33" s="83"/>
      <c r="HD33" s="83"/>
      <c r="HE33" s="83"/>
      <c r="HF33" s="83"/>
      <c r="HG33" s="83"/>
      <c r="HH33" s="83"/>
      <c r="HI33" s="83"/>
      <c r="HJ33" s="83"/>
      <c r="HK33" s="83"/>
      <c r="HL33" s="83"/>
      <c r="HM33" s="83"/>
      <c r="HN33" s="83"/>
      <c r="HO33" s="83"/>
      <c r="HP33" s="83"/>
      <c r="HQ33" s="83"/>
      <c r="HR33" s="83"/>
      <c r="HS33" s="83"/>
      <c r="HT33" s="83"/>
      <c r="HU33" s="83"/>
      <c r="HV33" s="83"/>
      <c r="HW33" s="83"/>
      <c r="HX33" s="83"/>
      <c r="HY33" s="83"/>
      <c r="HZ33" s="83"/>
      <c r="IA33" s="83"/>
      <c r="IB33" s="83"/>
      <c r="IC33" s="83"/>
      <c r="ID33" s="83"/>
      <c r="IE33" s="83"/>
      <c r="IF33" s="83"/>
      <c r="IG33" s="83"/>
    </row>
    <row r="34" spans="1:241" ht="16.8" x14ac:dyDescent="0.35">
      <c r="A34" s="83"/>
      <c r="B34" s="3" t="s">
        <v>33</v>
      </c>
      <c r="C34" s="4" t="s">
        <v>1</v>
      </c>
      <c r="D34" s="4" t="s">
        <v>2</v>
      </c>
      <c r="E34" s="4" t="s">
        <v>3</v>
      </c>
      <c r="F34" s="4" t="s">
        <v>4</v>
      </c>
      <c r="G34" s="5" t="s">
        <v>5</v>
      </c>
      <c r="H34" s="6" t="s">
        <v>6</v>
      </c>
      <c r="I34" s="13"/>
      <c r="J34" s="13"/>
      <c r="K34" s="1"/>
      <c r="L34" s="1"/>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c r="DD34" s="83"/>
      <c r="DE34" s="83"/>
      <c r="DF34" s="83"/>
      <c r="DG34" s="83"/>
      <c r="DH34" s="83"/>
      <c r="DI34" s="83"/>
      <c r="DJ34" s="83"/>
      <c r="DK34" s="83"/>
      <c r="DL34" s="83"/>
      <c r="DM34" s="83"/>
      <c r="DN34" s="83"/>
      <c r="DO34" s="83"/>
      <c r="DP34" s="83"/>
      <c r="DQ34" s="83"/>
      <c r="DR34" s="83"/>
      <c r="DS34" s="83"/>
      <c r="DT34" s="83"/>
      <c r="DU34" s="83"/>
      <c r="DV34" s="83"/>
      <c r="DW34" s="83"/>
      <c r="DX34" s="83"/>
      <c r="DY34" s="83"/>
      <c r="DZ34" s="83"/>
      <c r="EA34" s="83"/>
      <c r="EB34" s="83"/>
      <c r="EC34" s="83"/>
      <c r="ED34" s="83"/>
      <c r="EE34" s="83"/>
      <c r="EF34" s="83"/>
      <c r="EG34" s="83"/>
      <c r="EH34" s="83"/>
      <c r="EI34" s="83"/>
      <c r="EJ34" s="83"/>
      <c r="EK34" s="83"/>
      <c r="EL34" s="83"/>
      <c r="EM34" s="83"/>
      <c r="EN34" s="83"/>
      <c r="EO34" s="83"/>
      <c r="EP34" s="83"/>
      <c r="EQ34" s="83"/>
      <c r="ER34" s="83"/>
      <c r="ES34" s="83"/>
      <c r="ET34" s="83"/>
      <c r="EU34" s="83"/>
      <c r="EV34" s="83"/>
      <c r="EW34" s="83"/>
      <c r="EX34" s="83"/>
      <c r="EY34" s="83"/>
      <c r="EZ34" s="83"/>
      <c r="FA34" s="83"/>
      <c r="FB34" s="83"/>
      <c r="FC34" s="83"/>
      <c r="FD34" s="83"/>
      <c r="FE34" s="83"/>
      <c r="FF34" s="83"/>
      <c r="FG34" s="83"/>
      <c r="FH34" s="83"/>
      <c r="FI34" s="83"/>
      <c r="FJ34" s="83"/>
      <c r="FK34" s="83"/>
      <c r="FL34" s="83"/>
      <c r="FM34" s="83"/>
      <c r="FN34" s="83"/>
      <c r="FO34" s="83"/>
      <c r="FP34" s="83"/>
      <c r="FQ34" s="83"/>
      <c r="FR34" s="83"/>
      <c r="FS34" s="83"/>
      <c r="FT34" s="83"/>
      <c r="FU34" s="83"/>
      <c r="FV34" s="83"/>
      <c r="FW34" s="83"/>
      <c r="FX34" s="83"/>
      <c r="FY34" s="83"/>
      <c r="FZ34" s="83"/>
      <c r="GA34" s="83"/>
      <c r="GB34" s="83"/>
      <c r="GC34" s="83"/>
      <c r="GD34" s="83"/>
      <c r="GE34" s="83"/>
      <c r="GF34" s="83"/>
      <c r="GG34" s="83"/>
      <c r="GH34" s="83"/>
      <c r="GI34" s="83"/>
      <c r="GJ34" s="83"/>
      <c r="GK34" s="83"/>
      <c r="GL34" s="83"/>
      <c r="GM34" s="83"/>
      <c r="GN34" s="83"/>
      <c r="GO34" s="83"/>
      <c r="GP34" s="83"/>
      <c r="GQ34" s="83"/>
      <c r="GR34" s="83"/>
      <c r="GS34" s="83"/>
      <c r="GT34" s="83"/>
      <c r="GU34" s="83"/>
      <c r="GV34" s="83"/>
      <c r="GW34" s="83"/>
      <c r="GX34" s="83"/>
      <c r="GY34" s="83"/>
      <c r="GZ34" s="83"/>
      <c r="HA34" s="83"/>
      <c r="HB34" s="83"/>
      <c r="HC34" s="83"/>
      <c r="HD34" s="83"/>
      <c r="HE34" s="83"/>
      <c r="HF34" s="83"/>
      <c r="HG34" s="83"/>
      <c r="HH34" s="83"/>
      <c r="HI34" s="83"/>
      <c r="HJ34" s="83"/>
      <c r="HK34" s="83"/>
      <c r="HL34" s="83"/>
      <c r="HM34" s="83"/>
      <c r="HN34" s="83"/>
      <c r="HO34" s="83"/>
      <c r="HP34" s="83"/>
      <c r="HQ34" s="83"/>
      <c r="HR34" s="83"/>
      <c r="HS34" s="83"/>
      <c r="HT34" s="83"/>
      <c r="HU34" s="83"/>
      <c r="HV34" s="83"/>
      <c r="HW34" s="83"/>
      <c r="HX34" s="83"/>
      <c r="HY34" s="83"/>
      <c r="HZ34" s="83"/>
      <c r="IA34" s="83"/>
      <c r="IB34" s="83"/>
      <c r="IC34" s="83"/>
      <c r="ID34" s="83"/>
      <c r="IE34" s="83"/>
      <c r="IF34" s="83"/>
      <c r="IG34" s="83"/>
    </row>
    <row r="35" spans="1:241" x14ac:dyDescent="0.3">
      <c r="A35" s="83"/>
      <c r="B35" s="33" t="s">
        <v>34</v>
      </c>
      <c r="C35" s="34">
        <v>4.5096999999999996</v>
      </c>
      <c r="D35" s="34">
        <v>0.1731</v>
      </c>
      <c r="E35" s="34">
        <v>0.13439999999999999</v>
      </c>
      <c r="F35" s="35">
        <v>1.5</v>
      </c>
      <c r="G35" s="5">
        <v>30</v>
      </c>
      <c r="H35" s="36">
        <v>1.6</v>
      </c>
      <c r="I35" s="13"/>
      <c r="J35" s="13"/>
      <c r="K35" s="1"/>
      <c r="L35" s="1"/>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c r="DD35" s="83"/>
      <c r="DE35" s="83"/>
      <c r="DF35" s="83"/>
      <c r="DG35" s="83"/>
      <c r="DH35" s="83"/>
      <c r="DI35" s="83"/>
      <c r="DJ35" s="83"/>
      <c r="DK35" s="83"/>
      <c r="DL35" s="83"/>
      <c r="DM35" s="83"/>
      <c r="DN35" s="83"/>
      <c r="DO35" s="83"/>
      <c r="DP35" s="83"/>
      <c r="DQ35" s="83"/>
      <c r="DR35" s="83"/>
      <c r="DS35" s="83"/>
      <c r="DT35" s="83"/>
      <c r="DU35" s="83"/>
      <c r="DV35" s="83"/>
      <c r="DW35" s="83"/>
      <c r="DX35" s="83"/>
      <c r="DY35" s="83"/>
      <c r="DZ35" s="83"/>
      <c r="EA35" s="83"/>
      <c r="EB35" s="83"/>
      <c r="EC35" s="83"/>
      <c r="ED35" s="83"/>
      <c r="EE35" s="83"/>
      <c r="EF35" s="83"/>
      <c r="EG35" s="83"/>
      <c r="EH35" s="83"/>
      <c r="EI35" s="83"/>
      <c r="EJ35" s="83"/>
      <c r="EK35" s="83"/>
      <c r="EL35" s="83"/>
      <c r="EM35" s="83"/>
      <c r="EN35" s="83"/>
      <c r="EO35" s="83"/>
      <c r="EP35" s="83"/>
      <c r="EQ35" s="83"/>
      <c r="ER35" s="83"/>
      <c r="ES35" s="83"/>
      <c r="ET35" s="83"/>
      <c r="EU35" s="83"/>
      <c r="EV35" s="83"/>
      <c r="EW35" s="83"/>
      <c r="EX35" s="83"/>
      <c r="EY35" s="83"/>
      <c r="EZ35" s="83"/>
      <c r="FA35" s="83"/>
      <c r="FB35" s="83"/>
      <c r="FC35" s="83"/>
      <c r="FD35" s="83"/>
      <c r="FE35" s="83"/>
      <c r="FF35" s="83"/>
      <c r="FG35" s="83"/>
      <c r="FH35" s="83"/>
      <c r="FI35" s="83"/>
      <c r="FJ35" s="83"/>
      <c r="FK35" s="83"/>
      <c r="FL35" s="83"/>
      <c r="FM35" s="83"/>
      <c r="FN35" s="83"/>
      <c r="FO35" s="83"/>
      <c r="FP35" s="83"/>
      <c r="FQ35" s="83"/>
      <c r="FR35" s="83"/>
      <c r="FS35" s="83"/>
      <c r="FT35" s="83"/>
      <c r="FU35" s="83"/>
      <c r="FV35" s="83"/>
      <c r="FW35" s="83"/>
      <c r="FX35" s="83"/>
      <c r="FY35" s="83"/>
      <c r="FZ35" s="83"/>
      <c r="GA35" s="83"/>
      <c r="GB35" s="83"/>
      <c r="GC35" s="83"/>
      <c r="GD35" s="83"/>
      <c r="GE35" s="83"/>
      <c r="GF35" s="83"/>
      <c r="GG35" s="83"/>
      <c r="GH35" s="83"/>
      <c r="GI35" s="83"/>
      <c r="GJ35" s="83"/>
      <c r="GK35" s="83"/>
      <c r="GL35" s="83"/>
      <c r="GM35" s="83"/>
      <c r="GN35" s="83"/>
      <c r="GO35" s="83"/>
      <c r="GP35" s="83"/>
      <c r="GQ35" s="83"/>
      <c r="GR35" s="83"/>
      <c r="GS35" s="83"/>
      <c r="GT35" s="83"/>
      <c r="GU35" s="83"/>
      <c r="GV35" s="83"/>
      <c r="GW35" s="83"/>
      <c r="GX35" s="83"/>
      <c r="GY35" s="83"/>
      <c r="GZ35" s="83"/>
      <c r="HA35" s="83"/>
      <c r="HB35" s="83"/>
      <c r="HC35" s="83"/>
      <c r="HD35" s="83"/>
      <c r="HE35" s="83"/>
      <c r="HF35" s="83"/>
      <c r="HG35" s="83"/>
      <c r="HH35" s="83"/>
      <c r="HI35" s="83"/>
      <c r="HJ35" s="83"/>
      <c r="HK35" s="83"/>
      <c r="HL35" s="83"/>
      <c r="HM35" s="83"/>
      <c r="HN35" s="83"/>
      <c r="HO35" s="83"/>
      <c r="HP35" s="83"/>
      <c r="HQ35" s="83"/>
      <c r="HR35" s="83"/>
      <c r="HS35" s="83"/>
      <c r="HT35" s="83"/>
      <c r="HU35" s="83"/>
      <c r="HV35" s="83"/>
      <c r="HW35" s="83"/>
      <c r="HX35" s="83"/>
      <c r="HY35" s="83"/>
      <c r="HZ35" s="83"/>
      <c r="IA35" s="83"/>
      <c r="IB35" s="83"/>
      <c r="IC35" s="83"/>
      <c r="ID35" s="83"/>
      <c r="IE35" s="83"/>
      <c r="IF35" s="83"/>
      <c r="IG35" s="83"/>
    </row>
    <row r="36" spans="1:241" x14ac:dyDescent="0.3">
      <c r="A36" s="83"/>
      <c r="B36" s="1"/>
      <c r="C36" s="14"/>
      <c r="D36" s="14"/>
      <c r="E36" s="14"/>
      <c r="F36" s="31"/>
      <c r="G36" s="31"/>
      <c r="H36" s="31"/>
      <c r="I36" s="13"/>
      <c r="J36" s="13"/>
      <c r="K36" s="1"/>
      <c r="L36" s="1"/>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c r="DD36" s="83"/>
      <c r="DE36" s="83"/>
      <c r="DF36" s="83"/>
      <c r="DG36" s="83"/>
      <c r="DH36" s="83"/>
      <c r="DI36" s="83"/>
      <c r="DJ36" s="83"/>
      <c r="DK36" s="83"/>
      <c r="DL36" s="83"/>
      <c r="DM36" s="83"/>
      <c r="DN36" s="83"/>
      <c r="DO36" s="83"/>
      <c r="DP36" s="83"/>
      <c r="DQ36" s="83"/>
      <c r="DR36" s="83"/>
      <c r="DS36" s="83"/>
      <c r="DT36" s="83"/>
      <c r="DU36" s="83"/>
      <c r="DV36" s="83"/>
      <c r="DW36" s="83"/>
      <c r="DX36" s="83"/>
      <c r="DY36" s="83"/>
      <c r="DZ36" s="83"/>
      <c r="EA36" s="83"/>
      <c r="EB36" s="83"/>
      <c r="EC36" s="83"/>
      <c r="ED36" s="83"/>
      <c r="EE36" s="83"/>
      <c r="EF36" s="83"/>
      <c r="EG36" s="83"/>
      <c r="EH36" s="83"/>
      <c r="EI36" s="83"/>
      <c r="EJ36" s="83"/>
      <c r="EK36" s="83"/>
      <c r="EL36" s="83"/>
      <c r="EM36" s="83"/>
      <c r="EN36" s="83"/>
      <c r="EO36" s="83"/>
      <c r="EP36" s="83"/>
      <c r="EQ36" s="83"/>
      <c r="ER36" s="83"/>
      <c r="ES36" s="83"/>
      <c r="ET36" s="83"/>
      <c r="EU36" s="83"/>
      <c r="EV36" s="83"/>
      <c r="EW36" s="83"/>
      <c r="EX36" s="83"/>
      <c r="EY36" s="83"/>
      <c r="EZ36" s="83"/>
      <c r="FA36" s="83"/>
      <c r="FB36" s="83"/>
      <c r="FC36" s="83"/>
      <c r="FD36" s="83"/>
      <c r="FE36" s="83"/>
      <c r="FF36" s="83"/>
      <c r="FG36" s="83"/>
      <c r="FH36" s="83"/>
      <c r="FI36" s="83"/>
      <c r="FJ36" s="83"/>
      <c r="FK36" s="83"/>
      <c r="FL36" s="83"/>
      <c r="FM36" s="83"/>
      <c r="FN36" s="83"/>
      <c r="FO36" s="83"/>
      <c r="FP36" s="83"/>
      <c r="FQ36" s="83"/>
      <c r="FR36" s="83"/>
      <c r="FS36" s="83"/>
      <c r="FT36" s="83"/>
      <c r="FU36" s="83"/>
      <c r="FV36" s="83"/>
      <c r="FW36" s="83"/>
      <c r="FX36" s="83"/>
      <c r="FY36" s="83"/>
      <c r="FZ36" s="83"/>
      <c r="GA36" s="83"/>
      <c r="GB36" s="83"/>
      <c r="GC36" s="83"/>
      <c r="GD36" s="83"/>
      <c r="GE36" s="83"/>
      <c r="GF36" s="83"/>
      <c r="GG36" s="83"/>
      <c r="GH36" s="83"/>
      <c r="GI36" s="83"/>
      <c r="GJ36" s="83"/>
      <c r="GK36" s="83"/>
      <c r="GL36" s="83"/>
      <c r="GM36" s="83"/>
      <c r="GN36" s="83"/>
      <c r="GO36" s="83"/>
      <c r="GP36" s="83"/>
      <c r="GQ36" s="83"/>
      <c r="GR36" s="83"/>
      <c r="GS36" s="83"/>
      <c r="GT36" s="83"/>
      <c r="GU36" s="83"/>
      <c r="GV36" s="83"/>
      <c r="GW36" s="83"/>
      <c r="GX36" s="83"/>
      <c r="GY36" s="83"/>
      <c r="GZ36" s="83"/>
      <c r="HA36" s="83"/>
      <c r="HB36" s="83"/>
      <c r="HC36" s="83"/>
      <c r="HD36" s="83"/>
      <c r="HE36" s="83"/>
      <c r="HF36" s="83"/>
      <c r="HG36" s="83"/>
      <c r="HH36" s="83"/>
      <c r="HI36" s="83"/>
      <c r="HJ36" s="83"/>
      <c r="HK36" s="83"/>
      <c r="HL36" s="83"/>
      <c r="HM36" s="83"/>
      <c r="HN36" s="83"/>
      <c r="HO36" s="83"/>
      <c r="HP36" s="83"/>
      <c r="HQ36" s="83"/>
      <c r="HR36" s="83"/>
      <c r="HS36" s="83"/>
      <c r="HT36" s="83"/>
      <c r="HU36" s="83"/>
      <c r="HV36" s="83"/>
      <c r="HW36" s="83"/>
      <c r="HX36" s="83"/>
      <c r="HY36" s="83"/>
      <c r="HZ36" s="83"/>
      <c r="IA36" s="83"/>
      <c r="IB36" s="83"/>
      <c r="IC36" s="83"/>
      <c r="ID36" s="83"/>
      <c r="IE36" s="83"/>
      <c r="IF36" s="83"/>
      <c r="IG36" s="83"/>
    </row>
    <row r="37" spans="1:241" x14ac:dyDescent="0.3">
      <c r="A37" s="83"/>
      <c r="B37" s="1"/>
      <c r="C37" s="14"/>
      <c r="D37" s="14"/>
      <c r="E37" s="14"/>
      <c r="F37" s="31"/>
      <c r="G37" s="31"/>
      <c r="H37" s="31"/>
      <c r="I37" s="13"/>
      <c r="J37" s="13"/>
      <c r="K37" s="1"/>
      <c r="L37" s="1"/>
      <c r="M37" s="1"/>
      <c r="N37" s="1"/>
      <c r="O37" s="1"/>
      <c r="P37" s="1"/>
      <c r="Q37" s="1"/>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83"/>
      <c r="EB37" s="83"/>
      <c r="EC37" s="83"/>
      <c r="ED37" s="83"/>
      <c r="EE37" s="83"/>
      <c r="EF37" s="83"/>
      <c r="EG37" s="83"/>
      <c r="EH37" s="83"/>
      <c r="EI37" s="83"/>
      <c r="EJ37" s="83"/>
      <c r="EK37" s="83"/>
      <c r="EL37" s="83"/>
      <c r="EM37" s="83"/>
      <c r="EN37" s="83"/>
      <c r="EO37" s="83"/>
      <c r="EP37" s="83"/>
      <c r="EQ37" s="83"/>
      <c r="ER37" s="83"/>
      <c r="ES37" s="83"/>
      <c r="ET37" s="83"/>
      <c r="EU37" s="83"/>
      <c r="EV37" s="83"/>
      <c r="EW37" s="83"/>
      <c r="EX37" s="83"/>
      <c r="EY37" s="83"/>
      <c r="EZ37" s="83"/>
      <c r="FA37" s="83"/>
      <c r="FB37" s="83"/>
      <c r="FC37" s="83"/>
      <c r="FD37" s="83"/>
      <c r="FE37" s="83"/>
      <c r="FF37" s="83"/>
      <c r="FG37" s="83"/>
      <c r="FH37" s="83"/>
      <c r="FI37" s="83"/>
      <c r="FJ37" s="83"/>
      <c r="FK37" s="83"/>
      <c r="FL37" s="83"/>
      <c r="FM37" s="83"/>
      <c r="FN37" s="83"/>
      <c r="FO37" s="83"/>
      <c r="FP37" s="83"/>
      <c r="FQ37" s="83"/>
      <c r="FR37" s="83"/>
      <c r="FS37" s="83"/>
      <c r="FT37" s="83"/>
      <c r="FU37" s="83"/>
      <c r="FV37" s="83"/>
      <c r="FW37" s="83"/>
      <c r="FX37" s="83"/>
      <c r="FY37" s="83"/>
      <c r="FZ37" s="83"/>
      <c r="GA37" s="83"/>
      <c r="GB37" s="83"/>
      <c r="GC37" s="83"/>
      <c r="GD37" s="83"/>
      <c r="GE37" s="83"/>
      <c r="GF37" s="83"/>
      <c r="GG37" s="83"/>
      <c r="GH37" s="83"/>
      <c r="GI37" s="83"/>
      <c r="GJ37" s="83"/>
      <c r="GK37" s="83"/>
      <c r="GL37" s="83"/>
      <c r="GM37" s="83"/>
      <c r="GN37" s="83"/>
      <c r="GO37" s="83"/>
      <c r="GP37" s="83"/>
      <c r="GQ37" s="83"/>
      <c r="GR37" s="83"/>
      <c r="GS37" s="83"/>
      <c r="GT37" s="83"/>
      <c r="GU37" s="83"/>
      <c r="GV37" s="83"/>
      <c r="GW37" s="83"/>
      <c r="GX37" s="83"/>
      <c r="GY37" s="83"/>
      <c r="GZ37" s="83"/>
      <c r="HA37" s="83"/>
      <c r="HB37" s="83"/>
      <c r="HC37" s="83"/>
      <c r="HD37" s="83"/>
      <c r="HE37" s="83"/>
      <c r="HF37" s="83"/>
      <c r="HG37" s="83"/>
      <c r="HH37" s="83"/>
      <c r="HI37" s="83"/>
      <c r="HJ37" s="83"/>
      <c r="HK37" s="83"/>
      <c r="HL37" s="83"/>
      <c r="HM37" s="83"/>
      <c r="HN37" s="83"/>
      <c r="HO37" s="83"/>
      <c r="HP37" s="83"/>
      <c r="HQ37" s="83"/>
      <c r="HR37" s="83"/>
      <c r="HS37" s="83"/>
      <c r="HT37" s="83"/>
      <c r="HU37" s="83"/>
      <c r="HV37" s="83"/>
      <c r="HW37" s="83"/>
      <c r="HX37" s="83"/>
      <c r="HY37" s="83"/>
      <c r="HZ37" s="83"/>
      <c r="IA37" s="83"/>
      <c r="IB37" s="83"/>
      <c r="IC37" s="83"/>
      <c r="ID37" s="83"/>
      <c r="IE37" s="83"/>
      <c r="IF37" s="83"/>
      <c r="IG37" s="83"/>
    </row>
    <row r="38" spans="1:241" x14ac:dyDescent="0.3">
      <c r="A38" s="83"/>
      <c r="B38" s="2" t="s">
        <v>245</v>
      </c>
      <c r="C38" s="1"/>
      <c r="D38" s="1"/>
      <c r="E38" s="1"/>
      <c r="F38" s="1"/>
      <c r="G38" s="1"/>
      <c r="H38" s="1"/>
      <c r="I38" s="1"/>
      <c r="J38" s="1"/>
      <c r="K38" s="1"/>
      <c r="L38" s="1"/>
      <c r="M38" s="1"/>
      <c r="N38" s="1"/>
      <c r="O38" s="1"/>
      <c r="P38" s="1"/>
      <c r="Q38" s="1"/>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c r="DD38" s="83"/>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83"/>
      <c r="EQ38" s="83"/>
      <c r="ER38" s="83"/>
      <c r="ES38" s="83"/>
      <c r="ET38" s="83"/>
      <c r="EU38" s="83"/>
      <c r="EV38" s="83"/>
      <c r="EW38" s="83"/>
      <c r="EX38" s="83"/>
      <c r="EY38" s="83"/>
      <c r="EZ38" s="83"/>
      <c r="FA38" s="83"/>
      <c r="FB38" s="83"/>
      <c r="FC38" s="83"/>
      <c r="FD38" s="83"/>
      <c r="FE38" s="83"/>
      <c r="FF38" s="83"/>
      <c r="FG38" s="83"/>
      <c r="FH38" s="83"/>
      <c r="FI38" s="83"/>
      <c r="FJ38" s="83"/>
      <c r="FK38" s="83"/>
      <c r="FL38" s="83"/>
      <c r="FM38" s="83"/>
      <c r="FN38" s="83"/>
      <c r="FO38" s="83"/>
      <c r="FP38" s="83"/>
      <c r="FQ38" s="83"/>
      <c r="FR38" s="83"/>
      <c r="FS38" s="83"/>
      <c r="FT38" s="83"/>
      <c r="FU38" s="83"/>
      <c r="FV38" s="83"/>
      <c r="FW38" s="83"/>
      <c r="FX38" s="83"/>
      <c r="FY38" s="83"/>
      <c r="FZ38" s="83"/>
      <c r="GA38" s="83"/>
      <c r="GB38" s="83"/>
      <c r="GC38" s="83"/>
      <c r="GD38" s="83"/>
      <c r="GE38" s="83"/>
      <c r="GF38" s="83"/>
      <c r="GG38" s="83"/>
      <c r="GH38" s="83"/>
      <c r="GI38" s="83"/>
      <c r="GJ38" s="83"/>
      <c r="GK38" s="83"/>
      <c r="GL38" s="83"/>
      <c r="GM38" s="83"/>
      <c r="GN38" s="83"/>
      <c r="GO38" s="83"/>
      <c r="GP38" s="83"/>
      <c r="GQ38" s="83"/>
      <c r="GR38" s="83"/>
      <c r="GS38" s="83"/>
      <c r="GT38" s="83"/>
      <c r="GU38" s="83"/>
      <c r="GV38" s="83"/>
      <c r="GW38" s="83"/>
      <c r="GX38" s="83"/>
      <c r="GY38" s="83"/>
      <c r="GZ38" s="83"/>
      <c r="HA38" s="83"/>
      <c r="HB38" s="83"/>
      <c r="HC38" s="83"/>
      <c r="HD38" s="83"/>
      <c r="HE38" s="83"/>
      <c r="HF38" s="83"/>
      <c r="HG38" s="83"/>
      <c r="HH38" s="83"/>
      <c r="HI38" s="83"/>
      <c r="HJ38" s="83"/>
      <c r="HK38" s="83"/>
      <c r="HL38" s="83"/>
      <c r="HM38" s="83"/>
      <c r="HN38" s="83"/>
      <c r="HO38" s="83"/>
      <c r="HP38" s="83"/>
      <c r="HQ38" s="83"/>
      <c r="HR38" s="83"/>
      <c r="HS38" s="83"/>
      <c r="HT38" s="83"/>
      <c r="HU38" s="83"/>
      <c r="HV38" s="83"/>
      <c r="HW38" s="83"/>
      <c r="HX38" s="83"/>
      <c r="HY38" s="83"/>
      <c r="HZ38" s="83"/>
      <c r="IA38" s="83"/>
      <c r="IB38" s="83"/>
      <c r="IC38" s="83"/>
      <c r="ID38" s="83"/>
      <c r="IE38" s="83"/>
      <c r="IF38" s="83"/>
      <c r="IG38" s="83"/>
    </row>
    <row r="39" spans="1:241" ht="15.6" x14ac:dyDescent="0.35">
      <c r="A39" s="83"/>
      <c r="B39" s="3" t="s">
        <v>35</v>
      </c>
      <c r="C39" s="4" t="s">
        <v>1</v>
      </c>
      <c r="D39" s="4" t="s">
        <v>2</v>
      </c>
      <c r="E39" s="4" t="s">
        <v>3</v>
      </c>
      <c r="F39" s="4" t="s">
        <v>6</v>
      </c>
      <c r="G39" s="4" t="s">
        <v>21</v>
      </c>
      <c r="H39" s="37" t="s">
        <v>22</v>
      </c>
      <c r="I39" s="1"/>
      <c r="J39" s="1"/>
      <c r="K39" s="1"/>
      <c r="L39" s="1"/>
      <c r="M39" s="1"/>
      <c r="N39" s="1"/>
      <c r="O39" s="1"/>
      <c r="P39" s="1"/>
      <c r="Q39" s="1"/>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c r="DD39" s="83"/>
      <c r="DE39" s="83"/>
      <c r="DF39" s="83"/>
      <c r="DG39" s="83"/>
      <c r="DH39" s="83"/>
      <c r="DI39" s="83"/>
      <c r="DJ39" s="83"/>
      <c r="DK39" s="83"/>
      <c r="DL39" s="83"/>
      <c r="DM39" s="83"/>
      <c r="DN39" s="83"/>
      <c r="DO39" s="83"/>
      <c r="DP39" s="83"/>
      <c r="DQ39" s="83"/>
      <c r="DR39" s="83"/>
      <c r="DS39" s="83"/>
      <c r="DT39" s="83"/>
      <c r="DU39" s="83"/>
      <c r="DV39" s="83"/>
      <c r="DW39" s="83"/>
      <c r="DX39" s="83"/>
      <c r="DY39" s="83"/>
      <c r="DZ39" s="83"/>
      <c r="EA39" s="83"/>
      <c r="EB39" s="83"/>
      <c r="EC39" s="83"/>
      <c r="ED39" s="83"/>
      <c r="EE39" s="83"/>
      <c r="EF39" s="83"/>
      <c r="EG39" s="83"/>
      <c r="EH39" s="83"/>
      <c r="EI39" s="83"/>
      <c r="EJ39" s="83"/>
      <c r="EK39" s="83"/>
      <c r="EL39" s="83"/>
      <c r="EM39" s="83"/>
      <c r="EN39" s="83"/>
      <c r="EO39" s="83"/>
      <c r="EP39" s="83"/>
      <c r="EQ39" s="83"/>
      <c r="ER39" s="83"/>
      <c r="ES39" s="83"/>
      <c r="ET39" s="83"/>
      <c r="EU39" s="83"/>
      <c r="EV39" s="83"/>
      <c r="EW39" s="83"/>
      <c r="EX39" s="83"/>
      <c r="EY39" s="83"/>
      <c r="EZ39" s="83"/>
      <c r="FA39" s="83"/>
      <c r="FB39" s="83"/>
      <c r="FC39" s="83"/>
      <c r="FD39" s="83"/>
      <c r="FE39" s="83"/>
      <c r="FF39" s="83"/>
      <c r="FG39" s="83"/>
      <c r="FH39" s="83"/>
      <c r="FI39" s="83"/>
      <c r="FJ39" s="83"/>
      <c r="FK39" s="83"/>
      <c r="FL39" s="83"/>
      <c r="FM39" s="83"/>
      <c r="FN39" s="83"/>
      <c r="FO39" s="83"/>
      <c r="FP39" s="83"/>
      <c r="FQ39" s="83"/>
      <c r="FR39" s="83"/>
      <c r="FS39" s="83"/>
      <c r="FT39" s="83"/>
      <c r="FU39" s="83"/>
      <c r="FV39" s="83"/>
      <c r="FW39" s="83"/>
      <c r="FX39" s="83"/>
      <c r="FY39" s="83"/>
      <c r="FZ39" s="83"/>
      <c r="GA39" s="83"/>
      <c r="GB39" s="83"/>
      <c r="GC39" s="83"/>
      <c r="GD39" s="83"/>
      <c r="GE39" s="83"/>
      <c r="GF39" s="83"/>
      <c r="GG39" s="83"/>
      <c r="GH39" s="83"/>
      <c r="GI39" s="83"/>
      <c r="GJ39" s="83"/>
      <c r="GK39" s="83"/>
      <c r="GL39" s="83"/>
      <c r="GM39" s="83"/>
      <c r="GN39" s="83"/>
      <c r="GO39" s="83"/>
      <c r="GP39" s="83"/>
      <c r="GQ39" s="83"/>
      <c r="GR39" s="83"/>
      <c r="GS39" s="83"/>
      <c r="GT39" s="83"/>
      <c r="GU39" s="83"/>
      <c r="GV39" s="83"/>
      <c r="GW39" s="83"/>
      <c r="GX39" s="83"/>
      <c r="GY39" s="83"/>
      <c r="GZ39" s="83"/>
      <c r="HA39" s="83"/>
      <c r="HB39" s="83"/>
      <c r="HC39" s="83"/>
      <c r="HD39" s="83"/>
      <c r="HE39" s="83"/>
      <c r="HF39" s="83"/>
      <c r="HG39" s="83"/>
      <c r="HH39" s="83"/>
      <c r="HI39" s="83"/>
      <c r="HJ39" s="83"/>
      <c r="HK39" s="83"/>
      <c r="HL39" s="83"/>
      <c r="HM39" s="83"/>
      <c r="HN39" s="83"/>
      <c r="HO39" s="83"/>
      <c r="HP39" s="83"/>
      <c r="HQ39" s="83"/>
      <c r="HR39" s="83"/>
      <c r="HS39" s="83"/>
      <c r="HT39" s="83"/>
      <c r="HU39" s="83"/>
      <c r="HV39" s="83"/>
      <c r="HW39" s="83"/>
      <c r="HX39" s="83"/>
      <c r="HY39" s="83"/>
      <c r="HZ39" s="83"/>
      <c r="IA39" s="83"/>
      <c r="IB39" s="83"/>
      <c r="IC39" s="83"/>
      <c r="ID39" s="83"/>
      <c r="IE39" s="83"/>
      <c r="IF39" s="83"/>
      <c r="IG39" s="83"/>
    </row>
    <row r="40" spans="1:241" x14ac:dyDescent="0.3">
      <c r="A40" s="83"/>
      <c r="B40" s="12" t="s">
        <v>36</v>
      </c>
      <c r="C40" s="13">
        <v>2.4603999999999999</v>
      </c>
      <c r="D40" s="13">
        <v>1.4191</v>
      </c>
      <c r="E40" s="8">
        <v>-0.17979999999999999</v>
      </c>
      <c r="F40" s="8">
        <v>1.5</v>
      </c>
      <c r="G40" s="8">
        <v>75</v>
      </c>
      <c r="H40" s="9">
        <v>2600</v>
      </c>
      <c r="I40" s="1"/>
      <c r="J40" s="1"/>
      <c r="K40" s="1"/>
      <c r="L40" s="1"/>
      <c r="M40" s="1"/>
      <c r="N40" s="1"/>
      <c r="O40" s="1"/>
      <c r="P40" s="1"/>
      <c r="Q40" s="1"/>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c r="DD40" s="83"/>
      <c r="DE40" s="83"/>
      <c r="DF40" s="83"/>
      <c r="DG40" s="83"/>
      <c r="DH40" s="83"/>
      <c r="DI40" s="83"/>
      <c r="DJ40" s="83"/>
      <c r="DK40" s="83"/>
      <c r="DL40" s="83"/>
      <c r="DM40" s="83"/>
      <c r="DN40" s="83"/>
      <c r="DO40" s="83"/>
      <c r="DP40" s="83"/>
      <c r="DQ40" s="83"/>
      <c r="DR40" s="83"/>
      <c r="DS40" s="83"/>
      <c r="DT40" s="83"/>
      <c r="DU40" s="83"/>
      <c r="DV40" s="83"/>
      <c r="DW40" s="83"/>
      <c r="DX40" s="83"/>
      <c r="DY40" s="83"/>
      <c r="DZ40" s="83"/>
      <c r="EA40" s="83"/>
      <c r="EB40" s="83"/>
      <c r="EC40" s="83"/>
      <c r="ED40" s="83"/>
      <c r="EE40" s="83"/>
      <c r="EF40" s="83"/>
      <c r="EG40" s="83"/>
      <c r="EH40" s="83"/>
      <c r="EI40" s="83"/>
      <c r="EJ40" s="83"/>
      <c r="EK40" s="83"/>
      <c r="EL40" s="83"/>
      <c r="EM40" s="83"/>
      <c r="EN40" s="83"/>
      <c r="EO40" s="83"/>
      <c r="EP40" s="83"/>
      <c r="EQ40" s="83"/>
      <c r="ER40" s="83"/>
      <c r="ES40" s="83"/>
      <c r="ET40" s="83"/>
      <c r="EU40" s="83"/>
      <c r="EV40" s="83"/>
      <c r="EW40" s="83"/>
      <c r="EX40" s="83"/>
      <c r="EY40" s="83"/>
      <c r="EZ40" s="83"/>
      <c r="FA40" s="83"/>
      <c r="FB40" s="83"/>
      <c r="FC40" s="83"/>
      <c r="FD40" s="83"/>
      <c r="FE40" s="83"/>
      <c r="FF40" s="83"/>
      <c r="FG40" s="83"/>
      <c r="FH40" s="83"/>
      <c r="FI40" s="83"/>
      <c r="FJ40" s="83"/>
      <c r="FK40" s="83"/>
      <c r="FL40" s="83"/>
      <c r="FM40" s="83"/>
      <c r="FN40" s="83"/>
      <c r="FO40" s="83"/>
      <c r="FP40" s="83"/>
      <c r="FQ40" s="83"/>
      <c r="FR40" s="83"/>
      <c r="FS40" s="83"/>
      <c r="FT40" s="83"/>
      <c r="FU40" s="83"/>
      <c r="FV40" s="83"/>
      <c r="FW40" s="83"/>
      <c r="FX40" s="83"/>
      <c r="FY40" s="83"/>
      <c r="FZ40" s="83"/>
      <c r="GA40" s="83"/>
      <c r="GB40" s="83"/>
      <c r="GC40" s="83"/>
      <c r="GD40" s="83"/>
      <c r="GE40" s="83"/>
      <c r="GF40" s="83"/>
      <c r="GG40" s="83"/>
      <c r="GH40" s="83"/>
      <c r="GI40" s="83"/>
      <c r="GJ40" s="83"/>
      <c r="GK40" s="83"/>
      <c r="GL40" s="83"/>
      <c r="GM40" s="83"/>
      <c r="GN40" s="83"/>
      <c r="GO40" s="83"/>
      <c r="GP40" s="83"/>
      <c r="GQ40" s="83"/>
      <c r="GR40" s="83"/>
      <c r="GS40" s="83"/>
      <c r="GT40" s="83"/>
      <c r="GU40" s="83"/>
      <c r="GV40" s="83"/>
      <c r="GW40" s="83"/>
      <c r="GX40" s="83"/>
      <c r="GY40" s="83"/>
      <c r="GZ40" s="83"/>
      <c r="HA40" s="83"/>
      <c r="HB40" s="83"/>
      <c r="HC40" s="83"/>
      <c r="HD40" s="83"/>
      <c r="HE40" s="83"/>
      <c r="HF40" s="83"/>
      <c r="HG40" s="83"/>
      <c r="HH40" s="83"/>
      <c r="HI40" s="83"/>
      <c r="HJ40" s="83"/>
      <c r="HK40" s="83"/>
      <c r="HL40" s="83"/>
      <c r="HM40" s="83"/>
      <c r="HN40" s="83"/>
      <c r="HO40" s="83"/>
      <c r="HP40" s="83"/>
      <c r="HQ40" s="83"/>
      <c r="HR40" s="83"/>
      <c r="HS40" s="83"/>
      <c r="HT40" s="83"/>
      <c r="HU40" s="83"/>
      <c r="HV40" s="83"/>
      <c r="HW40" s="83"/>
      <c r="HX40" s="83"/>
      <c r="HY40" s="83"/>
      <c r="HZ40" s="83"/>
      <c r="IA40" s="83"/>
      <c r="IB40" s="83"/>
      <c r="IC40" s="83"/>
      <c r="ID40" s="83"/>
      <c r="IE40" s="83"/>
      <c r="IF40" s="83"/>
      <c r="IG40" s="83"/>
    </row>
    <row r="41" spans="1:241" x14ac:dyDescent="0.3">
      <c r="A41" s="83"/>
      <c r="B41" s="12" t="s">
        <v>37</v>
      </c>
      <c r="C41" s="13">
        <v>1.956</v>
      </c>
      <c r="D41" s="13">
        <v>1.7141999999999999</v>
      </c>
      <c r="E41" s="13">
        <v>-0.22819999999999999</v>
      </c>
      <c r="F41" s="13">
        <v>1.5</v>
      </c>
      <c r="G41" s="13">
        <v>75</v>
      </c>
      <c r="H41" s="16">
        <v>2600</v>
      </c>
      <c r="I41" s="1"/>
      <c r="J41" s="1"/>
      <c r="K41" s="1"/>
      <c r="L41" s="1"/>
      <c r="M41" s="1"/>
      <c r="N41" s="1"/>
      <c r="O41" s="1"/>
      <c r="P41" s="1"/>
      <c r="Q41" s="1"/>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c r="DD41" s="83"/>
      <c r="DE41" s="83"/>
      <c r="DF41" s="83"/>
      <c r="DG41" s="83"/>
      <c r="DH41" s="83"/>
      <c r="DI41" s="83"/>
      <c r="DJ41" s="83"/>
      <c r="DK41" s="83"/>
      <c r="DL41" s="83"/>
      <c r="DM41" s="83"/>
      <c r="DN41" s="83"/>
      <c r="DO41" s="83"/>
      <c r="DP41" s="83"/>
      <c r="DQ41" s="83"/>
      <c r="DR41" s="83"/>
      <c r="DS41" s="83"/>
      <c r="DT41" s="83"/>
      <c r="DU41" s="83"/>
      <c r="DV41" s="83"/>
      <c r="DW41" s="83"/>
      <c r="DX41" s="83"/>
      <c r="DY41" s="83"/>
      <c r="DZ41" s="83"/>
      <c r="EA41" s="83"/>
      <c r="EB41" s="83"/>
      <c r="EC41" s="83"/>
      <c r="ED41" s="83"/>
      <c r="EE41" s="83"/>
      <c r="EF41" s="83"/>
      <c r="EG41" s="83"/>
      <c r="EH41" s="83"/>
      <c r="EI41" s="83"/>
      <c r="EJ41" s="83"/>
      <c r="EK41" s="83"/>
      <c r="EL41" s="83"/>
      <c r="EM41" s="83"/>
      <c r="EN41" s="83"/>
      <c r="EO41" s="83"/>
      <c r="EP41" s="83"/>
      <c r="EQ41" s="83"/>
      <c r="ER41" s="83"/>
      <c r="ES41" s="83"/>
      <c r="ET41" s="83"/>
      <c r="EU41" s="83"/>
      <c r="EV41" s="83"/>
      <c r="EW41" s="83"/>
      <c r="EX41" s="83"/>
      <c r="EY41" s="83"/>
      <c r="EZ41" s="83"/>
      <c r="FA41" s="83"/>
      <c r="FB41" s="83"/>
      <c r="FC41" s="83"/>
      <c r="FD41" s="83"/>
      <c r="FE41" s="83"/>
      <c r="FF41" s="83"/>
      <c r="FG41" s="83"/>
      <c r="FH41" s="83"/>
      <c r="FI41" s="83"/>
      <c r="FJ41" s="83"/>
      <c r="FK41" s="83"/>
      <c r="FL41" s="83"/>
      <c r="FM41" s="83"/>
      <c r="FN41" s="83"/>
      <c r="FO41" s="83"/>
      <c r="FP41" s="83"/>
      <c r="FQ41" s="83"/>
      <c r="FR41" s="83"/>
      <c r="FS41" s="83"/>
      <c r="FT41" s="83"/>
      <c r="FU41" s="83"/>
      <c r="FV41" s="83"/>
      <c r="FW41" s="83"/>
      <c r="FX41" s="83"/>
      <c r="FY41" s="83"/>
      <c r="FZ41" s="83"/>
      <c r="GA41" s="83"/>
      <c r="GB41" s="83"/>
      <c r="GC41" s="83"/>
      <c r="GD41" s="83"/>
      <c r="GE41" s="83"/>
      <c r="GF41" s="83"/>
      <c r="GG41" s="83"/>
      <c r="GH41" s="83"/>
      <c r="GI41" s="83"/>
      <c r="GJ41" s="83"/>
      <c r="GK41" s="83"/>
      <c r="GL41" s="83"/>
      <c r="GM41" s="83"/>
      <c r="GN41" s="83"/>
      <c r="GO41" s="83"/>
      <c r="GP41" s="83"/>
      <c r="GQ41" s="83"/>
      <c r="GR41" s="83"/>
      <c r="GS41" s="83"/>
      <c r="GT41" s="83"/>
      <c r="GU41" s="83"/>
      <c r="GV41" s="83"/>
      <c r="GW41" s="83"/>
      <c r="GX41" s="83"/>
      <c r="GY41" s="83"/>
      <c r="GZ41" s="83"/>
      <c r="HA41" s="83"/>
      <c r="HB41" s="83"/>
      <c r="HC41" s="83"/>
      <c r="HD41" s="83"/>
      <c r="HE41" s="83"/>
      <c r="HF41" s="83"/>
      <c r="HG41" s="83"/>
      <c r="HH41" s="83"/>
      <c r="HI41" s="83"/>
      <c r="HJ41" s="83"/>
      <c r="HK41" s="83"/>
      <c r="HL41" s="83"/>
      <c r="HM41" s="83"/>
      <c r="HN41" s="83"/>
      <c r="HO41" s="83"/>
      <c r="HP41" s="83"/>
      <c r="HQ41" s="83"/>
      <c r="HR41" s="83"/>
      <c r="HS41" s="83"/>
      <c r="HT41" s="83"/>
      <c r="HU41" s="83"/>
      <c r="HV41" s="83"/>
      <c r="HW41" s="83"/>
      <c r="HX41" s="83"/>
      <c r="HY41" s="83"/>
      <c r="HZ41" s="83"/>
      <c r="IA41" s="83"/>
      <c r="IB41" s="83"/>
      <c r="IC41" s="83"/>
      <c r="ID41" s="83"/>
      <c r="IE41" s="83"/>
      <c r="IF41" s="83"/>
      <c r="IG41" s="83"/>
    </row>
    <row r="42" spans="1:241" x14ac:dyDescent="0.3">
      <c r="A42" s="83"/>
      <c r="B42" s="17" t="s">
        <v>38</v>
      </c>
      <c r="C42" s="18">
        <v>2.9508000000000001</v>
      </c>
      <c r="D42" s="18">
        <v>1.0688</v>
      </c>
      <c r="E42" s="18">
        <v>-0.13150000000000001</v>
      </c>
      <c r="F42" s="18">
        <v>1.5</v>
      </c>
      <c r="G42" s="18">
        <v>75</v>
      </c>
      <c r="H42" s="21">
        <v>2600</v>
      </c>
      <c r="I42" s="1"/>
      <c r="J42" s="1"/>
      <c r="K42" s="1"/>
      <c r="L42" s="1"/>
      <c r="M42" s="1"/>
      <c r="N42" s="1"/>
      <c r="O42" s="1"/>
      <c r="P42" s="1"/>
      <c r="Q42" s="1"/>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c r="DD42" s="83"/>
      <c r="DE42" s="83"/>
      <c r="DF42" s="83"/>
      <c r="DG42" s="83"/>
      <c r="DH42" s="83"/>
      <c r="DI42" s="83"/>
      <c r="DJ42" s="83"/>
      <c r="DK42" s="83"/>
      <c r="DL42" s="83"/>
      <c r="DM42" s="83"/>
      <c r="DN42" s="83"/>
      <c r="DO42" s="83"/>
      <c r="DP42" s="83"/>
      <c r="DQ42" s="83"/>
      <c r="DR42" s="83"/>
      <c r="DS42" s="83"/>
      <c r="DT42" s="83"/>
      <c r="DU42" s="83"/>
      <c r="DV42" s="83"/>
      <c r="DW42" s="83"/>
      <c r="DX42" s="83"/>
      <c r="DY42" s="83"/>
      <c r="DZ42" s="83"/>
      <c r="EA42" s="83"/>
      <c r="EB42" s="83"/>
      <c r="EC42" s="83"/>
      <c r="ED42" s="83"/>
      <c r="EE42" s="83"/>
      <c r="EF42" s="83"/>
      <c r="EG42" s="83"/>
      <c r="EH42" s="83"/>
      <c r="EI42" s="83"/>
      <c r="EJ42" s="83"/>
      <c r="EK42" s="83"/>
      <c r="EL42" s="83"/>
      <c r="EM42" s="83"/>
      <c r="EN42" s="83"/>
      <c r="EO42" s="83"/>
      <c r="EP42" s="83"/>
      <c r="EQ42" s="83"/>
      <c r="ER42" s="83"/>
      <c r="ES42" s="83"/>
      <c r="ET42" s="83"/>
      <c r="EU42" s="83"/>
      <c r="EV42" s="83"/>
      <c r="EW42" s="83"/>
      <c r="EX42" s="83"/>
      <c r="EY42" s="83"/>
      <c r="EZ42" s="83"/>
      <c r="FA42" s="83"/>
      <c r="FB42" s="83"/>
      <c r="FC42" s="83"/>
      <c r="FD42" s="83"/>
      <c r="FE42" s="83"/>
      <c r="FF42" s="83"/>
      <c r="FG42" s="83"/>
      <c r="FH42" s="83"/>
      <c r="FI42" s="83"/>
      <c r="FJ42" s="83"/>
      <c r="FK42" s="83"/>
      <c r="FL42" s="83"/>
      <c r="FM42" s="83"/>
      <c r="FN42" s="83"/>
      <c r="FO42" s="83"/>
      <c r="FP42" s="83"/>
      <c r="FQ42" s="83"/>
      <c r="FR42" s="83"/>
      <c r="FS42" s="83"/>
      <c r="FT42" s="83"/>
      <c r="FU42" s="83"/>
      <c r="FV42" s="83"/>
      <c r="FW42" s="83"/>
      <c r="FX42" s="83"/>
      <c r="FY42" s="83"/>
      <c r="FZ42" s="83"/>
      <c r="GA42" s="83"/>
      <c r="GB42" s="83"/>
      <c r="GC42" s="83"/>
      <c r="GD42" s="83"/>
      <c r="GE42" s="83"/>
      <c r="GF42" s="83"/>
      <c r="GG42" s="83"/>
      <c r="GH42" s="83"/>
      <c r="GI42" s="83"/>
      <c r="GJ42" s="83"/>
      <c r="GK42" s="83"/>
      <c r="GL42" s="83"/>
      <c r="GM42" s="83"/>
      <c r="GN42" s="83"/>
      <c r="GO42" s="83"/>
      <c r="GP42" s="83"/>
      <c r="GQ42" s="83"/>
      <c r="GR42" s="83"/>
      <c r="GS42" s="83"/>
      <c r="GT42" s="83"/>
      <c r="GU42" s="83"/>
      <c r="GV42" s="83"/>
      <c r="GW42" s="83"/>
      <c r="GX42" s="83"/>
      <c r="GY42" s="83"/>
      <c r="GZ42" s="83"/>
      <c r="HA42" s="83"/>
      <c r="HB42" s="83"/>
      <c r="HC42" s="83"/>
      <c r="HD42" s="83"/>
      <c r="HE42" s="83"/>
      <c r="HF42" s="83"/>
      <c r="HG42" s="83"/>
      <c r="HH42" s="83"/>
      <c r="HI42" s="83"/>
      <c r="HJ42" s="83"/>
      <c r="HK42" s="83"/>
      <c r="HL42" s="83"/>
      <c r="HM42" s="83"/>
      <c r="HN42" s="83"/>
      <c r="HO42" s="83"/>
      <c r="HP42" s="83"/>
      <c r="HQ42" s="83"/>
      <c r="HR42" s="83"/>
      <c r="HS42" s="83"/>
      <c r="HT42" s="83"/>
      <c r="HU42" s="83"/>
      <c r="HV42" s="83"/>
      <c r="HW42" s="83"/>
      <c r="HX42" s="83"/>
      <c r="HY42" s="83"/>
      <c r="HZ42" s="83"/>
      <c r="IA42" s="83"/>
      <c r="IB42" s="83"/>
      <c r="IC42" s="83"/>
      <c r="ID42" s="83"/>
      <c r="IE42" s="83"/>
      <c r="IF42" s="83"/>
      <c r="IG42" s="83"/>
    </row>
    <row r="43" spans="1:241" x14ac:dyDescent="0.3">
      <c r="A43" s="83"/>
      <c r="B43" s="33"/>
      <c r="C43" s="4"/>
      <c r="D43" s="4"/>
      <c r="E43" s="4"/>
      <c r="F43" s="4"/>
      <c r="G43" s="4"/>
      <c r="H43" s="37"/>
      <c r="I43" s="1"/>
      <c r="J43" s="1"/>
      <c r="K43" s="1"/>
      <c r="L43" s="1"/>
      <c r="M43" s="1"/>
      <c r="N43" s="1"/>
      <c r="O43" s="1"/>
      <c r="P43" s="1"/>
      <c r="Q43" s="1"/>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c r="DD43" s="83"/>
      <c r="DE43" s="83"/>
      <c r="DF43" s="83"/>
      <c r="DG43" s="83"/>
      <c r="DH43" s="83"/>
      <c r="DI43" s="83"/>
      <c r="DJ43" s="83"/>
      <c r="DK43" s="83"/>
      <c r="DL43" s="83"/>
      <c r="DM43" s="83"/>
      <c r="DN43" s="83"/>
      <c r="DO43" s="83"/>
      <c r="DP43" s="83"/>
      <c r="DQ43" s="83"/>
      <c r="DR43" s="83"/>
      <c r="DS43" s="83"/>
      <c r="DT43" s="83"/>
      <c r="DU43" s="83"/>
      <c r="DV43" s="83"/>
      <c r="DW43" s="83"/>
      <c r="DX43" s="83"/>
      <c r="DY43" s="83"/>
      <c r="DZ43" s="83"/>
      <c r="EA43" s="83"/>
      <c r="EB43" s="83"/>
      <c r="EC43" s="83"/>
      <c r="ED43" s="83"/>
      <c r="EE43" s="83"/>
      <c r="EF43" s="83"/>
      <c r="EG43" s="83"/>
      <c r="EH43" s="83"/>
      <c r="EI43" s="83"/>
      <c r="EJ43" s="83"/>
      <c r="EK43" s="83"/>
      <c r="EL43" s="83"/>
      <c r="EM43" s="83"/>
      <c r="EN43" s="83"/>
      <c r="EO43" s="83"/>
      <c r="EP43" s="83"/>
      <c r="EQ43" s="83"/>
      <c r="ER43" s="83"/>
      <c r="ES43" s="83"/>
      <c r="ET43" s="83"/>
      <c r="EU43" s="83"/>
      <c r="EV43" s="83"/>
      <c r="EW43" s="83"/>
      <c r="EX43" s="83"/>
      <c r="EY43" s="83"/>
      <c r="EZ43" s="83"/>
      <c r="FA43" s="83"/>
      <c r="FB43" s="83"/>
      <c r="FC43" s="83"/>
      <c r="FD43" s="83"/>
      <c r="FE43" s="83"/>
      <c r="FF43" s="83"/>
      <c r="FG43" s="83"/>
      <c r="FH43" s="83"/>
      <c r="FI43" s="83"/>
      <c r="FJ43" s="83"/>
      <c r="FK43" s="83"/>
      <c r="FL43" s="83"/>
      <c r="FM43" s="83"/>
      <c r="FN43" s="83"/>
      <c r="FO43" s="83"/>
      <c r="FP43" s="83"/>
      <c r="FQ43" s="83"/>
      <c r="FR43" s="83"/>
      <c r="FS43" s="83"/>
      <c r="FT43" s="83"/>
      <c r="FU43" s="83"/>
      <c r="FV43" s="83"/>
      <c r="FW43" s="83"/>
      <c r="FX43" s="83"/>
      <c r="FY43" s="83"/>
      <c r="FZ43" s="83"/>
      <c r="GA43" s="83"/>
      <c r="GB43" s="83"/>
      <c r="GC43" s="83"/>
      <c r="GD43" s="83"/>
      <c r="GE43" s="83"/>
      <c r="GF43" s="83"/>
      <c r="GG43" s="83"/>
      <c r="GH43" s="83"/>
      <c r="GI43" s="83"/>
      <c r="GJ43" s="83"/>
      <c r="GK43" s="83"/>
      <c r="GL43" s="83"/>
      <c r="GM43" s="83"/>
      <c r="GN43" s="83"/>
      <c r="GO43" s="83"/>
      <c r="GP43" s="83"/>
      <c r="GQ43" s="83"/>
      <c r="GR43" s="83"/>
      <c r="GS43" s="83"/>
      <c r="GT43" s="83"/>
      <c r="GU43" s="83"/>
      <c r="GV43" s="83"/>
      <c r="GW43" s="83"/>
      <c r="GX43" s="83"/>
      <c r="GY43" s="83"/>
      <c r="GZ43" s="83"/>
      <c r="HA43" s="83"/>
      <c r="HB43" s="83"/>
      <c r="HC43" s="83"/>
      <c r="HD43" s="83"/>
      <c r="HE43" s="83"/>
      <c r="HF43" s="83"/>
      <c r="HG43" s="83"/>
      <c r="HH43" s="83"/>
      <c r="HI43" s="83"/>
      <c r="HJ43" s="83"/>
      <c r="HK43" s="83"/>
      <c r="HL43" s="83"/>
      <c r="HM43" s="83"/>
      <c r="HN43" s="83"/>
      <c r="HO43" s="83"/>
      <c r="HP43" s="83"/>
      <c r="HQ43" s="83"/>
      <c r="HR43" s="83"/>
      <c r="HS43" s="83"/>
      <c r="HT43" s="83"/>
      <c r="HU43" s="83"/>
      <c r="HV43" s="83"/>
      <c r="HW43" s="83"/>
      <c r="HX43" s="83"/>
      <c r="HY43" s="83"/>
      <c r="HZ43" s="83"/>
      <c r="IA43" s="83"/>
      <c r="IB43" s="83"/>
      <c r="IC43" s="83"/>
      <c r="ID43" s="83"/>
      <c r="IE43" s="83"/>
      <c r="IF43" s="83"/>
      <c r="IG43" s="83"/>
    </row>
    <row r="44" spans="1:241" ht="15.6" x14ac:dyDescent="0.35">
      <c r="A44" s="83"/>
      <c r="B44" s="3" t="s">
        <v>39</v>
      </c>
      <c r="C44" s="4" t="s">
        <v>1</v>
      </c>
      <c r="D44" s="4" t="s">
        <v>2</v>
      </c>
      <c r="E44" s="4" t="s">
        <v>3</v>
      </c>
      <c r="F44" s="4" t="s">
        <v>6</v>
      </c>
      <c r="G44" s="4" t="s">
        <v>21</v>
      </c>
      <c r="H44" s="37" t="s">
        <v>22</v>
      </c>
      <c r="I44" s="1"/>
      <c r="J44" s="1"/>
      <c r="K44" s="1"/>
      <c r="L44" s="1"/>
      <c r="M44" s="1"/>
      <c r="N44" s="1"/>
      <c r="O44" s="1"/>
      <c r="P44" s="1"/>
      <c r="Q44" s="1"/>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c r="DD44" s="83"/>
      <c r="DE44" s="83"/>
      <c r="DF44" s="83"/>
      <c r="DG44" s="83"/>
      <c r="DH44" s="83"/>
      <c r="DI44" s="83"/>
      <c r="DJ44" s="83"/>
      <c r="DK44" s="83"/>
      <c r="DL44" s="83"/>
      <c r="DM44" s="83"/>
      <c r="DN44" s="83"/>
      <c r="DO44" s="83"/>
      <c r="DP44" s="83"/>
      <c r="DQ44" s="83"/>
      <c r="DR44" s="83"/>
      <c r="DS44" s="83"/>
      <c r="DT44" s="83"/>
      <c r="DU44" s="83"/>
      <c r="DV44" s="83"/>
      <c r="DW44" s="83"/>
      <c r="DX44" s="83"/>
      <c r="DY44" s="83"/>
      <c r="DZ44" s="83"/>
      <c r="EA44" s="83"/>
      <c r="EB44" s="83"/>
      <c r="EC44" s="83"/>
      <c r="ED44" s="83"/>
      <c r="EE44" s="83"/>
      <c r="EF44" s="83"/>
      <c r="EG44" s="83"/>
      <c r="EH44" s="83"/>
      <c r="EI44" s="83"/>
      <c r="EJ44" s="83"/>
      <c r="EK44" s="83"/>
      <c r="EL44" s="83"/>
      <c r="EM44" s="83"/>
      <c r="EN44" s="83"/>
      <c r="EO44" s="83"/>
      <c r="EP44" s="83"/>
      <c r="EQ44" s="83"/>
      <c r="ER44" s="83"/>
      <c r="ES44" s="83"/>
      <c r="ET44" s="83"/>
      <c r="EU44" s="83"/>
      <c r="EV44" s="83"/>
      <c r="EW44" s="83"/>
      <c r="EX44" s="83"/>
      <c r="EY44" s="83"/>
      <c r="EZ44" s="83"/>
      <c r="FA44" s="83"/>
      <c r="FB44" s="83"/>
      <c r="FC44" s="83"/>
      <c r="FD44" s="83"/>
      <c r="FE44" s="83"/>
      <c r="FF44" s="83"/>
      <c r="FG44" s="83"/>
      <c r="FH44" s="83"/>
      <c r="FI44" s="83"/>
      <c r="FJ44" s="83"/>
      <c r="FK44" s="83"/>
      <c r="FL44" s="83"/>
      <c r="FM44" s="83"/>
      <c r="FN44" s="83"/>
      <c r="FO44" s="83"/>
      <c r="FP44" s="83"/>
      <c r="FQ44" s="83"/>
      <c r="FR44" s="83"/>
      <c r="FS44" s="83"/>
      <c r="FT44" s="83"/>
      <c r="FU44" s="83"/>
      <c r="FV44" s="83"/>
      <c r="FW44" s="83"/>
      <c r="FX44" s="83"/>
      <c r="FY44" s="83"/>
      <c r="FZ44" s="83"/>
      <c r="GA44" s="83"/>
      <c r="GB44" s="83"/>
      <c r="GC44" s="83"/>
      <c r="GD44" s="83"/>
      <c r="GE44" s="83"/>
      <c r="GF44" s="83"/>
      <c r="GG44" s="83"/>
      <c r="GH44" s="83"/>
      <c r="GI44" s="83"/>
      <c r="GJ44" s="83"/>
      <c r="GK44" s="83"/>
      <c r="GL44" s="83"/>
      <c r="GM44" s="83"/>
      <c r="GN44" s="83"/>
      <c r="GO44" s="83"/>
      <c r="GP44" s="83"/>
      <c r="GQ44" s="83"/>
      <c r="GR44" s="83"/>
      <c r="GS44" s="83"/>
      <c r="GT44" s="83"/>
      <c r="GU44" s="83"/>
      <c r="GV44" s="83"/>
      <c r="GW44" s="83"/>
      <c r="GX44" s="83"/>
      <c r="GY44" s="83"/>
      <c r="GZ44" s="83"/>
      <c r="HA44" s="83"/>
      <c r="HB44" s="83"/>
      <c r="HC44" s="83"/>
      <c r="HD44" s="83"/>
      <c r="HE44" s="83"/>
      <c r="HF44" s="83"/>
      <c r="HG44" s="83"/>
      <c r="HH44" s="83"/>
      <c r="HI44" s="83"/>
      <c r="HJ44" s="83"/>
      <c r="HK44" s="83"/>
      <c r="HL44" s="83"/>
      <c r="HM44" s="83"/>
      <c r="HN44" s="83"/>
      <c r="HO44" s="83"/>
      <c r="HP44" s="83"/>
      <c r="HQ44" s="83"/>
      <c r="HR44" s="83"/>
      <c r="HS44" s="83"/>
      <c r="HT44" s="83"/>
      <c r="HU44" s="83"/>
      <c r="HV44" s="83"/>
      <c r="HW44" s="83"/>
      <c r="HX44" s="83"/>
      <c r="HY44" s="83"/>
      <c r="HZ44" s="83"/>
      <c r="IA44" s="83"/>
      <c r="IB44" s="83"/>
      <c r="IC44" s="83"/>
      <c r="ID44" s="83"/>
      <c r="IE44" s="83"/>
      <c r="IF44" s="83"/>
      <c r="IG44" s="83"/>
    </row>
    <row r="45" spans="1:241" x14ac:dyDescent="0.3">
      <c r="A45" s="83"/>
      <c r="B45" s="12" t="s">
        <v>40</v>
      </c>
      <c r="C45" s="13">
        <v>-21.770199999999999</v>
      </c>
      <c r="D45" s="13">
        <v>13.217499999999999</v>
      </c>
      <c r="E45" s="14">
        <v>-1.5279</v>
      </c>
      <c r="F45" s="8">
        <v>3.5</v>
      </c>
      <c r="G45" s="8">
        <v>7500</v>
      </c>
      <c r="H45" s="9">
        <v>23000</v>
      </c>
      <c r="I45" s="1"/>
      <c r="J45" s="1"/>
      <c r="K45" s="1"/>
      <c r="L45" s="1"/>
      <c r="M45" s="1"/>
      <c r="N45" s="1"/>
      <c r="O45" s="1"/>
      <c r="P45" s="1"/>
      <c r="Q45" s="1"/>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c r="DD45" s="83"/>
      <c r="DE45" s="83"/>
      <c r="DF45" s="83"/>
      <c r="DG45" s="83"/>
      <c r="DH45" s="83"/>
      <c r="DI45" s="83"/>
      <c r="DJ45" s="83"/>
      <c r="DK45" s="83"/>
      <c r="DL45" s="83"/>
      <c r="DM45" s="83"/>
      <c r="DN45" s="83"/>
      <c r="DO45" s="83"/>
      <c r="DP45" s="83"/>
      <c r="DQ45" s="83"/>
      <c r="DR45" s="83"/>
      <c r="DS45" s="83"/>
      <c r="DT45" s="83"/>
      <c r="DU45" s="83"/>
      <c r="DV45" s="83"/>
      <c r="DW45" s="83"/>
      <c r="DX45" s="83"/>
      <c r="DY45" s="83"/>
      <c r="DZ45" s="83"/>
      <c r="EA45" s="83"/>
      <c r="EB45" s="83"/>
      <c r="EC45" s="83"/>
      <c r="ED45" s="83"/>
      <c r="EE45" s="83"/>
      <c r="EF45" s="83"/>
      <c r="EG45" s="83"/>
      <c r="EH45" s="83"/>
      <c r="EI45" s="83"/>
      <c r="EJ45" s="83"/>
      <c r="EK45" s="83"/>
      <c r="EL45" s="83"/>
      <c r="EM45" s="83"/>
      <c r="EN45" s="83"/>
      <c r="EO45" s="83"/>
      <c r="EP45" s="83"/>
      <c r="EQ45" s="83"/>
      <c r="ER45" s="83"/>
      <c r="ES45" s="83"/>
      <c r="ET45" s="83"/>
      <c r="EU45" s="83"/>
      <c r="EV45" s="83"/>
      <c r="EW45" s="83"/>
      <c r="EX45" s="83"/>
      <c r="EY45" s="83"/>
      <c r="EZ45" s="83"/>
      <c r="FA45" s="83"/>
      <c r="FB45" s="83"/>
      <c r="FC45" s="83"/>
      <c r="FD45" s="83"/>
      <c r="FE45" s="83"/>
      <c r="FF45" s="83"/>
      <c r="FG45" s="83"/>
      <c r="FH45" s="83"/>
      <c r="FI45" s="83"/>
      <c r="FJ45" s="83"/>
      <c r="FK45" s="83"/>
      <c r="FL45" s="83"/>
      <c r="FM45" s="83"/>
      <c r="FN45" s="83"/>
      <c r="FO45" s="83"/>
      <c r="FP45" s="83"/>
      <c r="FQ45" s="83"/>
      <c r="FR45" s="83"/>
      <c r="FS45" s="83"/>
      <c r="FT45" s="83"/>
      <c r="FU45" s="83"/>
      <c r="FV45" s="83"/>
      <c r="FW45" s="83"/>
      <c r="FX45" s="83"/>
      <c r="FY45" s="83"/>
      <c r="FZ45" s="83"/>
      <c r="GA45" s="83"/>
      <c r="GB45" s="83"/>
      <c r="GC45" s="83"/>
      <c r="GD45" s="83"/>
      <c r="GE45" s="83"/>
      <c r="GF45" s="83"/>
      <c r="GG45" s="83"/>
      <c r="GH45" s="83"/>
      <c r="GI45" s="83"/>
      <c r="GJ45" s="83"/>
      <c r="GK45" s="83"/>
      <c r="GL45" s="83"/>
      <c r="GM45" s="83"/>
      <c r="GN45" s="83"/>
      <c r="GO45" s="83"/>
      <c r="GP45" s="83"/>
      <c r="GQ45" s="83"/>
      <c r="GR45" s="83"/>
      <c r="GS45" s="83"/>
      <c r="GT45" s="83"/>
      <c r="GU45" s="83"/>
      <c r="GV45" s="83"/>
      <c r="GW45" s="83"/>
      <c r="GX45" s="83"/>
      <c r="GY45" s="83"/>
      <c r="GZ45" s="83"/>
      <c r="HA45" s="83"/>
      <c r="HB45" s="83"/>
      <c r="HC45" s="83"/>
      <c r="HD45" s="83"/>
      <c r="HE45" s="83"/>
      <c r="HF45" s="83"/>
      <c r="HG45" s="83"/>
      <c r="HH45" s="83"/>
      <c r="HI45" s="83"/>
      <c r="HJ45" s="83"/>
      <c r="HK45" s="83"/>
      <c r="HL45" s="83"/>
      <c r="HM45" s="83"/>
      <c r="HN45" s="83"/>
      <c r="HO45" s="83"/>
      <c r="HP45" s="83"/>
      <c r="HQ45" s="83"/>
      <c r="HR45" s="83"/>
      <c r="HS45" s="83"/>
      <c r="HT45" s="83"/>
      <c r="HU45" s="83"/>
      <c r="HV45" s="83"/>
      <c r="HW45" s="83"/>
      <c r="HX45" s="83"/>
      <c r="HY45" s="83"/>
      <c r="HZ45" s="83"/>
      <c r="IA45" s="83"/>
      <c r="IB45" s="83"/>
      <c r="IC45" s="83"/>
      <c r="ID45" s="83"/>
      <c r="IE45" s="83"/>
      <c r="IF45" s="83"/>
      <c r="IG45" s="83"/>
    </row>
    <row r="46" spans="1:241" x14ac:dyDescent="0.3">
      <c r="A46" s="83"/>
      <c r="B46" s="12" t="s">
        <v>41</v>
      </c>
      <c r="C46" s="13">
        <v>2.6259000000000001</v>
      </c>
      <c r="D46" s="13">
        <v>1.4398</v>
      </c>
      <c r="E46" s="14">
        <v>-0.17760000000000001</v>
      </c>
      <c r="F46" s="13">
        <v>3.5</v>
      </c>
      <c r="G46" s="13">
        <v>70</v>
      </c>
      <c r="H46" s="16">
        <v>7500</v>
      </c>
      <c r="I46" s="1"/>
      <c r="J46" s="1"/>
      <c r="K46" s="1"/>
      <c r="L46" s="1"/>
      <c r="M46" s="1"/>
      <c r="N46" s="1"/>
      <c r="O46" s="1"/>
      <c r="P46" s="1"/>
      <c r="Q46" s="1"/>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c r="DD46" s="83"/>
      <c r="DE46" s="83"/>
      <c r="DF46" s="83"/>
      <c r="DG46" s="83"/>
      <c r="DH46" s="83"/>
      <c r="DI46" s="83"/>
      <c r="DJ46" s="83"/>
      <c r="DK46" s="83"/>
      <c r="DL46" s="83"/>
      <c r="DM46" s="83"/>
      <c r="DN46" s="83"/>
      <c r="DO46" s="83"/>
      <c r="DP46" s="83"/>
      <c r="DQ46" s="83"/>
      <c r="DR46" s="83"/>
      <c r="DS46" s="83"/>
      <c r="DT46" s="83"/>
      <c r="DU46" s="83"/>
      <c r="DV46" s="83"/>
      <c r="DW46" s="83"/>
      <c r="DX46" s="83"/>
      <c r="DY46" s="83"/>
      <c r="DZ46" s="83"/>
      <c r="EA46" s="83"/>
      <c r="EB46" s="83"/>
      <c r="EC46" s="83"/>
      <c r="ED46" s="83"/>
      <c r="EE46" s="83"/>
      <c r="EF46" s="83"/>
      <c r="EG46" s="83"/>
      <c r="EH46" s="83"/>
      <c r="EI46" s="83"/>
      <c r="EJ46" s="83"/>
      <c r="EK46" s="83"/>
      <c r="EL46" s="83"/>
      <c r="EM46" s="83"/>
      <c r="EN46" s="83"/>
      <c r="EO46" s="83"/>
      <c r="EP46" s="83"/>
      <c r="EQ46" s="83"/>
      <c r="ER46" s="83"/>
      <c r="ES46" s="83"/>
      <c r="ET46" s="83"/>
      <c r="EU46" s="83"/>
      <c r="EV46" s="83"/>
      <c r="EW46" s="83"/>
      <c r="EX46" s="83"/>
      <c r="EY46" s="83"/>
      <c r="EZ46" s="83"/>
      <c r="FA46" s="83"/>
      <c r="FB46" s="83"/>
      <c r="FC46" s="83"/>
      <c r="FD46" s="83"/>
      <c r="FE46" s="83"/>
      <c r="FF46" s="83"/>
      <c r="FG46" s="83"/>
      <c r="FH46" s="83"/>
      <c r="FI46" s="83"/>
      <c r="FJ46" s="83"/>
      <c r="FK46" s="83"/>
      <c r="FL46" s="83"/>
      <c r="FM46" s="83"/>
      <c r="FN46" s="83"/>
      <c r="FO46" s="83"/>
      <c r="FP46" s="83"/>
      <c r="FQ46" s="83"/>
      <c r="FR46" s="83"/>
      <c r="FS46" s="83"/>
      <c r="FT46" s="83"/>
      <c r="FU46" s="83"/>
      <c r="FV46" s="83"/>
      <c r="FW46" s="83"/>
      <c r="FX46" s="83"/>
      <c r="FY46" s="83"/>
      <c r="FZ46" s="83"/>
      <c r="GA46" s="83"/>
      <c r="GB46" s="83"/>
      <c r="GC46" s="83"/>
      <c r="GD46" s="83"/>
      <c r="GE46" s="83"/>
      <c r="GF46" s="83"/>
      <c r="GG46" s="83"/>
      <c r="GH46" s="83"/>
      <c r="GI46" s="83"/>
      <c r="GJ46" s="83"/>
      <c r="GK46" s="83"/>
      <c r="GL46" s="83"/>
      <c r="GM46" s="83"/>
      <c r="GN46" s="83"/>
      <c r="GO46" s="83"/>
      <c r="GP46" s="83"/>
      <c r="GQ46" s="83"/>
      <c r="GR46" s="83"/>
      <c r="GS46" s="83"/>
      <c r="GT46" s="83"/>
      <c r="GU46" s="83"/>
      <c r="GV46" s="83"/>
      <c r="GW46" s="83"/>
      <c r="GX46" s="83"/>
      <c r="GY46" s="83"/>
      <c r="GZ46" s="83"/>
      <c r="HA46" s="83"/>
      <c r="HB46" s="83"/>
      <c r="HC46" s="83"/>
      <c r="HD46" s="83"/>
      <c r="HE46" s="83"/>
      <c r="HF46" s="83"/>
      <c r="HG46" s="83"/>
      <c r="HH46" s="83"/>
      <c r="HI46" s="83"/>
      <c r="HJ46" s="83"/>
      <c r="HK46" s="83"/>
      <c r="HL46" s="83"/>
      <c r="HM46" s="83"/>
      <c r="HN46" s="83"/>
      <c r="HO46" s="83"/>
      <c r="HP46" s="83"/>
      <c r="HQ46" s="83"/>
      <c r="HR46" s="83"/>
      <c r="HS46" s="83"/>
      <c r="HT46" s="83"/>
      <c r="HU46" s="83"/>
      <c r="HV46" s="83"/>
      <c r="HW46" s="83"/>
      <c r="HX46" s="83"/>
      <c r="HY46" s="83"/>
      <c r="HZ46" s="83"/>
      <c r="IA46" s="83"/>
      <c r="IB46" s="83"/>
      <c r="IC46" s="83"/>
      <c r="ID46" s="83"/>
      <c r="IE46" s="83"/>
      <c r="IF46" s="83"/>
      <c r="IG46" s="83"/>
    </row>
    <row r="47" spans="1:241" x14ac:dyDescent="0.3">
      <c r="A47" s="83"/>
      <c r="B47" s="17" t="s">
        <v>42</v>
      </c>
      <c r="C47" s="18">
        <v>2.7635000000000001</v>
      </c>
      <c r="D47" s="18">
        <v>0.85740000000000005</v>
      </c>
      <c r="E47" s="19">
        <v>-9.7999999999999997E-3</v>
      </c>
      <c r="F47" s="32">
        <v>2</v>
      </c>
      <c r="G47" s="18">
        <v>10</v>
      </c>
      <c r="H47" s="21">
        <v>10000</v>
      </c>
      <c r="I47" s="1"/>
      <c r="J47" s="1"/>
      <c r="K47" s="1"/>
      <c r="L47" s="1"/>
      <c r="M47" s="1"/>
      <c r="N47" s="1"/>
      <c r="O47" s="1"/>
      <c r="P47" s="1"/>
      <c r="Q47" s="1"/>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c r="DD47" s="83"/>
      <c r="DE47" s="83"/>
      <c r="DF47" s="83"/>
      <c r="DG47" s="83"/>
      <c r="DH47" s="83"/>
      <c r="DI47" s="83"/>
      <c r="DJ47" s="83"/>
      <c r="DK47" s="83"/>
      <c r="DL47" s="83"/>
      <c r="DM47" s="83"/>
      <c r="DN47" s="83"/>
      <c r="DO47" s="83"/>
      <c r="DP47" s="83"/>
      <c r="DQ47" s="83"/>
      <c r="DR47" s="83"/>
      <c r="DS47" s="83"/>
      <c r="DT47" s="83"/>
      <c r="DU47" s="83"/>
      <c r="DV47" s="83"/>
      <c r="DW47" s="83"/>
      <c r="DX47" s="83"/>
      <c r="DY47" s="83"/>
      <c r="DZ47" s="83"/>
      <c r="EA47" s="83"/>
      <c r="EB47" s="83"/>
      <c r="EC47" s="83"/>
      <c r="ED47" s="83"/>
      <c r="EE47" s="83"/>
      <c r="EF47" s="83"/>
      <c r="EG47" s="83"/>
      <c r="EH47" s="83"/>
      <c r="EI47" s="83"/>
      <c r="EJ47" s="83"/>
      <c r="EK47" s="83"/>
      <c r="EL47" s="83"/>
      <c r="EM47" s="83"/>
      <c r="EN47" s="83"/>
      <c r="EO47" s="83"/>
      <c r="EP47" s="83"/>
      <c r="EQ47" s="83"/>
      <c r="ER47" s="83"/>
      <c r="ES47" s="83"/>
      <c r="ET47" s="83"/>
      <c r="EU47" s="83"/>
      <c r="EV47" s="83"/>
      <c r="EW47" s="83"/>
      <c r="EX47" s="83"/>
      <c r="EY47" s="83"/>
      <c r="EZ47" s="83"/>
      <c r="FA47" s="83"/>
      <c r="FB47" s="83"/>
      <c r="FC47" s="83"/>
      <c r="FD47" s="83"/>
      <c r="FE47" s="83"/>
      <c r="FF47" s="83"/>
      <c r="FG47" s="83"/>
      <c r="FH47" s="83"/>
      <c r="FI47" s="83"/>
      <c r="FJ47" s="83"/>
      <c r="FK47" s="83"/>
      <c r="FL47" s="83"/>
      <c r="FM47" s="83"/>
      <c r="FN47" s="83"/>
      <c r="FO47" s="83"/>
      <c r="FP47" s="83"/>
      <c r="FQ47" s="83"/>
      <c r="FR47" s="83"/>
      <c r="FS47" s="83"/>
      <c r="FT47" s="83"/>
      <c r="FU47" s="83"/>
      <c r="FV47" s="83"/>
      <c r="FW47" s="83"/>
      <c r="FX47" s="83"/>
      <c r="FY47" s="83"/>
      <c r="FZ47" s="83"/>
      <c r="GA47" s="83"/>
      <c r="GB47" s="83"/>
      <c r="GC47" s="83"/>
      <c r="GD47" s="83"/>
      <c r="GE47" s="83"/>
      <c r="GF47" s="83"/>
      <c r="GG47" s="83"/>
      <c r="GH47" s="83"/>
      <c r="GI47" s="83"/>
      <c r="GJ47" s="83"/>
      <c r="GK47" s="83"/>
      <c r="GL47" s="83"/>
      <c r="GM47" s="83"/>
      <c r="GN47" s="83"/>
      <c r="GO47" s="83"/>
      <c r="GP47" s="83"/>
      <c r="GQ47" s="83"/>
      <c r="GR47" s="83"/>
      <c r="GS47" s="83"/>
      <c r="GT47" s="83"/>
      <c r="GU47" s="83"/>
      <c r="GV47" s="83"/>
      <c r="GW47" s="83"/>
      <c r="GX47" s="83"/>
      <c r="GY47" s="83"/>
      <c r="GZ47" s="83"/>
      <c r="HA47" s="83"/>
      <c r="HB47" s="83"/>
      <c r="HC47" s="83"/>
      <c r="HD47" s="83"/>
      <c r="HE47" s="83"/>
      <c r="HF47" s="83"/>
      <c r="HG47" s="83"/>
      <c r="HH47" s="83"/>
      <c r="HI47" s="83"/>
      <c r="HJ47" s="83"/>
      <c r="HK47" s="83"/>
      <c r="HL47" s="83"/>
      <c r="HM47" s="83"/>
      <c r="HN47" s="83"/>
      <c r="HO47" s="83"/>
      <c r="HP47" s="83"/>
      <c r="HQ47" s="83"/>
      <c r="HR47" s="83"/>
      <c r="HS47" s="83"/>
      <c r="HT47" s="83"/>
      <c r="HU47" s="83"/>
      <c r="HV47" s="83"/>
      <c r="HW47" s="83"/>
      <c r="HX47" s="83"/>
      <c r="HY47" s="83"/>
      <c r="HZ47" s="83"/>
      <c r="IA47" s="83"/>
      <c r="IB47" s="83"/>
      <c r="IC47" s="83"/>
      <c r="ID47" s="83"/>
      <c r="IE47" s="83"/>
      <c r="IF47" s="83"/>
      <c r="IG47" s="83"/>
    </row>
    <row r="48" spans="1:241" x14ac:dyDescent="0.3">
      <c r="A48" s="83"/>
      <c r="B48" s="1"/>
      <c r="C48" s="13"/>
      <c r="D48" s="13"/>
      <c r="E48" s="14"/>
      <c r="F48" s="31"/>
      <c r="G48" s="1"/>
      <c r="H48" s="1"/>
      <c r="I48" s="1"/>
      <c r="J48" s="1"/>
      <c r="K48" s="1"/>
      <c r="L48" s="1"/>
      <c r="M48" s="1"/>
      <c r="N48" s="1"/>
      <c r="O48" s="1"/>
      <c r="P48" s="1"/>
      <c r="Q48" s="1"/>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c r="DD48" s="83"/>
      <c r="DE48" s="83"/>
      <c r="DF48" s="83"/>
      <c r="DG48" s="83"/>
      <c r="DH48" s="83"/>
      <c r="DI48" s="83"/>
      <c r="DJ48" s="83"/>
      <c r="DK48" s="83"/>
      <c r="DL48" s="83"/>
      <c r="DM48" s="83"/>
      <c r="DN48" s="83"/>
      <c r="DO48" s="83"/>
      <c r="DP48" s="83"/>
      <c r="DQ48" s="83"/>
      <c r="DR48" s="83"/>
      <c r="DS48" s="83"/>
      <c r="DT48" s="83"/>
      <c r="DU48" s="83"/>
      <c r="DV48" s="83"/>
      <c r="DW48" s="83"/>
      <c r="DX48" s="83"/>
      <c r="DY48" s="83"/>
      <c r="DZ48" s="83"/>
      <c r="EA48" s="83"/>
      <c r="EB48" s="83"/>
      <c r="EC48" s="83"/>
      <c r="ED48" s="83"/>
      <c r="EE48" s="83"/>
      <c r="EF48" s="83"/>
      <c r="EG48" s="83"/>
      <c r="EH48" s="83"/>
      <c r="EI48" s="83"/>
      <c r="EJ48" s="83"/>
      <c r="EK48" s="83"/>
      <c r="EL48" s="83"/>
      <c r="EM48" s="83"/>
      <c r="EN48" s="83"/>
      <c r="EO48" s="83"/>
      <c r="EP48" s="83"/>
      <c r="EQ48" s="83"/>
      <c r="ER48" s="83"/>
      <c r="ES48" s="83"/>
      <c r="ET48" s="83"/>
      <c r="EU48" s="83"/>
      <c r="EV48" s="83"/>
      <c r="EW48" s="83"/>
      <c r="EX48" s="83"/>
      <c r="EY48" s="83"/>
      <c r="EZ48" s="83"/>
      <c r="FA48" s="83"/>
      <c r="FB48" s="83"/>
      <c r="FC48" s="83"/>
      <c r="FD48" s="83"/>
      <c r="FE48" s="83"/>
      <c r="FF48" s="83"/>
      <c r="FG48" s="83"/>
      <c r="FH48" s="83"/>
      <c r="FI48" s="83"/>
      <c r="FJ48" s="83"/>
      <c r="FK48" s="83"/>
      <c r="FL48" s="83"/>
      <c r="FM48" s="83"/>
      <c r="FN48" s="83"/>
      <c r="FO48" s="83"/>
      <c r="FP48" s="83"/>
      <c r="FQ48" s="83"/>
      <c r="FR48" s="83"/>
      <c r="FS48" s="83"/>
      <c r="FT48" s="83"/>
      <c r="FU48" s="83"/>
      <c r="FV48" s="83"/>
      <c r="FW48" s="83"/>
      <c r="FX48" s="83"/>
      <c r="FY48" s="83"/>
      <c r="FZ48" s="83"/>
      <c r="GA48" s="83"/>
      <c r="GB48" s="83"/>
      <c r="GC48" s="83"/>
      <c r="GD48" s="83"/>
      <c r="GE48" s="83"/>
      <c r="GF48" s="83"/>
      <c r="GG48" s="83"/>
      <c r="GH48" s="83"/>
      <c r="GI48" s="83"/>
      <c r="GJ48" s="83"/>
      <c r="GK48" s="83"/>
      <c r="GL48" s="83"/>
      <c r="GM48" s="83"/>
      <c r="GN48" s="83"/>
      <c r="GO48" s="83"/>
      <c r="GP48" s="83"/>
      <c r="GQ48" s="83"/>
      <c r="GR48" s="83"/>
      <c r="GS48" s="83"/>
      <c r="GT48" s="83"/>
      <c r="GU48" s="83"/>
      <c r="GV48" s="83"/>
      <c r="GW48" s="83"/>
      <c r="GX48" s="83"/>
      <c r="GY48" s="83"/>
      <c r="GZ48" s="83"/>
      <c r="HA48" s="83"/>
      <c r="HB48" s="83"/>
      <c r="HC48" s="83"/>
      <c r="HD48" s="83"/>
      <c r="HE48" s="83"/>
      <c r="HF48" s="83"/>
      <c r="HG48" s="83"/>
      <c r="HH48" s="83"/>
      <c r="HI48" s="83"/>
      <c r="HJ48" s="83"/>
      <c r="HK48" s="83"/>
      <c r="HL48" s="83"/>
      <c r="HM48" s="83"/>
      <c r="HN48" s="83"/>
      <c r="HO48" s="83"/>
      <c r="HP48" s="83"/>
      <c r="HQ48" s="83"/>
      <c r="HR48" s="83"/>
      <c r="HS48" s="83"/>
      <c r="HT48" s="83"/>
      <c r="HU48" s="83"/>
      <c r="HV48" s="83"/>
      <c r="HW48" s="83"/>
      <c r="HX48" s="83"/>
      <c r="HY48" s="83"/>
      <c r="HZ48" s="83"/>
      <c r="IA48" s="83"/>
      <c r="IB48" s="83"/>
      <c r="IC48" s="83"/>
      <c r="ID48" s="83"/>
      <c r="IE48" s="83"/>
      <c r="IF48" s="83"/>
      <c r="IG48" s="83"/>
    </row>
    <row r="49" spans="1:241" x14ac:dyDescent="0.3">
      <c r="A49" s="83"/>
      <c r="B49" s="1"/>
      <c r="C49" s="1"/>
      <c r="D49" s="1"/>
      <c r="E49" s="1"/>
      <c r="F49" s="1"/>
      <c r="G49" s="1"/>
      <c r="H49" s="1"/>
      <c r="I49" s="1"/>
      <c r="J49" s="1"/>
      <c r="K49" s="1"/>
      <c r="L49" s="1"/>
      <c r="M49" s="1"/>
      <c r="N49" s="1"/>
      <c r="O49" s="1"/>
      <c r="P49" s="1"/>
      <c r="Q49" s="1"/>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c r="DD49" s="83"/>
      <c r="DE49" s="83"/>
      <c r="DF49" s="83"/>
      <c r="DG49" s="83"/>
      <c r="DH49" s="83"/>
      <c r="DI49" s="83"/>
      <c r="DJ49" s="83"/>
      <c r="DK49" s="83"/>
      <c r="DL49" s="83"/>
      <c r="DM49" s="83"/>
      <c r="DN49" s="83"/>
      <c r="DO49" s="83"/>
      <c r="DP49" s="83"/>
      <c r="DQ49" s="83"/>
      <c r="DR49" s="83"/>
      <c r="DS49" s="83"/>
      <c r="DT49" s="83"/>
      <c r="DU49" s="83"/>
      <c r="DV49" s="83"/>
      <c r="DW49" s="83"/>
      <c r="DX49" s="83"/>
      <c r="DY49" s="83"/>
      <c r="DZ49" s="83"/>
      <c r="EA49" s="83"/>
      <c r="EB49" s="83"/>
      <c r="EC49" s="83"/>
      <c r="ED49" s="83"/>
      <c r="EE49" s="83"/>
      <c r="EF49" s="83"/>
      <c r="EG49" s="83"/>
      <c r="EH49" s="83"/>
      <c r="EI49" s="83"/>
      <c r="EJ49" s="83"/>
      <c r="EK49" s="83"/>
      <c r="EL49" s="83"/>
      <c r="EM49" s="83"/>
      <c r="EN49" s="83"/>
      <c r="EO49" s="83"/>
      <c r="EP49" s="83"/>
      <c r="EQ49" s="83"/>
      <c r="ER49" s="83"/>
      <c r="ES49" s="83"/>
      <c r="ET49" s="83"/>
      <c r="EU49" s="83"/>
      <c r="EV49" s="83"/>
      <c r="EW49" s="83"/>
      <c r="EX49" s="83"/>
      <c r="EY49" s="83"/>
      <c r="EZ49" s="83"/>
      <c r="FA49" s="83"/>
      <c r="FB49" s="83"/>
      <c r="FC49" s="83"/>
      <c r="FD49" s="83"/>
      <c r="FE49" s="83"/>
      <c r="FF49" s="83"/>
      <c r="FG49" s="83"/>
      <c r="FH49" s="83"/>
      <c r="FI49" s="83"/>
      <c r="FJ49" s="83"/>
      <c r="FK49" s="83"/>
      <c r="FL49" s="83"/>
      <c r="FM49" s="83"/>
      <c r="FN49" s="83"/>
      <c r="FO49" s="83"/>
      <c r="FP49" s="83"/>
      <c r="FQ49" s="83"/>
      <c r="FR49" s="83"/>
      <c r="FS49" s="83"/>
      <c r="FT49" s="83"/>
      <c r="FU49" s="83"/>
      <c r="FV49" s="83"/>
      <c r="FW49" s="83"/>
      <c r="FX49" s="83"/>
      <c r="FY49" s="83"/>
      <c r="FZ49" s="83"/>
      <c r="GA49" s="83"/>
      <c r="GB49" s="83"/>
      <c r="GC49" s="83"/>
      <c r="GD49" s="83"/>
      <c r="GE49" s="83"/>
      <c r="GF49" s="83"/>
      <c r="GG49" s="83"/>
      <c r="GH49" s="83"/>
      <c r="GI49" s="83"/>
      <c r="GJ49" s="83"/>
      <c r="GK49" s="83"/>
      <c r="GL49" s="83"/>
      <c r="GM49" s="83"/>
      <c r="GN49" s="83"/>
      <c r="GO49" s="83"/>
      <c r="GP49" s="83"/>
      <c r="GQ49" s="83"/>
      <c r="GR49" s="83"/>
      <c r="GS49" s="83"/>
      <c r="GT49" s="83"/>
      <c r="GU49" s="83"/>
      <c r="GV49" s="83"/>
      <c r="GW49" s="83"/>
      <c r="GX49" s="83"/>
      <c r="GY49" s="83"/>
      <c r="GZ49" s="83"/>
      <c r="HA49" s="83"/>
      <c r="HB49" s="83"/>
      <c r="HC49" s="83"/>
      <c r="HD49" s="83"/>
      <c r="HE49" s="83"/>
      <c r="HF49" s="83"/>
      <c r="HG49" s="83"/>
      <c r="HH49" s="83"/>
      <c r="HI49" s="83"/>
      <c r="HJ49" s="83"/>
      <c r="HK49" s="83"/>
      <c r="HL49" s="83"/>
      <c r="HM49" s="83"/>
      <c r="HN49" s="83"/>
      <c r="HO49" s="83"/>
      <c r="HP49" s="83"/>
      <c r="HQ49" s="83"/>
      <c r="HR49" s="83"/>
      <c r="HS49" s="83"/>
      <c r="HT49" s="83"/>
      <c r="HU49" s="83"/>
      <c r="HV49" s="83"/>
      <c r="HW49" s="83"/>
      <c r="HX49" s="83"/>
      <c r="HY49" s="83"/>
      <c r="HZ49" s="83"/>
      <c r="IA49" s="83"/>
      <c r="IB49" s="83"/>
      <c r="IC49" s="83"/>
      <c r="ID49" s="83"/>
      <c r="IE49" s="83"/>
      <c r="IF49" s="83"/>
      <c r="IG49" s="83"/>
    </row>
    <row r="50" spans="1:241" x14ac:dyDescent="0.3">
      <c r="A50" s="83"/>
      <c r="B50" s="2" t="s">
        <v>246</v>
      </c>
      <c r="C50" s="1"/>
      <c r="D50" s="14"/>
      <c r="E50" s="14"/>
      <c r="F50" s="1"/>
      <c r="G50" s="15"/>
      <c r="H50" s="1"/>
      <c r="I50" s="1"/>
      <c r="J50" s="1"/>
      <c r="K50" s="1"/>
      <c r="L50" s="1"/>
      <c r="M50" s="1"/>
      <c r="N50" s="1"/>
      <c r="O50" s="1"/>
      <c r="P50" s="1"/>
      <c r="Q50" s="1"/>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c r="DD50" s="83"/>
      <c r="DE50" s="83"/>
      <c r="DF50" s="83"/>
      <c r="DG50" s="83"/>
      <c r="DH50" s="83"/>
      <c r="DI50" s="83"/>
      <c r="DJ50" s="83"/>
      <c r="DK50" s="83"/>
      <c r="DL50" s="83"/>
      <c r="DM50" s="83"/>
      <c r="DN50" s="83"/>
      <c r="DO50" s="83"/>
      <c r="DP50" s="83"/>
      <c r="DQ50" s="83"/>
      <c r="DR50" s="83"/>
      <c r="DS50" s="83"/>
      <c r="DT50" s="83"/>
      <c r="DU50" s="83"/>
      <c r="DV50" s="83"/>
      <c r="DW50" s="83"/>
      <c r="DX50" s="83"/>
      <c r="DY50" s="83"/>
      <c r="DZ50" s="83"/>
      <c r="EA50" s="83"/>
      <c r="EB50" s="83"/>
      <c r="EC50" s="83"/>
      <c r="ED50" s="83"/>
      <c r="EE50" s="83"/>
      <c r="EF50" s="83"/>
      <c r="EG50" s="83"/>
      <c r="EH50" s="83"/>
      <c r="EI50" s="83"/>
      <c r="EJ50" s="83"/>
      <c r="EK50" s="83"/>
      <c r="EL50" s="83"/>
      <c r="EM50" s="83"/>
      <c r="EN50" s="83"/>
      <c r="EO50" s="83"/>
      <c r="EP50" s="83"/>
      <c r="EQ50" s="83"/>
      <c r="ER50" s="83"/>
      <c r="ES50" s="83"/>
      <c r="ET50" s="83"/>
      <c r="EU50" s="83"/>
      <c r="EV50" s="83"/>
      <c r="EW50" s="83"/>
      <c r="EX50" s="83"/>
      <c r="EY50" s="83"/>
      <c r="EZ50" s="83"/>
      <c r="FA50" s="83"/>
      <c r="FB50" s="83"/>
      <c r="FC50" s="83"/>
      <c r="FD50" s="83"/>
      <c r="FE50" s="83"/>
      <c r="FF50" s="83"/>
      <c r="FG50" s="83"/>
      <c r="FH50" s="83"/>
      <c r="FI50" s="83"/>
      <c r="FJ50" s="83"/>
      <c r="FK50" s="83"/>
      <c r="FL50" s="83"/>
      <c r="FM50" s="83"/>
      <c r="FN50" s="83"/>
      <c r="FO50" s="83"/>
      <c r="FP50" s="83"/>
      <c r="FQ50" s="83"/>
      <c r="FR50" s="83"/>
      <c r="FS50" s="83"/>
      <c r="FT50" s="83"/>
      <c r="FU50" s="83"/>
      <c r="FV50" s="83"/>
      <c r="FW50" s="83"/>
      <c r="FX50" s="83"/>
      <c r="FY50" s="83"/>
      <c r="FZ50" s="83"/>
      <c r="GA50" s="83"/>
      <c r="GB50" s="83"/>
      <c r="GC50" s="83"/>
      <c r="GD50" s="83"/>
      <c r="GE50" s="83"/>
      <c r="GF50" s="83"/>
      <c r="GG50" s="83"/>
      <c r="GH50" s="83"/>
      <c r="GI50" s="83"/>
      <c r="GJ50" s="83"/>
      <c r="GK50" s="83"/>
      <c r="GL50" s="83"/>
      <c r="GM50" s="83"/>
      <c r="GN50" s="83"/>
      <c r="GO50" s="83"/>
      <c r="GP50" s="83"/>
      <c r="GQ50" s="83"/>
      <c r="GR50" s="83"/>
      <c r="GS50" s="83"/>
      <c r="GT50" s="83"/>
      <c r="GU50" s="83"/>
      <c r="GV50" s="83"/>
      <c r="GW50" s="83"/>
      <c r="GX50" s="83"/>
      <c r="GY50" s="83"/>
      <c r="GZ50" s="83"/>
      <c r="HA50" s="83"/>
      <c r="HB50" s="83"/>
      <c r="HC50" s="83"/>
      <c r="HD50" s="83"/>
      <c r="HE50" s="83"/>
      <c r="HF50" s="83"/>
      <c r="HG50" s="83"/>
      <c r="HH50" s="83"/>
      <c r="HI50" s="83"/>
      <c r="HJ50" s="83"/>
      <c r="HK50" s="83"/>
      <c r="HL50" s="83"/>
      <c r="HM50" s="83"/>
      <c r="HN50" s="83"/>
      <c r="HO50" s="83"/>
      <c r="HP50" s="83"/>
      <c r="HQ50" s="83"/>
      <c r="HR50" s="83"/>
      <c r="HS50" s="83"/>
      <c r="HT50" s="83"/>
      <c r="HU50" s="83"/>
      <c r="HV50" s="83"/>
      <c r="HW50" s="83"/>
      <c r="HX50" s="83"/>
      <c r="HY50" s="83"/>
      <c r="HZ50" s="83"/>
      <c r="IA50" s="83"/>
      <c r="IB50" s="83"/>
      <c r="IC50" s="83"/>
      <c r="ID50" s="83"/>
      <c r="IE50" s="83"/>
      <c r="IF50" s="83"/>
      <c r="IG50" s="83"/>
    </row>
    <row r="51" spans="1:241" ht="16.8" x14ac:dyDescent="0.35">
      <c r="A51" s="83"/>
      <c r="B51" s="3" t="s">
        <v>43</v>
      </c>
      <c r="C51" s="4" t="s">
        <v>1</v>
      </c>
      <c r="D51" s="4" t="s">
        <v>2</v>
      </c>
      <c r="E51" s="4" t="s">
        <v>3</v>
      </c>
      <c r="F51" s="4" t="s">
        <v>27</v>
      </c>
      <c r="G51" s="5" t="s">
        <v>28</v>
      </c>
      <c r="H51" s="6" t="s">
        <v>6</v>
      </c>
      <c r="I51" s="1"/>
      <c r="J51" s="1"/>
      <c r="K51" s="1"/>
      <c r="L51" s="1"/>
      <c r="M51" s="1"/>
      <c r="N51" s="1"/>
      <c r="O51" s="1"/>
      <c r="P51" s="1"/>
      <c r="Q51" s="1"/>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c r="DD51" s="83"/>
      <c r="DE51" s="83"/>
      <c r="DF51" s="83"/>
      <c r="DG51" s="83"/>
      <c r="DH51" s="83"/>
      <c r="DI51" s="83"/>
      <c r="DJ51" s="83"/>
      <c r="DK51" s="83"/>
      <c r="DL51" s="83"/>
      <c r="DM51" s="83"/>
      <c r="DN51" s="83"/>
      <c r="DO51" s="83"/>
      <c r="DP51" s="83"/>
      <c r="DQ51" s="83"/>
      <c r="DR51" s="83"/>
      <c r="DS51" s="83"/>
      <c r="DT51" s="83"/>
      <c r="DU51" s="83"/>
      <c r="DV51" s="83"/>
      <c r="DW51" s="83"/>
      <c r="DX51" s="83"/>
      <c r="DY51" s="83"/>
      <c r="DZ51" s="83"/>
      <c r="EA51" s="83"/>
      <c r="EB51" s="83"/>
      <c r="EC51" s="83"/>
      <c r="ED51" s="83"/>
      <c r="EE51" s="83"/>
      <c r="EF51" s="83"/>
      <c r="EG51" s="83"/>
      <c r="EH51" s="83"/>
      <c r="EI51" s="83"/>
      <c r="EJ51" s="83"/>
      <c r="EK51" s="83"/>
      <c r="EL51" s="83"/>
      <c r="EM51" s="83"/>
      <c r="EN51" s="83"/>
      <c r="EO51" s="83"/>
      <c r="EP51" s="83"/>
      <c r="EQ51" s="83"/>
      <c r="ER51" s="83"/>
      <c r="ES51" s="83"/>
      <c r="ET51" s="83"/>
      <c r="EU51" s="83"/>
      <c r="EV51" s="83"/>
      <c r="EW51" s="83"/>
      <c r="EX51" s="83"/>
      <c r="EY51" s="83"/>
      <c r="EZ51" s="83"/>
      <c r="FA51" s="83"/>
      <c r="FB51" s="83"/>
      <c r="FC51" s="83"/>
      <c r="FD51" s="83"/>
      <c r="FE51" s="83"/>
      <c r="FF51" s="83"/>
      <c r="FG51" s="83"/>
      <c r="FH51" s="83"/>
      <c r="FI51" s="83"/>
      <c r="FJ51" s="83"/>
      <c r="FK51" s="83"/>
      <c r="FL51" s="83"/>
      <c r="FM51" s="83"/>
      <c r="FN51" s="83"/>
      <c r="FO51" s="83"/>
      <c r="FP51" s="83"/>
      <c r="FQ51" s="83"/>
      <c r="FR51" s="83"/>
      <c r="FS51" s="83"/>
      <c r="FT51" s="83"/>
      <c r="FU51" s="83"/>
      <c r="FV51" s="83"/>
      <c r="FW51" s="83"/>
      <c r="FX51" s="83"/>
      <c r="FY51" s="83"/>
      <c r="FZ51" s="83"/>
      <c r="GA51" s="83"/>
      <c r="GB51" s="83"/>
      <c r="GC51" s="83"/>
      <c r="GD51" s="83"/>
      <c r="GE51" s="83"/>
      <c r="GF51" s="83"/>
      <c r="GG51" s="83"/>
      <c r="GH51" s="83"/>
      <c r="GI51" s="83"/>
      <c r="GJ51" s="83"/>
      <c r="GK51" s="83"/>
      <c r="GL51" s="83"/>
      <c r="GM51" s="83"/>
      <c r="GN51" s="83"/>
      <c r="GO51" s="83"/>
      <c r="GP51" s="83"/>
      <c r="GQ51" s="83"/>
      <c r="GR51" s="83"/>
      <c r="GS51" s="83"/>
      <c r="GT51" s="83"/>
      <c r="GU51" s="83"/>
      <c r="GV51" s="83"/>
      <c r="GW51" s="83"/>
      <c r="GX51" s="83"/>
      <c r="GY51" s="83"/>
      <c r="GZ51" s="83"/>
      <c r="HA51" s="83"/>
      <c r="HB51" s="83"/>
      <c r="HC51" s="83"/>
      <c r="HD51" s="83"/>
      <c r="HE51" s="83"/>
      <c r="HF51" s="83"/>
      <c r="HG51" s="83"/>
      <c r="HH51" s="83"/>
      <c r="HI51" s="83"/>
      <c r="HJ51" s="83"/>
      <c r="HK51" s="83"/>
      <c r="HL51" s="83"/>
      <c r="HM51" s="83"/>
      <c r="HN51" s="83"/>
      <c r="HO51" s="83"/>
      <c r="HP51" s="83"/>
      <c r="HQ51" s="83"/>
      <c r="HR51" s="83"/>
      <c r="HS51" s="83"/>
      <c r="HT51" s="83"/>
      <c r="HU51" s="83"/>
      <c r="HV51" s="83"/>
      <c r="HW51" s="83"/>
      <c r="HX51" s="83"/>
      <c r="HY51" s="83"/>
      <c r="HZ51" s="83"/>
      <c r="IA51" s="83"/>
      <c r="IB51" s="83"/>
      <c r="IC51" s="83"/>
      <c r="ID51" s="83"/>
      <c r="IE51" s="83"/>
      <c r="IF51" s="83"/>
      <c r="IG51" s="83"/>
    </row>
    <row r="52" spans="1:241" x14ac:dyDescent="0.3">
      <c r="A52" s="83"/>
      <c r="B52" s="7" t="s">
        <v>44</v>
      </c>
      <c r="C52" s="25">
        <v>4.5472000000000001</v>
      </c>
      <c r="D52" s="25">
        <f>0.2731</f>
        <v>0.27310000000000001</v>
      </c>
      <c r="E52" s="25">
        <v>0.13400000000000001</v>
      </c>
      <c r="F52" s="26">
        <v>0.5</v>
      </c>
      <c r="G52" s="24">
        <v>50</v>
      </c>
      <c r="H52" s="10">
        <v>1.6</v>
      </c>
      <c r="I52" s="38"/>
      <c r="J52" s="1"/>
      <c r="K52" s="1"/>
      <c r="L52" s="1"/>
      <c r="M52" s="1"/>
      <c r="N52" s="1"/>
      <c r="O52" s="1"/>
      <c r="P52" s="1"/>
      <c r="Q52" s="1"/>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c r="DD52" s="83"/>
      <c r="DE52" s="83"/>
      <c r="DF52" s="83"/>
      <c r="DG52" s="83"/>
      <c r="DH52" s="83"/>
      <c r="DI52" s="83"/>
      <c r="DJ52" s="83"/>
      <c r="DK52" s="83"/>
      <c r="DL52" s="83"/>
      <c r="DM52" s="83"/>
      <c r="DN52" s="83"/>
      <c r="DO52" s="83"/>
      <c r="DP52" s="83"/>
      <c r="DQ52" s="83"/>
      <c r="DR52" s="83"/>
      <c r="DS52" s="83"/>
      <c r="DT52" s="83"/>
      <c r="DU52" s="83"/>
      <c r="DV52" s="83"/>
      <c r="DW52" s="83"/>
      <c r="DX52" s="83"/>
      <c r="DY52" s="83"/>
      <c r="DZ52" s="83"/>
      <c r="EA52" s="83"/>
      <c r="EB52" s="83"/>
      <c r="EC52" s="83"/>
      <c r="ED52" s="83"/>
      <c r="EE52" s="83"/>
      <c r="EF52" s="83"/>
      <c r="EG52" s="83"/>
      <c r="EH52" s="83"/>
      <c r="EI52" s="83"/>
      <c r="EJ52" s="83"/>
      <c r="EK52" s="83"/>
      <c r="EL52" s="83"/>
      <c r="EM52" s="83"/>
      <c r="EN52" s="83"/>
      <c r="EO52" s="83"/>
      <c r="EP52" s="83"/>
      <c r="EQ52" s="83"/>
      <c r="ER52" s="83"/>
      <c r="ES52" s="83"/>
      <c r="ET52" s="83"/>
      <c r="EU52" s="83"/>
      <c r="EV52" s="83"/>
      <c r="EW52" s="83"/>
      <c r="EX52" s="83"/>
      <c r="EY52" s="83"/>
      <c r="EZ52" s="83"/>
      <c r="FA52" s="83"/>
      <c r="FB52" s="83"/>
      <c r="FC52" s="83"/>
      <c r="FD52" s="83"/>
      <c r="FE52" s="83"/>
      <c r="FF52" s="83"/>
      <c r="FG52" s="83"/>
      <c r="FH52" s="83"/>
      <c r="FI52" s="83"/>
      <c r="FJ52" s="83"/>
      <c r="FK52" s="83"/>
      <c r="FL52" s="83"/>
      <c r="FM52" s="83"/>
      <c r="FN52" s="83"/>
      <c r="FO52" s="83"/>
      <c r="FP52" s="83"/>
      <c r="FQ52" s="83"/>
      <c r="FR52" s="83"/>
      <c r="FS52" s="83"/>
      <c r="FT52" s="83"/>
      <c r="FU52" s="83"/>
      <c r="FV52" s="83"/>
      <c r="FW52" s="83"/>
      <c r="FX52" s="83"/>
      <c r="FY52" s="83"/>
      <c r="FZ52" s="83"/>
      <c r="GA52" s="83"/>
      <c r="GB52" s="83"/>
      <c r="GC52" s="83"/>
      <c r="GD52" s="83"/>
      <c r="GE52" s="83"/>
      <c r="GF52" s="83"/>
      <c r="GG52" s="83"/>
      <c r="GH52" s="83"/>
      <c r="GI52" s="83"/>
      <c r="GJ52" s="83"/>
      <c r="GK52" s="83"/>
      <c r="GL52" s="83"/>
      <c r="GM52" s="83"/>
      <c r="GN52" s="83"/>
      <c r="GO52" s="83"/>
      <c r="GP52" s="83"/>
      <c r="GQ52" s="83"/>
      <c r="GR52" s="83"/>
      <c r="GS52" s="83"/>
      <c r="GT52" s="83"/>
      <c r="GU52" s="83"/>
      <c r="GV52" s="83"/>
      <c r="GW52" s="83"/>
      <c r="GX52" s="83"/>
      <c r="GY52" s="83"/>
      <c r="GZ52" s="83"/>
      <c r="HA52" s="83"/>
      <c r="HB52" s="83"/>
      <c r="HC52" s="83"/>
      <c r="HD52" s="83"/>
      <c r="HE52" s="83"/>
      <c r="HF52" s="83"/>
      <c r="HG52" s="83"/>
      <c r="HH52" s="83"/>
      <c r="HI52" s="83"/>
      <c r="HJ52" s="83"/>
      <c r="HK52" s="83"/>
      <c r="HL52" s="83"/>
      <c r="HM52" s="83"/>
      <c r="HN52" s="83"/>
      <c r="HO52" s="83"/>
      <c r="HP52" s="83"/>
      <c r="HQ52" s="83"/>
      <c r="HR52" s="83"/>
      <c r="HS52" s="83"/>
      <c r="HT52" s="83"/>
      <c r="HU52" s="83"/>
      <c r="HV52" s="83"/>
      <c r="HW52" s="83"/>
      <c r="HX52" s="83"/>
      <c r="HY52" s="83"/>
      <c r="HZ52" s="83"/>
      <c r="IA52" s="83"/>
      <c r="IB52" s="83"/>
      <c r="IC52" s="83"/>
      <c r="ID52" s="83"/>
      <c r="IE52" s="83"/>
      <c r="IF52" s="83"/>
      <c r="IG52" s="83"/>
    </row>
    <row r="53" spans="1:241" x14ac:dyDescent="0.3">
      <c r="A53" s="83"/>
      <c r="B53" s="12" t="s">
        <v>45</v>
      </c>
      <c r="C53" s="14">
        <v>3.5644999999999998</v>
      </c>
      <c r="D53" s="14">
        <v>1.1117999999999999</v>
      </c>
      <c r="E53" s="14">
        <v>-7.7700000000000005E-2</v>
      </c>
      <c r="F53" s="15">
        <v>5</v>
      </c>
      <c r="G53" s="28">
        <v>100</v>
      </c>
      <c r="H53" s="10">
        <v>1.25</v>
      </c>
      <c r="I53" s="38"/>
      <c r="J53" s="1"/>
      <c r="K53" s="1"/>
      <c r="L53" s="1"/>
      <c r="M53" s="1"/>
      <c r="N53" s="1"/>
      <c r="O53" s="1"/>
      <c r="P53" s="1"/>
      <c r="Q53" s="1"/>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c r="DD53" s="83"/>
      <c r="DE53" s="83"/>
      <c r="DF53" s="83"/>
      <c r="DG53" s="83"/>
      <c r="DH53" s="83"/>
      <c r="DI53" s="83"/>
      <c r="DJ53" s="83"/>
      <c r="DK53" s="83"/>
      <c r="DL53" s="83"/>
      <c r="DM53" s="83"/>
      <c r="DN53" s="83"/>
      <c r="DO53" s="83"/>
      <c r="DP53" s="83"/>
      <c r="DQ53" s="83"/>
      <c r="DR53" s="83"/>
      <c r="DS53" s="83"/>
      <c r="DT53" s="83"/>
      <c r="DU53" s="83"/>
      <c r="DV53" s="83"/>
      <c r="DW53" s="83"/>
      <c r="DX53" s="83"/>
      <c r="DY53" s="83"/>
      <c r="DZ53" s="83"/>
      <c r="EA53" s="83"/>
      <c r="EB53" s="83"/>
      <c r="EC53" s="83"/>
      <c r="ED53" s="83"/>
      <c r="EE53" s="83"/>
      <c r="EF53" s="83"/>
      <c r="EG53" s="83"/>
      <c r="EH53" s="83"/>
      <c r="EI53" s="83"/>
      <c r="EJ53" s="83"/>
      <c r="EK53" s="83"/>
      <c r="EL53" s="83"/>
      <c r="EM53" s="83"/>
      <c r="EN53" s="83"/>
      <c r="EO53" s="83"/>
      <c r="EP53" s="83"/>
      <c r="EQ53" s="83"/>
      <c r="ER53" s="83"/>
      <c r="ES53" s="83"/>
      <c r="ET53" s="83"/>
      <c r="EU53" s="83"/>
      <c r="EV53" s="83"/>
      <c r="EW53" s="83"/>
      <c r="EX53" s="83"/>
      <c r="EY53" s="83"/>
      <c r="EZ53" s="83"/>
      <c r="FA53" s="83"/>
      <c r="FB53" s="83"/>
      <c r="FC53" s="83"/>
      <c r="FD53" s="83"/>
      <c r="FE53" s="83"/>
      <c r="FF53" s="83"/>
      <c r="FG53" s="83"/>
      <c r="FH53" s="83"/>
      <c r="FI53" s="83"/>
      <c r="FJ53" s="83"/>
      <c r="FK53" s="83"/>
      <c r="FL53" s="83"/>
      <c r="FM53" s="83"/>
      <c r="FN53" s="83"/>
      <c r="FO53" s="83"/>
      <c r="FP53" s="83"/>
      <c r="FQ53" s="83"/>
      <c r="FR53" s="83"/>
      <c r="FS53" s="83"/>
      <c r="FT53" s="83"/>
      <c r="FU53" s="83"/>
      <c r="FV53" s="83"/>
      <c r="FW53" s="83"/>
      <c r="FX53" s="83"/>
      <c r="FY53" s="83"/>
      <c r="FZ53" s="83"/>
      <c r="GA53" s="83"/>
      <c r="GB53" s="83"/>
      <c r="GC53" s="83"/>
      <c r="GD53" s="83"/>
      <c r="GE53" s="83"/>
      <c r="GF53" s="83"/>
      <c r="GG53" s="83"/>
      <c r="GH53" s="83"/>
      <c r="GI53" s="83"/>
      <c r="GJ53" s="83"/>
      <c r="GK53" s="83"/>
      <c r="GL53" s="83"/>
      <c r="GM53" s="83"/>
      <c r="GN53" s="83"/>
      <c r="GO53" s="83"/>
      <c r="GP53" s="83"/>
      <c r="GQ53" s="83"/>
      <c r="GR53" s="83"/>
      <c r="GS53" s="83"/>
      <c r="GT53" s="83"/>
      <c r="GU53" s="83"/>
      <c r="GV53" s="83"/>
      <c r="GW53" s="83"/>
      <c r="GX53" s="83"/>
      <c r="GY53" s="83"/>
      <c r="GZ53" s="83"/>
      <c r="HA53" s="83"/>
      <c r="HB53" s="83"/>
      <c r="HC53" s="83"/>
      <c r="HD53" s="83"/>
      <c r="HE53" s="83"/>
      <c r="HF53" s="83"/>
      <c r="HG53" s="83"/>
      <c r="HH53" s="83"/>
      <c r="HI53" s="83"/>
      <c r="HJ53" s="83"/>
      <c r="HK53" s="83"/>
      <c r="HL53" s="83"/>
      <c r="HM53" s="83"/>
      <c r="HN53" s="83"/>
      <c r="HO53" s="83"/>
      <c r="HP53" s="83"/>
      <c r="HQ53" s="83"/>
      <c r="HR53" s="83"/>
      <c r="HS53" s="83"/>
      <c r="HT53" s="83"/>
      <c r="HU53" s="83"/>
      <c r="HV53" s="83"/>
      <c r="HW53" s="83"/>
      <c r="HX53" s="83"/>
      <c r="HY53" s="83"/>
      <c r="HZ53" s="83"/>
      <c r="IA53" s="83"/>
      <c r="IB53" s="83"/>
      <c r="IC53" s="83"/>
      <c r="ID53" s="83"/>
      <c r="IE53" s="83"/>
      <c r="IF53" s="83"/>
      <c r="IG53" s="83"/>
    </row>
    <row r="54" spans="1:241" x14ac:dyDescent="0.3">
      <c r="A54" s="83"/>
      <c r="B54" s="17" t="s">
        <v>46</v>
      </c>
      <c r="C54" s="19">
        <v>3.6951000000000001</v>
      </c>
      <c r="D54" s="19">
        <v>0.54420000000000002</v>
      </c>
      <c r="E54" s="19">
        <v>-0.12479999999999999</v>
      </c>
      <c r="F54" s="20">
        <v>1.8</v>
      </c>
      <c r="G54" s="29">
        <v>20</v>
      </c>
      <c r="H54" s="22">
        <v>1.25</v>
      </c>
      <c r="I54" s="38"/>
      <c r="J54" s="1"/>
      <c r="K54" s="1"/>
      <c r="L54" s="1"/>
      <c r="M54" s="1"/>
      <c r="N54" s="1"/>
      <c r="O54" s="1"/>
      <c r="P54" s="1"/>
      <c r="Q54" s="1"/>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c r="DD54" s="83"/>
      <c r="DE54" s="83"/>
      <c r="DF54" s="83"/>
      <c r="DG54" s="83"/>
      <c r="DH54" s="83"/>
      <c r="DI54" s="83"/>
      <c r="DJ54" s="83"/>
      <c r="DK54" s="83"/>
      <c r="DL54" s="83"/>
      <c r="DM54" s="83"/>
      <c r="DN54" s="83"/>
      <c r="DO54" s="83"/>
      <c r="DP54" s="83"/>
      <c r="DQ54" s="83"/>
      <c r="DR54" s="83"/>
      <c r="DS54" s="83"/>
      <c r="DT54" s="83"/>
      <c r="DU54" s="83"/>
      <c r="DV54" s="83"/>
      <c r="DW54" s="83"/>
      <c r="DX54" s="83"/>
      <c r="DY54" s="83"/>
      <c r="DZ54" s="83"/>
      <c r="EA54" s="83"/>
      <c r="EB54" s="83"/>
      <c r="EC54" s="83"/>
      <c r="ED54" s="83"/>
      <c r="EE54" s="83"/>
      <c r="EF54" s="83"/>
      <c r="EG54" s="83"/>
      <c r="EH54" s="83"/>
      <c r="EI54" s="83"/>
      <c r="EJ54" s="83"/>
      <c r="EK54" s="83"/>
      <c r="EL54" s="83"/>
      <c r="EM54" s="83"/>
      <c r="EN54" s="83"/>
      <c r="EO54" s="83"/>
      <c r="EP54" s="83"/>
      <c r="EQ54" s="83"/>
      <c r="ER54" s="83"/>
      <c r="ES54" s="83"/>
      <c r="ET54" s="83"/>
      <c r="EU54" s="83"/>
      <c r="EV54" s="83"/>
      <c r="EW54" s="83"/>
      <c r="EX54" s="83"/>
      <c r="EY54" s="83"/>
      <c r="EZ54" s="83"/>
      <c r="FA54" s="83"/>
      <c r="FB54" s="83"/>
      <c r="FC54" s="83"/>
      <c r="FD54" s="83"/>
      <c r="FE54" s="83"/>
      <c r="FF54" s="83"/>
      <c r="FG54" s="83"/>
      <c r="FH54" s="83"/>
      <c r="FI54" s="83"/>
      <c r="FJ54" s="83"/>
      <c r="FK54" s="83"/>
      <c r="FL54" s="83"/>
      <c r="FM54" s="83"/>
      <c r="FN54" s="83"/>
      <c r="FO54" s="83"/>
      <c r="FP54" s="83"/>
      <c r="FQ54" s="83"/>
      <c r="FR54" s="83"/>
      <c r="FS54" s="83"/>
      <c r="FT54" s="83"/>
      <c r="FU54" s="83"/>
      <c r="FV54" s="83"/>
      <c r="FW54" s="83"/>
      <c r="FX54" s="83"/>
      <c r="FY54" s="83"/>
      <c r="FZ54" s="83"/>
      <c r="GA54" s="83"/>
      <c r="GB54" s="83"/>
      <c r="GC54" s="83"/>
      <c r="GD54" s="83"/>
      <c r="GE54" s="83"/>
      <c r="GF54" s="83"/>
      <c r="GG54" s="83"/>
      <c r="GH54" s="83"/>
      <c r="GI54" s="83"/>
      <c r="GJ54" s="83"/>
      <c r="GK54" s="83"/>
      <c r="GL54" s="83"/>
      <c r="GM54" s="83"/>
      <c r="GN54" s="83"/>
      <c r="GO54" s="83"/>
      <c r="GP54" s="83"/>
      <c r="GQ54" s="83"/>
      <c r="GR54" s="83"/>
      <c r="GS54" s="83"/>
      <c r="GT54" s="83"/>
      <c r="GU54" s="83"/>
      <c r="GV54" s="83"/>
      <c r="GW54" s="83"/>
      <c r="GX54" s="83"/>
      <c r="GY54" s="83"/>
      <c r="GZ54" s="83"/>
      <c r="HA54" s="83"/>
      <c r="HB54" s="83"/>
      <c r="HC54" s="83"/>
      <c r="HD54" s="83"/>
      <c r="HE54" s="83"/>
      <c r="HF54" s="83"/>
      <c r="HG54" s="83"/>
      <c r="HH54" s="83"/>
      <c r="HI54" s="83"/>
      <c r="HJ54" s="83"/>
      <c r="HK54" s="83"/>
      <c r="HL54" s="83"/>
      <c r="HM54" s="83"/>
      <c r="HN54" s="83"/>
      <c r="HO54" s="83"/>
      <c r="HP54" s="83"/>
      <c r="HQ54" s="83"/>
      <c r="HR54" s="83"/>
      <c r="HS54" s="83"/>
      <c r="HT54" s="83"/>
      <c r="HU54" s="83"/>
      <c r="HV54" s="83"/>
      <c r="HW54" s="83"/>
      <c r="HX54" s="83"/>
      <c r="HY54" s="83"/>
      <c r="HZ54" s="83"/>
      <c r="IA54" s="83"/>
      <c r="IB54" s="83"/>
      <c r="IC54" s="83"/>
      <c r="ID54" s="83"/>
      <c r="IE54" s="83"/>
      <c r="IF54" s="83"/>
      <c r="IG54" s="83"/>
    </row>
    <row r="55" spans="1:241" x14ac:dyDescent="0.3">
      <c r="A55" s="83"/>
      <c r="B55" s="1"/>
      <c r="C55" s="14"/>
      <c r="D55" s="14"/>
      <c r="E55" s="14"/>
      <c r="F55" s="15"/>
      <c r="G55" s="15"/>
      <c r="H55" s="1"/>
      <c r="I55" s="1"/>
      <c r="J55" s="1"/>
      <c r="K55" s="1"/>
      <c r="L55" s="1"/>
      <c r="M55" s="1"/>
      <c r="N55" s="1"/>
      <c r="O55" s="1"/>
      <c r="P55" s="1"/>
      <c r="Q55" s="1"/>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c r="DD55" s="83"/>
      <c r="DE55" s="83"/>
      <c r="DF55" s="83"/>
      <c r="DG55" s="83"/>
      <c r="DH55" s="83"/>
      <c r="DI55" s="83"/>
      <c r="DJ55" s="83"/>
      <c r="DK55" s="83"/>
      <c r="DL55" s="83"/>
      <c r="DM55" s="83"/>
      <c r="DN55" s="83"/>
      <c r="DO55" s="83"/>
      <c r="DP55" s="83"/>
      <c r="DQ55" s="83"/>
      <c r="DR55" s="83"/>
      <c r="DS55" s="83"/>
      <c r="DT55" s="83"/>
      <c r="DU55" s="83"/>
      <c r="DV55" s="83"/>
      <c r="DW55" s="83"/>
      <c r="DX55" s="83"/>
      <c r="DY55" s="83"/>
      <c r="DZ55" s="83"/>
      <c r="EA55" s="83"/>
      <c r="EB55" s="83"/>
      <c r="EC55" s="83"/>
      <c r="ED55" s="83"/>
      <c r="EE55" s="83"/>
      <c r="EF55" s="83"/>
      <c r="EG55" s="83"/>
      <c r="EH55" s="83"/>
      <c r="EI55" s="83"/>
      <c r="EJ55" s="83"/>
      <c r="EK55" s="83"/>
      <c r="EL55" s="83"/>
      <c r="EM55" s="83"/>
      <c r="EN55" s="83"/>
      <c r="EO55" s="83"/>
      <c r="EP55" s="83"/>
      <c r="EQ55" s="83"/>
      <c r="ER55" s="83"/>
      <c r="ES55" s="83"/>
      <c r="ET55" s="83"/>
      <c r="EU55" s="83"/>
      <c r="EV55" s="83"/>
      <c r="EW55" s="83"/>
      <c r="EX55" s="83"/>
      <c r="EY55" s="83"/>
      <c r="EZ55" s="83"/>
      <c r="FA55" s="83"/>
      <c r="FB55" s="83"/>
      <c r="FC55" s="83"/>
      <c r="FD55" s="83"/>
      <c r="FE55" s="83"/>
      <c r="FF55" s="83"/>
      <c r="FG55" s="83"/>
      <c r="FH55" s="83"/>
      <c r="FI55" s="83"/>
      <c r="FJ55" s="83"/>
      <c r="FK55" s="83"/>
      <c r="FL55" s="83"/>
      <c r="FM55" s="83"/>
      <c r="FN55" s="83"/>
      <c r="FO55" s="83"/>
      <c r="FP55" s="83"/>
      <c r="FQ55" s="83"/>
      <c r="FR55" s="83"/>
      <c r="FS55" s="83"/>
      <c r="FT55" s="83"/>
      <c r="FU55" s="83"/>
      <c r="FV55" s="83"/>
      <c r="FW55" s="83"/>
      <c r="FX55" s="83"/>
      <c r="FY55" s="83"/>
      <c r="FZ55" s="83"/>
      <c r="GA55" s="83"/>
      <c r="GB55" s="83"/>
      <c r="GC55" s="83"/>
      <c r="GD55" s="83"/>
      <c r="GE55" s="83"/>
      <c r="GF55" s="83"/>
      <c r="GG55" s="83"/>
      <c r="GH55" s="83"/>
      <c r="GI55" s="83"/>
      <c r="GJ55" s="83"/>
      <c r="GK55" s="83"/>
      <c r="GL55" s="83"/>
      <c r="GM55" s="83"/>
      <c r="GN55" s="83"/>
      <c r="GO55" s="83"/>
      <c r="GP55" s="83"/>
      <c r="GQ55" s="83"/>
      <c r="GR55" s="83"/>
      <c r="GS55" s="83"/>
      <c r="GT55" s="83"/>
      <c r="GU55" s="83"/>
      <c r="GV55" s="83"/>
      <c r="GW55" s="83"/>
      <c r="GX55" s="83"/>
      <c r="GY55" s="83"/>
      <c r="GZ55" s="83"/>
      <c r="HA55" s="83"/>
      <c r="HB55" s="83"/>
      <c r="HC55" s="83"/>
      <c r="HD55" s="83"/>
      <c r="HE55" s="83"/>
      <c r="HF55" s="83"/>
      <c r="HG55" s="83"/>
      <c r="HH55" s="83"/>
      <c r="HI55" s="83"/>
      <c r="HJ55" s="83"/>
      <c r="HK55" s="83"/>
      <c r="HL55" s="83"/>
      <c r="HM55" s="83"/>
      <c r="HN55" s="83"/>
      <c r="HO55" s="83"/>
      <c r="HP55" s="83"/>
      <c r="HQ55" s="83"/>
      <c r="HR55" s="83"/>
      <c r="HS55" s="83"/>
      <c r="HT55" s="83"/>
      <c r="HU55" s="83"/>
      <c r="HV55" s="83"/>
      <c r="HW55" s="83"/>
      <c r="HX55" s="83"/>
      <c r="HY55" s="83"/>
      <c r="HZ55" s="83"/>
      <c r="IA55" s="83"/>
      <c r="IB55" s="83"/>
      <c r="IC55" s="83"/>
      <c r="ID55" s="83"/>
      <c r="IE55" s="83"/>
      <c r="IF55" s="83"/>
      <c r="IG55" s="83"/>
    </row>
    <row r="56" spans="1:241" x14ac:dyDescent="0.3">
      <c r="A56" s="83"/>
      <c r="B56" s="1"/>
      <c r="C56" s="1"/>
      <c r="D56" s="14"/>
      <c r="E56" s="14"/>
      <c r="F56" s="1"/>
      <c r="G56" s="15"/>
      <c r="H56" s="1"/>
      <c r="I56" s="1"/>
      <c r="J56" s="1"/>
      <c r="K56" s="1"/>
      <c r="L56" s="1"/>
      <c r="M56" s="1"/>
      <c r="N56" s="1"/>
      <c r="O56" s="1"/>
      <c r="P56" s="1"/>
      <c r="Q56" s="1"/>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c r="DD56" s="83"/>
      <c r="DE56" s="83"/>
      <c r="DF56" s="83"/>
      <c r="DG56" s="83"/>
      <c r="DH56" s="83"/>
      <c r="DI56" s="83"/>
      <c r="DJ56" s="83"/>
      <c r="DK56" s="83"/>
      <c r="DL56" s="83"/>
      <c r="DM56" s="83"/>
      <c r="DN56" s="83"/>
      <c r="DO56" s="83"/>
      <c r="DP56" s="83"/>
      <c r="DQ56" s="83"/>
      <c r="DR56" s="83"/>
      <c r="DS56" s="83"/>
      <c r="DT56" s="83"/>
      <c r="DU56" s="83"/>
      <c r="DV56" s="83"/>
      <c r="DW56" s="83"/>
      <c r="DX56" s="83"/>
      <c r="DY56" s="83"/>
      <c r="DZ56" s="83"/>
      <c r="EA56" s="83"/>
      <c r="EB56" s="83"/>
      <c r="EC56" s="83"/>
      <c r="ED56" s="83"/>
      <c r="EE56" s="83"/>
      <c r="EF56" s="83"/>
      <c r="EG56" s="83"/>
      <c r="EH56" s="83"/>
      <c r="EI56" s="83"/>
      <c r="EJ56" s="83"/>
      <c r="EK56" s="83"/>
      <c r="EL56" s="83"/>
      <c r="EM56" s="83"/>
      <c r="EN56" s="83"/>
      <c r="EO56" s="83"/>
      <c r="EP56" s="83"/>
      <c r="EQ56" s="83"/>
      <c r="ER56" s="83"/>
      <c r="ES56" s="83"/>
      <c r="ET56" s="83"/>
      <c r="EU56" s="83"/>
      <c r="EV56" s="83"/>
      <c r="EW56" s="83"/>
      <c r="EX56" s="83"/>
      <c r="EY56" s="83"/>
      <c r="EZ56" s="83"/>
      <c r="FA56" s="83"/>
      <c r="FB56" s="83"/>
      <c r="FC56" s="83"/>
      <c r="FD56" s="83"/>
      <c r="FE56" s="83"/>
      <c r="FF56" s="83"/>
      <c r="FG56" s="83"/>
      <c r="FH56" s="83"/>
      <c r="FI56" s="83"/>
      <c r="FJ56" s="83"/>
      <c r="FK56" s="83"/>
      <c r="FL56" s="83"/>
      <c r="FM56" s="83"/>
      <c r="FN56" s="83"/>
      <c r="FO56" s="83"/>
      <c r="FP56" s="83"/>
      <c r="FQ56" s="83"/>
      <c r="FR56" s="83"/>
      <c r="FS56" s="83"/>
      <c r="FT56" s="83"/>
      <c r="FU56" s="83"/>
      <c r="FV56" s="83"/>
      <c r="FW56" s="83"/>
      <c r="FX56" s="83"/>
      <c r="FY56" s="83"/>
      <c r="FZ56" s="83"/>
      <c r="GA56" s="83"/>
      <c r="GB56" s="83"/>
      <c r="GC56" s="83"/>
      <c r="GD56" s="83"/>
      <c r="GE56" s="83"/>
      <c r="GF56" s="83"/>
      <c r="GG56" s="83"/>
      <c r="GH56" s="83"/>
      <c r="GI56" s="83"/>
      <c r="GJ56" s="83"/>
      <c r="GK56" s="83"/>
      <c r="GL56" s="83"/>
      <c r="GM56" s="83"/>
      <c r="GN56" s="83"/>
      <c r="GO56" s="83"/>
      <c r="GP56" s="83"/>
      <c r="GQ56" s="83"/>
      <c r="GR56" s="83"/>
      <c r="GS56" s="83"/>
      <c r="GT56" s="83"/>
      <c r="GU56" s="83"/>
      <c r="GV56" s="83"/>
      <c r="GW56" s="83"/>
      <c r="GX56" s="83"/>
      <c r="GY56" s="83"/>
      <c r="GZ56" s="83"/>
      <c r="HA56" s="83"/>
      <c r="HB56" s="83"/>
      <c r="HC56" s="83"/>
      <c r="HD56" s="83"/>
      <c r="HE56" s="83"/>
      <c r="HF56" s="83"/>
      <c r="HG56" s="83"/>
      <c r="HH56" s="83"/>
      <c r="HI56" s="83"/>
      <c r="HJ56" s="83"/>
      <c r="HK56" s="83"/>
      <c r="HL56" s="83"/>
      <c r="HM56" s="83"/>
      <c r="HN56" s="83"/>
      <c r="HO56" s="83"/>
      <c r="HP56" s="83"/>
      <c r="HQ56" s="83"/>
      <c r="HR56" s="83"/>
      <c r="HS56" s="83"/>
      <c r="HT56" s="83"/>
      <c r="HU56" s="83"/>
      <c r="HV56" s="83"/>
      <c r="HW56" s="83"/>
      <c r="HX56" s="83"/>
      <c r="HY56" s="83"/>
      <c r="HZ56" s="83"/>
      <c r="IA56" s="83"/>
      <c r="IB56" s="83"/>
      <c r="IC56" s="83"/>
      <c r="ID56" s="83"/>
      <c r="IE56" s="83"/>
      <c r="IF56" s="83"/>
      <c r="IG56" s="83"/>
    </row>
    <row r="57" spans="1:241" x14ac:dyDescent="0.3">
      <c r="A57" s="83"/>
      <c r="B57" s="2" t="s">
        <v>247</v>
      </c>
      <c r="C57" s="1"/>
      <c r="D57" s="14"/>
      <c r="E57" s="14"/>
      <c r="F57" s="1"/>
      <c r="G57" s="15"/>
      <c r="H57" s="1"/>
      <c r="I57" s="1"/>
      <c r="J57" s="1"/>
      <c r="K57" s="1"/>
      <c r="L57" s="1"/>
      <c r="M57" s="1"/>
      <c r="N57" s="1"/>
      <c r="O57" s="1"/>
      <c r="P57" s="1"/>
      <c r="Q57" s="1"/>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c r="DD57" s="83"/>
      <c r="DE57" s="83"/>
      <c r="DF57" s="83"/>
      <c r="DG57" s="83"/>
      <c r="DH57" s="83"/>
      <c r="DI57" s="83"/>
      <c r="DJ57" s="83"/>
      <c r="DK57" s="83"/>
      <c r="DL57" s="83"/>
      <c r="DM57" s="83"/>
      <c r="DN57" s="83"/>
      <c r="DO57" s="83"/>
      <c r="DP57" s="83"/>
      <c r="DQ57" s="83"/>
      <c r="DR57" s="83"/>
      <c r="DS57" s="83"/>
      <c r="DT57" s="83"/>
      <c r="DU57" s="83"/>
      <c r="DV57" s="83"/>
      <c r="DW57" s="83"/>
      <c r="DX57" s="83"/>
      <c r="DY57" s="83"/>
      <c r="DZ57" s="83"/>
      <c r="EA57" s="83"/>
      <c r="EB57" s="83"/>
      <c r="EC57" s="83"/>
      <c r="ED57" s="83"/>
      <c r="EE57" s="83"/>
      <c r="EF57" s="83"/>
      <c r="EG57" s="83"/>
      <c r="EH57" s="83"/>
      <c r="EI57" s="83"/>
      <c r="EJ57" s="83"/>
      <c r="EK57" s="83"/>
      <c r="EL57" s="83"/>
      <c r="EM57" s="83"/>
      <c r="EN57" s="83"/>
      <c r="EO57" s="83"/>
      <c r="EP57" s="83"/>
      <c r="EQ57" s="83"/>
      <c r="ER57" s="83"/>
      <c r="ES57" s="83"/>
      <c r="ET57" s="83"/>
      <c r="EU57" s="83"/>
      <c r="EV57" s="83"/>
      <c r="EW57" s="83"/>
      <c r="EX57" s="83"/>
      <c r="EY57" s="83"/>
      <c r="EZ57" s="83"/>
      <c r="FA57" s="83"/>
      <c r="FB57" s="83"/>
      <c r="FC57" s="83"/>
      <c r="FD57" s="83"/>
      <c r="FE57" s="83"/>
      <c r="FF57" s="83"/>
      <c r="FG57" s="83"/>
      <c r="FH57" s="83"/>
      <c r="FI57" s="83"/>
      <c r="FJ57" s="83"/>
      <c r="FK57" s="83"/>
      <c r="FL57" s="83"/>
      <c r="FM57" s="83"/>
      <c r="FN57" s="83"/>
      <c r="FO57" s="83"/>
      <c r="FP57" s="83"/>
      <c r="FQ57" s="83"/>
      <c r="FR57" s="83"/>
      <c r="FS57" s="83"/>
      <c r="FT57" s="83"/>
      <c r="FU57" s="83"/>
      <c r="FV57" s="83"/>
      <c r="FW57" s="83"/>
      <c r="FX57" s="83"/>
      <c r="FY57" s="83"/>
      <c r="FZ57" s="83"/>
      <c r="GA57" s="83"/>
      <c r="GB57" s="83"/>
      <c r="GC57" s="83"/>
      <c r="GD57" s="83"/>
      <c r="GE57" s="83"/>
      <c r="GF57" s="83"/>
      <c r="GG57" s="83"/>
      <c r="GH57" s="83"/>
      <c r="GI57" s="83"/>
      <c r="GJ57" s="83"/>
      <c r="GK57" s="83"/>
      <c r="GL57" s="83"/>
      <c r="GM57" s="83"/>
      <c r="GN57" s="83"/>
      <c r="GO57" s="83"/>
      <c r="GP57" s="83"/>
      <c r="GQ57" s="83"/>
      <c r="GR57" s="83"/>
      <c r="GS57" s="83"/>
      <c r="GT57" s="83"/>
      <c r="GU57" s="83"/>
      <c r="GV57" s="83"/>
      <c r="GW57" s="83"/>
      <c r="GX57" s="83"/>
      <c r="GY57" s="83"/>
      <c r="GZ57" s="83"/>
      <c r="HA57" s="83"/>
      <c r="HB57" s="83"/>
      <c r="HC57" s="83"/>
      <c r="HD57" s="83"/>
      <c r="HE57" s="83"/>
      <c r="HF57" s="83"/>
      <c r="HG57" s="83"/>
      <c r="HH57" s="83"/>
      <c r="HI57" s="83"/>
      <c r="HJ57" s="83"/>
      <c r="HK57" s="83"/>
      <c r="HL57" s="83"/>
      <c r="HM57" s="83"/>
      <c r="HN57" s="83"/>
      <c r="HO57" s="83"/>
      <c r="HP57" s="83"/>
      <c r="HQ57" s="83"/>
      <c r="HR57" s="83"/>
      <c r="HS57" s="83"/>
      <c r="HT57" s="83"/>
      <c r="HU57" s="83"/>
      <c r="HV57" s="83"/>
      <c r="HW57" s="83"/>
      <c r="HX57" s="83"/>
      <c r="HY57" s="83"/>
      <c r="HZ57" s="83"/>
      <c r="IA57" s="83"/>
      <c r="IB57" s="83"/>
      <c r="IC57" s="83"/>
      <c r="ID57" s="83"/>
      <c r="IE57" s="83"/>
      <c r="IF57" s="83"/>
      <c r="IG57" s="83"/>
    </row>
    <row r="58" spans="1:241" ht="16.8" x14ac:dyDescent="0.35">
      <c r="A58" s="83"/>
      <c r="B58" s="3" t="s">
        <v>47</v>
      </c>
      <c r="C58" s="4" t="s">
        <v>1</v>
      </c>
      <c r="D58" s="4" t="s">
        <v>2</v>
      </c>
      <c r="E58" s="4" t="s">
        <v>3</v>
      </c>
      <c r="F58" s="4" t="s">
        <v>48</v>
      </c>
      <c r="G58" s="5" t="s">
        <v>49</v>
      </c>
      <c r="H58" s="6" t="s">
        <v>6</v>
      </c>
      <c r="I58" s="1"/>
      <c r="J58" s="1"/>
      <c r="K58" s="1"/>
      <c r="L58" s="1"/>
      <c r="M58" s="1"/>
      <c r="N58" s="1"/>
      <c r="O58" s="1"/>
      <c r="P58" s="1"/>
      <c r="Q58" s="1"/>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c r="DD58" s="83"/>
      <c r="DE58" s="83"/>
      <c r="DF58" s="83"/>
      <c r="DG58" s="83"/>
      <c r="DH58" s="83"/>
      <c r="DI58" s="83"/>
      <c r="DJ58" s="83"/>
      <c r="DK58" s="83"/>
      <c r="DL58" s="83"/>
      <c r="DM58" s="83"/>
      <c r="DN58" s="83"/>
      <c r="DO58" s="83"/>
      <c r="DP58" s="83"/>
      <c r="DQ58" s="83"/>
      <c r="DR58" s="83"/>
      <c r="DS58" s="83"/>
      <c r="DT58" s="83"/>
      <c r="DU58" s="83"/>
      <c r="DV58" s="83"/>
      <c r="DW58" s="83"/>
      <c r="DX58" s="83"/>
      <c r="DY58" s="83"/>
      <c r="DZ58" s="83"/>
      <c r="EA58" s="83"/>
      <c r="EB58" s="83"/>
      <c r="EC58" s="83"/>
      <c r="ED58" s="83"/>
      <c r="EE58" s="83"/>
      <c r="EF58" s="83"/>
      <c r="EG58" s="83"/>
      <c r="EH58" s="83"/>
      <c r="EI58" s="83"/>
      <c r="EJ58" s="83"/>
      <c r="EK58" s="83"/>
      <c r="EL58" s="83"/>
      <c r="EM58" s="83"/>
      <c r="EN58" s="83"/>
      <c r="EO58" s="83"/>
      <c r="EP58" s="83"/>
      <c r="EQ58" s="83"/>
      <c r="ER58" s="83"/>
      <c r="ES58" s="83"/>
      <c r="ET58" s="83"/>
      <c r="EU58" s="83"/>
      <c r="EV58" s="83"/>
      <c r="EW58" s="83"/>
      <c r="EX58" s="83"/>
      <c r="EY58" s="83"/>
      <c r="EZ58" s="83"/>
      <c r="FA58" s="83"/>
      <c r="FB58" s="83"/>
      <c r="FC58" s="83"/>
      <c r="FD58" s="83"/>
      <c r="FE58" s="83"/>
      <c r="FF58" s="83"/>
      <c r="FG58" s="83"/>
      <c r="FH58" s="83"/>
      <c r="FI58" s="83"/>
      <c r="FJ58" s="83"/>
      <c r="FK58" s="83"/>
      <c r="FL58" s="83"/>
      <c r="FM58" s="83"/>
      <c r="FN58" s="83"/>
      <c r="FO58" s="83"/>
      <c r="FP58" s="83"/>
      <c r="FQ58" s="83"/>
      <c r="FR58" s="83"/>
      <c r="FS58" s="83"/>
      <c r="FT58" s="83"/>
      <c r="FU58" s="83"/>
      <c r="FV58" s="83"/>
      <c r="FW58" s="83"/>
      <c r="FX58" s="83"/>
      <c r="FY58" s="83"/>
      <c r="FZ58" s="83"/>
      <c r="GA58" s="83"/>
      <c r="GB58" s="83"/>
      <c r="GC58" s="83"/>
      <c r="GD58" s="83"/>
      <c r="GE58" s="83"/>
      <c r="GF58" s="83"/>
      <c r="GG58" s="83"/>
      <c r="GH58" s="83"/>
      <c r="GI58" s="83"/>
      <c r="GJ58" s="83"/>
      <c r="GK58" s="83"/>
      <c r="GL58" s="83"/>
      <c r="GM58" s="83"/>
      <c r="GN58" s="83"/>
      <c r="GO58" s="83"/>
      <c r="GP58" s="83"/>
      <c r="GQ58" s="83"/>
      <c r="GR58" s="83"/>
      <c r="GS58" s="83"/>
      <c r="GT58" s="83"/>
      <c r="GU58" s="83"/>
      <c r="GV58" s="83"/>
      <c r="GW58" s="83"/>
      <c r="GX58" s="83"/>
      <c r="GY58" s="83"/>
      <c r="GZ58" s="83"/>
      <c r="HA58" s="83"/>
      <c r="HB58" s="83"/>
      <c r="HC58" s="83"/>
      <c r="HD58" s="83"/>
      <c r="HE58" s="83"/>
      <c r="HF58" s="83"/>
      <c r="HG58" s="83"/>
      <c r="HH58" s="83"/>
      <c r="HI58" s="83"/>
      <c r="HJ58" s="83"/>
      <c r="HK58" s="83"/>
      <c r="HL58" s="83"/>
      <c r="HM58" s="83"/>
      <c r="HN58" s="83"/>
      <c r="HO58" s="83"/>
      <c r="HP58" s="83"/>
      <c r="HQ58" s="83"/>
      <c r="HR58" s="83"/>
      <c r="HS58" s="83"/>
      <c r="HT58" s="83"/>
      <c r="HU58" s="83"/>
      <c r="HV58" s="83"/>
      <c r="HW58" s="83"/>
      <c r="HX58" s="83"/>
      <c r="HY58" s="83"/>
      <c r="HZ58" s="83"/>
      <c r="IA58" s="83"/>
      <c r="IB58" s="83"/>
      <c r="IC58" s="83"/>
      <c r="ID58" s="83"/>
      <c r="IE58" s="83"/>
      <c r="IF58" s="83"/>
      <c r="IG58" s="83"/>
    </row>
    <row r="59" spans="1:241" x14ac:dyDescent="0.3">
      <c r="A59" s="83"/>
      <c r="B59" s="7" t="s">
        <v>50</v>
      </c>
      <c r="C59" s="25">
        <v>4.5007000000000001</v>
      </c>
      <c r="D59" s="25">
        <v>0.41820000000000002</v>
      </c>
      <c r="E59" s="25">
        <v>8.1299999999999997E-2</v>
      </c>
      <c r="F59" s="26">
        <v>0.08</v>
      </c>
      <c r="G59" s="24">
        <v>350</v>
      </c>
      <c r="H59" s="27">
        <v>2.86</v>
      </c>
      <c r="I59" s="38"/>
      <c r="J59" s="1"/>
      <c r="K59" s="1"/>
      <c r="L59" s="1"/>
      <c r="M59" s="1"/>
      <c r="N59" s="1"/>
      <c r="O59" s="1"/>
      <c r="P59" s="1"/>
      <c r="Q59" s="1"/>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row>
    <row r="60" spans="1:241" x14ac:dyDescent="0.3">
      <c r="A60" s="83"/>
      <c r="B60" s="12" t="s">
        <v>51</v>
      </c>
      <c r="C60" s="14">
        <v>3.6297999999999999</v>
      </c>
      <c r="D60" s="14">
        <f>1-0.4991</f>
        <v>0.50090000000000001</v>
      </c>
      <c r="E60" s="14">
        <v>4.1099999999999998E-2</v>
      </c>
      <c r="F60" s="15">
        <v>0.06</v>
      </c>
      <c r="G60" s="28">
        <v>200</v>
      </c>
      <c r="H60" s="10">
        <v>2.86</v>
      </c>
      <c r="I60" s="38"/>
      <c r="J60" s="1"/>
      <c r="K60" s="1"/>
      <c r="L60" s="1"/>
      <c r="M60" s="1"/>
      <c r="N60" s="1"/>
      <c r="O60" s="1"/>
      <c r="P60" s="1"/>
      <c r="Q60" s="1"/>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row>
    <row r="61" spans="1:241" x14ac:dyDescent="0.3">
      <c r="A61" s="83"/>
      <c r="B61" s="39" t="s">
        <v>52</v>
      </c>
      <c r="C61" s="14"/>
      <c r="D61" s="14"/>
      <c r="E61" s="14"/>
      <c r="F61" s="15"/>
      <c r="G61" s="28"/>
      <c r="H61" s="10"/>
      <c r="I61" s="1"/>
      <c r="J61" s="1"/>
      <c r="K61" s="1"/>
      <c r="L61" s="1"/>
      <c r="M61" s="1"/>
      <c r="N61" s="1"/>
      <c r="O61" s="1"/>
      <c r="P61" s="1"/>
      <c r="Q61" s="1"/>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c r="DD61" s="83"/>
      <c r="DE61" s="83"/>
      <c r="DF61" s="83"/>
      <c r="DG61" s="83"/>
      <c r="DH61" s="83"/>
      <c r="DI61" s="83"/>
      <c r="DJ61" s="83"/>
      <c r="DK61" s="83"/>
      <c r="DL61" s="83"/>
      <c r="DM61" s="83"/>
      <c r="DN61" s="83"/>
      <c r="DO61" s="83"/>
      <c r="DP61" s="83"/>
      <c r="DQ61" s="83"/>
      <c r="DR61" s="83"/>
      <c r="DS61" s="83"/>
      <c r="DT61" s="83"/>
      <c r="DU61" s="83"/>
      <c r="DV61" s="83"/>
      <c r="DW61" s="83"/>
      <c r="DX61" s="83"/>
      <c r="DY61" s="83"/>
      <c r="DZ61" s="83"/>
      <c r="EA61" s="83"/>
      <c r="EB61" s="83"/>
      <c r="EC61" s="83"/>
      <c r="ED61" s="83"/>
      <c r="EE61" s="83"/>
      <c r="EF61" s="83"/>
      <c r="EG61" s="83"/>
      <c r="EH61" s="83"/>
      <c r="EI61" s="83"/>
      <c r="EJ61" s="83"/>
      <c r="EK61" s="83"/>
      <c r="EL61" s="83"/>
      <c r="EM61" s="83"/>
      <c r="EN61" s="83"/>
      <c r="EO61" s="83"/>
      <c r="EP61" s="83"/>
      <c r="EQ61" s="83"/>
      <c r="ER61" s="83"/>
      <c r="ES61" s="83"/>
      <c r="ET61" s="83"/>
      <c r="EU61" s="83"/>
      <c r="EV61" s="83"/>
      <c r="EW61" s="83"/>
      <c r="EX61" s="83"/>
      <c r="EY61" s="83"/>
      <c r="EZ61" s="83"/>
      <c r="FA61" s="83"/>
      <c r="FB61" s="83"/>
      <c r="FC61" s="83"/>
      <c r="FD61" s="83"/>
      <c r="FE61" s="83"/>
      <c r="FF61" s="83"/>
      <c r="FG61" s="83"/>
      <c r="FH61" s="83"/>
      <c r="FI61" s="83"/>
      <c r="FJ61" s="83"/>
      <c r="FK61" s="83"/>
      <c r="FL61" s="83"/>
      <c r="FM61" s="83"/>
      <c r="FN61" s="83"/>
      <c r="FO61" s="83"/>
      <c r="FP61" s="83"/>
      <c r="FQ61" s="83"/>
      <c r="FR61" s="83"/>
      <c r="FS61" s="83"/>
      <c r="FT61" s="83"/>
      <c r="FU61" s="83"/>
      <c r="FV61" s="83"/>
      <c r="FW61" s="83"/>
      <c r="FX61" s="83"/>
      <c r="FY61" s="83"/>
      <c r="FZ61" s="83"/>
      <c r="GA61" s="83"/>
      <c r="GB61" s="83"/>
      <c r="GC61" s="83"/>
      <c r="GD61" s="83"/>
      <c r="GE61" s="83"/>
      <c r="GF61" s="83"/>
      <c r="GG61" s="83"/>
      <c r="GH61" s="83"/>
      <c r="GI61" s="83"/>
      <c r="GJ61" s="83"/>
      <c r="GK61" s="83"/>
      <c r="GL61" s="83"/>
      <c r="GM61" s="83"/>
      <c r="GN61" s="83"/>
      <c r="GO61" s="83"/>
      <c r="GP61" s="83"/>
      <c r="GQ61" s="83"/>
      <c r="GR61" s="83"/>
      <c r="GS61" s="83"/>
      <c r="GT61" s="83"/>
      <c r="GU61" s="83"/>
      <c r="GV61" s="83"/>
      <c r="GW61" s="83"/>
      <c r="GX61" s="83"/>
      <c r="GY61" s="83"/>
      <c r="GZ61" s="83"/>
      <c r="HA61" s="83"/>
      <c r="HB61" s="83"/>
      <c r="HC61" s="83"/>
      <c r="HD61" s="83"/>
      <c r="HE61" s="83"/>
      <c r="HF61" s="83"/>
      <c r="HG61" s="83"/>
      <c r="HH61" s="83"/>
      <c r="HI61" s="83"/>
      <c r="HJ61" s="83"/>
      <c r="HK61" s="83"/>
      <c r="HL61" s="83"/>
      <c r="HM61" s="83"/>
      <c r="HN61" s="83"/>
      <c r="HO61" s="83"/>
      <c r="HP61" s="83"/>
      <c r="HQ61" s="83"/>
      <c r="HR61" s="83"/>
      <c r="HS61" s="83"/>
      <c r="HT61" s="83"/>
      <c r="HU61" s="83"/>
      <c r="HV61" s="83"/>
      <c r="HW61" s="83"/>
      <c r="HX61" s="83"/>
      <c r="HY61" s="83"/>
      <c r="HZ61" s="83"/>
      <c r="IA61" s="83"/>
      <c r="IB61" s="83"/>
      <c r="IC61" s="83"/>
      <c r="ID61" s="83"/>
      <c r="IE61" s="83"/>
      <c r="IF61" s="83"/>
      <c r="IG61" s="83"/>
    </row>
    <row r="62" spans="1:241" x14ac:dyDescent="0.3">
      <c r="A62" s="83"/>
      <c r="B62" s="39" t="s">
        <v>53</v>
      </c>
      <c r="C62" s="14"/>
      <c r="D62" s="14"/>
      <c r="E62" s="14"/>
      <c r="F62" s="15"/>
      <c r="G62" s="28"/>
      <c r="H62" s="10"/>
      <c r="I62" s="1"/>
      <c r="J62" s="1"/>
      <c r="K62" s="1"/>
      <c r="L62" s="1"/>
      <c r="M62" s="1"/>
      <c r="N62" s="1"/>
      <c r="O62" s="1"/>
      <c r="P62" s="1"/>
      <c r="Q62" s="1"/>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c r="DD62" s="83"/>
      <c r="DE62" s="83"/>
      <c r="DF62" s="83"/>
      <c r="DG62" s="83"/>
      <c r="DH62" s="83"/>
      <c r="DI62" s="83"/>
      <c r="DJ62" s="83"/>
      <c r="DK62" s="83"/>
      <c r="DL62" s="83"/>
      <c r="DM62" s="83"/>
      <c r="DN62" s="83"/>
      <c r="DO62" s="83"/>
      <c r="DP62" s="83"/>
      <c r="DQ62" s="83"/>
      <c r="DR62" s="83"/>
      <c r="DS62" s="83"/>
      <c r="DT62" s="83"/>
      <c r="DU62" s="83"/>
      <c r="DV62" s="83"/>
      <c r="DW62" s="83"/>
      <c r="DX62" s="83"/>
      <c r="DY62" s="83"/>
      <c r="DZ62" s="83"/>
      <c r="EA62" s="83"/>
      <c r="EB62" s="83"/>
      <c r="EC62" s="83"/>
      <c r="ED62" s="83"/>
      <c r="EE62" s="83"/>
      <c r="EF62" s="83"/>
      <c r="EG62" s="83"/>
      <c r="EH62" s="83"/>
      <c r="EI62" s="83"/>
      <c r="EJ62" s="83"/>
      <c r="EK62" s="83"/>
      <c r="EL62" s="83"/>
      <c r="EM62" s="83"/>
      <c r="EN62" s="83"/>
      <c r="EO62" s="83"/>
      <c r="EP62" s="83"/>
      <c r="EQ62" s="83"/>
      <c r="ER62" s="83"/>
      <c r="ES62" s="83"/>
      <c r="ET62" s="83"/>
      <c r="EU62" s="83"/>
      <c r="EV62" s="83"/>
      <c r="EW62" s="83"/>
      <c r="EX62" s="83"/>
      <c r="EY62" s="83"/>
      <c r="EZ62" s="83"/>
      <c r="FA62" s="83"/>
      <c r="FB62" s="83"/>
      <c r="FC62" s="83"/>
      <c r="FD62" s="83"/>
      <c r="FE62" s="83"/>
      <c r="FF62" s="83"/>
      <c r="FG62" s="83"/>
      <c r="FH62" s="83"/>
      <c r="FI62" s="83"/>
      <c r="FJ62" s="83"/>
      <c r="FK62" s="83"/>
      <c r="FL62" s="83"/>
      <c r="FM62" s="83"/>
      <c r="FN62" s="83"/>
      <c r="FO62" s="83"/>
      <c r="FP62" s="83"/>
      <c r="FQ62" s="83"/>
      <c r="FR62" s="83"/>
      <c r="FS62" s="83"/>
      <c r="FT62" s="83"/>
      <c r="FU62" s="83"/>
      <c r="FV62" s="83"/>
      <c r="FW62" s="83"/>
      <c r="FX62" s="83"/>
      <c r="FY62" s="83"/>
      <c r="FZ62" s="83"/>
      <c r="GA62" s="83"/>
      <c r="GB62" s="83"/>
      <c r="GC62" s="83"/>
      <c r="GD62" s="83"/>
      <c r="GE62" s="83"/>
      <c r="GF62" s="83"/>
      <c r="GG62" s="83"/>
      <c r="GH62" s="83"/>
      <c r="GI62" s="83"/>
      <c r="GJ62" s="83"/>
      <c r="GK62" s="83"/>
      <c r="GL62" s="83"/>
      <c r="GM62" s="83"/>
      <c r="GN62" s="83"/>
      <c r="GO62" s="83"/>
      <c r="GP62" s="83"/>
      <c r="GQ62" s="83"/>
      <c r="GR62" s="83"/>
      <c r="GS62" s="83"/>
      <c r="GT62" s="83"/>
      <c r="GU62" s="83"/>
      <c r="GV62" s="83"/>
      <c r="GW62" s="83"/>
      <c r="GX62" s="83"/>
      <c r="GY62" s="83"/>
      <c r="GZ62" s="83"/>
      <c r="HA62" s="83"/>
      <c r="HB62" s="83"/>
      <c r="HC62" s="83"/>
      <c r="HD62" s="83"/>
      <c r="HE62" s="83"/>
      <c r="HF62" s="83"/>
      <c r="HG62" s="83"/>
      <c r="HH62" s="83"/>
      <c r="HI62" s="83"/>
      <c r="HJ62" s="83"/>
      <c r="HK62" s="83"/>
      <c r="HL62" s="83"/>
      <c r="HM62" s="83"/>
      <c r="HN62" s="83"/>
      <c r="HO62" s="83"/>
      <c r="HP62" s="83"/>
      <c r="HQ62" s="83"/>
      <c r="HR62" s="83"/>
      <c r="HS62" s="83"/>
      <c r="HT62" s="83"/>
      <c r="HU62" s="83"/>
      <c r="HV62" s="83"/>
      <c r="HW62" s="83"/>
      <c r="HX62" s="83"/>
      <c r="HY62" s="83"/>
      <c r="HZ62" s="83"/>
      <c r="IA62" s="83"/>
      <c r="IB62" s="83"/>
      <c r="IC62" s="83"/>
      <c r="ID62" s="83"/>
      <c r="IE62" s="83"/>
      <c r="IF62" s="83"/>
      <c r="IG62" s="83"/>
    </row>
    <row r="63" spans="1:241" x14ac:dyDescent="0.3">
      <c r="A63" s="83"/>
      <c r="B63" s="39" t="s">
        <v>54</v>
      </c>
      <c r="C63" s="14"/>
      <c r="D63" s="14"/>
      <c r="E63" s="14"/>
      <c r="F63" s="15"/>
      <c r="G63" s="28"/>
      <c r="H63" s="10"/>
      <c r="I63" s="1"/>
      <c r="J63" s="1"/>
      <c r="K63" s="1"/>
      <c r="L63" s="1"/>
      <c r="M63" s="1"/>
      <c r="N63" s="1"/>
      <c r="O63" s="1"/>
      <c r="P63" s="1"/>
      <c r="Q63" s="1"/>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c r="DD63" s="83"/>
      <c r="DE63" s="83"/>
      <c r="DF63" s="83"/>
      <c r="DG63" s="83"/>
      <c r="DH63" s="83"/>
      <c r="DI63" s="83"/>
      <c r="DJ63" s="83"/>
      <c r="DK63" s="83"/>
      <c r="DL63" s="83"/>
      <c r="DM63" s="83"/>
      <c r="DN63" s="83"/>
      <c r="DO63" s="83"/>
      <c r="DP63" s="83"/>
      <c r="DQ63" s="83"/>
      <c r="DR63" s="83"/>
      <c r="DS63" s="83"/>
      <c r="DT63" s="83"/>
      <c r="DU63" s="83"/>
      <c r="DV63" s="83"/>
      <c r="DW63" s="83"/>
      <c r="DX63" s="83"/>
      <c r="DY63" s="83"/>
      <c r="DZ63" s="83"/>
      <c r="EA63" s="83"/>
      <c r="EB63" s="83"/>
      <c r="EC63" s="83"/>
      <c r="ED63" s="83"/>
      <c r="EE63" s="83"/>
      <c r="EF63" s="83"/>
      <c r="EG63" s="83"/>
      <c r="EH63" s="83"/>
      <c r="EI63" s="83"/>
      <c r="EJ63" s="83"/>
      <c r="EK63" s="83"/>
      <c r="EL63" s="83"/>
      <c r="EM63" s="83"/>
      <c r="EN63" s="83"/>
      <c r="EO63" s="83"/>
      <c r="EP63" s="83"/>
      <c r="EQ63" s="83"/>
      <c r="ER63" s="83"/>
      <c r="ES63" s="83"/>
      <c r="ET63" s="83"/>
      <c r="EU63" s="83"/>
      <c r="EV63" s="83"/>
      <c r="EW63" s="83"/>
      <c r="EX63" s="83"/>
      <c r="EY63" s="83"/>
      <c r="EZ63" s="83"/>
      <c r="FA63" s="83"/>
      <c r="FB63" s="83"/>
      <c r="FC63" s="83"/>
      <c r="FD63" s="83"/>
      <c r="FE63" s="83"/>
      <c r="FF63" s="83"/>
      <c r="FG63" s="83"/>
      <c r="FH63" s="83"/>
      <c r="FI63" s="83"/>
      <c r="FJ63" s="83"/>
      <c r="FK63" s="83"/>
      <c r="FL63" s="83"/>
      <c r="FM63" s="83"/>
      <c r="FN63" s="83"/>
      <c r="FO63" s="83"/>
      <c r="FP63" s="83"/>
      <c r="FQ63" s="83"/>
      <c r="FR63" s="83"/>
      <c r="FS63" s="83"/>
      <c r="FT63" s="83"/>
      <c r="FU63" s="83"/>
      <c r="FV63" s="83"/>
      <c r="FW63" s="83"/>
      <c r="FX63" s="83"/>
      <c r="FY63" s="83"/>
      <c r="FZ63" s="83"/>
      <c r="GA63" s="83"/>
      <c r="GB63" s="83"/>
      <c r="GC63" s="83"/>
      <c r="GD63" s="83"/>
      <c r="GE63" s="83"/>
      <c r="GF63" s="83"/>
      <c r="GG63" s="83"/>
      <c r="GH63" s="83"/>
      <c r="GI63" s="83"/>
      <c r="GJ63" s="83"/>
      <c r="GK63" s="83"/>
      <c r="GL63" s="83"/>
      <c r="GM63" s="83"/>
      <c r="GN63" s="83"/>
      <c r="GO63" s="83"/>
      <c r="GP63" s="83"/>
      <c r="GQ63" s="83"/>
      <c r="GR63" s="83"/>
      <c r="GS63" s="83"/>
      <c r="GT63" s="83"/>
      <c r="GU63" s="83"/>
      <c r="GV63" s="83"/>
      <c r="GW63" s="83"/>
      <c r="GX63" s="83"/>
      <c r="GY63" s="83"/>
      <c r="GZ63" s="83"/>
      <c r="HA63" s="83"/>
      <c r="HB63" s="83"/>
      <c r="HC63" s="83"/>
      <c r="HD63" s="83"/>
      <c r="HE63" s="83"/>
      <c r="HF63" s="83"/>
      <c r="HG63" s="83"/>
      <c r="HH63" s="83"/>
      <c r="HI63" s="83"/>
      <c r="HJ63" s="83"/>
      <c r="HK63" s="83"/>
      <c r="HL63" s="83"/>
      <c r="HM63" s="83"/>
      <c r="HN63" s="83"/>
      <c r="HO63" s="83"/>
      <c r="HP63" s="83"/>
      <c r="HQ63" s="83"/>
      <c r="HR63" s="83"/>
      <c r="HS63" s="83"/>
      <c r="HT63" s="83"/>
      <c r="HU63" s="83"/>
      <c r="HV63" s="83"/>
      <c r="HW63" s="83"/>
      <c r="HX63" s="83"/>
      <c r="HY63" s="83"/>
      <c r="HZ63" s="83"/>
      <c r="IA63" s="83"/>
      <c r="IB63" s="83"/>
      <c r="IC63" s="83"/>
      <c r="ID63" s="83"/>
      <c r="IE63" s="83"/>
      <c r="IF63" s="83"/>
      <c r="IG63" s="83"/>
    </row>
    <row r="64" spans="1:241" x14ac:dyDescent="0.3">
      <c r="A64" s="83"/>
      <c r="B64" s="12" t="s">
        <v>55</v>
      </c>
      <c r="C64" s="14">
        <v>3.6297999999999999</v>
      </c>
      <c r="D64" s="14">
        <v>0.50090000000000001</v>
      </c>
      <c r="E64" s="14">
        <v>4.1099999999999998E-2</v>
      </c>
      <c r="F64" s="15">
        <v>0.06</v>
      </c>
      <c r="G64" s="28">
        <v>200</v>
      </c>
      <c r="H64" s="10">
        <v>2.86</v>
      </c>
      <c r="I64" s="1"/>
      <c r="J64" s="1"/>
      <c r="K64" s="1"/>
      <c r="L64" s="1"/>
      <c r="M64" s="1"/>
      <c r="N64" s="1"/>
      <c r="O64" s="1"/>
      <c r="P64" s="1"/>
      <c r="Q64" s="1"/>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c r="DD64" s="83"/>
      <c r="DE64" s="83"/>
      <c r="DF64" s="83"/>
      <c r="DG64" s="83"/>
      <c r="DH64" s="83"/>
      <c r="DI64" s="83"/>
      <c r="DJ64" s="83"/>
      <c r="DK64" s="83"/>
      <c r="DL64" s="83"/>
      <c r="DM64" s="83"/>
      <c r="DN64" s="83"/>
      <c r="DO64" s="83"/>
      <c r="DP64" s="83"/>
      <c r="DQ64" s="83"/>
      <c r="DR64" s="83"/>
      <c r="DS64" s="83"/>
      <c r="DT64" s="83"/>
      <c r="DU64" s="83"/>
      <c r="DV64" s="83"/>
      <c r="DW64" s="83"/>
      <c r="DX64" s="83"/>
      <c r="DY64" s="83"/>
      <c r="DZ64" s="83"/>
      <c r="EA64" s="83"/>
      <c r="EB64" s="83"/>
      <c r="EC64" s="83"/>
      <c r="ED64" s="83"/>
      <c r="EE64" s="83"/>
      <c r="EF64" s="83"/>
      <c r="EG64" s="83"/>
      <c r="EH64" s="83"/>
      <c r="EI64" s="83"/>
      <c r="EJ64" s="83"/>
      <c r="EK64" s="83"/>
      <c r="EL64" s="83"/>
      <c r="EM64" s="83"/>
      <c r="EN64" s="83"/>
      <c r="EO64" s="83"/>
      <c r="EP64" s="83"/>
      <c r="EQ64" s="83"/>
      <c r="ER64" s="83"/>
      <c r="ES64" s="83"/>
      <c r="ET64" s="83"/>
      <c r="EU64" s="83"/>
      <c r="EV64" s="83"/>
      <c r="EW64" s="83"/>
      <c r="EX64" s="83"/>
      <c r="EY64" s="83"/>
      <c r="EZ64" s="83"/>
      <c r="FA64" s="83"/>
      <c r="FB64" s="83"/>
      <c r="FC64" s="83"/>
      <c r="FD64" s="83"/>
      <c r="FE64" s="83"/>
      <c r="FF64" s="83"/>
      <c r="FG64" s="83"/>
      <c r="FH64" s="83"/>
      <c r="FI64" s="83"/>
      <c r="FJ64" s="83"/>
      <c r="FK64" s="83"/>
      <c r="FL64" s="83"/>
      <c r="FM64" s="83"/>
      <c r="FN64" s="83"/>
      <c r="FO64" s="83"/>
      <c r="FP64" s="83"/>
      <c r="FQ64" s="83"/>
      <c r="FR64" s="83"/>
      <c r="FS64" s="83"/>
      <c r="FT64" s="83"/>
      <c r="FU64" s="83"/>
      <c r="FV64" s="83"/>
      <c r="FW64" s="83"/>
      <c r="FX64" s="83"/>
      <c r="FY64" s="83"/>
      <c r="FZ64" s="83"/>
      <c r="GA64" s="83"/>
      <c r="GB64" s="83"/>
      <c r="GC64" s="83"/>
      <c r="GD64" s="83"/>
      <c r="GE64" s="83"/>
      <c r="GF64" s="83"/>
      <c r="GG64" s="83"/>
      <c r="GH64" s="83"/>
      <c r="GI64" s="83"/>
      <c r="GJ64" s="83"/>
      <c r="GK64" s="83"/>
      <c r="GL64" s="83"/>
      <c r="GM64" s="83"/>
      <c r="GN64" s="83"/>
      <c r="GO64" s="83"/>
      <c r="GP64" s="83"/>
      <c r="GQ64" s="83"/>
      <c r="GR64" s="83"/>
      <c r="GS64" s="83"/>
      <c r="GT64" s="83"/>
      <c r="GU64" s="83"/>
      <c r="GV64" s="83"/>
      <c r="GW64" s="83"/>
      <c r="GX64" s="83"/>
      <c r="GY64" s="83"/>
      <c r="GZ64" s="83"/>
      <c r="HA64" s="83"/>
      <c r="HB64" s="83"/>
      <c r="HC64" s="83"/>
      <c r="HD64" s="83"/>
      <c r="HE64" s="83"/>
      <c r="HF64" s="83"/>
      <c r="HG64" s="83"/>
      <c r="HH64" s="83"/>
      <c r="HI64" s="83"/>
      <c r="HJ64" s="83"/>
      <c r="HK64" s="83"/>
      <c r="HL64" s="83"/>
      <c r="HM64" s="83"/>
      <c r="HN64" s="83"/>
      <c r="HO64" s="83"/>
      <c r="HP64" s="83"/>
      <c r="HQ64" s="83"/>
      <c r="HR64" s="83"/>
      <c r="HS64" s="83"/>
      <c r="HT64" s="83"/>
      <c r="HU64" s="83"/>
      <c r="HV64" s="83"/>
      <c r="HW64" s="83"/>
      <c r="HX64" s="83"/>
      <c r="HY64" s="83"/>
      <c r="HZ64" s="83"/>
      <c r="IA64" s="83"/>
      <c r="IB64" s="83"/>
      <c r="IC64" s="83"/>
      <c r="ID64" s="83"/>
      <c r="IE64" s="83"/>
      <c r="IF64" s="83"/>
      <c r="IG64" s="83"/>
    </row>
    <row r="65" spans="1:241" x14ac:dyDescent="0.3">
      <c r="A65" s="83"/>
      <c r="B65" s="17" t="s">
        <v>56</v>
      </c>
      <c r="C65" s="19">
        <v>3.6297999999999999</v>
      </c>
      <c r="D65" s="19">
        <v>0.50090000000000001</v>
      </c>
      <c r="E65" s="19">
        <v>4.1099999999999998E-2</v>
      </c>
      <c r="F65" s="20">
        <v>0.06</v>
      </c>
      <c r="G65" s="29">
        <v>200</v>
      </c>
      <c r="H65" s="22">
        <v>2.86</v>
      </c>
      <c r="I65" s="1"/>
      <c r="J65" s="1"/>
      <c r="K65" s="1"/>
      <c r="L65" s="1"/>
      <c r="M65" s="1"/>
      <c r="N65" s="1"/>
      <c r="O65" s="1"/>
      <c r="P65" s="1"/>
      <c r="Q65" s="1"/>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c r="DD65" s="83"/>
      <c r="DE65" s="83"/>
      <c r="DF65" s="83"/>
      <c r="DG65" s="83"/>
      <c r="DH65" s="83"/>
      <c r="DI65" s="83"/>
      <c r="DJ65" s="83"/>
      <c r="DK65" s="83"/>
      <c r="DL65" s="83"/>
      <c r="DM65" s="83"/>
      <c r="DN65" s="83"/>
      <c r="DO65" s="83"/>
      <c r="DP65" s="83"/>
      <c r="DQ65" s="83"/>
      <c r="DR65" s="83"/>
      <c r="DS65" s="83"/>
      <c r="DT65" s="83"/>
      <c r="DU65" s="83"/>
      <c r="DV65" s="83"/>
      <c r="DW65" s="83"/>
      <c r="DX65" s="83"/>
      <c r="DY65" s="83"/>
      <c r="DZ65" s="83"/>
      <c r="EA65" s="83"/>
      <c r="EB65" s="83"/>
      <c r="EC65" s="83"/>
      <c r="ED65" s="83"/>
      <c r="EE65" s="83"/>
      <c r="EF65" s="83"/>
      <c r="EG65" s="83"/>
      <c r="EH65" s="83"/>
      <c r="EI65" s="83"/>
      <c r="EJ65" s="83"/>
      <c r="EK65" s="83"/>
      <c r="EL65" s="83"/>
      <c r="EM65" s="83"/>
      <c r="EN65" s="83"/>
      <c r="EO65" s="83"/>
      <c r="EP65" s="83"/>
      <c r="EQ65" s="83"/>
      <c r="ER65" s="83"/>
      <c r="ES65" s="83"/>
      <c r="ET65" s="83"/>
      <c r="EU65" s="83"/>
      <c r="EV65" s="83"/>
      <c r="EW65" s="83"/>
      <c r="EX65" s="83"/>
      <c r="EY65" s="83"/>
      <c r="EZ65" s="83"/>
      <c r="FA65" s="83"/>
      <c r="FB65" s="83"/>
      <c r="FC65" s="83"/>
      <c r="FD65" s="83"/>
      <c r="FE65" s="83"/>
      <c r="FF65" s="83"/>
      <c r="FG65" s="83"/>
      <c r="FH65" s="83"/>
      <c r="FI65" s="83"/>
      <c r="FJ65" s="83"/>
      <c r="FK65" s="83"/>
      <c r="FL65" s="83"/>
      <c r="FM65" s="83"/>
      <c r="FN65" s="83"/>
      <c r="FO65" s="83"/>
      <c r="FP65" s="83"/>
      <c r="FQ65" s="83"/>
      <c r="FR65" s="83"/>
      <c r="FS65" s="83"/>
      <c r="FT65" s="83"/>
      <c r="FU65" s="83"/>
      <c r="FV65" s="83"/>
      <c r="FW65" s="83"/>
      <c r="FX65" s="83"/>
      <c r="FY65" s="83"/>
      <c r="FZ65" s="83"/>
      <c r="GA65" s="83"/>
      <c r="GB65" s="83"/>
      <c r="GC65" s="83"/>
      <c r="GD65" s="83"/>
      <c r="GE65" s="83"/>
      <c r="GF65" s="83"/>
      <c r="GG65" s="83"/>
      <c r="GH65" s="83"/>
      <c r="GI65" s="83"/>
      <c r="GJ65" s="83"/>
      <c r="GK65" s="83"/>
      <c r="GL65" s="83"/>
      <c r="GM65" s="83"/>
      <c r="GN65" s="83"/>
      <c r="GO65" s="83"/>
      <c r="GP65" s="83"/>
      <c r="GQ65" s="83"/>
      <c r="GR65" s="83"/>
      <c r="GS65" s="83"/>
      <c r="GT65" s="83"/>
      <c r="GU65" s="83"/>
      <c r="GV65" s="83"/>
      <c r="GW65" s="83"/>
      <c r="GX65" s="83"/>
      <c r="GY65" s="83"/>
      <c r="GZ65" s="83"/>
      <c r="HA65" s="83"/>
      <c r="HB65" s="83"/>
      <c r="HC65" s="83"/>
      <c r="HD65" s="83"/>
      <c r="HE65" s="83"/>
      <c r="HF65" s="83"/>
      <c r="HG65" s="83"/>
      <c r="HH65" s="83"/>
      <c r="HI65" s="83"/>
      <c r="HJ65" s="83"/>
      <c r="HK65" s="83"/>
      <c r="HL65" s="83"/>
      <c r="HM65" s="83"/>
      <c r="HN65" s="83"/>
      <c r="HO65" s="83"/>
      <c r="HP65" s="83"/>
      <c r="HQ65" s="83"/>
      <c r="HR65" s="83"/>
      <c r="HS65" s="83"/>
      <c r="HT65" s="83"/>
      <c r="HU65" s="83"/>
      <c r="HV65" s="83"/>
      <c r="HW65" s="83"/>
      <c r="HX65" s="83"/>
      <c r="HY65" s="83"/>
      <c r="HZ65" s="83"/>
      <c r="IA65" s="83"/>
      <c r="IB65" s="83"/>
      <c r="IC65" s="83"/>
      <c r="ID65" s="83"/>
      <c r="IE65" s="83"/>
      <c r="IF65" s="83"/>
      <c r="IG65" s="83"/>
    </row>
    <row r="66" spans="1:241" x14ac:dyDescent="0.3">
      <c r="A66" s="83"/>
      <c r="B66" s="1"/>
      <c r="C66" s="1"/>
      <c r="D66" s="1"/>
      <c r="E66" s="1"/>
      <c r="F66" s="1"/>
      <c r="G66" s="1"/>
      <c r="H66" s="1"/>
      <c r="I66" s="1"/>
      <c r="J66" s="1"/>
      <c r="K66" s="1"/>
      <c r="L66" s="1"/>
      <c r="M66" s="1"/>
      <c r="N66" s="1"/>
      <c r="O66" s="1"/>
      <c r="P66" s="1"/>
      <c r="Q66" s="1"/>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c r="DD66" s="83"/>
      <c r="DE66" s="83"/>
      <c r="DF66" s="83"/>
      <c r="DG66" s="83"/>
      <c r="DH66" s="83"/>
      <c r="DI66" s="83"/>
      <c r="DJ66" s="83"/>
      <c r="DK66" s="83"/>
      <c r="DL66" s="83"/>
      <c r="DM66" s="83"/>
      <c r="DN66" s="83"/>
      <c r="DO66" s="83"/>
      <c r="DP66" s="83"/>
      <c r="DQ66" s="83"/>
      <c r="DR66" s="83"/>
      <c r="DS66" s="83"/>
      <c r="DT66" s="83"/>
      <c r="DU66" s="83"/>
      <c r="DV66" s="83"/>
      <c r="DW66" s="83"/>
      <c r="DX66" s="83"/>
      <c r="DY66" s="83"/>
      <c r="DZ66" s="83"/>
      <c r="EA66" s="83"/>
      <c r="EB66" s="83"/>
      <c r="EC66" s="83"/>
      <c r="ED66" s="83"/>
      <c r="EE66" s="83"/>
      <c r="EF66" s="83"/>
      <c r="EG66" s="83"/>
      <c r="EH66" s="83"/>
      <c r="EI66" s="83"/>
      <c r="EJ66" s="83"/>
      <c r="EK66" s="83"/>
      <c r="EL66" s="83"/>
      <c r="EM66" s="83"/>
      <c r="EN66" s="83"/>
      <c r="EO66" s="83"/>
      <c r="EP66" s="83"/>
      <c r="EQ66" s="83"/>
      <c r="ER66" s="83"/>
      <c r="ES66" s="83"/>
      <c r="ET66" s="83"/>
      <c r="EU66" s="83"/>
      <c r="EV66" s="83"/>
      <c r="EW66" s="83"/>
      <c r="EX66" s="83"/>
      <c r="EY66" s="83"/>
      <c r="EZ66" s="83"/>
      <c r="FA66" s="83"/>
      <c r="FB66" s="83"/>
      <c r="FC66" s="83"/>
      <c r="FD66" s="83"/>
      <c r="FE66" s="83"/>
      <c r="FF66" s="83"/>
      <c r="FG66" s="83"/>
      <c r="FH66" s="83"/>
      <c r="FI66" s="83"/>
      <c r="FJ66" s="83"/>
      <c r="FK66" s="83"/>
      <c r="FL66" s="83"/>
      <c r="FM66" s="83"/>
      <c r="FN66" s="83"/>
      <c r="FO66" s="83"/>
      <c r="FP66" s="83"/>
      <c r="FQ66" s="83"/>
      <c r="FR66" s="83"/>
      <c r="FS66" s="83"/>
      <c r="FT66" s="83"/>
      <c r="FU66" s="83"/>
      <c r="FV66" s="83"/>
      <c r="FW66" s="83"/>
      <c r="FX66" s="83"/>
      <c r="FY66" s="83"/>
      <c r="FZ66" s="83"/>
      <c r="GA66" s="83"/>
      <c r="GB66" s="83"/>
      <c r="GC66" s="83"/>
      <c r="GD66" s="83"/>
      <c r="GE66" s="83"/>
      <c r="GF66" s="83"/>
      <c r="GG66" s="83"/>
      <c r="GH66" s="83"/>
      <c r="GI66" s="83"/>
      <c r="GJ66" s="83"/>
      <c r="GK66" s="83"/>
      <c r="GL66" s="83"/>
      <c r="GM66" s="83"/>
      <c r="GN66" s="83"/>
      <c r="GO66" s="83"/>
      <c r="GP66" s="83"/>
      <c r="GQ66" s="83"/>
      <c r="GR66" s="83"/>
      <c r="GS66" s="83"/>
      <c r="GT66" s="83"/>
      <c r="GU66" s="83"/>
      <c r="GV66" s="83"/>
      <c r="GW66" s="83"/>
      <c r="GX66" s="83"/>
      <c r="GY66" s="83"/>
      <c r="GZ66" s="83"/>
      <c r="HA66" s="83"/>
      <c r="HB66" s="83"/>
      <c r="HC66" s="83"/>
      <c r="HD66" s="83"/>
      <c r="HE66" s="83"/>
      <c r="HF66" s="83"/>
      <c r="HG66" s="83"/>
      <c r="HH66" s="83"/>
      <c r="HI66" s="83"/>
      <c r="HJ66" s="83"/>
      <c r="HK66" s="83"/>
      <c r="HL66" s="83"/>
      <c r="HM66" s="83"/>
      <c r="HN66" s="83"/>
      <c r="HO66" s="83"/>
      <c r="HP66" s="83"/>
      <c r="HQ66" s="83"/>
      <c r="HR66" s="83"/>
      <c r="HS66" s="83"/>
      <c r="HT66" s="83"/>
      <c r="HU66" s="83"/>
      <c r="HV66" s="83"/>
      <c r="HW66" s="83"/>
      <c r="HX66" s="83"/>
      <c r="HY66" s="83"/>
      <c r="HZ66" s="83"/>
      <c r="IA66" s="83"/>
      <c r="IB66" s="83"/>
      <c r="IC66" s="83"/>
      <c r="ID66" s="83"/>
      <c r="IE66" s="83"/>
      <c r="IF66" s="83"/>
      <c r="IG66" s="83"/>
    </row>
    <row r="67" spans="1:241" x14ac:dyDescent="0.3">
      <c r="A67" s="83"/>
      <c r="B67" s="1"/>
      <c r="C67" s="1"/>
      <c r="D67" s="1"/>
      <c r="E67" s="1"/>
      <c r="F67" s="1"/>
      <c r="G67" s="1"/>
      <c r="H67" s="1"/>
      <c r="I67" s="1"/>
      <c r="J67" s="1"/>
      <c r="K67" s="1"/>
      <c r="L67" s="1"/>
      <c r="M67" s="1"/>
      <c r="N67" s="1"/>
      <c r="O67" s="1"/>
      <c r="P67" s="1"/>
      <c r="Q67" s="1"/>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c r="DD67" s="83"/>
      <c r="DE67" s="83"/>
      <c r="DF67" s="83"/>
      <c r="DG67" s="83"/>
      <c r="DH67" s="83"/>
      <c r="DI67" s="83"/>
      <c r="DJ67" s="83"/>
      <c r="DK67" s="83"/>
      <c r="DL67" s="83"/>
      <c r="DM67" s="83"/>
      <c r="DN67" s="83"/>
      <c r="DO67" s="83"/>
      <c r="DP67" s="83"/>
      <c r="DQ67" s="83"/>
      <c r="DR67" s="83"/>
      <c r="DS67" s="83"/>
      <c r="DT67" s="83"/>
      <c r="DU67" s="83"/>
      <c r="DV67" s="83"/>
      <c r="DW67" s="83"/>
      <c r="DX67" s="83"/>
      <c r="DY67" s="83"/>
      <c r="DZ67" s="83"/>
      <c r="EA67" s="83"/>
      <c r="EB67" s="83"/>
      <c r="EC67" s="83"/>
      <c r="ED67" s="83"/>
      <c r="EE67" s="83"/>
      <c r="EF67" s="83"/>
      <c r="EG67" s="83"/>
      <c r="EH67" s="83"/>
      <c r="EI67" s="83"/>
      <c r="EJ67" s="83"/>
      <c r="EK67" s="83"/>
      <c r="EL67" s="83"/>
      <c r="EM67" s="83"/>
      <c r="EN67" s="83"/>
      <c r="EO67" s="83"/>
      <c r="EP67" s="83"/>
      <c r="EQ67" s="83"/>
      <c r="ER67" s="83"/>
      <c r="ES67" s="83"/>
      <c r="ET67" s="83"/>
      <c r="EU67" s="83"/>
      <c r="EV67" s="83"/>
      <c r="EW67" s="83"/>
      <c r="EX67" s="83"/>
      <c r="EY67" s="83"/>
      <c r="EZ67" s="83"/>
      <c r="FA67" s="83"/>
      <c r="FB67" s="83"/>
      <c r="FC67" s="83"/>
      <c r="FD67" s="83"/>
      <c r="FE67" s="83"/>
      <c r="FF67" s="83"/>
      <c r="FG67" s="83"/>
      <c r="FH67" s="83"/>
      <c r="FI67" s="83"/>
      <c r="FJ67" s="83"/>
      <c r="FK67" s="83"/>
      <c r="FL67" s="83"/>
      <c r="FM67" s="83"/>
      <c r="FN67" s="83"/>
      <c r="FO67" s="83"/>
      <c r="FP67" s="83"/>
      <c r="FQ67" s="83"/>
      <c r="FR67" s="83"/>
      <c r="FS67" s="83"/>
      <c r="FT67" s="83"/>
      <c r="FU67" s="83"/>
      <c r="FV67" s="83"/>
      <c r="FW67" s="83"/>
      <c r="FX67" s="83"/>
      <c r="FY67" s="83"/>
      <c r="FZ67" s="83"/>
      <c r="GA67" s="83"/>
      <c r="GB67" s="83"/>
      <c r="GC67" s="83"/>
      <c r="GD67" s="83"/>
      <c r="GE67" s="83"/>
      <c r="GF67" s="83"/>
      <c r="GG67" s="83"/>
      <c r="GH67" s="83"/>
      <c r="GI67" s="83"/>
      <c r="GJ67" s="83"/>
      <c r="GK67" s="83"/>
      <c r="GL67" s="83"/>
      <c r="GM67" s="83"/>
      <c r="GN67" s="83"/>
      <c r="GO67" s="83"/>
      <c r="GP67" s="83"/>
      <c r="GQ67" s="83"/>
      <c r="GR67" s="83"/>
      <c r="GS67" s="83"/>
      <c r="GT67" s="83"/>
      <c r="GU67" s="83"/>
      <c r="GV67" s="83"/>
      <c r="GW67" s="83"/>
      <c r="GX67" s="83"/>
      <c r="GY67" s="83"/>
      <c r="GZ67" s="83"/>
      <c r="HA67" s="83"/>
      <c r="HB67" s="83"/>
      <c r="HC67" s="83"/>
      <c r="HD67" s="83"/>
      <c r="HE67" s="83"/>
      <c r="HF67" s="83"/>
      <c r="HG67" s="83"/>
      <c r="HH67" s="83"/>
      <c r="HI67" s="83"/>
      <c r="HJ67" s="83"/>
      <c r="HK67" s="83"/>
      <c r="HL67" s="83"/>
      <c r="HM67" s="83"/>
      <c r="HN67" s="83"/>
      <c r="HO67" s="83"/>
      <c r="HP67" s="83"/>
      <c r="HQ67" s="83"/>
      <c r="HR67" s="83"/>
      <c r="HS67" s="83"/>
      <c r="HT67" s="83"/>
      <c r="HU67" s="83"/>
      <c r="HV67" s="83"/>
      <c r="HW67" s="83"/>
      <c r="HX67" s="83"/>
      <c r="HY67" s="83"/>
      <c r="HZ67" s="83"/>
      <c r="IA67" s="83"/>
      <c r="IB67" s="83"/>
      <c r="IC67" s="83"/>
      <c r="ID67" s="83"/>
      <c r="IE67" s="83"/>
      <c r="IF67" s="83"/>
      <c r="IG67" s="83"/>
    </row>
    <row r="68" spans="1:241" x14ac:dyDescent="0.3">
      <c r="A68" s="83"/>
      <c r="B68" s="2" t="s">
        <v>248</v>
      </c>
      <c r="C68" s="1"/>
      <c r="D68" s="1"/>
      <c r="E68" s="1"/>
      <c r="F68" s="1"/>
      <c r="G68" s="1"/>
      <c r="H68" s="1"/>
      <c r="I68" s="1"/>
      <c r="J68" s="1"/>
      <c r="K68" s="1"/>
      <c r="L68" s="1"/>
      <c r="M68" s="1"/>
      <c r="N68" s="1"/>
      <c r="O68" s="1"/>
      <c r="P68" s="1"/>
      <c r="Q68" s="1"/>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c r="DD68" s="83"/>
      <c r="DE68" s="83"/>
      <c r="DF68" s="83"/>
      <c r="DG68" s="83"/>
      <c r="DH68" s="83"/>
      <c r="DI68" s="83"/>
      <c r="DJ68" s="83"/>
      <c r="DK68" s="83"/>
      <c r="DL68" s="83"/>
      <c r="DM68" s="83"/>
      <c r="DN68" s="83"/>
      <c r="DO68" s="83"/>
      <c r="DP68" s="83"/>
      <c r="DQ68" s="83"/>
      <c r="DR68" s="83"/>
      <c r="DS68" s="83"/>
      <c r="DT68" s="83"/>
      <c r="DU68" s="83"/>
      <c r="DV68" s="83"/>
      <c r="DW68" s="83"/>
      <c r="DX68" s="83"/>
      <c r="DY68" s="83"/>
      <c r="DZ68" s="83"/>
      <c r="EA68" s="83"/>
      <c r="EB68" s="83"/>
      <c r="EC68" s="83"/>
      <c r="ED68" s="83"/>
      <c r="EE68" s="83"/>
      <c r="EF68" s="83"/>
      <c r="EG68" s="83"/>
      <c r="EH68" s="83"/>
      <c r="EI68" s="83"/>
      <c r="EJ68" s="83"/>
      <c r="EK68" s="83"/>
      <c r="EL68" s="83"/>
      <c r="EM68" s="83"/>
      <c r="EN68" s="83"/>
      <c r="EO68" s="83"/>
      <c r="EP68" s="83"/>
      <c r="EQ68" s="83"/>
      <c r="ER68" s="83"/>
      <c r="ES68" s="83"/>
      <c r="ET68" s="83"/>
      <c r="EU68" s="83"/>
      <c r="EV68" s="83"/>
      <c r="EW68" s="83"/>
      <c r="EX68" s="83"/>
      <c r="EY68" s="83"/>
      <c r="EZ68" s="83"/>
      <c r="FA68" s="83"/>
      <c r="FB68" s="83"/>
      <c r="FC68" s="83"/>
      <c r="FD68" s="83"/>
      <c r="FE68" s="83"/>
      <c r="FF68" s="83"/>
      <c r="FG68" s="83"/>
      <c r="FH68" s="83"/>
      <c r="FI68" s="83"/>
      <c r="FJ68" s="83"/>
      <c r="FK68" s="83"/>
      <c r="FL68" s="83"/>
      <c r="FM68" s="83"/>
      <c r="FN68" s="83"/>
      <c r="FO68" s="83"/>
      <c r="FP68" s="83"/>
      <c r="FQ68" s="83"/>
      <c r="FR68" s="83"/>
      <c r="FS68" s="83"/>
      <c r="FT68" s="83"/>
      <c r="FU68" s="83"/>
      <c r="FV68" s="83"/>
      <c r="FW68" s="83"/>
      <c r="FX68" s="83"/>
      <c r="FY68" s="83"/>
      <c r="FZ68" s="83"/>
      <c r="GA68" s="83"/>
      <c r="GB68" s="83"/>
      <c r="GC68" s="83"/>
      <c r="GD68" s="83"/>
      <c r="GE68" s="83"/>
      <c r="GF68" s="83"/>
      <c r="GG68" s="83"/>
      <c r="GH68" s="83"/>
      <c r="GI68" s="83"/>
      <c r="GJ68" s="83"/>
      <c r="GK68" s="83"/>
      <c r="GL68" s="83"/>
      <c r="GM68" s="83"/>
      <c r="GN68" s="83"/>
      <c r="GO68" s="83"/>
      <c r="GP68" s="83"/>
      <c r="GQ68" s="83"/>
      <c r="GR68" s="83"/>
      <c r="GS68" s="83"/>
      <c r="GT68" s="83"/>
      <c r="GU68" s="83"/>
      <c r="GV68" s="83"/>
      <c r="GW68" s="83"/>
      <c r="GX68" s="83"/>
      <c r="GY68" s="83"/>
      <c r="GZ68" s="83"/>
      <c r="HA68" s="83"/>
      <c r="HB68" s="83"/>
      <c r="HC68" s="83"/>
      <c r="HD68" s="83"/>
      <c r="HE68" s="83"/>
      <c r="HF68" s="83"/>
      <c r="HG68" s="83"/>
      <c r="HH68" s="83"/>
      <c r="HI68" s="83"/>
      <c r="HJ68" s="83"/>
      <c r="HK68" s="83"/>
      <c r="HL68" s="83"/>
      <c r="HM68" s="83"/>
      <c r="HN68" s="83"/>
      <c r="HO68" s="83"/>
      <c r="HP68" s="83"/>
      <c r="HQ68" s="83"/>
      <c r="HR68" s="83"/>
      <c r="HS68" s="83"/>
      <c r="HT68" s="83"/>
      <c r="HU68" s="83"/>
      <c r="HV68" s="83"/>
      <c r="HW68" s="83"/>
      <c r="HX68" s="83"/>
      <c r="HY68" s="83"/>
      <c r="HZ68" s="83"/>
      <c r="IA68" s="83"/>
      <c r="IB68" s="83"/>
      <c r="IC68" s="83"/>
      <c r="ID68" s="83"/>
      <c r="IE68" s="83"/>
      <c r="IF68" s="83"/>
      <c r="IG68" s="83"/>
    </row>
    <row r="69" spans="1:241" ht="15.6" x14ac:dyDescent="0.35">
      <c r="A69" s="83"/>
      <c r="B69" s="3" t="s">
        <v>57</v>
      </c>
      <c r="C69" s="4" t="s">
        <v>1</v>
      </c>
      <c r="D69" s="4" t="s">
        <v>2</v>
      </c>
      <c r="E69" s="4" t="s">
        <v>3</v>
      </c>
      <c r="F69" s="4" t="s">
        <v>18</v>
      </c>
      <c r="G69" s="4" t="s">
        <v>58</v>
      </c>
      <c r="H69" s="4" t="s">
        <v>19</v>
      </c>
      <c r="I69" s="4" t="s">
        <v>20</v>
      </c>
      <c r="J69" s="4" t="s">
        <v>59</v>
      </c>
      <c r="K69" s="4" t="s">
        <v>60</v>
      </c>
      <c r="L69" s="4" t="s">
        <v>61</v>
      </c>
      <c r="M69" s="4" t="s">
        <v>62</v>
      </c>
      <c r="N69" s="4" t="s">
        <v>63</v>
      </c>
      <c r="O69" s="4" t="s">
        <v>64</v>
      </c>
      <c r="P69" s="37" t="s">
        <v>65</v>
      </c>
      <c r="Q69" s="52"/>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c r="DD69" s="83"/>
      <c r="DE69" s="83"/>
      <c r="DF69" s="83"/>
      <c r="DG69" s="83"/>
      <c r="DH69" s="83"/>
      <c r="DI69" s="83"/>
      <c r="DJ69" s="83"/>
      <c r="DK69" s="83"/>
      <c r="DL69" s="83"/>
      <c r="DM69" s="83"/>
      <c r="DN69" s="83"/>
      <c r="DO69" s="83"/>
      <c r="DP69" s="83"/>
      <c r="DQ69" s="83"/>
      <c r="DR69" s="83"/>
      <c r="DS69" s="83"/>
      <c r="DT69" s="83"/>
      <c r="DU69" s="83"/>
      <c r="DV69" s="83"/>
      <c r="DW69" s="83"/>
      <c r="DX69" s="83"/>
      <c r="DY69" s="83"/>
      <c r="DZ69" s="83"/>
      <c r="EA69" s="83"/>
      <c r="EB69" s="83"/>
      <c r="EC69" s="83"/>
      <c r="ED69" s="83"/>
      <c r="EE69" s="83"/>
      <c r="EF69" s="83"/>
      <c r="EG69" s="83"/>
      <c r="EH69" s="83"/>
      <c r="EI69" s="83"/>
      <c r="EJ69" s="83"/>
      <c r="EK69" s="83"/>
      <c r="EL69" s="83"/>
      <c r="EM69" s="83"/>
      <c r="EN69" s="83"/>
      <c r="EO69" s="83"/>
      <c r="EP69" s="83"/>
      <c r="EQ69" s="83"/>
      <c r="ER69" s="83"/>
      <c r="ES69" s="83"/>
      <c r="ET69" s="83"/>
      <c r="EU69" s="83"/>
      <c r="EV69" s="83"/>
      <c r="EW69" s="83"/>
      <c r="EX69" s="83"/>
      <c r="EY69" s="83"/>
      <c r="EZ69" s="83"/>
      <c r="FA69" s="83"/>
      <c r="FB69" s="83"/>
      <c r="FC69" s="83"/>
      <c r="FD69" s="83"/>
      <c r="FE69" s="83"/>
      <c r="FF69" s="83"/>
      <c r="FG69" s="83"/>
      <c r="FH69" s="83"/>
      <c r="FI69" s="83"/>
      <c r="FJ69" s="83"/>
      <c r="FK69" s="83"/>
      <c r="FL69" s="83"/>
      <c r="FM69" s="83"/>
      <c r="FN69" s="83"/>
      <c r="FO69" s="83"/>
      <c r="FP69" s="83"/>
      <c r="FQ69" s="83"/>
      <c r="FR69" s="83"/>
      <c r="FS69" s="83"/>
      <c r="FT69" s="83"/>
      <c r="FU69" s="83"/>
      <c r="FV69" s="83"/>
      <c r="FW69" s="83"/>
      <c r="FX69" s="83"/>
      <c r="FY69" s="83"/>
      <c r="FZ69" s="83"/>
      <c r="GA69" s="83"/>
      <c r="GB69" s="83"/>
      <c r="GC69" s="83"/>
      <c r="GD69" s="83"/>
      <c r="GE69" s="83"/>
      <c r="GF69" s="83"/>
      <c r="GG69" s="83"/>
      <c r="GH69" s="83"/>
      <c r="GI69" s="83"/>
      <c r="GJ69" s="83"/>
      <c r="GK69" s="83"/>
      <c r="GL69" s="83"/>
      <c r="GM69" s="83"/>
      <c r="GN69" s="83"/>
      <c r="GO69" s="83"/>
      <c r="GP69" s="83"/>
      <c r="GQ69" s="83"/>
      <c r="GR69" s="83"/>
      <c r="GS69" s="83"/>
      <c r="GT69" s="83"/>
      <c r="GU69" s="83"/>
      <c r="GV69" s="83"/>
      <c r="GW69" s="83"/>
      <c r="GX69" s="83"/>
      <c r="GY69" s="83"/>
      <c r="GZ69" s="83"/>
      <c r="HA69" s="83"/>
      <c r="HB69" s="83"/>
      <c r="HC69" s="83"/>
      <c r="HD69" s="83"/>
      <c r="HE69" s="83"/>
      <c r="HF69" s="83"/>
      <c r="HG69" s="83"/>
      <c r="HH69" s="83"/>
      <c r="HI69" s="83"/>
      <c r="HJ69" s="83"/>
      <c r="HK69" s="83"/>
      <c r="HL69" s="83"/>
      <c r="HM69" s="83"/>
      <c r="HN69" s="83"/>
      <c r="HO69" s="83"/>
      <c r="HP69" s="83"/>
      <c r="HQ69" s="83"/>
      <c r="HR69" s="83"/>
      <c r="HS69" s="83"/>
      <c r="HT69" s="83"/>
      <c r="HU69" s="83"/>
      <c r="HV69" s="83"/>
      <c r="HW69" s="83"/>
      <c r="HX69" s="83"/>
      <c r="HY69" s="83"/>
      <c r="HZ69" s="83"/>
      <c r="IA69" s="83"/>
      <c r="IB69" s="83"/>
      <c r="IC69" s="83"/>
      <c r="ID69" s="83"/>
      <c r="IE69" s="83"/>
      <c r="IF69" s="83"/>
      <c r="IG69" s="83"/>
    </row>
    <row r="70" spans="1:241" x14ac:dyDescent="0.3">
      <c r="A70" s="83"/>
      <c r="B70" s="7" t="s">
        <v>66</v>
      </c>
      <c r="C70" s="25">
        <v>3.5390999999999999</v>
      </c>
      <c r="D70" s="25">
        <v>-0.3533</v>
      </c>
      <c r="E70" s="25">
        <v>0.44769999999999999</v>
      </c>
      <c r="F70" s="30">
        <v>2.74</v>
      </c>
      <c r="G70" s="30">
        <v>4.97</v>
      </c>
      <c r="H70" s="30">
        <v>5.75</v>
      </c>
      <c r="I70" s="30">
        <v>11.45</v>
      </c>
      <c r="J70" s="26">
        <v>0.01</v>
      </c>
      <c r="K70" s="26">
        <v>0</v>
      </c>
      <c r="L70" s="40">
        <v>0.20899000000000001</v>
      </c>
      <c r="M70" s="40">
        <v>-3.2800000000000003E-2</v>
      </c>
      <c r="N70" s="8">
        <v>1</v>
      </c>
      <c r="O70" s="8">
        <v>100</v>
      </c>
      <c r="P70" s="9">
        <v>0.16</v>
      </c>
      <c r="Q70" s="1"/>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c r="DD70" s="83"/>
      <c r="DE70" s="83"/>
      <c r="DF70" s="83"/>
      <c r="DG70" s="83"/>
      <c r="DH70" s="83"/>
      <c r="DI70" s="83"/>
      <c r="DJ70" s="83"/>
      <c r="DK70" s="83"/>
      <c r="DL70" s="83"/>
      <c r="DM70" s="83"/>
      <c r="DN70" s="83"/>
      <c r="DO70" s="83"/>
      <c r="DP70" s="83"/>
      <c r="DQ70" s="83"/>
      <c r="DR70" s="83"/>
      <c r="DS70" s="83"/>
      <c r="DT70" s="83"/>
      <c r="DU70" s="83"/>
      <c r="DV70" s="83"/>
      <c r="DW70" s="83"/>
      <c r="DX70" s="83"/>
      <c r="DY70" s="83"/>
      <c r="DZ70" s="83"/>
      <c r="EA70" s="83"/>
      <c r="EB70" s="83"/>
      <c r="EC70" s="83"/>
      <c r="ED70" s="83"/>
      <c r="EE70" s="83"/>
      <c r="EF70" s="83"/>
      <c r="EG70" s="83"/>
      <c r="EH70" s="83"/>
      <c r="EI70" s="83"/>
      <c r="EJ70" s="83"/>
      <c r="EK70" s="83"/>
      <c r="EL70" s="83"/>
      <c r="EM70" s="83"/>
      <c r="EN70" s="83"/>
      <c r="EO70" s="83"/>
      <c r="EP70" s="83"/>
      <c r="EQ70" s="83"/>
      <c r="ER70" s="83"/>
      <c r="ES70" s="83"/>
      <c r="ET70" s="83"/>
      <c r="EU70" s="83"/>
      <c r="EV70" s="83"/>
      <c r="EW70" s="83"/>
      <c r="EX70" s="83"/>
      <c r="EY70" s="83"/>
      <c r="EZ70" s="83"/>
      <c r="FA70" s="83"/>
      <c r="FB70" s="83"/>
      <c r="FC70" s="83"/>
      <c r="FD70" s="83"/>
      <c r="FE70" s="83"/>
      <c r="FF70" s="83"/>
      <c r="FG70" s="83"/>
      <c r="FH70" s="83"/>
      <c r="FI70" s="83"/>
      <c r="FJ70" s="83"/>
      <c r="FK70" s="83"/>
      <c r="FL70" s="83"/>
      <c r="FM70" s="83"/>
      <c r="FN70" s="83"/>
      <c r="FO70" s="83"/>
      <c r="FP70" s="83"/>
      <c r="FQ70" s="83"/>
      <c r="FR70" s="83"/>
      <c r="FS70" s="83"/>
      <c r="FT70" s="83"/>
      <c r="FU70" s="83"/>
      <c r="FV70" s="83"/>
      <c r="FW70" s="83"/>
      <c r="FX70" s="83"/>
      <c r="FY70" s="83"/>
      <c r="FZ70" s="83"/>
      <c r="GA70" s="83"/>
      <c r="GB70" s="83"/>
      <c r="GC70" s="83"/>
      <c r="GD70" s="83"/>
      <c r="GE70" s="83"/>
      <c r="GF70" s="83"/>
      <c r="GG70" s="83"/>
      <c r="GH70" s="83"/>
      <c r="GI70" s="83"/>
      <c r="GJ70" s="83"/>
      <c r="GK70" s="83"/>
      <c r="GL70" s="83"/>
      <c r="GM70" s="83"/>
      <c r="GN70" s="83"/>
      <c r="GO70" s="83"/>
      <c r="GP70" s="83"/>
      <c r="GQ70" s="83"/>
      <c r="GR70" s="83"/>
      <c r="GS70" s="83"/>
      <c r="GT70" s="83"/>
      <c r="GU70" s="83"/>
      <c r="GV70" s="83"/>
      <c r="GW70" s="83"/>
      <c r="GX70" s="83"/>
      <c r="GY70" s="83"/>
      <c r="GZ70" s="83"/>
      <c r="HA70" s="83"/>
      <c r="HB70" s="83"/>
      <c r="HC70" s="83"/>
      <c r="HD70" s="83"/>
      <c r="HE70" s="83"/>
      <c r="HF70" s="83"/>
      <c r="HG70" s="83"/>
      <c r="HH70" s="83"/>
      <c r="HI70" s="83"/>
      <c r="HJ70" s="83"/>
      <c r="HK70" s="83"/>
      <c r="HL70" s="83"/>
      <c r="HM70" s="83"/>
      <c r="HN70" s="83"/>
      <c r="HO70" s="83"/>
      <c r="HP70" s="83"/>
      <c r="HQ70" s="83"/>
      <c r="HR70" s="83"/>
      <c r="HS70" s="83"/>
      <c r="HT70" s="83"/>
      <c r="HU70" s="83"/>
      <c r="HV70" s="83"/>
      <c r="HW70" s="83"/>
      <c r="HX70" s="83"/>
      <c r="HY70" s="83"/>
      <c r="HZ70" s="83"/>
      <c r="IA70" s="83"/>
      <c r="IB70" s="83"/>
      <c r="IC70" s="83"/>
      <c r="ID70" s="83"/>
      <c r="IE70" s="83"/>
      <c r="IF70" s="83"/>
      <c r="IG70" s="83"/>
    </row>
    <row r="71" spans="1:241" x14ac:dyDescent="0.3">
      <c r="A71" s="83"/>
      <c r="B71" s="12" t="s">
        <v>67</v>
      </c>
      <c r="C71" s="14">
        <v>3.3471000000000002</v>
      </c>
      <c r="D71" s="14">
        <v>-7.3400000000000007E-2</v>
      </c>
      <c r="E71" s="14">
        <v>0.309</v>
      </c>
      <c r="F71" s="31">
        <v>2.74</v>
      </c>
      <c r="G71" s="31">
        <v>4.97</v>
      </c>
      <c r="H71" s="31">
        <v>5.75</v>
      </c>
      <c r="I71" s="31">
        <v>11.45</v>
      </c>
      <c r="J71" s="15">
        <v>0.01</v>
      </c>
      <c r="K71" s="15">
        <v>0</v>
      </c>
      <c r="L71" s="41">
        <v>0.20899000000000001</v>
      </c>
      <c r="M71" s="41">
        <v>-3.2800000000000003E-2</v>
      </c>
      <c r="N71" s="13">
        <v>1</v>
      </c>
      <c r="O71" s="13">
        <v>100</v>
      </c>
      <c r="P71" s="16">
        <v>0.16</v>
      </c>
      <c r="Q71" s="1"/>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c r="DD71" s="83"/>
      <c r="DE71" s="83"/>
      <c r="DF71" s="83"/>
      <c r="DG71" s="83"/>
      <c r="DH71" s="83"/>
      <c r="DI71" s="83"/>
      <c r="DJ71" s="83"/>
      <c r="DK71" s="83"/>
      <c r="DL71" s="83"/>
      <c r="DM71" s="83"/>
      <c r="DN71" s="83"/>
      <c r="DO71" s="83"/>
      <c r="DP71" s="83"/>
      <c r="DQ71" s="83"/>
      <c r="DR71" s="83"/>
      <c r="DS71" s="83"/>
      <c r="DT71" s="83"/>
      <c r="DU71" s="83"/>
      <c r="DV71" s="83"/>
      <c r="DW71" s="83"/>
      <c r="DX71" s="83"/>
      <c r="DY71" s="83"/>
      <c r="DZ71" s="83"/>
      <c r="EA71" s="83"/>
      <c r="EB71" s="83"/>
      <c r="EC71" s="83"/>
      <c r="ED71" s="83"/>
      <c r="EE71" s="83"/>
      <c r="EF71" s="83"/>
      <c r="EG71" s="83"/>
      <c r="EH71" s="83"/>
      <c r="EI71" s="83"/>
      <c r="EJ71" s="83"/>
      <c r="EK71" s="83"/>
      <c r="EL71" s="83"/>
      <c r="EM71" s="83"/>
      <c r="EN71" s="83"/>
      <c r="EO71" s="83"/>
      <c r="EP71" s="83"/>
      <c r="EQ71" s="83"/>
      <c r="ER71" s="83"/>
      <c r="ES71" s="83"/>
      <c r="ET71" s="83"/>
      <c r="EU71" s="83"/>
      <c r="EV71" s="83"/>
      <c r="EW71" s="83"/>
      <c r="EX71" s="83"/>
      <c r="EY71" s="83"/>
      <c r="EZ71" s="83"/>
      <c r="FA71" s="83"/>
      <c r="FB71" s="83"/>
      <c r="FC71" s="83"/>
      <c r="FD71" s="83"/>
      <c r="FE71" s="83"/>
      <c r="FF71" s="83"/>
      <c r="FG71" s="83"/>
      <c r="FH71" s="83"/>
      <c r="FI71" s="83"/>
      <c r="FJ71" s="83"/>
      <c r="FK71" s="83"/>
      <c r="FL71" s="83"/>
      <c r="FM71" s="83"/>
      <c r="FN71" s="83"/>
      <c r="FO71" s="83"/>
      <c r="FP71" s="83"/>
      <c r="FQ71" s="83"/>
      <c r="FR71" s="83"/>
      <c r="FS71" s="83"/>
      <c r="FT71" s="83"/>
      <c r="FU71" s="83"/>
      <c r="FV71" s="83"/>
      <c r="FW71" s="83"/>
      <c r="FX71" s="83"/>
      <c r="FY71" s="83"/>
      <c r="FZ71" s="83"/>
      <c r="GA71" s="83"/>
      <c r="GB71" s="83"/>
      <c r="GC71" s="83"/>
      <c r="GD71" s="83"/>
      <c r="GE71" s="83"/>
      <c r="GF71" s="83"/>
      <c r="GG71" s="83"/>
      <c r="GH71" s="83"/>
      <c r="GI71" s="83"/>
      <c r="GJ71" s="83"/>
      <c r="GK71" s="83"/>
      <c r="GL71" s="83"/>
      <c r="GM71" s="83"/>
      <c r="GN71" s="83"/>
      <c r="GO71" s="83"/>
      <c r="GP71" s="83"/>
      <c r="GQ71" s="83"/>
      <c r="GR71" s="83"/>
      <c r="GS71" s="83"/>
      <c r="GT71" s="83"/>
      <c r="GU71" s="83"/>
      <c r="GV71" s="83"/>
      <c r="GW71" s="83"/>
      <c r="GX71" s="83"/>
      <c r="GY71" s="83"/>
      <c r="GZ71" s="83"/>
      <c r="HA71" s="83"/>
      <c r="HB71" s="83"/>
      <c r="HC71" s="83"/>
      <c r="HD71" s="83"/>
      <c r="HE71" s="83"/>
      <c r="HF71" s="83"/>
      <c r="HG71" s="83"/>
      <c r="HH71" s="83"/>
      <c r="HI71" s="83"/>
      <c r="HJ71" s="83"/>
      <c r="HK71" s="83"/>
      <c r="HL71" s="83"/>
      <c r="HM71" s="83"/>
      <c r="HN71" s="83"/>
      <c r="HO71" s="83"/>
      <c r="HP71" s="83"/>
      <c r="HQ71" s="83"/>
      <c r="HR71" s="83"/>
      <c r="HS71" s="83"/>
      <c r="HT71" s="83"/>
      <c r="HU71" s="83"/>
      <c r="HV71" s="83"/>
      <c r="HW71" s="83"/>
      <c r="HX71" s="83"/>
      <c r="HY71" s="83"/>
      <c r="HZ71" s="83"/>
      <c r="IA71" s="83"/>
      <c r="IB71" s="83"/>
      <c r="IC71" s="83"/>
      <c r="ID71" s="83"/>
      <c r="IE71" s="83"/>
      <c r="IF71" s="83"/>
      <c r="IG71" s="83"/>
    </row>
    <row r="72" spans="1:241" x14ac:dyDescent="0.3">
      <c r="A72" s="83"/>
      <c r="B72" s="12" t="s">
        <v>68</v>
      </c>
      <c r="C72" s="14">
        <v>3.0413999999999999</v>
      </c>
      <c r="D72" s="14">
        <v>-0.33750000000000002</v>
      </c>
      <c r="E72" s="14">
        <v>0.47220000000000001</v>
      </c>
      <c r="F72" s="31">
        <v>2.74</v>
      </c>
      <c r="G72" s="31">
        <v>4.97</v>
      </c>
      <c r="H72" s="31">
        <v>5.75</v>
      </c>
      <c r="I72" s="31">
        <v>11.45</v>
      </c>
      <c r="J72" s="15">
        <v>0.04</v>
      </c>
      <c r="K72" s="15">
        <v>0</v>
      </c>
      <c r="L72" s="41">
        <v>0.20899000000000001</v>
      </c>
      <c r="M72" s="41">
        <v>-3.2800000000000003E-2</v>
      </c>
      <c r="N72" s="13">
        <v>1</v>
      </c>
      <c r="O72" s="13">
        <v>100</v>
      </c>
      <c r="P72" s="16">
        <v>0.16</v>
      </c>
      <c r="Q72" s="1"/>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c r="DD72" s="83"/>
      <c r="DE72" s="83"/>
      <c r="DF72" s="83"/>
      <c r="DG72" s="83"/>
      <c r="DH72" s="83"/>
      <c r="DI72" s="83"/>
      <c r="DJ72" s="83"/>
      <c r="DK72" s="83"/>
      <c r="DL72" s="83"/>
      <c r="DM72" s="83"/>
      <c r="DN72" s="83"/>
      <c r="DO72" s="83"/>
      <c r="DP72" s="83"/>
      <c r="DQ72" s="83"/>
      <c r="DR72" s="83"/>
      <c r="DS72" s="83"/>
      <c r="DT72" s="83"/>
      <c r="DU72" s="83"/>
      <c r="DV72" s="83"/>
      <c r="DW72" s="83"/>
      <c r="DX72" s="83"/>
      <c r="DY72" s="83"/>
      <c r="DZ72" s="83"/>
      <c r="EA72" s="83"/>
      <c r="EB72" s="83"/>
      <c r="EC72" s="83"/>
      <c r="ED72" s="83"/>
      <c r="EE72" s="83"/>
      <c r="EF72" s="83"/>
      <c r="EG72" s="83"/>
      <c r="EH72" s="83"/>
      <c r="EI72" s="83"/>
      <c r="EJ72" s="83"/>
      <c r="EK72" s="83"/>
      <c r="EL72" s="83"/>
      <c r="EM72" s="83"/>
      <c r="EN72" s="83"/>
      <c r="EO72" s="83"/>
      <c r="EP72" s="83"/>
      <c r="EQ72" s="83"/>
      <c r="ER72" s="83"/>
      <c r="ES72" s="83"/>
      <c r="ET72" s="83"/>
      <c r="EU72" s="83"/>
      <c r="EV72" s="83"/>
      <c r="EW72" s="83"/>
      <c r="EX72" s="83"/>
      <c r="EY72" s="83"/>
      <c r="EZ72" s="83"/>
      <c r="FA72" s="83"/>
      <c r="FB72" s="83"/>
      <c r="FC72" s="83"/>
      <c r="FD72" s="83"/>
      <c r="FE72" s="83"/>
      <c r="FF72" s="83"/>
      <c r="FG72" s="83"/>
      <c r="FH72" s="83"/>
      <c r="FI72" s="83"/>
      <c r="FJ72" s="83"/>
      <c r="FK72" s="83"/>
      <c r="FL72" s="83"/>
      <c r="FM72" s="83"/>
      <c r="FN72" s="83"/>
      <c r="FO72" s="83"/>
      <c r="FP72" s="83"/>
      <c r="FQ72" s="83"/>
      <c r="FR72" s="83"/>
      <c r="FS72" s="83"/>
      <c r="FT72" s="83"/>
      <c r="FU72" s="83"/>
      <c r="FV72" s="83"/>
      <c r="FW72" s="83"/>
      <c r="FX72" s="83"/>
      <c r="FY72" s="83"/>
      <c r="FZ72" s="83"/>
      <c r="GA72" s="83"/>
      <c r="GB72" s="83"/>
      <c r="GC72" s="83"/>
      <c r="GD72" s="83"/>
      <c r="GE72" s="83"/>
      <c r="GF72" s="83"/>
      <c r="GG72" s="83"/>
      <c r="GH72" s="83"/>
      <c r="GI72" s="83"/>
      <c r="GJ72" s="83"/>
      <c r="GK72" s="83"/>
      <c r="GL72" s="83"/>
      <c r="GM72" s="83"/>
      <c r="GN72" s="83"/>
      <c r="GO72" s="83"/>
      <c r="GP72" s="83"/>
      <c r="GQ72" s="83"/>
      <c r="GR72" s="83"/>
      <c r="GS72" s="83"/>
      <c r="GT72" s="83"/>
      <c r="GU72" s="83"/>
      <c r="GV72" s="83"/>
      <c r="GW72" s="83"/>
      <c r="GX72" s="83"/>
      <c r="GY72" s="83"/>
      <c r="GZ72" s="83"/>
      <c r="HA72" s="83"/>
      <c r="HB72" s="83"/>
      <c r="HC72" s="83"/>
      <c r="HD72" s="83"/>
      <c r="HE72" s="83"/>
      <c r="HF72" s="83"/>
      <c r="HG72" s="83"/>
      <c r="HH72" s="83"/>
      <c r="HI72" s="83"/>
      <c r="HJ72" s="83"/>
      <c r="HK72" s="83"/>
      <c r="HL72" s="83"/>
      <c r="HM72" s="83"/>
      <c r="HN72" s="83"/>
      <c r="HO72" s="83"/>
      <c r="HP72" s="83"/>
      <c r="HQ72" s="83"/>
      <c r="HR72" s="83"/>
      <c r="HS72" s="83"/>
      <c r="HT72" s="83"/>
      <c r="HU72" s="83"/>
      <c r="HV72" s="83"/>
      <c r="HW72" s="83"/>
      <c r="HX72" s="83"/>
      <c r="HY72" s="83"/>
      <c r="HZ72" s="83"/>
      <c r="IA72" s="83"/>
      <c r="IB72" s="83"/>
      <c r="IC72" s="83"/>
      <c r="ID72" s="83"/>
      <c r="IE72" s="83"/>
      <c r="IF72" s="83"/>
      <c r="IG72" s="83"/>
    </row>
    <row r="73" spans="1:241" x14ac:dyDescent="0.3">
      <c r="A73" s="83"/>
      <c r="B73" s="17" t="s">
        <v>69</v>
      </c>
      <c r="C73" s="19">
        <v>3.1760999999999999</v>
      </c>
      <c r="D73" s="19">
        <v>-0.13730000000000001</v>
      </c>
      <c r="E73" s="19">
        <v>0.34139999999999998</v>
      </c>
      <c r="F73" s="32">
        <v>2.74</v>
      </c>
      <c r="G73" s="32">
        <v>4.97</v>
      </c>
      <c r="H73" s="32">
        <v>5.75</v>
      </c>
      <c r="I73" s="32">
        <v>11.45</v>
      </c>
      <c r="J73" s="20">
        <v>0.04</v>
      </c>
      <c r="K73" s="20">
        <v>0</v>
      </c>
      <c r="L73" s="42">
        <v>0.20899000000000001</v>
      </c>
      <c r="M73" s="42">
        <v>-3.2800000000000003E-2</v>
      </c>
      <c r="N73" s="18">
        <v>1</v>
      </c>
      <c r="O73" s="18">
        <v>100</v>
      </c>
      <c r="P73" s="43">
        <v>0.16</v>
      </c>
      <c r="Q73" s="1"/>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c r="DD73" s="83"/>
      <c r="DE73" s="83"/>
      <c r="DF73" s="83"/>
      <c r="DG73" s="83"/>
      <c r="DH73" s="83"/>
      <c r="DI73" s="83"/>
      <c r="DJ73" s="83"/>
      <c r="DK73" s="83"/>
      <c r="DL73" s="83"/>
      <c r="DM73" s="83"/>
      <c r="DN73" s="83"/>
      <c r="DO73" s="83"/>
      <c r="DP73" s="83"/>
      <c r="DQ73" s="83"/>
      <c r="DR73" s="83"/>
      <c r="DS73" s="83"/>
      <c r="DT73" s="83"/>
      <c r="DU73" s="83"/>
      <c r="DV73" s="83"/>
      <c r="DW73" s="83"/>
      <c r="DX73" s="83"/>
      <c r="DY73" s="83"/>
      <c r="DZ73" s="83"/>
      <c r="EA73" s="83"/>
      <c r="EB73" s="83"/>
      <c r="EC73" s="83"/>
      <c r="ED73" s="83"/>
      <c r="EE73" s="83"/>
      <c r="EF73" s="83"/>
      <c r="EG73" s="83"/>
      <c r="EH73" s="83"/>
      <c r="EI73" s="83"/>
      <c r="EJ73" s="83"/>
      <c r="EK73" s="83"/>
      <c r="EL73" s="83"/>
      <c r="EM73" s="83"/>
      <c r="EN73" s="83"/>
      <c r="EO73" s="83"/>
      <c r="EP73" s="83"/>
      <c r="EQ73" s="83"/>
      <c r="ER73" s="83"/>
      <c r="ES73" s="83"/>
      <c r="ET73" s="83"/>
      <c r="EU73" s="83"/>
      <c r="EV73" s="83"/>
      <c r="EW73" s="83"/>
      <c r="EX73" s="83"/>
      <c r="EY73" s="83"/>
      <c r="EZ73" s="83"/>
      <c r="FA73" s="83"/>
      <c r="FB73" s="83"/>
      <c r="FC73" s="83"/>
      <c r="FD73" s="83"/>
      <c r="FE73" s="83"/>
      <c r="FF73" s="83"/>
      <c r="FG73" s="83"/>
      <c r="FH73" s="83"/>
      <c r="FI73" s="83"/>
      <c r="FJ73" s="83"/>
      <c r="FK73" s="83"/>
      <c r="FL73" s="83"/>
      <c r="FM73" s="83"/>
      <c r="FN73" s="83"/>
      <c r="FO73" s="83"/>
      <c r="FP73" s="83"/>
      <c r="FQ73" s="83"/>
      <c r="FR73" s="83"/>
      <c r="FS73" s="83"/>
      <c r="FT73" s="83"/>
      <c r="FU73" s="83"/>
      <c r="FV73" s="83"/>
      <c r="FW73" s="83"/>
      <c r="FX73" s="83"/>
      <c r="FY73" s="83"/>
      <c r="FZ73" s="83"/>
      <c r="GA73" s="83"/>
      <c r="GB73" s="83"/>
      <c r="GC73" s="83"/>
      <c r="GD73" s="83"/>
      <c r="GE73" s="83"/>
      <c r="GF73" s="83"/>
      <c r="GG73" s="83"/>
      <c r="GH73" s="83"/>
      <c r="GI73" s="83"/>
      <c r="GJ73" s="83"/>
      <c r="GK73" s="83"/>
      <c r="GL73" s="83"/>
      <c r="GM73" s="83"/>
      <c r="GN73" s="83"/>
      <c r="GO73" s="83"/>
      <c r="GP73" s="83"/>
      <c r="GQ73" s="83"/>
      <c r="GR73" s="83"/>
      <c r="GS73" s="83"/>
      <c r="GT73" s="83"/>
      <c r="GU73" s="83"/>
      <c r="GV73" s="83"/>
      <c r="GW73" s="83"/>
      <c r="GX73" s="83"/>
      <c r="GY73" s="83"/>
      <c r="GZ73" s="83"/>
      <c r="HA73" s="83"/>
      <c r="HB73" s="83"/>
      <c r="HC73" s="83"/>
      <c r="HD73" s="83"/>
      <c r="HE73" s="83"/>
      <c r="HF73" s="83"/>
      <c r="HG73" s="83"/>
      <c r="HH73" s="83"/>
      <c r="HI73" s="83"/>
      <c r="HJ73" s="83"/>
      <c r="HK73" s="83"/>
      <c r="HL73" s="83"/>
      <c r="HM73" s="83"/>
      <c r="HN73" s="83"/>
      <c r="HO73" s="83"/>
      <c r="HP73" s="83"/>
      <c r="HQ73" s="83"/>
      <c r="HR73" s="83"/>
      <c r="HS73" s="83"/>
      <c r="HT73" s="83"/>
      <c r="HU73" s="83"/>
      <c r="HV73" s="83"/>
      <c r="HW73" s="83"/>
      <c r="HX73" s="83"/>
      <c r="HY73" s="83"/>
      <c r="HZ73" s="83"/>
      <c r="IA73" s="83"/>
      <c r="IB73" s="83"/>
      <c r="IC73" s="83"/>
      <c r="ID73" s="83"/>
      <c r="IE73" s="83"/>
      <c r="IF73" s="83"/>
      <c r="IG73" s="83"/>
    </row>
    <row r="74" spans="1:241" x14ac:dyDescent="0.3">
      <c r="A74" s="83"/>
      <c r="B74" s="1"/>
      <c r="C74" s="14"/>
      <c r="D74" s="14"/>
      <c r="E74" s="14"/>
      <c r="F74" s="31"/>
      <c r="G74" s="31"/>
      <c r="H74" s="31"/>
      <c r="I74" s="31"/>
      <c r="J74" s="15"/>
      <c r="K74" s="13"/>
      <c r="L74" s="1"/>
      <c r="M74" s="1"/>
      <c r="N74" s="1"/>
      <c r="O74" s="13"/>
      <c r="P74" s="13"/>
      <c r="Q74" s="1"/>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c r="DD74" s="83"/>
      <c r="DE74" s="83"/>
      <c r="DF74" s="83"/>
      <c r="DG74" s="83"/>
      <c r="DH74" s="83"/>
      <c r="DI74" s="83"/>
      <c r="DJ74" s="83"/>
      <c r="DK74" s="83"/>
      <c r="DL74" s="83"/>
      <c r="DM74" s="83"/>
      <c r="DN74" s="83"/>
      <c r="DO74" s="83"/>
      <c r="DP74" s="83"/>
      <c r="DQ74" s="83"/>
      <c r="DR74" s="83"/>
      <c r="DS74" s="83"/>
      <c r="DT74" s="83"/>
      <c r="DU74" s="83"/>
      <c r="DV74" s="83"/>
      <c r="DW74" s="83"/>
      <c r="DX74" s="83"/>
      <c r="DY74" s="83"/>
      <c r="DZ74" s="83"/>
      <c r="EA74" s="83"/>
      <c r="EB74" s="83"/>
      <c r="EC74" s="83"/>
      <c r="ED74" s="83"/>
      <c r="EE74" s="83"/>
      <c r="EF74" s="83"/>
      <c r="EG74" s="83"/>
      <c r="EH74" s="83"/>
      <c r="EI74" s="83"/>
      <c r="EJ74" s="83"/>
      <c r="EK74" s="83"/>
      <c r="EL74" s="83"/>
      <c r="EM74" s="83"/>
      <c r="EN74" s="83"/>
      <c r="EO74" s="83"/>
      <c r="EP74" s="83"/>
      <c r="EQ74" s="83"/>
      <c r="ER74" s="83"/>
      <c r="ES74" s="83"/>
      <c r="ET74" s="83"/>
      <c r="EU74" s="83"/>
      <c r="EV74" s="83"/>
      <c r="EW74" s="83"/>
      <c r="EX74" s="83"/>
      <c r="EY74" s="83"/>
      <c r="EZ74" s="83"/>
      <c r="FA74" s="83"/>
      <c r="FB74" s="83"/>
      <c r="FC74" s="83"/>
      <c r="FD74" s="83"/>
      <c r="FE74" s="83"/>
      <c r="FF74" s="83"/>
      <c r="FG74" s="83"/>
      <c r="FH74" s="83"/>
      <c r="FI74" s="83"/>
      <c r="FJ74" s="83"/>
      <c r="FK74" s="83"/>
      <c r="FL74" s="83"/>
      <c r="FM74" s="83"/>
      <c r="FN74" s="83"/>
      <c r="FO74" s="83"/>
      <c r="FP74" s="83"/>
      <c r="FQ74" s="83"/>
      <c r="FR74" s="83"/>
      <c r="FS74" s="83"/>
      <c r="FT74" s="83"/>
      <c r="FU74" s="83"/>
      <c r="FV74" s="83"/>
      <c r="FW74" s="83"/>
      <c r="FX74" s="83"/>
      <c r="FY74" s="83"/>
      <c r="FZ74" s="83"/>
      <c r="GA74" s="83"/>
      <c r="GB74" s="83"/>
      <c r="GC74" s="83"/>
      <c r="GD74" s="83"/>
      <c r="GE74" s="83"/>
      <c r="GF74" s="83"/>
      <c r="GG74" s="83"/>
      <c r="GH74" s="83"/>
      <c r="GI74" s="83"/>
      <c r="GJ74" s="83"/>
      <c r="GK74" s="83"/>
      <c r="GL74" s="83"/>
      <c r="GM74" s="83"/>
      <c r="GN74" s="83"/>
      <c r="GO74" s="83"/>
      <c r="GP74" s="83"/>
      <c r="GQ74" s="83"/>
      <c r="GR74" s="83"/>
      <c r="GS74" s="83"/>
      <c r="GT74" s="83"/>
      <c r="GU74" s="83"/>
      <c r="GV74" s="83"/>
      <c r="GW74" s="83"/>
      <c r="GX74" s="83"/>
      <c r="GY74" s="83"/>
      <c r="GZ74" s="83"/>
      <c r="HA74" s="83"/>
      <c r="HB74" s="83"/>
      <c r="HC74" s="83"/>
      <c r="HD74" s="83"/>
      <c r="HE74" s="83"/>
      <c r="HF74" s="83"/>
      <c r="HG74" s="83"/>
      <c r="HH74" s="83"/>
      <c r="HI74" s="83"/>
      <c r="HJ74" s="83"/>
      <c r="HK74" s="83"/>
      <c r="HL74" s="83"/>
      <c r="HM74" s="83"/>
      <c r="HN74" s="83"/>
      <c r="HO74" s="83"/>
      <c r="HP74" s="83"/>
      <c r="HQ74" s="83"/>
      <c r="HR74" s="83"/>
      <c r="HS74" s="83"/>
      <c r="HT74" s="83"/>
      <c r="HU74" s="83"/>
      <c r="HV74" s="83"/>
      <c r="HW74" s="83"/>
      <c r="HX74" s="83"/>
      <c r="HY74" s="83"/>
      <c r="HZ74" s="83"/>
      <c r="IA74" s="83"/>
      <c r="IB74" s="83"/>
      <c r="IC74" s="83"/>
      <c r="ID74" s="83"/>
      <c r="IE74" s="83"/>
      <c r="IF74" s="83"/>
      <c r="IG74" s="83"/>
    </row>
    <row r="75" spans="1:241" x14ac:dyDescent="0.3">
      <c r="A75" s="83"/>
      <c r="B75" s="1"/>
      <c r="C75" s="14"/>
      <c r="D75" s="14"/>
      <c r="E75" s="14"/>
      <c r="F75" s="31"/>
      <c r="G75" s="31"/>
      <c r="H75" s="31"/>
      <c r="I75" s="31"/>
      <c r="J75" s="15"/>
      <c r="K75" s="13"/>
      <c r="L75" s="1"/>
      <c r="M75" s="1"/>
      <c r="N75" s="1"/>
      <c r="O75" s="13"/>
      <c r="P75" s="13"/>
      <c r="Q75" s="1"/>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c r="DD75" s="83"/>
      <c r="DE75" s="83"/>
      <c r="DF75" s="83"/>
      <c r="DG75" s="83"/>
      <c r="DH75" s="83"/>
      <c r="DI75" s="83"/>
      <c r="DJ75" s="83"/>
      <c r="DK75" s="83"/>
      <c r="DL75" s="83"/>
      <c r="DM75" s="83"/>
      <c r="DN75" s="83"/>
      <c r="DO75" s="83"/>
      <c r="DP75" s="83"/>
      <c r="DQ75" s="83"/>
      <c r="DR75" s="83"/>
      <c r="DS75" s="83"/>
      <c r="DT75" s="83"/>
      <c r="DU75" s="83"/>
      <c r="DV75" s="83"/>
      <c r="DW75" s="83"/>
      <c r="DX75" s="83"/>
      <c r="DY75" s="83"/>
      <c r="DZ75" s="83"/>
      <c r="EA75" s="83"/>
      <c r="EB75" s="83"/>
      <c r="EC75" s="83"/>
      <c r="ED75" s="83"/>
      <c r="EE75" s="83"/>
      <c r="EF75" s="83"/>
      <c r="EG75" s="83"/>
      <c r="EH75" s="83"/>
      <c r="EI75" s="83"/>
      <c r="EJ75" s="83"/>
      <c r="EK75" s="83"/>
      <c r="EL75" s="83"/>
      <c r="EM75" s="83"/>
      <c r="EN75" s="83"/>
      <c r="EO75" s="83"/>
      <c r="EP75" s="83"/>
      <c r="EQ75" s="83"/>
      <c r="ER75" s="83"/>
      <c r="ES75" s="83"/>
      <c r="ET75" s="83"/>
      <c r="EU75" s="83"/>
      <c r="EV75" s="83"/>
      <c r="EW75" s="83"/>
      <c r="EX75" s="83"/>
      <c r="EY75" s="83"/>
      <c r="EZ75" s="83"/>
      <c r="FA75" s="83"/>
      <c r="FB75" s="83"/>
      <c r="FC75" s="83"/>
      <c r="FD75" s="83"/>
      <c r="FE75" s="83"/>
      <c r="FF75" s="83"/>
      <c r="FG75" s="83"/>
      <c r="FH75" s="83"/>
      <c r="FI75" s="83"/>
      <c r="FJ75" s="83"/>
      <c r="FK75" s="83"/>
      <c r="FL75" s="83"/>
      <c r="FM75" s="83"/>
      <c r="FN75" s="83"/>
      <c r="FO75" s="83"/>
      <c r="FP75" s="83"/>
      <c r="FQ75" s="83"/>
      <c r="FR75" s="83"/>
      <c r="FS75" s="83"/>
      <c r="FT75" s="83"/>
      <c r="FU75" s="83"/>
      <c r="FV75" s="83"/>
      <c r="FW75" s="83"/>
      <c r="FX75" s="83"/>
      <c r="FY75" s="83"/>
      <c r="FZ75" s="83"/>
      <c r="GA75" s="83"/>
      <c r="GB75" s="83"/>
      <c r="GC75" s="83"/>
      <c r="GD75" s="83"/>
      <c r="GE75" s="83"/>
      <c r="GF75" s="83"/>
      <c r="GG75" s="83"/>
      <c r="GH75" s="83"/>
      <c r="GI75" s="83"/>
      <c r="GJ75" s="83"/>
      <c r="GK75" s="83"/>
      <c r="GL75" s="83"/>
      <c r="GM75" s="83"/>
      <c r="GN75" s="83"/>
      <c r="GO75" s="83"/>
      <c r="GP75" s="83"/>
      <c r="GQ75" s="83"/>
      <c r="GR75" s="83"/>
      <c r="GS75" s="83"/>
      <c r="GT75" s="83"/>
      <c r="GU75" s="83"/>
      <c r="GV75" s="83"/>
      <c r="GW75" s="83"/>
      <c r="GX75" s="83"/>
      <c r="GY75" s="83"/>
      <c r="GZ75" s="83"/>
      <c r="HA75" s="83"/>
      <c r="HB75" s="83"/>
      <c r="HC75" s="83"/>
      <c r="HD75" s="83"/>
      <c r="HE75" s="83"/>
      <c r="HF75" s="83"/>
      <c r="HG75" s="83"/>
      <c r="HH75" s="83"/>
      <c r="HI75" s="83"/>
      <c r="HJ75" s="83"/>
      <c r="HK75" s="83"/>
      <c r="HL75" s="83"/>
      <c r="HM75" s="83"/>
      <c r="HN75" s="83"/>
      <c r="HO75" s="83"/>
      <c r="HP75" s="83"/>
      <c r="HQ75" s="83"/>
      <c r="HR75" s="83"/>
      <c r="HS75" s="83"/>
      <c r="HT75" s="83"/>
      <c r="HU75" s="83"/>
      <c r="HV75" s="83"/>
      <c r="HW75" s="83"/>
      <c r="HX75" s="83"/>
      <c r="HY75" s="83"/>
      <c r="HZ75" s="83"/>
      <c r="IA75" s="83"/>
      <c r="IB75" s="83"/>
      <c r="IC75" s="83"/>
      <c r="ID75" s="83"/>
      <c r="IE75" s="83"/>
      <c r="IF75" s="83"/>
      <c r="IG75" s="83"/>
    </row>
    <row r="76" spans="1:241" x14ac:dyDescent="0.3">
      <c r="A76" s="83"/>
      <c r="B76" s="2" t="s">
        <v>249</v>
      </c>
      <c r="C76" s="1"/>
      <c r="D76" s="14"/>
      <c r="E76" s="14"/>
      <c r="F76" s="1"/>
      <c r="G76" s="15"/>
      <c r="H76" s="31"/>
      <c r="I76" s="31"/>
      <c r="J76" s="15"/>
      <c r="K76" s="13"/>
      <c r="L76" s="1"/>
      <c r="M76" s="1"/>
      <c r="N76" s="1"/>
      <c r="O76" s="13"/>
      <c r="P76" s="13"/>
      <c r="Q76" s="1"/>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c r="DD76" s="83"/>
      <c r="DE76" s="83"/>
      <c r="DF76" s="83"/>
      <c r="DG76" s="83"/>
      <c r="DH76" s="83"/>
      <c r="DI76" s="83"/>
      <c r="DJ76" s="83"/>
      <c r="DK76" s="83"/>
      <c r="DL76" s="83"/>
      <c r="DM76" s="83"/>
      <c r="DN76" s="83"/>
      <c r="DO76" s="83"/>
      <c r="DP76" s="83"/>
      <c r="DQ76" s="83"/>
      <c r="DR76" s="83"/>
      <c r="DS76" s="83"/>
      <c r="DT76" s="83"/>
      <c r="DU76" s="83"/>
      <c r="DV76" s="83"/>
      <c r="DW76" s="83"/>
      <c r="DX76" s="83"/>
      <c r="DY76" s="83"/>
      <c r="DZ76" s="83"/>
      <c r="EA76" s="83"/>
      <c r="EB76" s="83"/>
      <c r="EC76" s="83"/>
      <c r="ED76" s="83"/>
      <c r="EE76" s="83"/>
      <c r="EF76" s="83"/>
      <c r="EG76" s="83"/>
      <c r="EH76" s="83"/>
      <c r="EI76" s="83"/>
      <c r="EJ76" s="83"/>
      <c r="EK76" s="83"/>
      <c r="EL76" s="83"/>
      <c r="EM76" s="83"/>
      <c r="EN76" s="83"/>
      <c r="EO76" s="83"/>
      <c r="EP76" s="83"/>
      <c r="EQ76" s="83"/>
      <c r="ER76" s="83"/>
      <c r="ES76" s="83"/>
      <c r="ET76" s="83"/>
      <c r="EU76" s="83"/>
      <c r="EV76" s="83"/>
      <c r="EW76" s="83"/>
      <c r="EX76" s="83"/>
      <c r="EY76" s="83"/>
      <c r="EZ76" s="83"/>
      <c r="FA76" s="83"/>
      <c r="FB76" s="83"/>
      <c r="FC76" s="83"/>
      <c r="FD76" s="83"/>
      <c r="FE76" s="83"/>
      <c r="FF76" s="83"/>
      <c r="FG76" s="83"/>
      <c r="FH76" s="83"/>
      <c r="FI76" s="83"/>
      <c r="FJ76" s="83"/>
      <c r="FK76" s="83"/>
      <c r="FL76" s="83"/>
      <c r="FM76" s="83"/>
      <c r="FN76" s="83"/>
      <c r="FO76" s="83"/>
      <c r="FP76" s="83"/>
      <c r="FQ76" s="83"/>
      <c r="FR76" s="83"/>
      <c r="FS76" s="83"/>
      <c r="FT76" s="83"/>
      <c r="FU76" s="83"/>
      <c r="FV76" s="83"/>
      <c r="FW76" s="83"/>
      <c r="FX76" s="83"/>
      <c r="FY76" s="83"/>
      <c r="FZ76" s="83"/>
      <c r="GA76" s="83"/>
      <c r="GB76" s="83"/>
      <c r="GC76" s="83"/>
      <c r="GD76" s="83"/>
      <c r="GE76" s="83"/>
      <c r="GF76" s="83"/>
      <c r="GG76" s="83"/>
      <c r="GH76" s="83"/>
      <c r="GI76" s="83"/>
      <c r="GJ76" s="83"/>
      <c r="GK76" s="83"/>
      <c r="GL76" s="83"/>
      <c r="GM76" s="83"/>
      <c r="GN76" s="83"/>
      <c r="GO76" s="83"/>
      <c r="GP76" s="83"/>
      <c r="GQ76" s="83"/>
      <c r="GR76" s="83"/>
      <c r="GS76" s="83"/>
      <c r="GT76" s="83"/>
      <c r="GU76" s="83"/>
      <c r="GV76" s="83"/>
      <c r="GW76" s="83"/>
      <c r="GX76" s="83"/>
      <c r="GY76" s="83"/>
      <c r="GZ76" s="83"/>
      <c r="HA76" s="83"/>
      <c r="HB76" s="83"/>
      <c r="HC76" s="83"/>
      <c r="HD76" s="83"/>
      <c r="HE76" s="83"/>
      <c r="HF76" s="83"/>
      <c r="HG76" s="83"/>
      <c r="HH76" s="83"/>
      <c r="HI76" s="83"/>
      <c r="HJ76" s="83"/>
      <c r="HK76" s="83"/>
      <c r="HL76" s="83"/>
      <c r="HM76" s="83"/>
      <c r="HN76" s="83"/>
      <c r="HO76" s="83"/>
      <c r="HP76" s="83"/>
      <c r="HQ76" s="83"/>
      <c r="HR76" s="83"/>
      <c r="HS76" s="83"/>
      <c r="HT76" s="83"/>
      <c r="HU76" s="83"/>
      <c r="HV76" s="83"/>
      <c r="HW76" s="83"/>
      <c r="HX76" s="83"/>
      <c r="HY76" s="83"/>
      <c r="HZ76" s="83"/>
      <c r="IA76" s="83"/>
      <c r="IB76" s="83"/>
      <c r="IC76" s="83"/>
      <c r="ID76" s="83"/>
      <c r="IE76" s="83"/>
      <c r="IF76" s="83"/>
      <c r="IG76" s="83"/>
    </row>
    <row r="77" spans="1:241" ht="16.8" x14ac:dyDescent="0.35">
      <c r="A77" s="83"/>
      <c r="B77" s="3" t="s">
        <v>70</v>
      </c>
      <c r="C77" s="4" t="s">
        <v>1</v>
      </c>
      <c r="D77" s="4" t="s">
        <v>2</v>
      </c>
      <c r="E77" s="4" t="s">
        <v>3</v>
      </c>
      <c r="F77" s="4" t="s">
        <v>27</v>
      </c>
      <c r="G77" s="5" t="s">
        <v>28</v>
      </c>
      <c r="H77" s="6" t="s">
        <v>6</v>
      </c>
      <c r="I77" s="31"/>
      <c r="J77" s="15"/>
      <c r="K77" s="13"/>
      <c r="L77" s="1"/>
      <c r="M77" s="1"/>
      <c r="N77" s="1"/>
      <c r="O77" s="13"/>
      <c r="P77" s="13"/>
      <c r="Q77" s="1"/>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c r="DD77" s="83"/>
      <c r="DE77" s="83"/>
      <c r="DF77" s="83"/>
      <c r="DG77" s="83"/>
      <c r="DH77" s="83"/>
      <c r="DI77" s="83"/>
      <c r="DJ77" s="83"/>
      <c r="DK77" s="83"/>
      <c r="DL77" s="83"/>
      <c r="DM77" s="83"/>
      <c r="DN77" s="83"/>
      <c r="DO77" s="83"/>
      <c r="DP77" s="83"/>
      <c r="DQ77" s="83"/>
      <c r="DR77" s="83"/>
      <c r="DS77" s="83"/>
      <c r="DT77" s="83"/>
      <c r="DU77" s="83"/>
      <c r="DV77" s="83"/>
      <c r="DW77" s="83"/>
      <c r="DX77" s="83"/>
      <c r="DY77" s="83"/>
      <c r="DZ77" s="83"/>
      <c r="EA77" s="83"/>
      <c r="EB77" s="83"/>
      <c r="EC77" s="83"/>
      <c r="ED77" s="83"/>
      <c r="EE77" s="83"/>
      <c r="EF77" s="83"/>
      <c r="EG77" s="83"/>
      <c r="EH77" s="83"/>
      <c r="EI77" s="83"/>
      <c r="EJ77" s="83"/>
      <c r="EK77" s="83"/>
      <c r="EL77" s="83"/>
      <c r="EM77" s="83"/>
      <c r="EN77" s="83"/>
      <c r="EO77" s="83"/>
      <c r="EP77" s="83"/>
      <c r="EQ77" s="83"/>
      <c r="ER77" s="83"/>
      <c r="ES77" s="83"/>
      <c r="ET77" s="83"/>
      <c r="EU77" s="83"/>
      <c r="EV77" s="83"/>
      <c r="EW77" s="83"/>
      <c r="EX77" s="83"/>
      <c r="EY77" s="83"/>
      <c r="EZ77" s="83"/>
      <c r="FA77" s="83"/>
      <c r="FB77" s="83"/>
      <c r="FC77" s="83"/>
      <c r="FD77" s="83"/>
      <c r="FE77" s="83"/>
      <c r="FF77" s="83"/>
      <c r="FG77" s="83"/>
      <c r="FH77" s="83"/>
      <c r="FI77" s="83"/>
      <c r="FJ77" s="83"/>
      <c r="FK77" s="83"/>
      <c r="FL77" s="83"/>
      <c r="FM77" s="83"/>
      <c r="FN77" s="83"/>
      <c r="FO77" s="83"/>
      <c r="FP77" s="83"/>
      <c r="FQ77" s="83"/>
      <c r="FR77" s="83"/>
      <c r="FS77" s="83"/>
      <c r="FT77" s="83"/>
      <c r="FU77" s="83"/>
      <c r="FV77" s="83"/>
      <c r="FW77" s="83"/>
      <c r="FX77" s="83"/>
      <c r="FY77" s="83"/>
      <c r="FZ77" s="83"/>
      <c r="GA77" s="83"/>
      <c r="GB77" s="83"/>
      <c r="GC77" s="83"/>
      <c r="GD77" s="83"/>
      <c r="GE77" s="83"/>
      <c r="GF77" s="83"/>
      <c r="GG77" s="83"/>
      <c r="GH77" s="83"/>
      <c r="GI77" s="83"/>
      <c r="GJ77" s="83"/>
      <c r="GK77" s="83"/>
      <c r="GL77" s="83"/>
      <c r="GM77" s="83"/>
      <c r="GN77" s="83"/>
      <c r="GO77" s="83"/>
      <c r="GP77" s="83"/>
      <c r="GQ77" s="83"/>
      <c r="GR77" s="83"/>
      <c r="GS77" s="83"/>
      <c r="GT77" s="83"/>
      <c r="GU77" s="83"/>
      <c r="GV77" s="83"/>
      <c r="GW77" s="83"/>
      <c r="GX77" s="83"/>
      <c r="GY77" s="83"/>
      <c r="GZ77" s="83"/>
      <c r="HA77" s="83"/>
      <c r="HB77" s="83"/>
      <c r="HC77" s="83"/>
      <c r="HD77" s="83"/>
      <c r="HE77" s="83"/>
      <c r="HF77" s="83"/>
      <c r="HG77" s="83"/>
      <c r="HH77" s="83"/>
      <c r="HI77" s="83"/>
      <c r="HJ77" s="83"/>
      <c r="HK77" s="83"/>
      <c r="HL77" s="83"/>
      <c r="HM77" s="83"/>
      <c r="HN77" s="83"/>
      <c r="HO77" s="83"/>
      <c r="HP77" s="83"/>
      <c r="HQ77" s="83"/>
      <c r="HR77" s="83"/>
      <c r="HS77" s="83"/>
      <c r="HT77" s="83"/>
      <c r="HU77" s="83"/>
      <c r="HV77" s="83"/>
      <c r="HW77" s="83"/>
      <c r="HX77" s="83"/>
      <c r="HY77" s="83"/>
      <c r="HZ77" s="83"/>
      <c r="IA77" s="83"/>
      <c r="IB77" s="83"/>
      <c r="IC77" s="83"/>
      <c r="ID77" s="83"/>
      <c r="IE77" s="83"/>
      <c r="IF77" s="83"/>
      <c r="IG77" s="83"/>
    </row>
    <row r="78" spans="1:241" x14ac:dyDescent="0.3">
      <c r="A78" s="83"/>
      <c r="B78" s="7" t="s">
        <v>71</v>
      </c>
      <c r="C78" s="25">
        <v>5.1055000000000001</v>
      </c>
      <c r="D78" s="25">
        <v>0.49990000000000001</v>
      </c>
      <c r="E78" s="25">
        <v>1E-4</v>
      </c>
      <c r="F78" s="26">
        <v>0.9</v>
      </c>
      <c r="G78" s="24">
        <v>115</v>
      </c>
      <c r="H78" s="27">
        <v>1.65</v>
      </c>
      <c r="I78" s="44"/>
      <c r="J78" s="15"/>
      <c r="K78" s="13"/>
      <c r="L78" s="1"/>
      <c r="M78" s="1"/>
      <c r="N78" s="1"/>
      <c r="O78" s="13"/>
      <c r="P78" s="13"/>
      <c r="Q78" s="1"/>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c r="DD78" s="83"/>
      <c r="DE78" s="83"/>
      <c r="DF78" s="83"/>
      <c r="DG78" s="83"/>
      <c r="DH78" s="83"/>
      <c r="DI78" s="83"/>
      <c r="DJ78" s="83"/>
      <c r="DK78" s="83"/>
      <c r="DL78" s="83"/>
      <c r="DM78" s="83"/>
      <c r="DN78" s="83"/>
      <c r="DO78" s="83"/>
      <c r="DP78" s="83"/>
      <c r="DQ78" s="83"/>
      <c r="DR78" s="83"/>
      <c r="DS78" s="83"/>
      <c r="DT78" s="83"/>
      <c r="DU78" s="83"/>
      <c r="DV78" s="83"/>
      <c r="DW78" s="83"/>
      <c r="DX78" s="83"/>
      <c r="DY78" s="83"/>
      <c r="DZ78" s="83"/>
      <c r="EA78" s="83"/>
      <c r="EB78" s="83"/>
      <c r="EC78" s="83"/>
      <c r="ED78" s="83"/>
      <c r="EE78" s="83"/>
      <c r="EF78" s="83"/>
      <c r="EG78" s="83"/>
      <c r="EH78" s="83"/>
      <c r="EI78" s="83"/>
      <c r="EJ78" s="83"/>
      <c r="EK78" s="83"/>
      <c r="EL78" s="83"/>
      <c r="EM78" s="83"/>
      <c r="EN78" s="83"/>
      <c r="EO78" s="83"/>
      <c r="EP78" s="83"/>
      <c r="EQ78" s="83"/>
      <c r="ER78" s="83"/>
      <c r="ES78" s="83"/>
      <c r="ET78" s="83"/>
      <c r="EU78" s="83"/>
      <c r="EV78" s="83"/>
      <c r="EW78" s="83"/>
      <c r="EX78" s="83"/>
      <c r="EY78" s="83"/>
      <c r="EZ78" s="83"/>
      <c r="FA78" s="83"/>
      <c r="FB78" s="83"/>
      <c r="FC78" s="83"/>
      <c r="FD78" s="83"/>
      <c r="FE78" s="83"/>
      <c r="FF78" s="83"/>
      <c r="FG78" s="83"/>
      <c r="FH78" s="83"/>
      <c r="FI78" s="83"/>
      <c r="FJ78" s="83"/>
      <c r="FK78" s="83"/>
      <c r="FL78" s="83"/>
      <c r="FM78" s="83"/>
      <c r="FN78" s="83"/>
      <c r="FO78" s="83"/>
      <c r="FP78" s="83"/>
      <c r="FQ78" s="83"/>
      <c r="FR78" s="83"/>
      <c r="FS78" s="83"/>
      <c r="FT78" s="83"/>
      <c r="FU78" s="83"/>
      <c r="FV78" s="83"/>
      <c r="FW78" s="83"/>
      <c r="FX78" s="83"/>
      <c r="FY78" s="83"/>
      <c r="FZ78" s="83"/>
      <c r="GA78" s="83"/>
      <c r="GB78" s="83"/>
      <c r="GC78" s="83"/>
      <c r="GD78" s="83"/>
      <c r="GE78" s="83"/>
      <c r="GF78" s="83"/>
      <c r="GG78" s="83"/>
      <c r="GH78" s="83"/>
      <c r="GI78" s="83"/>
      <c r="GJ78" s="83"/>
      <c r="GK78" s="83"/>
      <c r="GL78" s="83"/>
      <c r="GM78" s="83"/>
      <c r="GN78" s="83"/>
      <c r="GO78" s="83"/>
      <c r="GP78" s="83"/>
      <c r="GQ78" s="83"/>
      <c r="GR78" s="83"/>
      <c r="GS78" s="83"/>
      <c r="GT78" s="83"/>
      <c r="GU78" s="83"/>
      <c r="GV78" s="83"/>
      <c r="GW78" s="83"/>
      <c r="GX78" s="83"/>
      <c r="GY78" s="83"/>
      <c r="GZ78" s="83"/>
      <c r="HA78" s="83"/>
      <c r="HB78" s="83"/>
      <c r="HC78" s="83"/>
      <c r="HD78" s="83"/>
      <c r="HE78" s="83"/>
      <c r="HF78" s="83"/>
      <c r="HG78" s="83"/>
      <c r="HH78" s="83"/>
      <c r="HI78" s="83"/>
      <c r="HJ78" s="83"/>
      <c r="HK78" s="83"/>
      <c r="HL78" s="83"/>
      <c r="HM78" s="83"/>
      <c r="HN78" s="83"/>
      <c r="HO78" s="83"/>
      <c r="HP78" s="83"/>
      <c r="HQ78" s="83"/>
      <c r="HR78" s="83"/>
      <c r="HS78" s="83"/>
      <c r="HT78" s="83"/>
      <c r="HU78" s="83"/>
      <c r="HV78" s="83"/>
      <c r="HW78" s="83"/>
      <c r="HX78" s="83"/>
      <c r="HY78" s="83"/>
      <c r="HZ78" s="83"/>
      <c r="IA78" s="83"/>
      <c r="IB78" s="83"/>
      <c r="IC78" s="83"/>
      <c r="ID78" s="83"/>
      <c r="IE78" s="83"/>
      <c r="IF78" s="83"/>
      <c r="IG78" s="83"/>
    </row>
    <row r="79" spans="1:241" x14ac:dyDescent="0.3">
      <c r="A79" s="83"/>
      <c r="B79" s="12" t="s">
        <v>72</v>
      </c>
      <c r="C79" s="14">
        <v>3.2107000000000001</v>
      </c>
      <c r="D79" s="14">
        <v>0.75970000000000004</v>
      </c>
      <c r="E79" s="14">
        <v>2.7000000000000001E-3</v>
      </c>
      <c r="F79" s="15">
        <v>15</v>
      </c>
      <c r="G79" s="28">
        <v>200</v>
      </c>
      <c r="H79" s="10">
        <v>1.65</v>
      </c>
      <c r="I79" s="44"/>
      <c r="J79" s="15"/>
      <c r="K79" s="13"/>
      <c r="L79" s="1"/>
      <c r="M79" s="1"/>
      <c r="N79" s="1"/>
      <c r="O79" s="13"/>
      <c r="P79" s="13"/>
      <c r="Q79" s="1"/>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c r="DD79" s="83"/>
      <c r="DE79" s="83"/>
      <c r="DF79" s="83"/>
      <c r="DG79" s="83"/>
      <c r="DH79" s="83"/>
      <c r="DI79" s="83"/>
      <c r="DJ79" s="83"/>
      <c r="DK79" s="83"/>
      <c r="DL79" s="83"/>
      <c r="DM79" s="83"/>
      <c r="DN79" s="83"/>
      <c r="DO79" s="83"/>
      <c r="DP79" s="83"/>
      <c r="DQ79" s="83"/>
      <c r="DR79" s="83"/>
      <c r="DS79" s="83"/>
      <c r="DT79" s="83"/>
      <c r="DU79" s="83"/>
      <c r="DV79" s="83"/>
      <c r="DW79" s="83"/>
      <c r="DX79" s="83"/>
      <c r="DY79" s="83"/>
      <c r="DZ79" s="83"/>
      <c r="EA79" s="83"/>
      <c r="EB79" s="83"/>
      <c r="EC79" s="83"/>
      <c r="ED79" s="83"/>
      <c r="EE79" s="83"/>
      <c r="EF79" s="83"/>
      <c r="EG79" s="83"/>
      <c r="EH79" s="83"/>
      <c r="EI79" s="83"/>
      <c r="EJ79" s="83"/>
      <c r="EK79" s="83"/>
      <c r="EL79" s="83"/>
      <c r="EM79" s="83"/>
      <c r="EN79" s="83"/>
      <c r="EO79" s="83"/>
      <c r="EP79" s="83"/>
      <c r="EQ79" s="83"/>
      <c r="ER79" s="83"/>
      <c r="ES79" s="83"/>
      <c r="ET79" s="83"/>
      <c r="EU79" s="83"/>
      <c r="EV79" s="83"/>
      <c r="EW79" s="83"/>
      <c r="EX79" s="83"/>
      <c r="EY79" s="83"/>
      <c r="EZ79" s="83"/>
      <c r="FA79" s="83"/>
      <c r="FB79" s="83"/>
      <c r="FC79" s="83"/>
      <c r="FD79" s="83"/>
      <c r="FE79" s="83"/>
      <c r="FF79" s="83"/>
      <c r="FG79" s="83"/>
      <c r="FH79" s="83"/>
      <c r="FI79" s="83"/>
      <c r="FJ79" s="83"/>
      <c r="FK79" s="83"/>
      <c r="FL79" s="83"/>
      <c r="FM79" s="83"/>
      <c r="FN79" s="83"/>
      <c r="FO79" s="83"/>
      <c r="FP79" s="83"/>
      <c r="FQ79" s="83"/>
      <c r="FR79" s="83"/>
      <c r="FS79" s="83"/>
      <c r="FT79" s="83"/>
      <c r="FU79" s="83"/>
      <c r="FV79" s="83"/>
      <c r="FW79" s="83"/>
      <c r="FX79" s="83"/>
      <c r="FY79" s="83"/>
      <c r="FZ79" s="83"/>
      <c r="GA79" s="83"/>
      <c r="GB79" s="83"/>
      <c r="GC79" s="83"/>
      <c r="GD79" s="83"/>
      <c r="GE79" s="83"/>
      <c r="GF79" s="83"/>
      <c r="GG79" s="83"/>
      <c r="GH79" s="83"/>
      <c r="GI79" s="83"/>
      <c r="GJ79" s="83"/>
      <c r="GK79" s="83"/>
      <c r="GL79" s="83"/>
      <c r="GM79" s="83"/>
      <c r="GN79" s="83"/>
      <c r="GO79" s="83"/>
      <c r="GP79" s="83"/>
      <c r="GQ79" s="83"/>
      <c r="GR79" s="83"/>
      <c r="GS79" s="83"/>
      <c r="GT79" s="83"/>
      <c r="GU79" s="83"/>
      <c r="GV79" s="83"/>
      <c r="GW79" s="83"/>
      <c r="GX79" s="83"/>
      <c r="GY79" s="83"/>
      <c r="GZ79" s="83"/>
      <c r="HA79" s="83"/>
      <c r="HB79" s="83"/>
      <c r="HC79" s="83"/>
      <c r="HD79" s="83"/>
      <c r="HE79" s="83"/>
      <c r="HF79" s="83"/>
      <c r="HG79" s="83"/>
      <c r="HH79" s="83"/>
      <c r="HI79" s="83"/>
      <c r="HJ79" s="83"/>
      <c r="HK79" s="83"/>
      <c r="HL79" s="83"/>
      <c r="HM79" s="83"/>
      <c r="HN79" s="83"/>
      <c r="HO79" s="83"/>
      <c r="HP79" s="83"/>
      <c r="HQ79" s="83"/>
      <c r="HR79" s="83"/>
      <c r="HS79" s="83"/>
      <c r="HT79" s="83"/>
      <c r="HU79" s="83"/>
      <c r="HV79" s="83"/>
      <c r="HW79" s="83"/>
      <c r="HX79" s="83"/>
      <c r="HY79" s="83"/>
      <c r="HZ79" s="83"/>
      <c r="IA79" s="83"/>
      <c r="IB79" s="83"/>
      <c r="IC79" s="83"/>
      <c r="ID79" s="83"/>
      <c r="IE79" s="83"/>
      <c r="IF79" s="83"/>
      <c r="IG79" s="83"/>
    </row>
    <row r="80" spans="1:241" x14ac:dyDescent="0.3">
      <c r="A80" s="83"/>
      <c r="B80" s="12" t="s">
        <v>73</v>
      </c>
      <c r="C80" s="14">
        <v>4.8122999999999996</v>
      </c>
      <c r="D80" s="14">
        <v>0.2858</v>
      </c>
      <c r="E80" s="14">
        <v>4.2000000000000003E-2</v>
      </c>
      <c r="F80" s="15">
        <v>0.9</v>
      </c>
      <c r="G80" s="28">
        <v>300</v>
      </c>
      <c r="H80" s="10">
        <v>1.65</v>
      </c>
      <c r="I80" s="44"/>
      <c r="J80" s="15"/>
      <c r="K80" s="13"/>
      <c r="L80" s="1"/>
      <c r="M80" s="1"/>
      <c r="N80" s="1"/>
      <c r="O80" s="13"/>
      <c r="P80" s="13"/>
      <c r="Q80" s="1"/>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c r="DD80" s="83"/>
      <c r="DE80" s="83"/>
      <c r="DF80" s="83"/>
      <c r="DG80" s="83"/>
      <c r="DH80" s="83"/>
      <c r="DI80" s="83"/>
      <c r="DJ80" s="83"/>
      <c r="DK80" s="83"/>
      <c r="DL80" s="83"/>
      <c r="DM80" s="83"/>
      <c r="DN80" s="83"/>
      <c r="DO80" s="83"/>
      <c r="DP80" s="83"/>
      <c r="DQ80" s="83"/>
      <c r="DR80" s="83"/>
      <c r="DS80" s="83"/>
      <c r="DT80" s="83"/>
      <c r="DU80" s="83"/>
      <c r="DV80" s="83"/>
      <c r="DW80" s="83"/>
      <c r="DX80" s="83"/>
      <c r="DY80" s="83"/>
      <c r="DZ80" s="83"/>
      <c r="EA80" s="83"/>
      <c r="EB80" s="83"/>
      <c r="EC80" s="83"/>
      <c r="ED80" s="83"/>
      <c r="EE80" s="83"/>
      <c r="EF80" s="83"/>
      <c r="EG80" s="83"/>
      <c r="EH80" s="83"/>
      <c r="EI80" s="83"/>
      <c r="EJ80" s="83"/>
      <c r="EK80" s="83"/>
      <c r="EL80" s="83"/>
      <c r="EM80" s="83"/>
      <c r="EN80" s="83"/>
      <c r="EO80" s="83"/>
      <c r="EP80" s="83"/>
      <c r="EQ80" s="83"/>
      <c r="ER80" s="83"/>
      <c r="ES80" s="83"/>
      <c r="ET80" s="83"/>
      <c r="EU80" s="83"/>
      <c r="EV80" s="83"/>
      <c r="EW80" s="83"/>
      <c r="EX80" s="83"/>
      <c r="EY80" s="83"/>
      <c r="EZ80" s="83"/>
      <c r="FA80" s="83"/>
      <c r="FB80" s="83"/>
      <c r="FC80" s="83"/>
      <c r="FD80" s="83"/>
      <c r="FE80" s="83"/>
      <c r="FF80" s="83"/>
      <c r="FG80" s="83"/>
      <c r="FH80" s="83"/>
      <c r="FI80" s="83"/>
      <c r="FJ80" s="83"/>
      <c r="FK80" s="83"/>
      <c r="FL80" s="83"/>
      <c r="FM80" s="83"/>
      <c r="FN80" s="83"/>
      <c r="FO80" s="83"/>
      <c r="FP80" s="83"/>
      <c r="FQ80" s="83"/>
      <c r="FR80" s="83"/>
      <c r="FS80" s="83"/>
      <c r="FT80" s="83"/>
      <c r="FU80" s="83"/>
      <c r="FV80" s="83"/>
      <c r="FW80" s="83"/>
      <c r="FX80" s="83"/>
      <c r="FY80" s="83"/>
      <c r="FZ80" s="83"/>
      <c r="GA80" s="83"/>
      <c r="GB80" s="83"/>
      <c r="GC80" s="83"/>
      <c r="GD80" s="83"/>
      <c r="GE80" s="83"/>
      <c r="GF80" s="83"/>
      <c r="GG80" s="83"/>
      <c r="GH80" s="83"/>
      <c r="GI80" s="83"/>
      <c r="GJ80" s="83"/>
      <c r="GK80" s="83"/>
      <c r="GL80" s="83"/>
      <c r="GM80" s="83"/>
      <c r="GN80" s="83"/>
      <c r="GO80" s="83"/>
      <c r="GP80" s="83"/>
      <c r="GQ80" s="83"/>
      <c r="GR80" s="83"/>
      <c r="GS80" s="83"/>
      <c r="GT80" s="83"/>
      <c r="GU80" s="83"/>
      <c r="GV80" s="83"/>
      <c r="GW80" s="83"/>
      <c r="GX80" s="83"/>
      <c r="GY80" s="83"/>
      <c r="GZ80" s="83"/>
      <c r="HA80" s="83"/>
      <c r="HB80" s="83"/>
      <c r="HC80" s="83"/>
      <c r="HD80" s="83"/>
      <c r="HE80" s="83"/>
      <c r="HF80" s="83"/>
      <c r="HG80" s="83"/>
      <c r="HH80" s="83"/>
      <c r="HI80" s="83"/>
      <c r="HJ80" s="83"/>
      <c r="HK80" s="83"/>
      <c r="HL80" s="83"/>
      <c r="HM80" s="83"/>
      <c r="HN80" s="83"/>
      <c r="HO80" s="83"/>
      <c r="HP80" s="83"/>
      <c r="HQ80" s="83"/>
      <c r="HR80" s="83"/>
      <c r="HS80" s="83"/>
      <c r="HT80" s="83"/>
      <c r="HU80" s="83"/>
      <c r="HV80" s="83"/>
      <c r="HW80" s="83"/>
      <c r="HX80" s="83"/>
      <c r="HY80" s="83"/>
      <c r="HZ80" s="83"/>
      <c r="IA80" s="83"/>
      <c r="IB80" s="83"/>
      <c r="IC80" s="83"/>
      <c r="ID80" s="83"/>
      <c r="IE80" s="83"/>
      <c r="IF80" s="83"/>
      <c r="IG80" s="83"/>
    </row>
    <row r="81" spans="1:241" x14ac:dyDescent="0.3">
      <c r="A81" s="83"/>
      <c r="B81" s="12" t="s">
        <v>74</v>
      </c>
      <c r="C81" s="14">
        <v>4.2755999999999998</v>
      </c>
      <c r="D81" s="14">
        <v>0.35199999999999998</v>
      </c>
      <c r="E81" s="14">
        <v>7.1400000000000005E-2</v>
      </c>
      <c r="F81" s="15">
        <v>0.5</v>
      </c>
      <c r="G81" s="28">
        <v>80</v>
      </c>
      <c r="H81" s="10">
        <v>1.65</v>
      </c>
      <c r="I81" s="44"/>
      <c r="J81" s="15"/>
      <c r="K81" s="13"/>
      <c r="L81" s="1"/>
      <c r="M81" s="1"/>
      <c r="N81" s="1"/>
      <c r="O81" s="13"/>
      <c r="P81" s="13"/>
      <c r="Q81" s="1"/>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c r="DD81" s="83"/>
      <c r="DE81" s="83"/>
      <c r="DF81" s="83"/>
      <c r="DG81" s="83"/>
      <c r="DH81" s="83"/>
      <c r="DI81" s="83"/>
      <c r="DJ81" s="83"/>
      <c r="DK81" s="83"/>
      <c r="DL81" s="83"/>
      <c r="DM81" s="83"/>
      <c r="DN81" s="83"/>
      <c r="DO81" s="83"/>
      <c r="DP81" s="83"/>
      <c r="DQ81" s="83"/>
      <c r="DR81" s="83"/>
      <c r="DS81" s="83"/>
      <c r="DT81" s="83"/>
      <c r="DU81" s="83"/>
      <c r="DV81" s="83"/>
      <c r="DW81" s="83"/>
      <c r="DX81" s="83"/>
      <c r="DY81" s="83"/>
      <c r="DZ81" s="83"/>
      <c r="EA81" s="83"/>
      <c r="EB81" s="83"/>
      <c r="EC81" s="83"/>
      <c r="ED81" s="83"/>
      <c r="EE81" s="83"/>
      <c r="EF81" s="83"/>
      <c r="EG81" s="83"/>
      <c r="EH81" s="83"/>
      <c r="EI81" s="83"/>
      <c r="EJ81" s="83"/>
      <c r="EK81" s="83"/>
      <c r="EL81" s="83"/>
      <c r="EM81" s="83"/>
      <c r="EN81" s="83"/>
      <c r="EO81" s="83"/>
      <c r="EP81" s="83"/>
      <c r="EQ81" s="83"/>
      <c r="ER81" s="83"/>
      <c r="ES81" s="83"/>
      <c r="ET81" s="83"/>
      <c r="EU81" s="83"/>
      <c r="EV81" s="83"/>
      <c r="EW81" s="83"/>
      <c r="EX81" s="83"/>
      <c r="EY81" s="83"/>
      <c r="EZ81" s="83"/>
      <c r="FA81" s="83"/>
      <c r="FB81" s="83"/>
      <c r="FC81" s="83"/>
      <c r="FD81" s="83"/>
      <c r="FE81" s="83"/>
      <c r="FF81" s="83"/>
      <c r="FG81" s="83"/>
      <c r="FH81" s="83"/>
      <c r="FI81" s="83"/>
      <c r="FJ81" s="83"/>
      <c r="FK81" s="83"/>
      <c r="FL81" s="83"/>
      <c r="FM81" s="83"/>
      <c r="FN81" s="83"/>
      <c r="FO81" s="83"/>
      <c r="FP81" s="83"/>
      <c r="FQ81" s="83"/>
      <c r="FR81" s="83"/>
      <c r="FS81" s="83"/>
      <c r="FT81" s="83"/>
      <c r="FU81" s="83"/>
      <c r="FV81" s="83"/>
      <c r="FW81" s="83"/>
      <c r="FX81" s="83"/>
      <c r="FY81" s="83"/>
      <c r="FZ81" s="83"/>
      <c r="GA81" s="83"/>
      <c r="GB81" s="83"/>
      <c r="GC81" s="83"/>
      <c r="GD81" s="83"/>
      <c r="GE81" s="83"/>
      <c r="GF81" s="83"/>
      <c r="GG81" s="83"/>
      <c r="GH81" s="83"/>
      <c r="GI81" s="83"/>
      <c r="GJ81" s="83"/>
      <c r="GK81" s="83"/>
      <c r="GL81" s="83"/>
      <c r="GM81" s="83"/>
      <c r="GN81" s="83"/>
      <c r="GO81" s="83"/>
      <c r="GP81" s="83"/>
      <c r="GQ81" s="83"/>
      <c r="GR81" s="83"/>
      <c r="GS81" s="83"/>
      <c r="GT81" s="83"/>
      <c r="GU81" s="83"/>
      <c r="GV81" s="83"/>
      <c r="GW81" s="83"/>
      <c r="GX81" s="83"/>
      <c r="GY81" s="83"/>
      <c r="GZ81" s="83"/>
      <c r="HA81" s="83"/>
      <c r="HB81" s="83"/>
      <c r="HC81" s="83"/>
      <c r="HD81" s="83"/>
      <c r="HE81" s="83"/>
      <c r="HF81" s="83"/>
      <c r="HG81" s="83"/>
      <c r="HH81" s="83"/>
      <c r="HI81" s="83"/>
      <c r="HJ81" s="83"/>
      <c r="HK81" s="83"/>
      <c r="HL81" s="83"/>
      <c r="HM81" s="83"/>
      <c r="HN81" s="83"/>
      <c r="HO81" s="83"/>
      <c r="HP81" s="83"/>
      <c r="HQ81" s="83"/>
      <c r="HR81" s="83"/>
      <c r="HS81" s="83"/>
      <c r="HT81" s="83"/>
      <c r="HU81" s="83"/>
      <c r="HV81" s="83"/>
      <c r="HW81" s="83"/>
      <c r="HX81" s="83"/>
      <c r="HY81" s="83"/>
      <c r="HZ81" s="83"/>
      <c r="IA81" s="83"/>
      <c r="IB81" s="83"/>
      <c r="IC81" s="83"/>
      <c r="ID81" s="83"/>
      <c r="IE81" s="83"/>
      <c r="IF81" s="83"/>
      <c r="IG81" s="83"/>
    </row>
    <row r="82" spans="1:241" x14ac:dyDescent="0.3">
      <c r="A82" s="83"/>
      <c r="B82" s="12" t="s">
        <v>75</v>
      </c>
      <c r="C82" s="14">
        <v>3.8187000000000002</v>
      </c>
      <c r="D82" s="14">
        <v>0.62350000000000005</v>
      </c>
      <c r="E82" s="14">
        <v>1.7600000000000001E-2</v>
      </c>
      <c r="F82" s="15">
        <v>0.6</v>
      </c>
      <c r="G82" s="28">
        <v>235</v>
      </c>
      <c r="H82" s="10">
        <v>1.65</v>
      </c>
      <c r="I82" s="44"/>
      <c r="J82" s="15"/>
      <c r="K82" s="13"/>
      <c r="L82" s="1"/>
      <c r="M82" s="1"/>
      <c r="N82" s="1"/>
      <c r="O82" s="13"/>
      <c r="P82" s="13"/>
      <c r="Q82" s="1"/>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c r="DD82" s="83"/>
      <c r="DE82" s="83"/>
      <c r="DF82" s="83"/>
      <c r="DG82" s="83"/>
      <c r="DH82" s="83"/>
      <c r="DI82" s="83"/>
      <c r="DJ82" s="83"/>
      <c r="DK82" s="83"/>
      <c r="DL82" s="83"/>
      <c r="DM82" s="83"/>
      <c r="DN82" s="83"/>
      <c r="DO82" s="83"/>
      <c r="DP82" s="83"/>
      <c r="DQ82" s="83"/>
      <c r="DR82" s="83"/>
      <c r="DS82" s="83"/>
      <c r="DT82" s="83"/>
      <c r="DU82" s="83"/>
      <c r="DV82" s="83"/>
      <c r="DW82" s="83"/>
      <c r="DX82" s="83"/>
      <c r="DY82" s="83"/>
      <c r="DZ82" s="83"/>
      <c r="EA82" s="83"/>
      <c r="EB82" s="83"/>
      <c r="EC82" s="83"/>
      <c r="ED82" s="83"/>
      <c r="EE82" s="83"/>
      <c r="EF82" s="83"/>
      <c r="EG82" s="83"/>
      <c r="EH82" s="83"/>
      <c r="EI82" s="83"/>
      <c r="EJ82" s="83"/>
      <c r="EK82" s="83"/>
      <c r="EL82" s="83"/>
      <c r="EM82" s="83"/>
      <c r="EN82" s="83"/>
      <c r="EO82" s="83"/>
      <c r="EP82" s="83"/>
      <c r="EQ82" s="83"/>
      <c r="ER82" s="83"/>
      <c r="ES82" s="83"/>
      <c r="ET82" s="83"/>
      <c r="EU82" s="83"/>
      <c r="EV82" s="83"/>
      <c r="EW82" s="83"/>
      <c r="EX82" s="83"/>
      <c r="EY82" s="83"/>
      <c r="EZ82" s="83"/>
      <c r="FA82" s="83"/>
      <c r="FB82" s="83"/>
      <c r="FC82" s="83"/>
      <c r="FD82" s="83"/>
      <c r="FE82" s="83"/>
      <c r="FF82" s="83"/>
      <c r="FG82" s="83"/>
      <c r="FH82" s="83"/>
      <c r="FI82" s="83"/>
      <c r="FJ82" s="83"/>
      <c r="FK82" s="83"/>
      <c r="FL82" s="83"/>
      <c r="FM82" s="83"/>
      <c r="FN82" s="83"/>
      <c r="FO82" s="83"/>
      <c r="FP82" s="83"/>
      <c r="FQ82" s="83"/>
      <c r="FR82" s="83"/>
      <c r="FS82" s="83"/>
      <c r="FT82" s="83"/>
      <c r="FU82" s="83"/>
      <c r="FV82" s="83"/>
      <c r="FW82" s="83"/>
      <c r="FX82" s="83"/>
      <c r="FY82" s="83"/>
      <c r="FZ82" s="83"/>
      <c r="GA82" s="83"/>
      <c r="GB82" s="83"/>
      <c r="GC82" s="83"/>
      <c r="GD82" s="83"/>
      <c r="GE82" s="83"/>
      <c r="GF82" s="83"/>
      <c r="GG82" s="83"/>
      <c r="GH82" s="83"/>
      <c r="GI82" s="83"/>
      <c r="GJ82" s="83"/>
      <c r="GK82" s="83"/>
      <c r="GL82" s="83"/>
      <c r="GM82" s="83"/>
      <c r="GN82" s="83"/>
      <c r="GO82" s="83"/>
      <c r="GP82" s="83"/>
      <c r="GQ82" s="83"/>
      <c r="GR82" s="83"/>
      <c r="GS82" s="83"/>
      <c r="GT82" s="83"/>
      <c r="GU82" s="83"/>
      <c r="GV82" s="83"/>
      <c r="GW82" s="83"/>
      <c r="GX82" s="83"/>
      <c r="GY82" s="83"/>
      <c r="GZ82" s="83"/>
      <c r="HA82" s="83"/>
      <c r="HB82" s="83"/>
      <c r="HC82" s="83"/>
      <c r="HD82" s="83"/>
      <c r="HE82" s="83"/>
      <c r="HF82" s="83"/>
      <c r="HG82" s="83"/>
      <c r="HH82" s="83"/>
      <c r="HI82" s="83"/>
      <c r="HJ82" s="83"/>
      <c r="HK82" s="83"/>
      <c r="HL82" s="83"/>
      <c r="HM82" s="83"/>
      <c r="HN82" s="83"/>
      <c r="HO82" s="83"/>
      <c r="HP82" s="83"/>
      <c r="HQ82" s="83"/>
      <c r="HR82" s="83"/>
      <c r="HS82" s="83"/>
      <c r="HT82" s="83"/>
      <c r="HU82" s="83"/>
      <c r="HV82" s="83"/>
      <c r="HW82" s="83"/>
      <c r="HX82" s="83"/>
      <c r="HY82" s="83"/>
      <c r="HZ82" s="83"/>
      <c r="IA82" s="83"/>
      <c r="IB82" s="83"/>
      <c r="IC82" s="83"/>
      <c r="ID82" s="83"/>
      <c r="IE82" s="83"/>
      <c r="IF82" s="83"/>
      <c r="IG82" s="83"/>
    </row>
    <row r="83" spans="1:241" x14ac:dyDescent="0.3">
      <c r="A83" s="83"/>
      <c r="B83" s="12" t="s">
        <v>76</v>
      </c>
      <c r="C83" s="14">
        <v>4.8122999999999996</v>
      </c>
      <c r="D83" s="14">
        <v>0.2858</v>
      </c>
      <c r="E83" s="14">
        <v>4.2000000000000003E-2</v>
      </c>
      <c r="F83" s="15">
        <v>0.9</v>
      </c>
      <c r="G83" s="28">
        <v>300</v>
      </c>
      <c r="H83" s="10">
        <v>1.65</v>
      </c>
      <c r="I83" s="31"/>
      <c r="J83" s="1"/>
      <c r="K83" s="13"/>
      <c r="L83" s="1"/>
      <c r="M83" s="1"/>
      <c r="N83" s="1"/>
      <c r="O83" s="13"/>
      <c r="P83" s="13"/>
      <c r="Q83" s="1"/>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c r="DD83" s="83"/>
      <c r="DE83" s="83"/>
      <c r="DF83" s="83"/>
      <c r="DG83" s="83"/>
      <c r="DH83" s="83"/>
      <c r="DI83" s="83"/>
      <c r="DJ83" s="83"/>
      <c r="DK83" s="83"/>
      <c r="DL83" s="83"/>
      <c r="DM83" s="83"/>
      <c r="DN83" s="83"/>
      <c r="DO83" s="83"/>
      <c r="DP83" s="83"/>
      <c r="DQ83" s="83"/>
      <c r="DR83" s="83"/>
      <c r="DS83" s="83"/>
      <c r="DT83" s="83"/>
      <c r="DU83" s="83"/>
      <c r="DV83" s="83"/>
      <c r="DW83" s="83"/>
      <c r="DX83" s="83"/>
      <c r="DY83" s="83"/>
      <c r="DZ83" s="83"/>
      <c r="EA83" s="83"/>
      <c r="EB83" s="83"/>
      <c r="EC83" s="83"/>
      <c r="ED83" s="83"/>
      <c r="EE83" s="83"/>
      <c r="EF83" s="83"/>
      <c r="EG83" s="83"/>
      <c r="EH83" s="83"/>
      <c r="EI83" s="83"/>
      <c r="EJ83" s="83"/>
      <c r="EK83" s="83"/>
      <c r="EL83" s="83"/>
      <c r="EM83" s="83"/>
      <c r="EN83" s="83"/>
      <c r="EO83" s="83"/>
      <c r="EP83" s="83"/>
      <c r="EQ83" s="83"/>
      <c r="ER83" s="83"/>
      <c r="ES83" s="83"/>
      <c r="ET83" s="83"/>
      <c r="EU83" s="83"/>
      <c r="EV83" s="83"/>
      <c r="EW83" s="83"/>
      <c r="EX83" s="83"/>
      <c r="EY83" s="83"/>
      <c r="EZ83" s="83"/>
      <c r="FA83" s="83"/>
      <c r="FB83" s="83"/>
      <c r="FC83" s="83"/>
      <c r="FD83" s="83"/>
      <c r="FE83" s="83"/>
      <c r="FF83" s="83"/>
      <c r="FG83" s="83"/>
      <c r="FH83" s="83"/>
      <c r="FI83" s="83"/>
      <c r="FJ83" s="83"/>
      <c r="FK83" s="83"/>
      <c r="FL83" s="83"/>
      <c r="FM83" s="83"/>
      <c r="FN83" s="83"/>
      <c r="FO83" s="83"/>
      <c r="FP83" s="83"/>
      <c r="FQ83" s="83"/>
      <c r="FR83" s="83"/>
      <c r="FS83" s="83"/>
      <c r="FT83" s="83"/>
      <c r="FU83" s="83"/>
      <c r="FV83" s="83"/>
      <c r="FW83" s="83"/>
      <c r="FX83" s="83"/>
      <c r="FY83" s="83"/>
      <c r="FZ83" s="83"/>
      <c r="GA83" s="83"/>
      <c r="GB83" s="83"/>
      <c r="GC83" s="83"/>
      <c r="GD83" s="83"/>
      <c r="GE83" s="83"/>
      <c r="GF83" s="83"/>
      <c r="GG83" s="83"/>
      <c r="GH83" s="83"/>
      <c r="GI83" s="83"/>
      <c r="GJ83" s="83"/>
      <c r="GK83" s="83"/>
      <c r="GL83" s="83"/>
      <c r="GM83" s="83"/>
      <c r="GN83" s="83"/>
      <c r="GO83" s="83"/>
      <c r="GP83" s="83"/>
      <c r="GQ83" s="83"/>
      <c r="GR83" s="83"/>
      <c r="GS83" s="83"/>
      <c r="GT83" s="83"/>
      <c r="GU83" s="83"/>
      <c r="GV83" s="83"/>
      <c r="GW83" s="83"/>
      <c r="GX83" s="83"/>
      <c r="GY83" s="83"/>
      <c r="GZ83" s="83"/>
      <c r="HA83" s="83"/>
      <c r="HB83" s="83"/>
      <c r="HC83" s="83"/>
      <c r="HD83" s="83"/>
      <c r="HE83" s="83"/>
      <c r="HF83" s="83"/>
      <c r="HG83" s="83"/>
      <c r="HH83" s="83"/>
      <c r="HI83" s="83"/>
      <c r="HJ83" s="83"/>
      <c r="HK83" s="83"/>
      <c r="HL83" s="83"/>
      <c r="HM83" s="83"/>
      <c r="HN83" s="83"/>
      <c r="HO83" s="83"/>
      <c r="HP83" s="83"/>
      <c r="HQ83" s="83"/>
      <c r="HR83" s="83"/>
      <c r="HS83" s="83"/>
      <c r="HT83" s="83"/>
      <c r="HU83" s="83"/>
      <c r="HV83" s="83"/>
      <c r="HW83" s="83"/>
      <c r="HX83" s="83"/>
      <c r="HY83" s="83"/>
      <c r="HZ83" s="83"/>
      <c r="IA83" s="83"/>
      <c r="IB83" s="83"/>
      <c r="IC83" s="83"/>
      <c r="ID83" s="83"/>
      <c r="IE83" s="83"/>
      <c r="IF83" s="83"/>
      <c r="IG83" s="83"/>
    </row>
    <row r="84" spans="1:241" x14ac:dyDescent="0.3">
      <c r="A84" s="83"/>
      <c r="B84" s="12" t="s">
        <v>77</v>
      </c>
      <c r="C84" s="14">
        <v>4.2755999999999998</v>
      </c>
      <c r="D84" s="14">
        <v>0.35199999999999998</v>
      </c>
      <c r="E84" s="14">
        <v>7.1400000000000005E-2</v>
      </c>
      <c r="F84" s="15">
        <v>0.5</v>
      </c>
      <c r="G84" s="28">
        <v>80</v>
      </c>
      <c r="H84" s="45">
        <v>1.8</v>
      </c>
      <c r="I84" s="31"/>
      <c r="J84" s="15"/>
      <c r="K84" s="13"/>
      <c r="L84" s="1"/>
      <c r="M84" s="1"/>
      <c r="N84" s="1"/>
      <c r="O84" s="13"/>
      <c r="P84" s="13"/>
      <c r="Q84" s="1"/>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c r="DD84" s="83"/>
      <c r="DE84" s="83"/>
      <c r="DF84" s="83"/>
      <c r="DG84" s="83"/>
      <c r="DH84" s="83"/>
      <c r="DI84" s="83"/>
      <c r="DJ84" s="83"/>
      <c r="DK84" s="83"/>
      <c r="DL84" s="83"/>
      <c r="DM84" s="83"/>
      <c r="DN84" s="83"/>
      <c r="DO84" s="83"/>
      <c r="DP84" s="83"/>
      <c r="DQ84" s="83"/>
      <c r="DR84" s="83"/>
      <c r="DS84" s="83"/>
      <c r="DT84" s="83"/>
      <c r="DU84" s="83"/>
      <c r="DV84" s="83"/>
      <c r="DW84" s="83"/>
      <c r="DX84" s="83"/>
      <c r="DY84" s="83"/>
      <c r="DZ84" s="83"/>
      <c r="EA84" s="83"/>
      <c r="EB84" s="83"/>
      <c r="EC84" s="83"/>
      <c r="ED84" s="83"/>
      <c r="EE84" s="83"/>
      <c r="EF84" s="83"/>
      <c r="EG84" s="83"/>
      <c r="EH84" s="83"/>
      <c r="EI84" s="83"/>
      <c r="EJ84" s="83"/>
      <c r="EK84" s="83"/>
      <c r="EL84" s="83"/>
      <c r="EM84" s="83"/>
      <c r="EN84" s="83"/>
      <c r="EO84" s="83"/>
      <c r="EP84" s="83"/>
      <c r="EQ84" s="83"/>
      <c r="ER84" s="83"/>
      <c r="ES84" s="83"/>
      <c r="ET84" s="83"/>
      <c r="EU84" s="83"/>
      <c r="EV84" s="83"/>
      <c r="EW84" s="83"/>
      <c r="EX84" s="83"/>
      <c r="EY84" s="83"/>
      <c r="EZ84" s="83"/>
      <c r="FA84" s="83"/>
      <c r="FB84" s="83"/>
      <c r="FC84" s="83"/>
      <c r="FD84" s="83"/>
      <c r="FE84" s="83"/>
      <c r="FF84" s="83"/>
      <c r="FG84" s="83"/>
      <c r="FH84" s="83"/>
      <c r="FI84" s="83"/>
      <c r="FJ84" s="83"/>
      <c r="FK84" s="83"/>
      <c r="FL84" s="83"/>
      <c r="FM84" s="83"/>
      <c r="FN84" s="83"/>
      <c r="FO84" s="83"/>
      <c r="FP84" s="83"/>
      <c r="FQ84" s="83"/>
      <c r="FR84" s="83"/>
      <c r="FS84" s="83"/>
      <c r="FT84" s="83"/>
      <c r="FU84" s="83"/>
      <c r="FV84" s="83"/>
      <c r="FW84" s="83"/>
      <c r="FX84" s="83"/>
      <c r="FY84" s="83"/>
      <c r="FZ84" s="83"/>
      <c r="GA84" s="83"/>
      <c r="GB84" s="83"/>
      <c r="GC84" s="83"/>
      <c r="GD84" s="83"/>
      <c r="GE84" s="83"/>
      <c r="GF84" s="83"/>
      <c r="GG84" s="83"/>
      <c r="GH84" s="83"/>
      <c r="GI84" s="83"/>
      <c r="GJ84" s="83"/>
      <c r="GK84" s="83"/>
      <c r="GL84" s="83"/>
      <c r="GM84" s="83"/>
      <c r="GN84" s="83"/>
      <c r="GO84" s="83"/>
      <c r="GP84" s="83"/>
      <c r="GQ84" s="83"/>
      <c r="GR84" s="83"/>
      <c r="GS84" s="83"/>
      <c r="GT84" s="83"/>
      <c r="GU84" s="83"/>
      <c r="GV84" s="83"/>
      <c r="GW84" s="83"/>
      <c r="GX84" s="83"/>
      <c r="GY84" s="83"/>
      <c r="GZ84" s="83"/>
      <c r="HA84" s="83"/>
      <c r="HB84" s="83"/>
      <c r="HC84" s="83"/>
      <c r="HD84" s="83"/>
      <c r="HE84" s="83"/>
      <c r="HF84" s="83"/>
      <c r="HG84" s="83"/>
      <c r="HH84" s="83"/>
      <c r="HI84" s="83"/>
      <c r="HJ84" s="83"/>
      <c r="HK84" s="83"/>
      <c r="HL84" s="83"/>
      <c r="HM84" s="83"/>
      <c r="HN84" s="83"/>
      <c r="HO84" s="83"/>
      <c r="HP84" s="83"/>
      <c r="HQ84" s="83"/>
      <c r="HR84" s="83"/>
      <c r="HS84" s="83"/>
      <c r="HT84" s="83"/>
      <c r="HU84" s="83"/>
      <c r="HV84" s="83"/>
      <c r="HW84" s="83"/>
      <c r="HX84" s="83"/>
      <c r="HY84" s="83"/>
      <c r="HZ84" s="83"/>
      <c r="IA84" s="83"/>
      <c r="IB84" s="83"/>
      <c r="IC84" s="83"/>
      <c r="ID84" s="83"/>
      <c r="IE84" s="83"/>
      <c r="IF84" s="83"/>
      <c r="IG84" s="83"/>
    </row>
    <row r="85" spans="1:241" x14ac:dyDescent="0.3">
      <c r="A85" s="83"/>
      <c r="B85" s="12" t="s">
        <v>78</v>
      </c>
      <c r="C85" s="14">
        <v>5.1055000000000001</v>
      </c>
      <c r="D85" s="14">
        <v>0.49990000000000001</v>
      </c>
      <c r="E85" s="14">
        <v>1E-4</v>
      </c>
      <c r="F85" s="15">
        <v>0.9</v>
      </c>
      <c r="G85" s="28">
        <v>115</v>
      </c>
      <c r="H85" s="46">
        <v>1.65</v>
      </c>
      <c r="I85" s="31"/>
      <c r="J85" s="15"/>
      <c r="K85" s="13"/>
      <c r="L85" s="1"/>
      <c r="M85" s="1"/>
      <c r="N85" s="1"/>
      <c r="O85" s="13"/>
      <c r="P85" s="13"/>
      <c r="Q85" s="1"/>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c r="DD85" s="83"/>
      <c r="DE85" s="83"/>
      <c r="DF85" s="83"/>
      <c r="DG85" s="83"/>
      <c r="DH85" s="83"/>
      <c r="DI85" s="83"/>
      <c r="DJ85" s="83"/>
      <c r="DK85" s="83"/>
      <c r="DL85" s="83"/>
      <c r="DM85" s="83"/>
      <c r="DN85" s="83"/>
      <c r="DO85" s="83"/>
      <c r="DP85" s="83"/>
      <c r="DQ85" s="83"/>
      <c r="DR85" s="83"/>
      <c r="DS85" s="83"/>
      <c r="DT85" s="83"/>
      <c r="DU85" s="83"/>
      <c r="DV85" s="83"/>
      <c r="DW85" s="83"/>
      <c r="DX85" s="83"/>
      <c r="DY85" s="83"/>
      <c r="DZ85" s="83"/>
      <c r="EA85" s="83"/>
      <c r="EB85" s="83"/>
      <c r="EC85" s="83"/>
      <c r="ED85" s="83"/>
      <c r="EE85" s="83"/>
      <c r="EF85" s="83"/>
      <c r="EG85" s="83"/>
      <c r="EH85" s="83"/>
      <c r="EI85" s="83"/>
      <c r="EJ85" s="83"/>
      <c r="EK85" s="83"/>
      <c r="EL85" s="83"/>
      <c r="EM85" s="83"/>
      <c r="EN85" s="83"/>
      <c r="EO85" s="83"/>
      <c r="EP85" s="83"/>
      <c r="EQ85" s="83"/>
      <c r="ER85" s="83"/>
      <c r="ES85" s="83"/>
      <c r="ET85" s="83"/>
      <c r="EU85" s="83"/>
      <c r="EV85" s="83"/>
      <c r="EW85" s="83"/>
      <c r="EX85" s="83"/>
      <c r="EY85" s="83"/>
      <c r="EZ85" s="83"/>
      <c r="FA85" s="83"/>
      <c r="FB85" s="83"/>
      <c r="FC85" s="83"/>
      <c r="FD85" s="83"/>
      <c r="FE85" s="83"/>
      <c r="FF85" s="83"/>
      <c r="FG85" s="83"/>
      <c r="FH85" s="83"/>
      <c r="FI85" s="83"/>
      <c r="FJ85" s="83"/>
      <c r="FK85" s="83"/>
      <c r="FL85" s="83"/>
      <c r="FM85" s="83"/>
      <c r="FN85" s="83"/>
      <c r="FO85" s="83"/>
      <c r="FP85" s="83"/>
      <c r="FQ85" s="83"/>
      <c r="FR85" s="83"/>
      <c r="FS85" s="83"/>
      <c r="FT85" s="83"/>
      <c r="FU85" s="83"/>
      <c r="FV85" s="83"/>
      <c r="FW85" s="83"/>
      <c r="FX85" s="83"/>
      <c r="FY85" s="83"/>
      <c r="FZ85" s="83"/>
      <c r="GA85" s="83"/>
      <c r="GB85" s="83"/>
      <c r="GC85" s="83"/>
      <c r="GD85" s="83"/>
      <c r="GE85" s="83"/>
      <c r="GF85" s="83"/>
      <c r="GG85" s="83"/>
      <c r="GH85" s="83"/>
      <c r="GI85" s="83"/>
      <c r="GJ85" s="83"/>
      <c r="GK85" s="83"/>
      <c r="GL85" s="83"/>
      <c r="GM85" s="83"/>
      <c r="GN85" s="83"/>
      <c r="GO85" s="83"/>
      <c r="GP85" s="83"/>
      <c r="GQ85" s="83"/>
      <c r="GR85" s="83"/>
      <c r="GS85" s="83"/>
      <c r="GT85" s="83"/>
      <c r="GU85" s="83"/>
      <c r="GV85" s="83"/>
      <c r="GW85" s="83"/>
      <c r="GX85" s="83"/>
      <c r="GY85" s="83"/>
      <c r="GZ85" s="83"/>
      <c r="HA85" s="83"/>
      <c r="HB85" s="83"/>
      <c r="HC85" s="83"/>
      <c r="HD85" s="83"/>
      <c r="HE85" s="83"/>
      <c r="HF85" s="83"/>
      <c r="HG85" s="83"/>
      <c r="HH85" s="83"/>
      <c r="HI85" s="83"/>
      <c r="HJ85" s="83"/>
      <c r="HK85" s="83"/>
      <c r="HL85" s="83"/>
      <c r="HM85" s="83"/>
      <c r="HN85" s="83"/>
      <c r="HO85" s="83"/>
      <c r="HP85" s="83"/>
      <c r="HQ85" s="83"/>
      <c r="HR85" s="83"/>
      <c r="HS85" s="83"/>
      <c r="HT85" s="83"/>
      <c r="HU85" s="83"/>
      <c r="HV85" s="83"/>
      <c r="HW85" s="83"/>
      <c r="HX85" s="83"/>
      <c r="HY85" s="83"/>
      <c r="HZ85" s="83"/>
      <c r="IA85" s="83"/>
      <c r="IB85" s="83"/>
      <c r="IC85" s="83"/>
      <c r="ID85" s="83"/>
      <c r="IE85" s="83"/>
      <c r="IF85" s="83"/>
      <c r="IG85" s="83"/>
    </row>
    <row r="86" spans="1:241" x14ac:dyDescent="0.3">
      <c r="A86" s="83"/>
      <c r="B86" s="17" t="s">
        <v>79</v>
      </c>
      <c r="C86" s="19">
        <v>5.1055000000000001</v>
      </c>
      <c r="D86" s="19">
        <v>0.49990000000000001</v>
      </c>
      <c r="E86" s="19">
        <v>1E-4</v>
      </c>
      <c r="F86" s="20">
        <v>0.9</v>
      </c>
      <c r="G86" s="29">
        <v>115</v>
      </c>
      <c r="H86" s="47">
        <v>1.54</v>
      </c>
      <c r="I86" s="31"/>
      <c r="J86" s="15"/>
      <c r="K86" s="13"/>
      <c r="L86" s="1"/>
      <c r="M86" s="1"/>
      <c r="N86" s="1"/>
      <c r="O86" s="13"/>
      <c r="P86" s="13"/>
      <c r="Q86" s="1"/>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c r="DD86" s="83"/>
      <c r="DE86" s="83"/>
      <c r="DF86" s="83"/>
      <c r="DG86" s="83"/>
      <c r="DH86" s="83"/>
      <c r="DI86" s="83"/>
      <c r="DJ86" s="83"/>
      <c r="DK86" s="83"/>
      <c r="DL86" s="83"/>
      <c r="DM86" s="83"/>
      <c r="DN86" s="83"/>
      <c r="DO86" s="83"/>
      <c r="DP86" s="83"/>
      <c r="DQ86" s="83"/>
      <c r="DR86" s="83"/>
      <c r="DS86" s="83"/>
      <c r="DT86" s="83"/>
      <c r="DU86" s="83"/>
      <c r="DV86" s="83"/>
      <c r="DW86" s="83"/>
      <c r="DX86" s="83"/>
      <c r="DY86" s="83"/>
      <c r="DZ86" s="83"/>
      <c r="EA86" s="83"/>
      <c r="EB86" s="83"/>
      <c r="EC86" s="83"/>
      <c r="ED86" s="83"/>
      <c r="EE86" s="83"/>
      <c r="EF86" s="83"/>
      <c r="EG86" s="83"/>
      <c r="EH86" s="83"/>
      <c r="EI86" s="83"/>
      <c r="EJ86" s="83"/>
      <c r="EK86" s="83"/>
      <c r="EL86" s="83"/>
      <c r="EM86" s="83"/>
      <c r="EN86" s="83"/>
      <c r="EO86" s="83"/>
      <c r="EP86" s="83"/>
      <c r="EQ86" s="83"/>
      <c r="ER86" s="83"/>
      <c r="ES86" s="83"/>
      <c r="ET86" s="83"/>
      <c r="EU86" s="83"/>
      <c r="EV86" s="83"/>
      <c r="EW86" s="83"/>
      <c r="EX86" s="83"/>
      <c r="EY86" s="83"/>
      <c r="EZ86" s="83"/>
      <c r="FA86" s="83"/>
      <c r="FB86" s="83"/>
      <c r="FC86" s="83"/>
      <c r="FD86" s="83"/>
      <c r="FE86" s="83"/>
      <c r="FF86" s="83"/>
      <c r="FG86" s="83"/>
      <c r="FH86" s="83"/>
      <c r="FI86" s="83"/>
      <c r="FJ86" s="83"/>
      <c r="FK86" s="83"/>
      <c r="FL86" s="83"/>
      <c r="FM86" s="83"/>
      <c r="FN86" s="83"/>
      <c r="FO86" s="83"/>
      <c r="FP86" s="83"/>
      <c r="FQ86" s="83"/>
      <c r="FR86" s="83"/>
      <c r="FS86" s="83"/>
      <c r="FT86" s="83"/>
      <c r="FU86" s="83"/>
      <c r="FV86" s="83"/>
      <c r="FW86" s="83"/>
      <c r="FX86" s="83"/>
      <c r="FY86" s="83"/>
      <c r="FZ86" s="83"/>
      <c r="GA86" s="83"/>
      <c r="GB86" s="83"/>
      <c r="GC86" s="83"/>
      <c r="GD86" s="83"/>
      <c r="GE86" s="83"/>
      <c r="GF86" s="83"/>
      <c r="GG86" s="83"/>
      <c r="GH86" s="83"/>
      <c r="GI86" s="83"/>
      <c r="GJ86" s="83"/>
      <c r="GK86" s="83"/>
      <c r="GL86" s="83"/>
      <c r="GM86" s="83"/>
      <c r="GN86" s="83"/>
      <c r="GO86" s="83"/>
      <c r="GP86" s="83"/>
      <c r="GQ86" s="83"/>
      <c r="GR86" s="83"/>
      <c r="GS86" s="83"/>
      <c r="GT86" s="83"/>
      <c r="GU86" s="83"/>
      <c r="GV86" s="83"/>
      <c r="GW86" s="83"/>
      <c r="GX86" s="83"/>
      <c r="GY86" s="83"/>
      <c r="GZ86" s="83"/>
      <c r="HA86" s="83"/>
      <c r="HB86" s="83"/>
      <c r="HC86" s="83"/>
      <c r="HD86" s="83"/>
      <c r="HE86" s="83"/>
      <c r="HF86" s="83"/>
      <c r="HG86" s="83"/>
      <c r="HH86" s="83"/>
      <c r="HI86" s="83"/>
      <c r="HJ86" s="83"/>
      <c r="HK86" s="83"/>
      <c r="HL86" s="83"/>
      <c r="HM86" s="83"/>
      <c r="HN86" s="83"/>
      <c r="HO86" s="83"/>
      <c r="HP86" s="83"/>
      <c r="HQ86" s="83"/>
      <c r="HR86" s="83"/>
      <c r="HS86" s="83"/>
      <c r="HT86" s="83"/>
      <c r="HU86" s="83"/>
      <c r="HV86" s="83"/>
      <c r="HW86" s="83"/>
      <c r="HX86" s="83"/>
      <c r="HY86" s="83"/>
      <c r="HZ86" s="83"/>
      <c r="IA86" s="83"/>
      <c r="IB86" s="83"/>
      <c r="IC86" s="83"/>
      <c r="ID86" s="83"/>
      <c r="IE86" s="83"/>
      <c r="IF86" s="83"/>
      <c r="IG86" s="83"/>
    </row>
    <row r="87" spans="1:241" x14ac:dyDescent="0.3">
      <c r="A87" s="83"/>
      <c r="B87" s="1"/>
      <c r="C87" s="14"/>
      <c r="D87" s="14"/>
      <c r="E87" s="14"/>
      <c r="F87" s="31"/>
      <c r="G87" s="31"/>
      <c r="H87" s="31"/>
      <c r="I87" s="31"/>
      <c r="J87" s="15"/>
      <c r="K87" s="13"/>
      <c r="L87" s="1"/>
      <c r="M87" s="1"/>
      <c r="N87" s="1"/>
      <c r="O87" s="13"/>
      <c r="P87" s="13"/>
      <c r="Q87" s="1"/>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c r="DD87" s="83"/>
      <c r="DE87" s="83"/>
      <c r="DF87" s="83"/>
      <c r="DG87" s="83"/>
      <c r="DH87" s="83"/>
      <c r="DI87" s="83"/>
      <c r="DJ87" s="83"/>
      <c r="DK87" s="83"/>
      <c r="DL87" s="83"/>
      <c r="DM87" s="83"/>
      <c r="DN87" s="83"/>
      <c r="DO87" s="83"/>
      <c r="DP87" s="83"/>
      <c r="DQ87" s="83"/>
      <c r="DR87" s="83"/>
      <c r="DS87" s="83"/>
      <c r="DT87" s="83"/>
      <c r="DU87" s="83"/>
      <c r="DV87" s="83"/>
      <c r="DW87" s="83"/>
      <c r="DX87" s="83"/>
      <c r="DY87" s="83"/>
      <c r="DZ87" s="83"/>
      <c r="EA87" s="83"/>
      <c r="EB87" s="83"/>
      <c r="EC87" s="83"/>
      <c r="ED87" s="83"/>
      <c r="EE87" s="83"/>
      <c r="EF87" s="83"/>
      <c r="EG87" s="83"/>
      <c r="EH87" s="83"/>
      <c r="EI87" s="83"/>
      <c r="EJ87" s="83"/>
      <c r="EK87" s="83"/>
      <c r="EL87" s="83"/>
      <c r="EM87" s="83"/>
      <c r="EN87" s="83"/>
      <c r="EO87" s="83"/>
      <c r="EP87" s="83"/>
      <c r="EQ87" s="83"/>
      <c r="ER87" s="83"/>
      <c r="ES87" s="83"/>
      <c r="ET87" s="83"/>
      <c r="EU87" s="83"/>
      <c r="EV87" s="83"/>
      <c r="EW87" s="83"/>
      <c r="EX87" s="83"/>
      <c r="EY87" s="83"/>
      <c r="EZ87" s="83"/>
      <c r="FA87" s="83"/>
      <c r="FB87" s="83"/>
      <c r="FC87" s="83"/>
      <c r="FD87" s="83"/>
      <c r="FE87" s="83"/>
      <c r="FF87" s="83"/>
      <c r="FG87" s="83"/>
      <c r="FH87" s="83"/>
      <c r="FI87" s="83"/>
      <c r="FJ87" s="83"/>
      <c r="FK87" s="83"/>
      <c r="FL87" s="83"/>
      <c r="FM87" s="83"/>
      <c r="FN87" s="83"/>
      <c r="FO87" s="83"/>
      <c r="FP87" s="83"/>
      <c r="FQ87" s="83"/>
      <c r="FR87" s="83"/>
      <c r="FS87" s="83"/>
      <c r="FT87" s="83"/>
      <c r="FU87" s="83"/>
      <c r="FV87" s="83"/>
      <c r="FW87" s="83"/>
      <c r="FX87" s="83"/>
      <c r="FY87" s="83"/>
      <c r="FZ87" s="83"/>
      <c r="GA87" s="83"/>
      <c r="GB87" s="83"/>
      <c r="GC87" s="83"/>
      <c r="GD87" s="83"/>
      <c r="GE87" s="83"/>
      <c r="GF87" s="83"/>
      <c r="GG87" s="83"/>
      <c r="GH87" s="83"/>
      <c r="GI87" s="83"/>
      <c r="GJ87" s="83"/>
      <c r="GK87" s="83"/>
      <c r="GL87" s="83"/>
      <c r="GM87" s="83"/>
      <c r="GN87" s="83"/>
      <c r="GO87" s="83"/>
      <c r="GP87" s="83"/>
      <c r="GQ87" s="83"/>
      <c r="GR87" s="83"/>
      <c r="GS87" s="83"/>
      <c r="GT87" s="83"/>
      <c r="GU87" s="83"/>
      <c r="GV87" s="83"/>
      <c r="GW87" s="83"/>
      <c r="GX87" s="83"/>
      <c r="GY87" s="83"/>
      <c r="GZ87" s="83"/>
      <c r="HA87" s="83"/>
      <c r="HB87" s="83"/>
      <c r="HC87" s="83"/>
      <c r="HD87" s="83"/>
      <c r="HE87" s="83"/>
      <c r="HF87" s="83"/>
      <c r="HG87" s="83"/>
      <c r="HH87" s="83"/>
      <c r="HI87" s="83"/>
      <c r="HJ87" s="83"/>
      <c r="HK87" s="83"/>
      <c r="HL87" s="83"/>
      <c r="HM87" s="83"/>
      <c r="HN87" s="83"/>
      <c r="HO87" s="83"/>
      <c r="HP87" s="83"/>
      <c r="HQ87" s="83"/>
      <c r="HR87" s="83"/>
      <c r="HS87" s="83"/>
      <c r="HT87" s="83"/>
      <c r="HU87" s="83"/>
      <c r="HV87" s="83"/>
      <c r="HW87" s="83"/>
      <c r="HX87" s="83"/>
      <c r="HY87" s="83"/>
      <c r="HZ87" s="83"/>
      <c r="IA87" s="83"/>
      <c r="IB87" s="83"/>
      <c r="IC87" s="83"/>
      <c r="ID87" s="83"/>
      <c r="IE87" s="83"/>
      <c r="IF87" s="83"/>
      <c r="IG87" s="83"/>
    </row>
    <row r="88" spans="1:241" x14ac:dyDescent="0.3">
      <c r="A88" s="83"/>
      <c r="B88" s="1"/>
      <c r="C88" s="14"/>
      <c r="D88" s="14"/>
      <c r="E88" s="14"/>
      <c r="F88" s="31"/>
      <c r="G88" s="31"/>
      <c r="H88" s="31"/>
      <c r="I88" s="31"/>
      <c r="J88" s="15"/>
      <c r="K88" s="13"/>
      <c r="L88" s="1"/>
      <c r="M88" s="1"/>
      <c r="N88" s="1"/>
      <c r="O88" s="13"/>
      <c r="P88" s="13"/>
      <c r="Q88" s="1"/>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c r="DD88" s="83"/>
      <c r="DE88" s="83"/>
      <c r="DF88" s="83"/>
      <c r="DG88" s="83"/>
      <c r="DH88" s="83"/>
      <c r="DI88" s="83"/>
      <c r="DJ88" s="83"/>
      <c r="DK88" s="83"/>
      <c r="DL88" s="83"/>
      <c r="DM88" s="83"/>
      <c r="DN88" s="83"/>
      <c r="DO88" s="83"/>
      <c r="DP88" s="83"/>
      <c r="DQ88" s="83"/>
      <c r="DR88" s="83"/>
      <c r="DS88" s="83"/>
      <c r="DT88" s="83"/>
      <c r="DU88" s="83"/>
      <c r="DV88" s="83"/>
      <c r="DW88" s="83"/>
      <c r="DX88" s="83"/>
      <c r="DY88" s="83"/>
      <c r="DZ88" s="83"/>
      <c r="EA88" s="83"/>
      <c r="EB88" s="83"/>
      <c r="EC88" s="83"/>
      <c r="ED88" s="83"/>
      <c r="EE88" s="83"/>
      <c r="EF88" s="83"/>
      <c r="EG88" s="83"/>
      <c r="EH88" s="83"/>
      <c r="EI88" s="83"/>
      <c r="EJ88" s="83"/>
      <c r="EK88" s="83"/>
      <c r="EL88" s="83"/>
      <c r="EM88" s="83"/>
      <c r="EN88" s="83"/>
      <c r="EO88" s="83"/>
      <c r="EP88" s="83"/>
      <c r="EQ88" s="83"/>
      <c r="ER88" s="83"/>
      <c r="ES88" s="83"/>
      <c r="ET88" s="83"/>
      <c r="EU88" s="83"/>
      <c r="EV88" s="83"/>
      <c r="EW88" s="83"/>
      <c r="EX88" s="83"/>
      <c r="EY88" s="83"/>
      <c r="EZ88" s="83"/>
      <c r="FA88" s="83"/>
      <c r="FB88" s="83"/>
      <c r="FC88" s="83"/>
      <c r="FD88" s="83"/>
      <c r="FE88" s="83"/>
      <c r="FF88" s="83"/>
      <c r="FG88" s="83"/>
      <c r="FH88" s="83"/>
      <c r="FI88" s="83"/>
      <c r="FJ88" s="83"/>
      <c r="FK88" s="83"/>
      <c r="FL88" s="83"/>
      <c r="FM88" s="83"/>
      <c r="FN88" s="83"/>
      <c r="FO88" s="83"/>
      <c r="FP88" s="83"/>
      <c r="FQ88" s="83"/>
      <c r="FR88" s="83"/>
      <c r="FS88" s="83"/>
      <c r="FT88" s="83"/>
      <c r="FU88" s="83"/>
      <c r="FV88" s="83"/>
      <c r="FW88" s="83"/>
      <c r="FX88" s="83"/>
      <c r="FY88" s="83"/>
      <c r="FZ88" s="83"/>
      <c r="GA88" s="83"/>
      <c r="GB88" s="83"/>
      <c r="GC88" s="83"/>
      <c r="GD88" s="83"/>
      <c r="GE88" s="83"/>
      <c r="GF88" s="83"/>
      <c r="GG88" s="83"/>
      <c r="GH88" s="83"/>
      <c r="GI88" s="83"/>
      <c r="GJ88" s="83"/>
      <c r="GK88" s="83"/>
      <c r="GL88" s="83"/>
      <c r="GM88" s="83"/>
      <c r="GN88" s="83"/>
      <c r="GO88" s="83"/>
      <c r="GP88" s="83"/>
      <c r="GQ88" s="83"/>
      <c r="GR88" s="83"/>
      <c r="GS88" s="83"/>
      <c r="GT88" s="83"/>
      <c r="GU88" s="83"/>
      <c r="GV88" s="83"/>
      <c r="GW88" s="83"/>
      <c r="GX88" s="83"/>
      <c r="GY88" s="83"/>
      <c r="GZ88" s="83"/>
      <c r="HA88" s="83"/>
      <c r="HB88" s="83"/>
      <c r="HC88" s="83"/>
      <c r="HD88" s="83"/>
      <c r="HE88" s="83"/>
      <c r="HF88" s="83"/>
      <c r="HG88" s="83"/>
      <c r="HH88" s="83"/>
      <c r="HI88" s="83"/>
      <c r="HJ88" s="83"/>
      <c r="HK88" s="83"/>
      <c r="HL88" s="83"/>
      <c r="HM88" s="83"/>
      <c r="HN88" s="83"/>
      <c r="HO88" s="83"/>
      <c r="HP88" s="83"/>
      <c r="HQ88" s="83"/>
      <c r="HR88" s="83"/>
      <c r="HS88" s="83"/>
      <c r="HT88" s="83"/>
      <c r="HU88" s="83"/>
      <c r="HV88" s="83"/>
      <c r="HW88" s="83"/>
      <c r="HX88" s="83"/>
      <c r="HY88" s="83"/>
      <c r="HZ88" s="83"/>
      <c r="IA88" s="83"/>
      <c r="IB88" s="83"/>
      <c r="IC88" s="83"/>
      <c r="ID88" s="83"/>
      <c r="IE88" s="83"/>
      <c r="IF88" s="83"/>
      <c r="IG88" s="83"/>
    </row>
    <row r="89" spans="1:241" x14ac:dyDescent="0.3">
      <c r="A89" s="83"/>
      <c r="B89" s="48" t="s">
        <v>250</v>
      </c>
      <c r="C89" s="1"/>
      <c r="D89" s="1"/>
      <c r="E89" s="1"/>
      <c r="F89" s="1"/>
      <c r="G89" s="1"/>
      <c r="H89" s="1"/>
      <c r="I89" s="1"/>
      <c r="J89" s="1"/>
      <c r="K89" s="1"/>
      <c r="L89" s="13"/>
      <c r="M89" s="13"/>
      <c r="N89" s="31"/>
      <c r="O89" s="1"/>
      <c r="P89" s="1"/>
      <c r="Q89" s="1"/>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c r="DD89" s="83"/>
      <c r="DE89" s="83"/>
      <c r="DF89" s="83"/>
      <c r="DG89" s="83"/>
      <c r="DH89" s="83"/>
      <c r="DI89" s="83"/>
      <c r="DJ89" s="83"/>
      <c r="DK89" s="83"/>
      <c r="DL89" s="83"/>
      <c r="DM89" s="83"/>
      <c r="DN89" s="83"/>
      <c r="DO89" s="83"/>
      <c r="DP89" s="83"/>
      <c r="DQ89" s="83"/>
      <c r="DR89" s="83"/>
      <c r="DS89" s="83"/>
      <c r="DT89" s="83"/>
      <c r="DU89" s="83"/>
      <c r="DV89" s="83"/>
      <c r="DW89" s="83"/>
      <c r="DX89" s="83"/>
      <c r="DY89" s="83"/>
      <c r="DZ89" s="83"/>
      <c r="EA89" s="83"/>
      <c r="EB89" s="83"/>
      <c r="EC89" s="83"/>
      <c r="ED89" s="83"/>
      <c r="EE89" s="83"/>
      <c r="EF89" s="83"/>
      <c r="EG89" s="83"/>
      <c r="EH89" s="83"/>
      <c r="EI89" s="83"/>
      <c r="EJ89" s="83"/>
      <c r="EK89" s="83"/>
      <c r="EL89" s="83"/>
      <c r="EM89" s="83"/>
      <c r="EN89" s="83"/>
      <c r="EO89" s="83"/>
      <c r="EP89" s="83"/>
      <c r="EQ89" s="83"/>
      <c r="ER89" s="83"/>
      <c r="ES89" s="83"/>
      <c r="ET89" s="83"/>
      <c r="EU89" s="83"/>
      <c r="EV89" s="83"/>
      <c r="EW89" s="83"/>
      <c r="EX89" s="83"/>
      <c r="EY89" s="83"/>
      <c r="EZ89" s="83"/>
      <c r="FA89" s="83"/>
      <c r="FB89" s="83"/>
      <c r="FC89" s="83"/>
      <c r="FD89" s="83"/>
      <c r="FE89" s="83"/>
      <c r="FF89" s="83"/>
      <c r="FG89" s="83"/>
      <c r="FH89" s="83"/>
      <c r="FI89" s="83"/>
      <c r="FJ89" s="83"/>
      <c r="FK89" s="83"/>
      <c r="FL89" s="83"/>
      <c r="FM89" s="83"/>
      <c r="FN89" s="83"/>
      <c r="FO89" s="83"/>
      <c r="FP89" s="83"/>
      <c r="FQ89" s="83"/>
      <c r="FR89" s="83"/>
      <c r="FS89" s="83"/>
      <c r="FT89" s="83"/>
      <c r="FU89" s="83"/>
      <c r="FV89" s="83"/>
      <c r="FW89" s="83"/>
      <c r="FX89" s="83"/>
      <c r="FY89" s="83"/>
      <c r="FZ89" s="83"/>
      <c r="GA89" s="83"/>
      <c r="GB89" s="83"/>
      <c r="GC89" s="83"/>
      <c r="GD89" s="83"/>
      <c r="GE89" s="83"/>
      <c r="GF89" s="83"/>
      <c r="GG89" s="83"/>
      <c r="GH89" s="83"/>
      <c r="GI89" s="83"/>
      <c r="GJ89" s="83"/>
      <c r="GK89" s="83"/>
      <c r="GL89" s="83"/>
      <c r="GM89" s="83"/>
      <c r="GN89" s="83"/>
      <c r="GO89" s="83"/>
      <c r="GP89" s="83"/>
      <c r="GQ89" s="83"/>
      <c r="GR89" s="83"/>
      <c r="GS89" s="83"/>
      <c r="GT89" s="83"/>
      <c r="GU89" s="83"/>
      <c r="GV89" s="83"/>
      <c r="GW89" s="83"/>
      <c r="GX89" s="83"/>
      <c r="GY89" s="83"/>
      <c r="GZ89" s="83"/>
      <c r="HA89" s="83"/>
      <c r="HB89" s="83"/>
      <c r="HC89" s="83"/>
      <c r="HD89" s="83"/>
      <c r="HE89" s="83"/>
      <c r="HF89" s="83"/>
      <c r="HG89" s="83"/>
      <c r="HH89" s="83"/>
      <c r="HI89" s="83"/>
      <c r="HJ89" s="83"/>
      <c r="HK89" s="83"/>
      <c r="HL89" s="83"/>
      <c r="HM89" s="83"/>
      <c r="HN89" s="83"/>
      <c r="HO89" s="83"/>
      <c r="HP89" s="83"/>
      <c r="HQ89" s="83"/>
      <c r="HR89" s="83"/>
      <c r="HS89" s="83"/>
      <c r="HT89" s="83"/>
      <c r="HU89" s="83"/>
      <c r="HV89" s="83"/>
      <c r="HW89" s="83"/>
      <c r="HX89" s="83"/>
      <c r="HY89" s="83"/>
      <c r="HZ89" s="83"/>
      <c r="IA89" s="83"/>
      <c r="IB89" s="83"/>
      <c r="IC89" s="83"/>
      <c r="ID89" s="83"/>
      <c r="IE89" s="83"/>
      <c r="IF89" s="83"/>
      <c r="IG89" s="83"/>
    </row>
    <row r="90" spans="1:241" x14ac:dyDescent="0.3">
      <c r="A90" s="83"/>
      <c r="B90" s="7"/>
      <c r="C90" s="49"/>
      <c r="D90" s="49"/>
      <c r="E90" s="49"/>
      <c r="F90" s="49"/>
      <c r="G90" s="49"/>
      <c r="H90" s="49"/>
      <c r="I90" s="49"/>
      <c r="J90" s="49"/>
      <c r="K90" s="49"/>
      <c r="L90" s="50" t="s">
        <v>80</v>
      </c>
      <c r="M90" s="30"/>
      <c r="N90" s="51"/>
      <c r="O90" s="52"/>
      <c r="P90" s="52"/>
      <c r="Q90" s="1"/>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c r="DD90" s="83"/>
      <c r="DE90" s="83"/>
      <c r="DF90" s="83"/>
      <c r="DG90" s="83"/>
      <c r="DH90" s="83"/>
      <c r="DI90" s="83"/>
      <c r="DJ90" s="83"/>
      <c r="DK90" s="83"/>
      <c r="DL90" s="83"/>
      <c r="DM90" s="83"/>
      <c r="DN90" s="83"/>
      <c r="DO90" s="83"/>
      <c r="DP90" s="83"/>
      <c r="DQ90" s="83"/>
      <c r="DR90" s="83"/>
      <c r="DS90" s="83"/>
      <c r="DT90" s="83"/>
      <c r="DU90" s="83"/>
      <c r="DV90" s="83"/>
      <c r="DW90" s="83"/>
      <c r="DX90" s="83"/>
      <c r="DY90" s="83"/>
      <c r="DZ90" s="83"/>
      <c r="EA90" s="83"/>
      <c r="EB90" s="83"/>
      <c r="EC90" s="83"/>
      <c r="ED90" s="83"/>
      <c r="EE90" s="83"/>
      <c r="EF90" s="83"/>
      <c r="EG90" s="83"/>
      <c r="EH90" s="83"/>
      <c r="EI90" s="83"/>
      <c r="EJ90" s="83"/>
      <c r="EK90" s="83"/>
      <c r="EL90" s="83"/>
      <c r="EM90" s="83"/>
      <c r="EN90" s="83"/>
      <c r="EO90" s="83"/>
      <c r="EP90" s="83"/>
      <c r="EQ90" s="83"/>
      <c r="ER90" s="83"/>
      <c r="ES90" s="83"/>
      <c r="ET90" s="83"/>
      <c r="EU90" s="83"/>
      <c r="EV90" s="83"/>
      <c r="EW90" s="83"/>
      <c r="EX90" s="83"/>
      <c r="EY90" s="83"/>
      <c r="EZ90" s="83"/>
      <c r="FA90" s="83"/>
      <c r="FB90" s="83"/>
      <c r="FC90" s="83"/>
      <c r="FD90" s="83"/>
      <c r="FE90" s="83"/>
      <c r="FF90" s="83"/>
      <c r="FG90" s="83"/>
      <c r="FH90" s="83"/>
      <c r="FI90" s="83"/>
      <c r="FJ90" s="83"/>
      <c r="FK90" s="83"/>
      <c r="FL90" s="83"/>
      <c r="FM90" s="83"/>
      <c r="FN90" s="83"/>
      <c r="FO90" s="83"/>
      <c r="FP90" s="83"/>
      <c r="FQ90" s="83"/>
      <c r="FR90" s="83"/>
      <c r="FS90" s="83"/>
      <c r="FT90" s="83"/>
      <c r="FU90" s="83"/>
      <c r="FV90" s="83"/>
      <c r="FW90" s="83"/>
      <c r="FX90" s="83"/>
      <c r="FY90" s="83"/>
      <c r="FZ90" s="83"/>
      <c r="GA90" s="83"/>
      <c r="GB90" s="83"/>
      <c r="GC90" s="83"/>
      <c r="GD90" s="83"/>
      <c r="GE90" s="83"/>
      <c r="GF90" s="83"/>
      <c r="GG90" s="83"/>
      <c r="GH90" s="83"/>
      <c r="GI90" s="83"/>
      <c r="GJ90" s="83"/>
      <c r="GK90" s="83"/>
      <c r="GL90" s="83"/>
      <c r="GM90" s="83"/>
      <c r="GN90" s="83"/>
      <c r="GO90" s="83"/>
      <c r="GP90" s="83"/>
      <c r="GQ90" s="83"/>
      <c r="GR90" s="83"/>
      <c r="GS90" s="83"/>
      <c r="GT90" s="83"/>
      <c r="GU90" s="83"/>
      <c r="GV90" s="83"/>
      <c r="GW90" s="83"/>
      <c r="GX90" s="83"/>
      <c r="GY90" s="83"/>
      <c r="GZ90" s="83"/>
      <c r="HA90" s="83"/>
      <c r="HB90" s="83"/>
      <c r="HC90" s="83"/>
      <c r="HD90" s="83"/>
      <c r="HE90" s="83"/>
      <c r="HF90" s="83"/>
      <c r="HG90" s="83"/>
      <c r="HH90" s="83"/>
      <c r="HI90" s="83"/>
      <c r="HJ90" s="83"/>
      <c r="HK90" s="83"/>
      <c r="HL90" s="83"/>
      <c r="HM90" s="83"/>
      <c r="HN90" s="83"/>
      <c r="HO90" s="83"/>
      <c r="HP90" s="83"/>
      <c r="HQ90" s="83"/>
      <c r="HR90" s="83"/>
      <c r="HS90" s="83"/>
      <c r="HT90" s="83"/>
      <c r="HU90" s="83"/>
      <c r="HV90" s="83"/>
      <c r="HW90" s="83"/>
      <c r="HX90" s="83"/>
      <c r="HY90" s="83"/>
      <c r="HZ90" s="83"/>
      <c r="IA90" s="83"/>
      <c r="IB90" s="83"/>
      <c r="IC90" s="83"/>
      <c r="ID90" s="83"/>
      <c r="IE90" s="83"/>
      <c r="IF90" s="83"/>
      <c r="IG90" s="83"/>
    </row>
    <row r="91" spans="1:241" ht="15.6" x14ac:dyDescent="0.35">
      <c r="A91" s="83"/>
      <c r="B91" s="53" t="s">
        <v>81</v>
      </c>
      <c r="C91" s="18" t="s">
        <v>1</v>
      </c>
      <c r="D91" s="18" t="s">
        <v>2</v>
      </c>
      <c r="E91" s="18" t="s">
        <v>3</v>
      </c>
      <c r="F91" s="18" t="s">
        <v>82</v>
      </c>
      <c r="G91" s="18" t="s">
        <v>83</v>
      </c>
      <c r="H91" s="18" t="s">
        <v>84</v>
      </c>
      <c r="I91" s="18" t="s">
        <v>60</v>
      </c>
      <c r="J91" s="18" t="s">
        <v>61</v>
      </c>
      <c r="K91" s="18" t="s">
        <v>62</v>
      </c>
      <c r="L91" s="18" t="s">
        <v>85</v>
      </c>
      <c r="M91" s="18" t="s">
        <v>86</v>
      </c>
      <c r="N91" s="21" t="s">
        <v>87</v>
      </c>
      <c r="O91" s="1"/>
      <c r="P91" s="1"/>
      <c r="Q91" s="1"/>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c r="DD91" s="83"/>
      <c r="DE91" s="83"/>
      <c r="DF91" s="83"/>
      <c r="DG91" s="83"/>
      <c r="DH91" s="83"/>
      <c r="DI91" s="83"/>
      <c r="DJ91" s="83"/>
      <c r="DK91" s="83"/>
      <c r="DL91" s="83"/>
      <c r="DM91" s="83"/>
      <c r="DN91" s="83"/>
      <c r="DO91" s="83"/>
      <c r="DP91" s="83"/>
      <c r="DQ91" s="83"/>
      <c r="DR91" s="83"/>
      <c r="DS91" s="83"/>
      <c r="DT91" s="83"/>
      <c r="DU91" s="83"/>
      <c r="DV91" s="83"/>
      <c r="DW91" s="83"/>
      <c r="DX91" s="83"/>
      <c r="DY91" s="83"/>
      <c r="DZ91" s="83"/>
      <c r="EA91" s="83"/>
      <c r="EB91" s="83"/>
      <c r="EC91" s="83"/>
      <c r="ED91" s="83"/>
      <c r="EE91" s="83"/>
      <c r="EF91" s="83"/>
      <c r="EG91" s="83"/>
      <c r="EH91" s="83"/>
      <c r="EI91" s="83"/>
      <c r="EJ91" s="83"/>
      <c r="EK91" s="83"/>
      <c r="EL91" s="83"/>
      <c r="EM91" s="83"/>
      <c r="EN91" s="83"/>
      <c r="EO91" s="83"/>
      <c r="EP91" s="83"/>
      <c r="EQ91" s="83"/>
      <c r="ER91" s="83"/>
      <c r="ES91" s="83"/>
      <c r="ET91" s="83"/>
      <c r="EU91" s="83"/>
      <c r="EV91" s="83"/>
      <c r="EW91" s="83"/>
      <c r="EX91" s="83"/>
      <c r="EY91" s="83"/>
      <c r="EZ91" s="83"/>
      <c r="FA91" s="83"/>
      <c r="FB91" s="83"/>
      <c r="FC91" s="83"/>
      <c r="FD91" s="83"/>
      <c r="FE91" s="83"/>
      <c r="FF91" s="83"/>
      <c r="FG91" s="83"/>
      <c r="FH91" s="83"/>
      <c r="FI91" s="83"/>
      <c r="FJ91" s="83"/>
      <c r="FK91" s="83"/>
      <c r="FL91" s="83"/>
      <c r="FM91" s="83"/>
      <c r="FN91" s="83"/>
      <c r="FO91" s="83"/>
      <c r="FP91" s="83"/>
      <c r="FQ91" s="83"/>
      <c r="FR91" s="83"/>
      <c r="FS91" s="83"/>
      <c r="FT91" s="83"/>
      <c r="FU91" s="83"/>
      <c r="FV91" s="83"/>
      <c r="FW91" s="83"/>
      <c r="FX91" s="83"/>
      <c r="FY91" s="83"/>
      <c r="FZ91" s="83"/>
      <c r="GA91" s="83"/>
      <c r="GB91" s="83"/>
      <c r="GC91" s="83"/>
      <c r="GD91" s="83"/>
      <c r="GE91" s="83"/>
      <c r="GF91" s="83"/>
      <c r="GG91" s="83"/>
      <c r="GH91" s="83"/>
      <c r="GI91" s="83"/>
      <c r="GJ91" s="83"/>
      <c r="GK91" s="83"/>
      <c r="GL91" s="83"/>
      <c r="GM91" s="83"/>
      <c r="GN91" s="83"/>
      <c r="GO91" s="83"/>
      <c r="GP91" s="83"/>
      <c r="GQ91" s="83"/>
      <c r="GR91" s="83"/>
      <c r="GS91" s="83"/>
      <c r="GT91" s="83"/>
      <c r="GU91" s="83"/>
      <c r="GV91" s="83"/>
      <c r="GW91" s="83"/>
      <c r="GX91" s="83"/>
      <c r="GY91" s="83"/>
      <c r="GZ91" s="83"/>
      <c r="HA91" s="83"/>
      <c r="HB91" s="83"/>
      <c r="HC91" s="83"/>
      <c r="HD91" s="83"/>
      <c r="HE91" s="83"/>
      <c r="HF91" s="83"/>
      <c r="HG91" s="83"/>
      <c r="HH91" s="83"/>
      <c r="HI91" s="83"/>
      <c r="HJ91" s="83"/>
      <c r="HK91" s="83"/>
      <c r="HL91" s="83"/>
      <c r="HM91" s="83"/>
      <c r="HN91" s="83"/>
      <c r="HO91" s="83"/>
      <c r="HP91" s="83"/>
      <c r="HQ91" s="83"/>
      <c r="HR91" s="83"/>
      <c r="HS91" s="83"/>
      <c r="HT91" s="83"/>
      <c r="HU91" s="83"/>
      <c r="HV91" s="83"/>
      <c r="HW91" s="83"/>
      <c r="HX91" s="83"/>
      <c r="HY91" s="83"/>
      <c r="HZ91" s="83"/>
      <c r="IA91" s="83"/>
      <c r="IB91" s="83"/>
      <c r="IC91" s="83"/>
      <c r="ID91" s="83"/>
      <c r="IE91" s="83"/>
      <c r="IF91" s="83"/>
      <c r="IG91" s="83"/>
    </row>
    <row r="92" spans="1:241" x14ac:dyDescent="0.3">
      <c r="A92" s="83"/>
      <c r="B92" s="12" t="s">
        <v>88</v>
      </c>
      <c r="C92" s="13">
        <v>3.0680000000000001</v>
      </c>
      <c r="D92" s="13">
        <v>0.65969999999999995</v>
      </c>
      <c r="E92" s="13">
        <v>1.9400000000000001E-2</v>
      </c>
      <c r="F92" s="13">
        <v>3000</v>
      </c>
      <c r="G92" s="13">
        <v>100000</v>
      </c>
      <c r="H92" s="13">
        <v>200</v>
      </c>
      <c r="I92" s="13">
        <v>0.14050000000000001</v>
      </c>
      <c r="J92" s="13">
        <v>-0.26979999999999998</v>
      </c>
      <c r="K92" s="13">
        <v>0.1293</v>
      </c>
      <c r="L92" s="13">
        <v>2.13</v>
      </c>
      <c r="M92" s="13">
        <v>2.5099999999999998</v>
      </c>
      <c r="N92" s="16">
        <v>2.81</v>
      </c>
      <c r="O92" s="1"/>
      <c r="P92" s="1"/>
      <c r="Q92" s="1"/>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c r="DD92" s="83"/>
      <c r="DE92" s="83"/>
      <c r="DF92" s="83"/>
      <c r="DG92" s="83"/>
      <c r="DH92" s="83"/>
      <c r="DI92" s="83"/>
      <c r="DJ92" s="83"/>
      <c r="DK92" s="83"/>
      <c r="DL92" s="83"/>
      <c r="DM92" s="83"/>
      <c r="DN92" s="83"/>
      <c r="DO92" s="83"/>
      <c r="DP92" s="83"/>
      <c r="DQ92" s="83"/>
      <c r="DR92" s="83"/>
      <c r="DS92" s="83"/>
      <c r="DT92" s="83"/>
      <c r="DU92" s="83"/>
      <c r="DV92" s="83"/>
      <c r="DW92" s="83"/>
      <c r="DX92" s="83"/>
      <c r="DY92" s="83"/>
      <c r="DZ92" s="83"/>
      <c r="EA92" s="83"/>
      <c r="EB92" s="83"/>
      <c r="EC92" s="83"/>
      <c r="ED92" s="83"/>
      <c r="EE92" s="83"/>
      <c r="EF92" s="83"/>
      <c r="EG92" s="83"/>
      <c r="EH92" s="83"/>
      <c r="EI92" s="83"/>
      <c r="EJ92" s="83"/>
      <c r="EK92" s="83"/>
      <c r="EL92" s="83"/>
      <c r="EM92" s="83"/>
      <c r="EN92" s="83"/>
      <c r="EO92" s="83"/>
      <c r="EP92" s="83"/>
      <c r="EQ92" s="83"/>
      <c r="ER92" s="83"/>
      <c r="ES92" s="83"/>
      <c r="ET92" s="83"/>
      <c r="EU92" s="83"/>
      <c r="EV92" s="83"/>
      <c r="EW92" s="83"/>
      <c r="EX92" s="83"/>
      <c r="EY92" s="83"/>
      <c r="EZ92" s="83"/>
      <c r="FA92" s="83"/>
      <c r="FB92" s="83"/>
      <c r="FC92" s="83"/>
      <c r="FD92" s="83"/>
      <c r="FE92" s="83"/>
      <c r="FF92" s="83"/>
      <c r="FG92" s="83"/>
      <c r="FH92" s="83"/>
      <c r="FI92" s="83"/>
      <c r="FJ92" s="83"/>
      <c r="FK92" s="83"/>
      <c r="FL92" s="83"/>
      <c r="FM92" s="83"/>
      <c r="FN92" s="83"/>
      <c r="FO92" s="83"/>
      <c r="FP92" s="83"/>
      <c r="FQ92" s="83"/>
      <c r="FR92" s="83"/>
      <c r="FS92" s="83"/>
      <c r="FT92" s="83"/>
      <c r="FU92" s="83"/>
      <c r="FV92" s="83"/>
      <c r="FW92" s="83"/>
      <c r="FX92" s="83"/>
      <c r="FY92" s="83"/>
      <c r="FZ92" s="83"/>
      <c r="GA92" s="83"/>
      <c r="GB92" s="83"/>
      <c r="GC92" s="83"/>
      <c r="GD92" s="83"/>
      <c r="GE92" s="83"/>
      <c r="GF92" s="83"/>
      <c r="GG92" s="83"/>
      <c r="GH92" s="83"/>
      <c r="GI92" s="83"/>
      <c r="GJ92" s="83"/>
      <c r="GK92" s="83"/>
      <c r="GL92" s="83"/>
      <c r="GM92" s="83"/>
      <c r="GN92" s="83"/>
      <c r="GO92" s="83"/>
      <c r="GP92" s="83"/>
      <c r="GQ92" s="83"/>
      <c r="GR92" s="83"/>
      <c r="GS92" s="83"/>
      <c r="GT92" s="83"/>
      <c r="GU92" s="83"/>
      <c r="GV92" s="83"/>
      <c r="GW92" s="83"/>
      <c r="GX92" s="83"/>
      <c r="GY92" s="83"/>
      <c r="GZ92" s="83"/>
      <c r="HA92" s="83"/>
      <c r="HB92" s="83"/>
      <c r="HC92" s="83"/>
      <c r="HD92" s="83"/>
      <c r="HE92" s="83"/>
      <c r="HF92" s="83"/>
      <c r="HG92" s="83"/>
      <c r="HH92" s="83"/>
      <c r="HI92" s="83"/>
      <c r="HJ92" s="83"/>
      <c r="HK92" s="83"/>
      <c r="HL92" s="83"/>
      <c r="HM92" s="83"/>
      <c r="HN92" s="83"/>
      <c r="HO92" s="83"/>
      <c r="HP92" s="83"/>
      <c r="HQ92" s="83"/>
      <c r="HR92" s="83"/>
      <c r="HS92" s="83"/>
      <c r="HT92" s="83"/>
      <c r="HU92" s="83"/>
      <c r="HV92" s="83"/>
      <c r="HW92" s="83"/>
      <c r="HX92" s="83"/>
      <c r="HY92" s="83"/>
      <c r="HZ92" s="83"/>
      <c r="IA92" s="83"/>
      <c r="IB92" s="83"/>
      <c r="IC92" s="83"/>
      <c r="ID92" s="83"/>
      <c r="IE92" s="83"/>
      <c r="IF92" s="83"/>
      <c r="IG92" s="83"/>
    </row>
    <row r="93" spans="1:241" x14ac:dyDescent="0.3">
      <c r="A93" s="83"/>
      <c r="B93" s="54" t="s">
        <v>89</v>
      </c>
      <c r="C93" s="18">
        <v>2.3858999999999999</v>
      </c>
      <c r="D93" s="18">
        <v>0.97209999999999996</v>
      </c>
      <c r="E93" s="18">
        <v>-2.06E-2</v>
      </c>
      <c r="F93" s="18">
        <v>3000</v>
      </c>
      <c r="G93" s="18">
        <v>100000</v>
      </c>
      <c r="H93" s="18">
        <v>200</v>
      </c>
      <c r="I93" s="18">
        <v>0.1017</v>
      </c>
      <c r="J93" s="18">
        <v>-0.19570000000000001</v>
      </c>
      <c r="K93" s="18">
        <v>9.4030000000000002E-2</v>
      </c>
      <c r="L93" s="18">
        <v>2.13</v>
      </c>
      <c r="M93" s="18">
        <v>2.5099999999999998</v>
      </c>
      <c r="N93" s="21">
        <v>2.81</v>
      </c>
      <c r="O93" s="1"/>
      <c r="P93" s="1"/>
      <c r="Q93" s="1"/>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c r="DD93" s="83"/>
      <c r="DE93" s="83"/>
      <c r="DF93" s="83"/>
      <c r="DG93" s="83"/>
      <c r="DH93" s="83"/>
      <c r="DI93" s="83"/>
      <c r="DJ93" s="83"/>
      <c r="DK93" s="83"/>
      <c r="DL93" s="83"/>
      <c r="DM93" s="83"/>
      <c r="DN93" s="83"/>
      <c r="DO93" s="83"/>
      <c r="DP93" s="83"/>
      <c r="DQ93" s="83"/>
      <c r="DR93" s="83"/>
      <c r="DS93" s="83"/>
      <c r="DT93" s="83"/>
      <c r="DU93" s="83"/>
      <c r="DV93" s="83"/>
      <c r="DW93" s="83"/>
      <c r="DX93" s="83"/>
      <c r="DY93" s="83"/>
      <c r="DZ93" s="83"/>
      <c r="EA93" s="83"/>
      <c r="EB93" s="83"/>
      <c r="EC93" s="83"/>
      <c r="ED93" s="83"/>
      <c r="EE93" s="83"/>
      <c r="EF93" s="83"/>
      <c r="EG93" s="83"/>
      <c r="EH93" s="83"/>
      <c r="EI93" s="83"/>
      <c r="EJ93" s="83"/>
      <c r="EK93" s="83"/>
      <c r="EL93" s="83"/>
      <c r="EM93" s="83"/>
      <c r="EN93" s="83"/>
      <c r="EO93" s="83"/>
      <c r="EP93" s="83"/>
      <c r="EQ93" s="83"/>
      <c r="ER93" s="83"/>
      <c r="ES93" s="83"/>
      <c r="ET93" s="83"/>
      <c r="EU93" s="83"/>
      <c r="EV93" s="83"/>
      <c r="EW93" s="83"/>
      <c r="EX93" s="83"/>
      <c r="EY93" s="83"/>
      <c r="EZ93" s="83"/>
      <c r="FA93" s="83"/>
      <c r="FB93" s="83"/>
      <c r="FC93" s="83"/>
      <c r="FD93" s="83"/>
      <c r="FE93" s="83"/>
      <c r="FF93" s="83"/>
      <c r="FG93" s="83"/>
      <c r="FH93" s="83"/>
      <c r="FI93" s="83"/>
      <c r="FJ93" s="83"/>
      <c r="FK93" s="83"/>
      <c r="FL93" s="83"/>
      <c r="FM93" s="83"/>
      <c r="FN93" s="83"/>
      <c r="FO93" s="83"/>
      <c r="FP93" s="83"/>
      <c r="FQ93" s="83"/>
      <c r="FR93" s="83"/>
      <c r="FS93" s="83"/>
      <c r="FT93" s="83"/>
      <c r="FU93" s="83"/>
      <c r="FV93" s="83"/>
      <c r="FW93" s="83"/>
      <c r="FX93" s="83"/>
      <c r="FY93" s="83"/>
      <c r="FZ93" s="83"/>
      <c r="GA93" s="83"/>
      <c r="GB93" s="83"/>
      <c r="GC93" s="83"/>
      <c r="GD93" s="83"/>
      <c r="GE93" s="83"/>
      <c r="GF93" s="83"/>
      <c r="GG93" s="83"/>
      <c r="GH93" s="83"/>
      <c r="GI93" s="83"/>
      <c r="GJ93" s="83"/>
      <c r="GK93" s="83"/>
      <c r="GL93" s="83"/>
      <c r="GM93" s="83"/>
      <c r="GN93" s="83"/>
      <c r="GO93" s="83"/>
      <c r="GP93" s="83"/>
      <c r="GQ93" s="83"/>
      <c r="GR93" s="83"/>
      <c r="GS93" s="83"/>
      <c r="GT93" s="83"/>
      <c r="GU93" s="83"/>
      <c r="GV93" s="83"/>
      <c r="GW93" s="83"/>
      <c r="GX93" s="83"/>
      <c r="GY93" s="83"/>
      <c r="GZ93" s="83"/>
      <c r="HA93" s="83"/>
      <c r="HB93" s="83"/>
      <c r="HC93" s="83"/>
      <c r="HD93" s="83"/>
      <c r="HE93" s="83"/>
      <c r="HF93" s="83"/>
      <c r="HG93" s="83"/>
      <c r="HH93" s="83"/>
      <c r="HI93" s="83"/>
      <c r="HJ93" s="83"/>
      <c r="HK93" s="83"/>
      <c r="HL93" s="83"/>
      <c r="HM93" s="83"/>
      <c r="HN93" s="83"/>
      <c r="HO93" s="83"/>
      <c r="HP93" s="83"/>
      <c r="HQ93" s="83"/>
      <c r="HR93" s="83"/>
      <c r="HS93" s="83"/>
      <c r="HT93" s="83"/>
      <c r="HU93" s="83"/>
      <c r="HV93" s="83"/>
      <c r="HW93" s="83"/>
      <c r="HX93" s="83"/>
      <c r="HY93" s="83"/>
      <c r="HZ93" s="83"/>
      <c r="IA93" s="83"/>
      <c r="IB93" s="83"/>
      <c r="IC93" s="83"/>
      <c r="ID93" s="83"/>
      <c r="IE93" s="83"/>
      <c r="IF93" s="83"/>
      <c r="IG93" s="83"/>
    </row>
    <row r="94" spans="1:241" x14ac:dyDescent="0.3">
      <c r="A94" s="83"/>
      <c r="B94" s="55"/>
      <c r="C94" s="13"/>
      <c r="D94" s="13"/>
      <c r="E94" s="13"/>
      <c r="F94" s="13"/>
      <c r="G94" s="13"/>
      <c r="H94" s="13"/>
      <c r="I94" s="13"/>
      <c r="J94" s="13"/>
      <c r="K94" s="13"/>
      <c r="L94" s="1"/>
      <c r="M94" s="1"/>
      <c r="N94" s="1"/>
      <c r="O94" s="1"/>
      <c r="P94" s="1"/>
      <c r="Q94" s="1"/>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c r="DD94" s="83"/>
      <c r="DE94" s="83"/>
      <c r="DF94" s="83"/>
      <c r="DG94" s="83"/>
      <c r="DH94" s="83"/>
      <c r="DI94" s="83"/>
      <c r="DJ94" s="83"/>
      <c r="DK94" s="83"/>
      <c r="DL94" s="83"/>
      <c r="DM94" s="83"/>
      <c r="DN94" s="83"/>
      <c r="DO94" s="83"/>
      <c r="DP94" s="83"/>
      <c r="DQ94" s="83"/>
      <c r="DR94" s="83"/>
      <c r="DS94" s="83"/>
      <c r="DT94" s="83"/>
      <c r="DU94" s="83"/>
      <c r="DV94" s="83"/>
      <c r="DW94" s="83"/>
      <c r="DX94" s="83"/>
      <c r="DY94" s="83"/>
      <c r="DZ94" s="83"/>
      <c r="EA94" s="83"/>
      <c r="EB94" s="83"/>
      <c r="EC94" s="83"/>
      <c r="ED94" s="83"/>
      <c r="EE94" s="83"/>
      <c r="EF94" s="83"/>
      <c r="EG94" s="83"/>
      <c r="EH94" s="83"/>
      <c r="EI94" s="83"/>
      <c r="EJ94" s="83"/>
      <c r="EK94" s="83"/>
      <c r="EL94" s="83"/>
      <c r="EM94" s="83"/>
      <c r="EN94" s="83"/>
      <c r="EO94" s="83"/>
      <c r="EP94" s="83"/>
      <c r="EQ94" s="83"/>
      <c r="ER94" s="83"/>
      <c r="ES94" s="83"/>
      <c r="ET94" s="83"/>
      <c r="EU94" s="83"/>
      <c r="EV94" s="83"/>
      <c r="EW94" s="83"/>
      <c r="EX94" s="83"/>
      <c r="EY94" s="83"/>
      <c r="EZ94" s="83"/>
      <c r="FA94" s="83"/>
      <c r="FB94" s="83"/>
      <c r="FC94" s="83"/>
      <c r="FD94" s="83"/>
      <c r="FE94" s="83"/>
      <c r="FF94" s="83"/>
      <c r="FG94" s="83"/>
      <c r="FH94" s="83"/>
      <c r="FI94" s="83"/>
      <c r="FJ94" s="83"/>
      <c r="FK94" s="83"/>
      <c r="FL94" s="83"/>
      <c r="FM94" s="83"/>
      <c r="FN94" s="83"/>
      <c r="FO94" s="83"/>
      <c r="FP94" s="83"/>
      <c r="FQ94" s="83"/>
      <c r="FR94" s="83"/>
      <c r="FS94" s="83"/>
      <c r="FT94" s="83"/>
      <c r="FU94" s="83"/>
      <c r="FV94" s="83"/>
      <c r="FW94" s="83"/>
      <c r="FX94" s="83"/>
      <c r="FY94" s="83"/>
      <c r="FZ94" s="83"/>
      <c r="GA94" s="83"/>
      <c r="GB94" s="83"/>
      <c r="GC94" s="83"/>
      <c r="GD94" s="83"/>
      <c r="GE94" s="83"/>
      <c r="GF94" s="83"/>
      <c r="GG94" s="83"/>
      <c r="GH94" s="83"/>
      <c r="GI94" s="83"/>
      <c r="GJ94" s="83"/>
      <c r="GK94" s="83"/>
      <c r="GL94" s="83"/>
      <c r="GM94" s="83"/>
      <c r="GN94" s="83"/>
      <c r="GO94" s="83"/>
      <c r="GP94" s="83"/>
      <c r="GQ94" s="83"/>
      <c r="GR94" s="83"/>
      <c r="GS94" s="83"/>
      <c r="GT94" s="83"/>
      <c r="GU94" s="83"/>
      <c r="GV94" s="83"/>
      <c r="GW94" s="83"/>
      <c r="GX94" s="83"/>
      <c r="GY94" s="83"/>
      <c r="GZ94" s="83"/>
      <c r="HA94" s="83"/>
      <c r="HB94" s="83"/>
      <c r="HC94" s="83"/>
      <c r="HD94" s="83"/>
      <c r="HE94" s="83"/>
      <c r="HF94" s="83"/>
      <c r="HG94" s="83"/>
      <c r="HH94" s="83"/>
      <c r="HI94" s="83"/>
      <c r="HJ94" s="83"/>
      <c r="HK94" s="83"/>
      <c r="HL94" s="83"/>
      <c r="HM94" s="83"/>
      <c r="HN94" s="83"/>
      <c r="HO94" s="83"/>
      <c r="HP94" s="83"/>
      <c r="HQ94" s="83"/>
      <c r="HR94" s="83"/>
      <c r="HS94" s="83"/>
      <c r="HT94" s="83"/>
      <c r="HU94" s="83"/>
      <c r="HV94" s="83"/>
      <c r="HW94" s="83"/>
      <c r="HX94" s="83"/>
      <c r="HY94" s="83"/>
      <c r="HZ94" s="83"/>
      <c r="IA94" s="83"/>
      <c r="IB94" s="83"/>
      <c r="IC94" s="83"/>
      <c r="ID94" s="83"/>
      <c r="IE94" s="83"/>
      <c r="IF94" s="83"/>
      <c r="IG94" s="83"/>
    </row>
    <row r="95" spans="1:241" x14ac:dyDescent="0.3">
      <c r="A95" s="83"/>
      <c r="B95" s="56"/>
      <c r="C95" s="8"/>
      <c r="D95" s="8"/>
      <c r="E95" s="49"/>
      <c r="F95" s="49"/>
      <c r="G95" s="49"/>
      <c r="H95" s="49"/>
      <c r="I95" s="49"/>
      <c r="J95" s="49"/>
      <c r="K95" s="49"/>
      <c r="L95" s="50" t="s">
        <v>80</v>
      </c>
      <c r="M95" s="30"/>
      <c r="N95" s="51"/>
      <c r="O95" s="1"/>
      <c r="P95" s="1"/>
      <c r="Q95" s="1"/>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c r="DD95" s="83"/>
      <c r="DE95" s="83"/>
      <c r="DF95" s="83"/>
      <c r="DG95" s="83"/>
      <c r="DH95" s="83"/>
      <c r="DI95" s="83"/>
      <c r="DJ95" s="83"/>
      <c r="DK95" s="83"/>
      <c r="DL95" s="83"/>
      <c r="DM95" s="83"/>
      <c r="DN95" s="83"/>
      <c r="DO95" s="83"/>
      <c r="DP95" s="83"/>
      <c r="DQ95" s="83"/>
      <c r="DR95" s="83"/>
      <c r="DS95" s="83"/>
      <c r="DT95" s="83"/>
      <c r="DU95" s="83"/>
      <c r="DV95" s="83"/>
      <c r="DW95" s="83"/>
      <c r="DX95" s="83"/>
      <c r="DY95" s="83"/>
      <c r="DZ95" s="83"/>
      <c r="EA95" s="83"/>
      <c r="EB95" s="83"/>
      <c r="EC95" s="83"/>
      <c r="ED95" s="83"/>
      <c r="EE95" s="83"/>
      <c r="EF95" s="83"/>
      <c r="EG95" s="83"/>
      <c r="EH95" s="83"/>
      <c r="EI95" s="83"/>
      <c r="EJ95" s="83"/>
      <c r="EK95" s="83"/>
      <c r="EL95" s="83"/>
      <c r="EM95" s="83"/>
      <c r="EN95" s="83"/>
      <c r="EO95" s="83"/>
      <c r="EP95" s="83"/>
      <c r="EQ95" s="83"/>
      <c r="ER95" s="83"/>
      <c r="ES95" s="83"/>
      <c r="ET95" s="83"/>
      <c r="EU95" s="83"/>
      <c r="EV95" s="83"/>
      <c r="EW95" s="83"/>
      <c r="EX95" s="83"/>
      <c r="EY95" s="83"/>
      <c r="EZ95" s="83"/>
      <c r="FA95" s="83"/>
      <c r="FB95" s="83"/>
      <c r="FC95" s="83"/>
      <c r="FD95" s="83"/>
      <c r="FE95" s="83"/>
      <c r="FF95" s="83"/>
      <c r="FG95" s="83"/>
      <c r="FH95" s="83"/>
      <c r="FI95" s="83"/>
      <c r="FJ95" s="83"/>
      <c r="FK95" s="83"/>
      <c r="FL95" s="83"/>
      <c r="FM95" s="83"/>
      <c r="FN95" s="83"/>
      <c r="FO95" s="83"/>
      <c r="FP95" s="83"/>
      <c r="FQ95" s="83"/>
      <c r="FR95" s="83"/>
      <c r="FS95" s="83"/>
      <c r="FT95" s="83"/>
      <c r="FU95" s="83"/>
      <c r="FV95" s="83"/>
      <c r="FW95" s="83"/>
      <c r="FX95" s="83"/>
      <c r="FY95" s="83"/>
      <c r="FZ95" s="83"/>
      <c r="GA95" s="83"/>
      <c r="GB95" s="83"/>
      <c r="GC95" s="83"/>
      <c r="GD95" s="83"/>
      <c r="GE95" s="83"/>
      <c r="GF95" s="83"/>
      <c r="GG95" s="83"/>
      <c r="GH95" s="83"/>
      <c r="GI95" s="83"/>
      <c r="GJ95" s="83"/>
      <c r="GK95" s="83"/>
      <c r="GL95" s="83"/>
      <c r="GM95" s="83"/>
      <c r="GN95" s="83"/>
      <c r="GO95" s="83"/>
      <c r="GP95" s="83"/>
      <c r="GQ95" s="83"/>
      <c r="GR95" s="83"/>
      <c r="GS95" s="83"/>
      <c r="GT95" s="83"/>
      <c r="GU95" s="83"/>
      <c r="GV95" s="83"/>
      <c r="GW95" s="83"/>
      <c r="GX95" s="83"/>
      <c r="GY95" s="83"/>
      <c r="GZ95" s="83"/>
      <c r="HA95" s="83"/>
      <c r="HB95" s="83"/>
      <c r="HC95" s="83"/>
      <c r="HD95" s="83"/>
      <c r="HE95" s="83"/>
      <c r="HF95" s="83"/>
      <c r="HG95" s="83"/>
      <c r="HH95" s="83"/>
      <c r="HI95" s="83"/>
      <c r="HJ95" s="83"/>
      <c r="HK95" s="83"/>
      <c r="HL95" s="83"/>
      <c r="HM95" s="83"/>
      <c r="HN95" s="83"/>
      <c r="HO95" s="83"/>
      <c r="HP95" s="83"/>
      <c r="HQ95" s="83"/>
      <c r="HR95" s="83"/>
      <c r="HS95" s="83"/>
      <c r="HT95" s="83"/>
      <c r="HU95" s="83"/>
      <c r="HV95" s="83"/>
      <c r="HW95" s="83"/>
      <c r="HX95" s="83"/>
      <c r="HY95" s="83"/>
      <c r="HZ95" s="83"/>
      <c r="IA95" s="83"/>
      <c r="IB95" s="83"/>
      <c r="IC95" s="83"/>
      <c r="ID95" s="83"/>
      <c r="IE95" s="83"/>
      <c r="IF95" s="83"/>
      <c r="IG95" s="83"/>
    </row>
    <row r="96" spans="1:241" ht="15.6" x14ac:dyDescent="0.35">
      <c r="A96" s="83"/>
      <c r="B96" s="53" t="s">
        <v>90</v>
      </c>
      <c r="C96" s="18" t="s">
        <v>1</v>
      </c>
      <c r="D96" s="18" t="s">
        <v>2</v>
      </c>
      <c r="E96" s="18" t="s">
        <v>3</v>
      </c>
      <c r="F96" s="18" t="s">
        <v>82</v>
      </c>
      <c r="G96" s="18" t="s">
        <v>83</v>
      </c>
      <c r="H96" s="18" t="s">
        <v>84</v>
      </c>
      <c r="I96" s="18" t="s">
        <v>60</v>
      </c>
      <c r="J96" s="18" t="s">
        <v>61</v>
      </c>
      <c r="K96" s="18" t="s">
        <v>62</v>
      </c>
      <c r="L96" s="18" t="s">
        <v>85</v>
      </c>
      <c r="M96" s="18" t="s">
        <v>86</v>
      </c>
      <c r="N96" s="21" t="s">
        <v>87</v>
      </c>
      <c r="O96" s="1"/>
      <c r="P96" s="1"/>
      <c r="Q96" s="1"/>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c r="DD96" s="83"/>
      <c r="DE96" s="83"/>
      <c r="DF96" s="83"/>
      <c r="DG96" s="83"/>
      <c r="DH96" s="83"/>
      <c r="DI96" s="83"/>
      <c r="DJ96" s="83"/>
      <c r="DK96" s="83"/>
      <c r="DL96" s="83"/>
      <c r="DM96" s="83"/>
      <c r="DN96" s="83"/>
      <c r="DO96" s="83"/>
      <c r="DP96" s="83"/>
      <c r="DQ96" s="83"/>
      <c r="DR96" s="83"/>
      <c r="DS96" s="83"/>
      <c r="DT96" s="83"/>
      <c r="DU96" s="83"/>
      <c r="DV96" s="83"/>
      <c r="DW96" s="83"/>
      <c r="DX96" s="83"/>
      <c r="DY96" s="83"/>
      <c r="DZ96" s="83"/>
      <c r="EA96" s="83"/>
      <c r="EB96" s="83"/>
      <c r="EC96" s="83"/>
      <c r="ED96" s="83"/>
      <c r="EE96" s="83"/>
      <c r="EF96" s="83"/>
      <c r="EG96" s="83"/>
      <c r="EH96" s="83"/>
      <c r="EI96" s="83"/>
      <c r="EJ96" s="83"/>
      <c r="EK96" s="83"/>
      <c r="EL96" s="83"/>
      <c r="EM96" s="83"/>
      <c r="EN96" s="83"/>
      <c r="EO96" s="83"/>
      <c r="EP96" s="83"/>
      <c r="EQ96" s="83"/>
      <c r="ER96" s="83"/>
      <c r="ES96" s="83"/>
      <c r="ET96" s="83"/>
      <c r="EU96" s="83"/>
      <c r="EV96" s="83"/>
      <c r="EW96" s="83"/>
      <c r="EX96" s="83"/>
      <c r="EY96" s="83"/>
      <c r="EZ96" s="83"/>
      <c r="FA96" s="83"/>
      <c r="FB96" s="83"/>
      <c r="FC96" s="83"/>
      <c r="FD96" s="83"/>
      <c r="FE96" s="83"/>
      <c r="FF96" s="83"/>
      <c r="FG96" s="83"/>
      <c r="FH96" s="83"/>
      <c r="FI96" s="83"/>
      <c r="FJ96" s="83"/>
      <c r="FK96" s="83"/>
      <c r="FL96" s="83"/>
      <c r="FM96" s="83"/>
      <c r="FN96" s="83"/>
      <c r="FO96" s="83"/>
      <c r="FP96" s="83"/>
      <c r="FQ96" s="83"/>
      <c r="FR96" s="83"/>
      <c r="FS96" s="83"/>
      <c r="FT96" s="83"/>
      <c r="FU96" s="83"/>
      <c r="FV96" s="83"/>
      <c r="FW96" s="83"/>
      <c r="FX96" s="83"/>
      <c r="FY96" s="83"/>
      <c r="FZ96" s="83"/>
      <c r="GA96" s="83"/>
      <c r="GB96" s="83"/>
      <c r="GC96" s="83"/>
      <c r="GD96" s="83"/>
      <c r="GE96" s="83"/>
      <c r="GF96" s="83"/>
      <c r="GG96" s="83"/>
      <c r="GH96" s="83"/>
      <c r="GI96" s="83"/>
      <c r="GJ96" s="83"/>
      <c r="GK96" s="83"/>
      <c r="GL96" s="83"/>
      <c r="GM96" s="83"/>
      <c r="GN96" s="83"/>
      <c r="GO96" s="83"/>
      <c r="GP96" s="83"/>
      <c r="GQ96" s="83"/>
      <c r="GR96" s="83"/>
      <c r="GS96" s="83"/>
      <c r="GT96" s="83"/>
      <c r="GU96" s="83"/>
      <c r="GV96" s="83"/>
      <c r="GW96" s="83"/>
      <c r="GX96" s="83"/>
      <c r="GY96" s="83"/>
      <c r="GZ96" s="83"/>
      <c r="HA96" s="83"/>
      <c r="HB96" s="83"/>
      <c r="HC96" s="83"/>
      <c r="HD96" s="83"/>
      <c r="HE96" s="83"/>
      <c r="HF96" s="83"/>
      <c r="HG96" s="83"/>
      <c r="HH96" s="83"/>
      <c r="HI96" s="83"/>
      <c r="HJ96" s="83"/>
      <c r="HK96" s="83"/>
      <c r="HL96" s="83"/>
      <c r="HM96" s="83"/>
      <c r="HN96" s="83"/>
      <c r="HO96" s="83"/>
      <c r="HP96" s="83"/>
      <c r="HQ96" s="83"/>
      <c r="HR96" s="83"/>
      <c r="HS96" s="83"/>
      <c r="HT96" s="83"/>
      <c r="HU96" s="83"/>
      <c r="HV96" s="83"/>
      <c r="HW96" s="83"/>
      <c r="HX96" s="83"/>
      <c r="HY96" s="83"/>
      <c r="HZ96" s="83"/>
      <c r="IA96" s="83"/>
      <c r="IB96" s="83"/>
      <c r="IC96" s="83"/>
      <c r="ID96" s="83"/>
      <c r="IE96" s="83"/>
      <c r="IF96" s="83"/>
      <c r="IG96" s="83"/>
    </row>
    <row r="97" spans="1:241" x14ac:dyDescent="0.3">
      <c r="A97" s="83"/>
      <c r="B97" s="54" t="s">
        <v>91</v>
      </c>
      <c r="C97" s="18">
        <v>7.3487999999999998</v>
      </c>
      <c r="D97" s="18">
        <v>-1.1666000000000001</v>
      </c>
      <c r="E97" s="18">
        <v>0.20280000000000001</v>
      </c>
      <c r="F97" s="18">
        <v>1000</v>
      </c>
      <c r="G97" s="18">
        <v>100000</v>
      </c>
      <c r="H97" s="18">
        <v>200</v>
      </c>
      <c r="I97" s="18">
        <v>0.13469999999999999</v>
      </c>
      <c r="J97" s="18">
        <v>-0.23680000000000001</v>
      </c>
      <c r="K97" s="18">
        <v>0.1021</v>
      </c>
      <c r="L97" s="18">
        <v>2.13</v>
      </c>
      <c r="M97" s="18">
        <v>2.5099999999999998</v>
      </c>
      <c r="N97" s="21">
        <v>2.81</v>
      </c>
      <c r="O97" s="1"/>
      <c r="P97" s="1"/>
      <c r="Q97" s="1"/>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c r="DD97" s="83"/>
      <c r="DE97" s="83"/>
      <c r="DF97" s="83"/>
      <c r="DG97" s="83"/>
      <c r="DH97" s="83"/>
      <c r="DI97" s="83"/>
      <c r="DJ97" s="83"/>
      <c r="DK97" s="83"/>
      <c r="DL97" s="83"/>
      <c r="DM97" s="83"/>
      <c r="DN97" s="83"/>
      <c r="DO97" s="83"/>
      <c r="DP97" s="83"/>
      <c r="DQ97" s="83"/>
      <c r="DR97" s="83"/>
      <c r="DS97" s="83"/>
      <c r="DT97" s="83"/>
      <c r="DU97" s="83"/>
      <c r="DV97" s="83"/>
      <c r="DW97" s="83"/>
      <c r="DX97" s="83"/>
      <c r="DY97" s="83"/>
      <c r="DZ97" s="83"/>
      <c r="EA97" s="83"/>
      <c r="EB97" s="83"/>
      <c r="EC97" s="83"/>
      <c r="ED97" s="83"/>
      <c r="EE97" s="83"/>
      <c r="EF97" s="83"/>
      <c r="EG97" s="83"/>
      <c r="EH97" s="83"/>
      <c r="EI97" s="83"/>
      <c r="EJ97" s="83"/>
      <c r="EK97" s="83"/>
      <c r="EL97" s="83"/>
      <c r="EM97" s="83"/>
      <c r="EN97" s="83"/>
      <c r="EO97" s="83"/>
      <c r="EP97" s="83"/>
      <c r="EQ97" s="83"/>
      <c r="ER97" s="83"/>
      <c r="ES97" s="83"/>
      <c r="ET97" s="83"/>
      <c r="EU97" s="83"/>
      <c r="EV97" s="83"/>
      <c r="EW97" s="83"/>
      <c r="EX97" s="83"/>
      <c r="EY97" s="83"/>
      <c r="EZ97" s="83"/>
      <c r="FA97" s="83"/>
      <c r="FB97" s="83"/>
      <c r="FC97" s="83"/>
      <c r="FD97" s="83"/>
      <c r="FE97" s="83"/>
      <c r="FF97" s="83"/>
      <c r="FG97" s="83"/>
      <c r="FH97" s="83"/>
      <c r="FI97" s="83"/>
      <c r="FJ97" s="83"/>
      <c r="FK97" s="83"/>
      <c r="FL97" s="83"/>
      <c r="FM97" s="83"/>
      <c r="FN97" s="83"/>
      <c r="FO97" s="83"/>
      <c r="FP97" s="83"/>
      <c r="FQ97" s="83"/>
      <c r="FR97" s="83"/>
      <c r="FS97" s="83"/>
      <c r="FT97" s="83"/>
      <c r="FU97" s="83"/>
      <c r="FV97" s="83"/>
      <c r="FW97" s="83"/>
      <c r="FX97" s="83"/>
      <c r="FY97" s="83"/>
      <c r="FZ97" s="83"/>
      <c r="GA97" s="83"/>
      <c r="GB97" s="83"/>
      <c r="GC97" s="83"/>
      <c r="GD97" s="83"/>
      <c r="GE97" s="83"/>
      <c r="GF97" s="83"/>
      <c r="GG97" s="83"/>
      <c r="GH97" s="83"/>
      <c r="GI97" s="83"/>
      <c r="GJ97" s="83"/>
      <c r="GK97" s="83"/>
      <c r="GL97" s="83"/>
      <c r="GM97" s="83"/>
      <c r="GN97" s="83"/>
      <c r="GO97" s="83"/>
      <c r="GP97" s="83"/>
      <c r="GQ97" s="83"/>
      <c r="GR97" s="83"/>
      <c r="GS97" s="83"/>
      <c r="GT97" s="83"/>
      <c r="GU97" s="83"/>
      <c r="GV97" s="83"/>
      <c r="GW97" s="83"/>
      <c r="GX97" s="83"/>
      <c r="GY97" s="83"/>
      <c r="GZ97" s="83"/>
      <c r="HA97" s="83"/>
      <c r="HB97" s="83"/>
      <c r="HC97" s="83"/>
      <c r="HD97" s="83"/>
      <c r="HE97" s="83"/>
      <c r="HF97" s="83"/>
      <c r="HG97" s="83"/>
      <c r="HH97" s="83"/>
      <c r="HI97" s="83"/>
      <c r="HJ97" s="83"/>
      <c r="HK97" s="83"/>
      <c r="HL97" s="83"/>
      <c r="HM97" s="83"/>
      <c r="HN97" s="83"/>
      <c r="HO97" s="83"/>
      <c r="HP97" s="83"/>
      <c r="HQ97" s="83"/>
      <c r="HR97" s="83"/>
      <c r="HS97" s="83"/>
      <c r="HT97" s="83"/>
      <c r="HU97" s="83"/>
      <c r="HV97" s="83"/>
      <c r="HW97" s="83"/>
      <c r="HX97" s="83"/>
      <c r="HY97" s="83"/>
      <c r="HZ97" s="83"/>
      <c r="IA97" s="83"/>
      <c r="IB97" s="83"/>
      <c r="IC97" s="83"/>
      <c r="ID97" s="83"/>
      <c r="IE97" s="83"/>
      <c r="IF97" s="83"/>
      <c r="IG97" s="83"/>
    </row>
    <row r="98" spans="1:241" x14ac:dyDescent="0.3">
      <c r="A98" s="83"/>
      <c r="B98" s="55"/>
      <c r="C98" s="13"/>
      <c r="D98" s="13"/>
      <c r="E98" s="13"/>
      <c r="F98" s="13"/>
      <c r="G98" s="13"/>
      <c r="H98" s="13"/>
      <c r="I98" s="15"/>
      <c r="J98" s="15"/>
      <c r="K98" s="15"/>
      <c r="L98" s="15"/>
      <c r="M98" s="1"/>
      <c r="N98" s="1"/>
      <c r="O98" s="1"/>
      <c r="P98" s="1"/>
      <c r="Q98" s="1"/>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c r="DD98" s="83"/>
      <c r="DE98" s="83"/>
      <c r="DF98" s="83"/>
      <c r="DG98" s="83"/>
      <c r="DH98" s="83"/>
      <c r="DI98" s="83"/>
      <c r="DJ98" s="83"/>
      <c r="DK98" s="83"/>
      <c r="DL98" s="83"/>
      <c r="DM98" s="83"/>
      <c r="DN98" s="83"/>
      <c r="DO98" s="83"/>
      <c r="DP98" s="83"/>
      <c r="DQ98" s="83"/>
      <c r="DR98" s="83"/>
      <c r="DS98" s="83"/>
      <c r="DT98" s="83"/>
      <c r="DU98" s="83"/>
      <c r="DV98" s="83"/>
      <c r="DW98" s="83"/>
      <c r="DX98" s="83"/>
      <c r="DY98" s="83"/>
      <c r="DZ98" s="83"/>
      <c r="EA98" s="83"/>
      <c r="EB98" s="83"/>
      <c r="EC98" s="83"/>
      <c r="ED98" s="83"/>
      <c r="EE98" s="83"/>
      <c r="EF98" s="83"/>
      <c r="EG98" s="83"/>
      <c r="EH98" s="83"/>
      <c r="EI98" s="83"/>
      <c r="EJ98" s="83"/>
      <c r="EK98" s="83"/>
      <c r="EL98" s="83"/>
      <c r="EM98" s="83"/>
      <c r="EN98" s="83"/>
      <c r="EO98" s="83"/>
      <c r="EP98" s="83"/>
      <c r="EQ98" s="83"/>
      <c r="ER98" s="83"/>
      <c r="ES98" s="83"/>
      <c r="ET98" s="83"/>
      <c r="EU98" s="83"/>
      <c r="EV98" s="83"/>
      <c r="EW98" s="83"/>
      <c r="EX98" s="83"/>
      <c r="EY98" s="83"/>
      <c r="EZ98" s="83"/>
      <c r="FA98" s="83"/>
      <c r="FB98" s="83"/>
      <c r="FC98" s="83"/>
      <c r="FD98" s="83"/>
      <c r="FE98" s="83"/>
      <c r="FF98" s="83"/>
      <c r="FG98" s="83"/>
      <c r="FH98" s="83"/>
      <c r="FI98" s="83"/>
      <c r="FJ98" s="83"/>
      <c r="FK98" s="83"/>
      <c r="FL98" s="83"/>
      <c r="FM98" s="83"/>
      <c r="FN98" s="83"/>
      <c r="FO98" s="83"/>
      <c r="FP98" s="83"/>
      <c r="FQ98" s="83"/>
      <c r="FR98" s="83"/>
      <c r="FS98" s="83"/>
      <c r="FT98" s="83"/>
      <c r="FU98" s="83"/>
      <c r="FV98" s="83"/>
      <c r="FW98" s="83"/>
      <c r="FX98" s="83"/>
      <c r="FY98" s="83"/>
      <c r="FZ98" s="83"/>
      <c r="GA98" s="83"/>
      <c r="GB98" s="83"/>
      <c r="GC98" s="83"/>
      <c r="GD98" s="83"/>
      <c r="GE98" s="83"/>
      <c r="GF98" s="83"/>
      <c r="GG98" s="83"/>
      <c r="GH98" s="83"/>
      <c r="GI98" s="83"/>
      <c r="GJ98" s="83"/>
      <c r="GK98" s="83"/>
      <c r="GL98" s="83"/>
      <c r="GM98" s="83"/>
      <c r="GN98" s="83"/>
      <c r="GO98" s="83"/>
      <c r="GP98" s="83"/>
      <c r="GQ98" s="83"/>
      <c r="GR98" s="83"/>
      <c r="GS98" s="83"/>
      <c r="GT98" s="83"/>
      <c r="GU98" s="83"/>
      <c r="GV98" s="83"/>
      <c r="GW98" s="83"/>
      <c r="GX98" s="83"/>
      <c r="GY98" s="83"/>
      <c r="GZ98" s="83"/>
      <c r="HA98" s="83"/>
      <c r="HB98" s="83"/>
      <c r="HC98" s="83"/>
      <c r="HD98" s="83"/>
      <c r="HE98" s="83"/>
      <c r="HF98" s="83"/>
      <c r="HG98" s="83"/>
      <c r="HH98" s="83"/>
      <c r="HI98" s="83"/>
      <c r="HJ98" s="83"/>
      <c r="HK98" s="83"/>
      <c r="HL98" s="83"/>
      <c r="HM98" s="83"/>
      <c r="HN98" s="83"/>
      <c r="HO98" s="83"/>
      <c r="HP98" s="83"/>
      <c r="HQ98" s="83"/>
      <c r="HR98" s="83"/>
      <c r="HS98" s="83"/>
      <c r="HT98" s="83"/>
      <c r="HU98" s="83"/>
      <c r="HV98" s="83"/>
      <c r="HW98" s="83"/>
      <c r="HX98" s="83"/>
      <c r="HY98" s="83"/>
      <c r="HZ98" s="83"/>
      <c r="IA98" s="83"/>
      <c r="IB98" s="83"/>
      <c r="IC98" s="83"/>
      <c r="ID98" s="83"/>
      <c r="IE98" s="83"/>
      <c r="IF98" s="83"/>
      <c r="IG98" s="83"/>
    </row>
    <row r="99" spans="1:241" x14ac:dyDescent="0.3">
      <c r="A99" s="83"/>
      <c r="B99" s="55"/>
      <c r="C99" s="13"/>
      <c r="D99" s="13"/>
      <c r="E99" s="1"/>
      <c r="F99" s="1"/>
      <c r="G99" s="1"/>
      <c r="H99" s="1"/>
      <c r="I99" s="1"/>
      <c r="J99" s="1"/>
      <c r="K99" s="13"/>
      <c r="L99" s="31"/>
      <c r="M99" s="1"/>
      <c r="N99" s="1"/>
      <c r="O99" s="1"/>
      <c r="P99" s="1"/>
      <c r="Q99" s="1"/>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c r="DD99" s="83"/>
      <c r="DE99" s="83"/>
      <c r="DF99" s="83"/>
      <c r="DG99" s="83"/>
      <c r="DH99" s="83"/>
      <c r="DI99" s="83"/>
      <c r="DJ99" s="83"/>
      <c r="DK99" s="83"/>
      <c r="DL99" s="83"/>
      <c r="DM99" s="83"/>
      <c r="DN99" s="83"/>
      <c r="DO99" s="83"/>
      <c r="DP99" s="83"/>
      <c r="DQ99" s="83"/>
      <c r="DR99" s="83"/>
      <c r="DS99" s="83"/>
      <c r="DT99" s="83"/>
      <c r="DU99" s="83"/>
      <c r="DV99" s="83"/>
      <c r="DW99" s="83"/>
      <c r="DX99" s="83"/>
      <c r="DY99" s="83"/>
      <c r="DZ99" s="83"/>
      <c r="EA99" s="83"/>
      <c r="EB99" s="83"/>
      <c r="EC99" s="83"/>
      <c r="ED99" s="83"/>
      <c r="EE99" s="83"/>
      <c r="EF99" s="83"/>
      <c r="EG99" s="83"/>
      <c r="EH99" s="83"/>
      <c r="EI99" s="83"/>
      <c r="EJ99" s="83"/>
      <c r="EK99" s="83"/>
      <c r="EL99" s="83"/>
      <c r="EM99" s="83"/>
      <c r="EN99" s="83"/>
      <c r="EO99" s="83"/>
      <c r="EP99" s="83"/>
      <c r="EQ99" s="83"/>
      <c r="ER99" s="83"/>
      <c r="ES99" s="83"/>
      <c r="ET99" s="83"/>
      <c r="EU99" s="83"/>
      <c r="EV99" s="83"/>
      <c r="EW99" s="83"/>
      <c r="EX99" s="83"/>
      <c r="EY99" s="83"/>
      <c r="EZ99" s="83"/>
      <c r="FA99" s="83"/>
      <c r="FB99" s="83"/>
      <c r="FC99" s="83"/>
      <c r="FD99" s="83"/>
      <c r="FE99" s="83"/>
      <c r="FF99" s="83"/>
      <c r="FG99" s="83"/>
      <c r="FH99" s="83"/>
      <c r="FI99" s="83"/>
      <c r="FJ99" s="83"/>
      <c r="FK99" s="83"/>
      <c r="FL99" s="83"/>
      <c r="FM99" s="83"/>
      <c r="FN99" s="83"/>
      <c r="FO99" s="83"/>
      <c r="FP99" s="83"/>
      <c r="FQ99" s="83"/>
      <c r="FR99" s="83"/>
      <c r="FS99" s="83"/>
      <c r="FT99" s="83"/>
      <c r="FU99" s="83"/>
      <c r="FV99" s="83"/>
      <c r="FW99" s="83"/>
      <c r="FX99" s="83"/>
      <c r="FY99" s="83"/>
      <c r="FZ99" s="83"/>
      <c r="GA99" s="83"/>
      <c r="GB99" s="83"/>
      <c r="GC99" s="83"/>
      <c r="GD99" s="83"/>
      <c r="GE99" s="83"/>
      <c r="GF99" s="83"/>
      <c r="GG99" s="83"/>
      <c r="GH99" s="83"/>
      <c r="GI99" s="83"/>
      <c r="GJ99" s="83"/>
      <c r="GK99" s="83"/>
      <c r="GL99" s="83"/>
      <c r="GM99" s="83"/>
      <c r="GN99" s="83"/>
      <c r="GO99" s="83"/>
      <c r="GP99" s="83"/>
      <c r="GQ99" s="83"/>
      <c r="GR99" s="83"/>
      <c r="GS99" s="83"/>
      <c r="GT99" s="83"/>
      <c r="GU99" s="83"/>
      <c r="GV99" s="83"/>
      <c r="GW99" s="83"/>
      <c r="GX99" s="83"/>
      <c r="GY99" s="83"/>
      <c r="GZ99" s="83"/>
      <c r="HA99" s="83"/>
      <c r="HB99" s="83"/>
      <c r="HC99" s="83"/>
      <c r="HD99" s="83"/>
      <c r="HE99" s="83"/>
      <c r="HF99" s="83"/>
      <c r="HG99" s="83"/>
      <c r="HH99" s="83"/>
      <c r="HI99" s="83"/>
      <c r="HJ99" s="83"/>
      <c r="HK99" s="83"/>
      <c r="HL99" s="83"/>
      <c r="HM99" s="83"/>
      <c r="HN99" s="83"/>
      <c r="HO99" s="83"/>
      <c r="HP99" s="83"/>
      <c r="HQ99" s="83"/>
      <c r="HR99" s="83"/>
      <c r="HS99" s="83"/>
      <c r="HT99" s="83"/>
      <c r="HU99" s="83"/>
      <c r="HV99" s="83"/>
      <c r="HW99" s="83"/>
      <c r="HX99" s="83"/>
      <c r="HY99" s="83"/>
      <c r="HZ99" s="83"/>
      <c r="IA99" s="83"/>
      <c r="IB99" s="83"/>
      <c r="IC99" s="83"/>
      <c r="ID99" s="83"/>
      <c r="IE99" s="83"/>
      <c r="IF99" s="83"/>
      <c r="IG99" s="83"/>
    </row>
    <row r="100" spans="1:241" x14ac:dyDescent="0.3">
      <c r="A100" s="83"/>
      <c r="B100" s="56"/>
      <c r="C100" s="8"/>
      <c r="D100" s="8"/>
      <c r="E100" s="49"/>
      <c r="F100" s="49"/>
      <c r="G100" s="49"/>
      <c r="H100" s="49"/>
      <c r="I100" s="49"/>
      <c r="J100" s="49"/>
      <c r="K100" s="8"/>
      <c r="L100" s="30"/>
      <c r="M100" s="49" t="s">
        <v>92</v>
      </c>
      <c r="N100" s="49"/>
      <c r="O100" s="51"/>
      <c r="P100" s="52"/>
      <c r="Q100" s="1"/>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c r="DD100" s="83"/>
      <c r="DE100" s="83"/>
      <c r="DF100" s="83"/>
      <c r="DG100" s="83"/>
      <c r="DH100" s="83"/>
      <c r="DI100" s="83"/>
      <c r="DJ100" s="83"/>
      <c r="DK100" s="83"/>
      <c r="DL100" s="83"/>
      <c r="DM100" s="83"/>
      <c r="DN100" s="83"/>
      <c r="DO100" s="83"/>
      <c r="DP100" s="83"/>
      <c r="DQ100" s="83"/>
      <c r="DR100" s="83"/>
      <c r="DS100" s="83"/>
      <c r="DT100" s="83"/>
      <c r="DU100" s="83"/>
      <c r="DV100" s="83"/>
      <c r="DW100" s="83"/>
      <c r="DX100" s="83"/>
      <c r="DY100" s="83"/>
      <c r="DZ100" s="83"/>
      <c r="EA100" s="83"/>
      <c r="EB100" s="83"/>
      <c r="EC100" s="83"/>
      <c r="ED100" s="83"/>
      <c r="EE100" s="83"/>
      <c r="EF100" s="83"/>
      <c r="EG100" s="83"/>
      <c r="EH100" s="83"/>
      <c r="EI100" s="83"/>
      <c r="EJ100" s="83"/>
      <c r="EK100" s="83"/>
      <c r="EL100" s="83"/>
      <c r="EM100" s="83"/>
      <c r="EN100" s="83"/>
      <c r="EO100" s="83"/>
      <c r="EP100" s="83"/>
      <c r="EQ100" s="83"/>
      <c r="ER100" s="83"/>
      <c r="ES100" s="83"/>
      <c r="ET100" s="83"/>
      <c r="EU100" s="83"/>
      <c r="EV100" s="83"/>
      <c r="EW100" s="83"/>
      <c r="EX100" s="83"/>
      <c r="EY100" s="83"/>
      <c r="EZ100" s="83"/>
      <c r="FA100" s="83"/>
      <c r="FB100" s="83"/>
      <c r="FC100" s="83"/>
      <c r="FD100" s="83"/>
      <c r="FE100" s="83"/>
      <c r="FF100" s="83"/>
      <c r="FG100" s="83"/>
      <c r="FH100" s="83"/>
      <c r="FI100" s="83"/>
      <c r="FJ100" s="83"/>
      <c r="FK100" s="83"/>
      <c r="FL100" s="83"/>
      <c r="FM100" s="83"/>
      <c r="FN100" s="83"/>
      <c r="FO100" s="83"/>
      <c r="FP100" s="83"/>
      <c r="FQ100" s="83"/>
      <c r="FR100" s="83"/>
      <c r="FS100" s="83"/>
      <c r="FT100" s="83"/>
      <c r="FU100" s="83"/>
      <c r="FV100" s="83"/>
      <c r="FW100" s="83"/>
      <c r="FX100" s="83"/>
      <c r="FY100" s="83"/>
      <c r="FZ100" s="83"/>
      <c r="GA100" s="83"/>
      <c r="GB100" s="83"/>
      <c r="GC100" s="83"/>
      <c r="GD100" s="83"/>
      <c r="GE100" s="83"/>
      <c r="GF100" s="83"/>
      <c r="GG100" s="83"/>
      <c r="GH100" s="83"/>
      <c r="GI100" s="83"/>
      <c r="GJ100" s="83"/>
      <c r="GK100" s="83"/>
      <c r="GL100" s="83"/>
      <c r="GM100" s="83"/>
      <c r="GN100" s="83"/>
      <c r="GO100" s="83"/>
      <c r="GP100" s="83"/>
      <c r="GQ100" s="83"/>
      <c r="GR100" s="83"/>
      <c r="GS100" s="83"/>
      <c r="GT100" s="83"/>
      <c r="GU100" s="83"/>
      <c r="GV100" s="83"/>
      <c r="GW100" s="83"/>
      <c r="GX100" s="83"/>
      <c r="GY100" s="83"/>
      <c r="GZ100" s="83"/>
      <c r="HA100" s="83"/>
      <c r="HB100" s="83"/>
      <c r="HC100" s="83"/>
      <c r="HD100" s="83"/>
      <c r="HE100" s="83"/>
      <c r="HF100" s="83"/>
      <c r="HG100" s="83"/>
      <c r="HH100" s="83"/>
      <c r="HI100" s="83"/>
      <c r="HJ100" s="83"/>
      <c r="HK100" s="83"/>
      <c r="HL100" s="83"/>
      <c r="HM100" s="83"/>
      <c r="HN100" s="83"/>
      <c r="HO100" s="83"/>
      <c r="HP100" s="83"/>
      <c r="HQ100" s="83"/>
      <c r="HR100" s="83"/>
      <c r="HS100" s="83"/>
      <c r="HT100" s="83"/>
      <c r="HU100" s="83"/>
      <c r="HV100" s="83"/>
      <c r="HW100" s="83"/>
      <c r="HX100" s="83"/>
      <c r="HY100" s="83"/>
      <c r="HZ100" s="83"/>
      <c r="IA100" s="83"/>
      <c r="IB100" s="83"/>
      <c r="IC100" s="83"/>
      <c r="ID100" s="83"/>
      <c r="IE100" s="83"/>
      <c r="IF100" s="83"/>
      <c r="IG100" s="83"/>
    </row>
    <row r="101" spans="1:241" ht="15.6" x14ac:dyDescent="0.35">
      <c r="A101" s="83"/>
      <c r="B101" s="53" t="s">
        <v>93</v>
      </c>
      <c r="C101" s="18" t="s">
        <v>1</v>
      </c>
      <c r="D101" s="18" t="s">
        <v>2</v>
      </c>
      <c r="E101" s="18" t="s">
        <v>3</v>
      </c>
      <c r="F101" s="18" t="s">
        <v>82</v>
      </c>
      <c r="G101" s="18" t="s">
        <v>83</v>
      </c>
      <c r="H101" s="18" t="s">
        <v>84</v>
      </c>
      <c r="I101" s="18" t="s">
        <v>60</v>
      </c>
      <c r="J101" s="18" t="s">
        <v>61</v>
      </c>
      <c r="K101" s="18" t="s">
        <v>62</v>
      </c>
      <c r="L101" s="18" t="s">
        <v>94</v>
      </c>
      <c r="M101" s="18" t="s">
        <v>95</v>
      </c>
      <c r="N101" s="18" t="s">
        <v>96</v>
      </c>
      <c r="O101" s="21" t="s">
        <v>97</v>
      </c>
      <c r="P101" s="1"/>
      <c r="Q101" s="1"/>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c r="DD101" s="83"/>
      <c r="DE101" s="83"/>
      <c r="DF101" s="83"/>
      <c r="DG101" s="83"/>
      <c r="DH101" s="83"/>
      <c r="DI101" s="83"/>
      <c r="DJ101" s="83"/>
      <c r="DK101" s="83"/>
      <c r="DL101" s="83"/>
      <c r="DM101" s="83"/>
      <c r="DN101" s="83"/>
      <c r="DO101" s="83"/>
      <c r="DP101" s="83"/>
      <c r="DQ101" s="83"/>
      <c r="DR101" s="83"/>
      <c r="DS101" s="83"/>
      <c r="DT101" s="83"/>
      <c r="DU101" s="83"/>
      <c r="DV101" s="83"/>
      <c r="DW101" s="83"/>
      <c r="DX101" s="83"/>
      <c r="DY101" s="83"/>
      <c r="DZ101" s="83"/>
      <c r="EA101" s="83"/>
      <c r="EB101" s="83"/>
      <c r="EC101" s="83"/>
      <c r="ED101" s="83"/>
      <c r="EE101" s="83"/>
      <c r="EF101" s="83"/>
      <c r="EG101" s="83"/>
      <c r="EH101" s="83"/>
      <c r="EI101" s="83"/>
      <c r="EJ101" s="83"/>
      <c r="EK101" s="83"/>
      <c r="EL101" s="83"/>
      <c r="EM101" s="83"/>
      <c r="EN101" s="83"/>
      <c r="EO101" s="83"/>
      <c r="EP101" s="83"/>
      <c r="EQ101" s="83"/>
      <c r="ER101" s="83"/>
      <c r="ES101" s="83"/>
      <c r="ET101" s="83"/>
      <c r="EU101" s="83"/>
      <c r="EV101" s="83"/>
      <c r="EW101" s="83"/>
      <c r="EX101" s="83"/>
      <c r="EY101" s="83"/>
      <c r="EZ101" s="83"/>
      <c r="FA101" s="83"/>
      <c r="FB101" s="83"/>
      <c r="FC101" s="83"/>
      <c r="FD101" s="83"/>
      <c r="FE101" s="83"/>
      <c r="FF101" s="83"/>
      <c r="FG101" s="83"/>
      <c r="FH101" s="83"/>
      <c r="FI101" s="83"/>
      <c r="FJ101" s="83"/>
      <c r="FK101" s="83"/>
      <c r="FL101" s="83"/>
      <c r="FM101" s="83"/>
      <c r="FN101" s="83"/>
      <c r="FO101" s="83"/>
      <c r="FP101" s="83"/>
      <c r="FQ101" s="83"/>
      <c r="FR101" s="83"/>
      <c r="FS101" s="83"/>
      <c r="FT101" s="83"/>
      <c r="FU101" s="83"/>
      <c r="FV101" s="83"/>
      <c r="FW101" s="83"/>
      <c r="FX101" s="83"/>
      <c r="FY101" s="83"/>
      <c r="FZ101" s="83"/>
      <c r="GA101" s="83"/>
      <c r="GB101" s="83"/>
      <c r="GC101" s="83"/>
      <c r="GD101" s="83"/>
      <c r="GE101" s="83"/>
      <c r="GF101" s="83"/>
      <c r="GG101" s="83"/>
      <c r="GH101" s="83"/>
      <c r="GI101" s="83"/>
      <c r="GJ101" s="83"/>
      <c r="GK101" s="83"/>
      <c r="GL101" s="83"/>
      <c r="GM101" s="83"/>
      <c r="GN101" s="83"/>
      <c r="GO101" s="83"/>
      <c r="GP101" s="83"/>
      <c r="GQ101" s="83"/>
      <c r="GR101" s="83"/>
      <c r="GS101" s="83"/>
      <c r="GT101" s="83"/>
      <c r="GU101" s="83"/>
      <c r="GV101" s="83"/>
      <c r="GW101" s="83"/>
      <c r="GX101" s="83"/>
      <c r="GY101" s="83"/>
      <c r="GZ101" s="83"/>
      <c r="HA101" s="83"/>
      <c r="HB101" s="83"/>
      <c r="HC101" s="83"/>
      <c r="HD101" s="83"/>
      <c r="HE101" s="83"/>
      <c r="HF101" s="83"/>
      <c r="HG101" s="83"/>
      <c r="HH101" s="83"/>
      <c r="HI101" s="83"/>
      <c r="HJ101" s="83"/>
      <c r="HK101" s="83"/>
      <c r="HL101" s="83"/>
      <c r="HM101" s="83"/>
      <c r="HN101" s="83"/>
      <c r="HO101" s="83"/>
      <c r="HP101" s="83"/>
      <c r="HQ101" s="83"/>
      <c r="HR101" s="83"/>
      <c r="HS101" s="83"/>
      <c r="HT101" s="83"/>
      <c r="HU101" s="83"/>
      <c r="HV101" s="83"/>
      <c r="HW101" s="83"/>
      <c r="HX101" s="83"/>
      <c r="HY101" s="83"/>
      <c r="HZ101" s="83"/>
      <c r="IA101" s="83"/>
      <c r="IB101" s="83"/>
      <c r="IC101" s="83"/>
      <c r="ID101" s="83"/>
      <c r="IE101" s="83"/>
      <c r="IF101" s="83"/>
      <c r="IG101" s="83"/>
    </row>
    <row r="102" spans="1:241" x14ac:dyDescent="0.3">
      <c r="A102" s="83"/>
      <c r="B102" s="57" t="s">
        <v>98</v>
      </c>
      <c r="C102" s="8">
        <v>2.0829</v>
      </c>
      <c r="D102" s="8">
        <v>0.90739999999999998</v>
      </c>
      <c r="E102" s="8">
        <v>-2.4299999999999999E-2</v>
      </c>
      <c r="F102" s="8">
        <v>650</v>
      </c>
      <c r="G102" s="8">
        <v>10750</v>
      </c>
      <c r="H102" s="8">
        <v>200</v>
      </c>
      <c r="I102" s="25">
        <v>-1.6330000000000001E-2</v>
      </c>
      <c r="J102" s="25">
        <v>5.6875000000000002E-2</v>
      </c>
      <c r="K102" s="25">
        <v>-8.7600000000000004E-3</v>
      </c>
      <c r="L102" s="8">
        <v>2.17</v>
      </c>
      <c r="M102" s="8"/>
      <c r="N102" s="8"/>
      <c r="O102" s="9"/>
      <c r="P102" s="1"/>
      <c r="Q102" s="1"/>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c r="DD102" s="83"/>
      <c r="DE102" s="83"/>
      <c r="DF102" s="83"/>
      <c r="DG102" s="83"/>
      <c r="DH102" s="83"/>
      <c r="DI102" s="83"/>
      <c r="DJ102" s="83"/>
      <c r="DK102" s="83"/>
      <c r="DL102" s="83"/>
      <c r="DM102" s="83"/>
      <c r="DN102" s="83"/>
      <c r="DO102" s="83"/>
      <c r="DP102" s="83"/>
      <c r="DQ102" s="83"/>
      <c r="DR102" s="83"/>
      <c r="DS102" s="83"/>
      <c r="DT102" s="83"/>
      <c r="DU102" s="83"/>
      <c r="DV102" s="83"/>
      <c r="DW102" s="83"/>
      <c r="DX102" s="83"/>
      <c r="DY102" s="83"/>
      <c r="DZ102" s="83"/>
      <c r="EA102" s="83"/>
      <c r="EB102" s="83"/>
      <c r="EC102" s="83"/>
      <c r="ED102" s="83"/>
      <c r="EE102" s="83"/>
      <c r="EF102" s="83"/>
      <c r="EG102" s="83"/>
      <c r="EH102" s="83"/>
      <c r="EI102" s="83"/>
      <c r="EJ102" s="83"/>
      <c r="EK102" s="83"/>
      <c r="EL102" s="83"/>
      <c r="EM102" s="83"/>
      <c r="EN102" s="83"/>
      <c r="EO102" s="83"/>
      <c r="EP102" s="83"/>
      <c r="EQ102" s="83"/>
      <c r="ER102" s="83"/>
      <c r="ES102" s="83"/>
      <c r="ET102" s="83"/>
      <c r="EU102" s="83"/>
      <c r="EV102" s="83"/>
      <c r="EW102" s="83"/>
      <c r="EX102" s="83"/>
      <c r="EY102" s="83"/>
      <c r="EZ102" s="83"/>
      <c r="FA102" s="83"/>
      <c r="FB102" s="83"/>
      <c r="FC102" s="83"/>
      <c r="FD102" s="83"/>
      <c r="FE102" s="83"/>
      <c r="FF102" s="83"/>
      <c r="FG102" s="83"/>
      <c r="FH102" s="83"/>
      <c r="FI102" s="83"/>
      <c r="FJ102" s="83"/>
      <c r="FK102" s="83"/>
      <c r="FL102" s="83"/>
      <c r="FM102" s="83"/>
      <c r="FN102" s="83"/>
      <c r="FO102" s="83"/>
      <c r="FP102" s="83"/>
      <c r="FQ102" s="83"/>
      <c r="FR102" s="83"/>
      <c r="FS102" s="83"/>
      <c r="FT102" s="83"/>
      <c r="FU102" s="83"/>
      <c r="FV102" s="83"/>
      <c r="FW102" s="83"/>
      <c r="FX102" s="83"/>
      <c r="FY102" s="83"/>
      <c r="FZ102" s="83"/>
      <c r="GA102" s="83"/>
      <c r="GB102" s="83"/>
      <c r="GC102" s="83"/>
      <c r="GD102" s="83"/>
      <c r="GE102" s="83"/>
      <c r="GF102" s="83"/>
      <c r="GG102" s="83"/>
      <c r="GH102" s="83"/>
      <c r="GI102" s="83"/>
      <c r="GJ102" s="83"/>
      <c r="GK102" s="83"/>
      <c r="GL102" s="83"/>
      <c r="GM102" s="83"/>
      <c r="GN102" s="83"/>
      <c r="GO102" s="83"/>
      <c r="GP102" s="83"/>
      <c r="GQ102" s="83"/>
      <c r="GR102" s="83"/>
      <c r="GS102" s="83"/>
      <c r="GT102" s="83"/>
      <c r="GU102" s="83"/>
      <c r="GV102" s="83"/>
      <c r="GW102" s="83"/>
      <c r="GX102" s="83"/>
      <c r="GY102" s="83"/>
      <c r="GZ102" s="83"/>
      <c r="HA102" s="83"/>
      <c r="HB102" s="83"/>
      <c r="HC102" s="83"/>
      <c r="HD102" s="83"/>
      <c r="HE102" s="83"/>
      <c r="HF102" s="83"/>
      <c r="HG102" s="83"/>
      <c r="HH102" s="83"/>
      <c r="HI102" s="83"/>
      <c r="HJ102" s="83"/>
      <c r="HK102" s="83"/>
      <c r="HL102" s="83"/>
      <c r="HM102" s="83"/>
      <c r="HN102" s="83"/>
      <c r="HO102" s="83"/>
      <c r="HP102" s="83"/>
      <c r="HQ102" s="83"/>
      <c r="HR102" s="83"/>
      <c r="HS102" s="83"/>
      <c r="HT102" s="83"/>
      <c r="HU102" s="83"/>
      <c r="HV102" s="83"/>
      <c r="HW102" s="83"/>
      <c r="HX102" s="83"/>
      <c r="HY102" s="83"/>
      <c r="HZ102" s="83"/>
      <c r="IA102" s="83"/>
      <c r="IB102" s="83"/>
      <c r="IC102" s="83"/>
      <c r="ID102" s="83"/>
      <c r="IE102" s="83"/>
      <c r="IF102" s="83"/>
      <c r="IG102" s="83"/>
    </row>
    <row r="103" spans="1:241" x14ac:dyDescent="0.3">
      <c r="A103" s="83"/>
      <c r="B103" s="58" t="s">
        <v>99</v>
      </c>
      <c r="C103" s="13">
        <v>1.1979</v>
      </c>
      <c r="D103" s="13">
        <v>1.4782</v>
      </c>
      <c r="E103" s="13">
        <v>-9.5799999999999996E-2</v>
      </c>
      <c r="F103" s="13">
        <v>650</v>
      </c>
      <c r="G103" s="13">
        <v>10750</v>
      </c>
      <c r="H103" s="13">
        <v>200</v>
      </c>
      <c r="I103" s="14">
        <v>-1.6330000000000001E-2</v>
      </c>
      <c r="J103" s="14">
        <v>5.6875000000000002E-2</v>
      </c>
      <c r="K103" s="14">
        <v>-8.7600000000000004E-3</v>
      </c>
      <c r="L103" s="13">
        <v>2.17</v>
      </c>
      <c r="M103" s="13"/>
      <c r="N103" s="13"/>
      <c r="O103" s="16"/>
      <c r="P103" s="1"/>
      <c r="Q103" s="1"/>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c r="DD103" s="83"/>
      <c r="DE103" s="83"/>
      <c r="DF103" s="83"/>
      <c r="DG103" s="83"/>
      <c r="DH103" s="83"/>
      <c r="DI103" s="83"/>
      <c r="DJ103" s="83"/>
      <c r="DK103" s="83"/>
      <c r="DL103" s="83"/>
      <c r="DM103" s="83"/>
      <c r="DN103" s="83"/>
      <c r="DO103" s="83"/>
      <c r="DP103" s="83"/>
      <c r="DQ103" s="83"/>
      <c r="DR103" s="83"/>
      <c r="DS103" s="83"/>
      <c r="DT103" s="83"/>
      <c r="DU103" s="83"/>
      <c r="DV103" s="83"/>
      <c r="DW103" s="83"/>
      <c r="DX103" s="83"/>
      <c r="DY103" s="83"/>
      <c r="DZ103" s="83"/>
      <c r="EA103" s="83"/>
      <c r="EB103" s="83"/>
      <c r="EC103" s="83"/>
      <c r="ED103" s="83"/>
      <c r="EE103" s="83"/>
      <c r="EF103" s="83"/>
      <c r="EG103" s="83"/>
      <c r="EH103" s="83"/>
      <c r="EI103" s="83"/>
      <c r="EJ103" s="83"/>
      <c r="EK103" s="83"/>
      <c r="EL103" s="83"/>
      <c r="EM103" s="83"/>
      <c r="EN103" s="83"/>
      <c r="EO103" s="83"/>
      <c r="EP103" s="83"/>
      <c r="EQ103" s="83"/>
      <c r="ER103" s="83"/>
      <c r="ES103" s="83"/>
      <c r="ET103" s="83"/>
      <c r="EU103" s="83"/>
      <c r="EV103" s="83"/>
      <c r="EW103" s="83"/>
      <c r="EX103" s="83"/>
      <c r="EY103" s="83"/>
      <c r="EZ103" s="83"/>
      <c r="FA103" s="83"/>
      <c r="FB103" s="83"/>
      <c r="FC103" s="83"/>
      <c r="FD103" s="83"/>
      <c r="FE103" s="83"/>
      <c r="FF103" s="83"/>
      <c r="FG103" s="83"/>
      <c r="FH103" s="83"/>
      <c r="FI103" s="83"/>
      <c r="FJ103" s="83"/>
      <c r="FK103" s="83"/>
      <c r="FL103" s="83"/>
      <c r="FM103" s="83"/>
      <c r="FN103" s="83"/>
      <c r="FO103" s="83"/>
      <c r="FP103" s="83"/>
      <c r="FQ103" s="83"/>
      <c r="FR103" s="83"/>
      <c r="FS103" s="83"/>
      <c r="FT103" s="83"/>
      <c r="FU103" s="83"/>
      <c r="FV103" s="83"/>
      <c r="FW103" s="83"/>
      <c r="FX103" s="83"/>
      <c r="FY103" s="83"/>
      <c r="FZ103" s="83"/>
      <c r="GA103" s="83"/>
      <c r="GB103" s="83"/>
      <c r="GC103" s="83"/>
      <c r="GD103" s="83"/>
      <c r="GE103" s="83"/>
      <c r="GF103" s="83"/>
      <c r="GG103" s="83"/>
      <c r="GH103" s="83"/>
      <c r="GI103" s="83"/>
      <c r="GJ103" s="83"/>
      <c r="GK103" s="83"/>
      <c r="GL103" s="83"/>
      <c r="GM103" s="83"/>
      <c r="GN103" s="83"/>
      <c r="GO103" s="83"/>
      <c r="GP103" s="83"/>
      <c r="GQ103" s="83"/>
      <c r="GR103" s="83"/>
      <c r="GS103" s="83"/>
      <c r="GT103" s="83"/>
      <c r="GU103" s="83"/>
      <c r="GV103" s="83"/>
      <c r="GW103" s="83"/>
      <c r="GX103" s="83"/>
      <c r="GY103" s="83"/>
      <c r="GZ103" s="83"/>
      <c r="HA103" s="83"/>
      <c r="HB103" s="83"/>
      <c r="HC103" s="83"/>
      <c r="HD103" s="83"/>
      <c r="HE103" s="83"/>
      <c r="HF103" s="83"/>
      <c r="HG103" s="83"/>
      <c r="HH103" s="83"/>
      <c r="HI103" s="83"/>
      <c r="HJ103" s="83"/>
      <c r="HK103" s="83"/>
      <c r="HL103" s="83"/>
      <c r="HM103" s="83"/>
      <c r="HN103" s="83"/>
      <c r="HO103" s="83"/>
      <c r="HP103" s="83"/>
      <c r="HQ103" s="83"/>
      <c r="HR103" s="83"/>
      <c r="HS103" s="83"/>
      <c r="HT103" s="83"/>
      <c r="HU103" s="83"/>
      <c r="HV103" s="83"/>
      <c r="HW103" s="83"/>
      <c r="HX103" s="83"/>
      <c r="HY103" s="83"/>
      <c r="HZ103" s="83"/>
      <c r="IA103" s="83"/>
      <c r="IB103" s="83"/>
      <c r="IC103" s="83"/>
      <c r="ID103" s="83"/>
      <c r="IE103" s="83"/>
      <c r="IF103" s="83"/>
      <c r="IG103" s="83"/>
    </row>
    <row r="104" spans="1:241" x14ac:dyDescent="0.3">
      <c r="A104" s="83"/>
      <c r="B104" s="58" t="s">
        <v>100</v>
      </c>
      <c r="C104" s="13">
        <v>2.2627999999999999</v>
      </c>
      <c r="D104" s="13">
        <v>0.85809999999999997</v>
      </c>
      <c r="E104" s="13">
        <v>2.9999999999999997E-4</v>
      </c>
      <c r="F104" s="13">
        <v>650</v>
      </c>
      <c r="G104" s="13">
        <v>10750</v>
      </c>
      <c r="H104" s="13">
        <v>200</v>
      </c>
      <c r="I104" s="14">
        <v>-1.6330000000000001E-2</v>
      </c>
      <c r="J104" s="14">
        <v>5.6875000000000002E-2</v>
      </c>
      <c r="K104" s="14">
        <v>-8.7600000000000004E-3</v>
      </c>
      <c r="L104" s="13">
        <v>2.17</v>
      </c>
      <c r="M104" s="13"/>
      <c r="N104" s="13"/>
      <c r="O104" s="16"/>
      <c r="P104" s="1"/>
      <c r="Q104" s="1"/>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c r="DD104" s="83"/>
      <c r="DE104" s="83"/>
      <c r="DF104" s="83"/>
      <c r="DG104" s="83"/>
      <c r="DH104" s="83"/>
      <c r="DI104" s="83"/>
      <c r="DJ104" s="83"/>
      <c r="DK104" s="83"/>
      <c r="DL104" s="83"/>
      <c r="DM104" s="83"/>
      <c r="DN104" s="83"/>
      <c r="DO104" s="83"/>
      <c r="DP104" s="83"/>
      <c r="DQ104" s="83"/>
      <c r="DR104" s="83"/>
      <c r="DS104" s="83"/>
      <c r="DT104" s="83"/>
      <c r="DU104" s="83"/>
      <c r="DV104" s="83"/>
      <c r="DW104" s="83"/>
      <c r="DX104" s="83"/>
      <c r="DY104" s="83"/>
      <c r="DZ104" s="83"/>
      <c r="EA104" s="83"/>
      <c r="EB104" s="83"/>
      <c r="EC104" s="83"/>
      <c r="ED104" s="83"/>
      <c r="EE104" s="83"/>
      <c r="EF104" s="83"/>
      <c r="EG104" s="83"/>
      <c r="EH104" s="83"/>
      <c r="EI104" s="83"/>
      <c r="EJ104" s="83"/>
      <c r="EK104" s="83"/>
      <c r="EL104" s="83"/>
      <c r="EM104" s="83"/>
      <c r="EN104" s="83"/>
      <c r="EO104" s="83"/>
      <c r="EP104" s="83"/>
      <c r="EQ104" s="83"/>
      <c r="ER104" s="83"/>
      <c r="ES104" s="83"/>
      <c r="ET104" s="83"/>
      <c r="EU104" s="83"/>
      <c r="EV104" s="83"/>
      <c r="EW104" s="83"/>
      <c r="EX104" s="83"/>
      <c r="EY104" s="83"/>
      <c r="EZ104" s="83"/>
      <c r="FA104" s="83"/>
      <c r="FB104" s="83"/>
      <c r="FC104" s="83"/>
      <c r="FD104" s="83"/>
      <c r="FE104" s="83"/>
      <c r="FF104" s="83"/>
      <c r="FG104" s="83"/>
      <c r="FH104" s="83"/>
      <c r="FI104" s="83"/>
      <c r="FJ104" s="83"/>
      <c r="FK104" s="83"/>
      <c r="FL104" s="83"/>
      <c r="FM104" s="83"/>
      <c r="FN104" s="83"/>
      <c r="FO104" s="83"/>
      <c r="FP104" s="83"/>
      <c r="FQ104" s="83"/>
      <c r="FR104" s="83"/>
      <c r="FS104" s="83"/>
      <c r="FT104" s="83"/>
      <c r="FU104" s="83"/>
      <c r="FV104" s="83"/>
      <c r="FW104" s="83"/>
      <c r="FX104" s="83"/>
      <c r="FY104" s="83"/>
      <c r="FZ104" s="83"/>
      <c r="GA104" s="83"/>
      <c r="GB104" s="83"/>
      <c r="GC104" s="83"/>
      <c r="GD104" s="83"/>
      <c r="GE104" s="83"/>
      <c r="GF104" s="83"/>
      <c r="GG104" s="83"/>
      <c r="GH104" s="83"/>
      <c r="GI104" s="83"/>
      <c r="GJ104" s="83"/>
      <c r="GK104" s="83"/>
      <c r="GL104" s="83"/>
      <c r="GM104" s="83"/>
      <c r="GN104" s="83"/>
      <c r="GO104" s="83"/>
      <c r="GP104" s="83"/>
      <c r="GQ104" s="83"/>
      <c r="GR104" s="83"/>
      <c r="GS104" s="83"/>
      <c r="GT104" s="83"/>
      <c r="GU104" s="83"/>
      <c r="GV104" s="83"/>
      <c r="GW104" s="83"/>
      <c r="GX104" s="83"/>
      <c r="GY104" s="83"/>
      <c r="GZ104" s="83"/>
      <c r="HA104" s="83"/>
      <c r="HB104" s="83"/>
      <c r="HC104" s="83"/>
      <c r="HD104" s="83"/>
      <c r="HE104" s="83"/>
      <c r="HF104" s="83"/>
      <c r="HG104" s="83"/>
      <c r="HH104" s="83"/>
      <c r="HI104" s="83"/>
      <c r="HJ104" s="83"/>
      <c r="HK104" s="83"/>
      <c r="HL104" s="83"/>
      <c r="HM104" s="83"/>
      <c r="HN104" s="83"/>
      <c r="HO104" s="83"/>
      <c r="HP104" s="83"/>
      <c r="HQ104" s="83"/>
      <c r="HR104" s="83"/>
      <c r="HS104" s="83"/>
      <c r="HT104" s="83"/>
      <c r="HU104" s="83"/>
      <c r="HV104" s="83"/>
      <c r="HW104" s="83"/>
      <c r="HX104" s="83"/>
      <c r="HY104" s="83"/>
      <c r="HZ104" s="83"/>
      <c r="IA104" s="83"/>
      <c r="IB104" s="83"/>
      <c r="IC104" s="83"/>
      <c r="ID104" s="83"/>
      <c r="IE104" s="83"/>
      <c r="IF104" s="83"/>
      <c r="IG104" s="83"/>
    </row>
    <row r="105" spans="1:241" x14ac:dyDescent="0.3">
      <c r="A105" s="83"/>
      <c r="B105" s="73" t="s">
        <v>101</v>
      </c>
      <c r="C105" s="18">
        <v>6.9617000000000004</v>
      </c>
      <c r="D105" s="18">
        <v>-1.48</v>
      </c>
      <c r="E105" s="18">
        <v>0.31609999999999999</v>
      </c>
      <c r="F105" s="18">
        <v>1200</v>
      </c>
      <c r="G105" s="18">
        <v>9400</v>
      </c>
      <c r="H105" s="18">
        <v>40</v>
      </c>
      <c r="I105" s="19">
        <v>2.5940720000000002</v>
      </c>
      <c r="J105" s="19">
        <v>-4.2347599999999996</v>
      </c>
      <c r="K105" s="19">
        <v>1.722404</v>
      </c>
      <c r="L105" s="32">
        <v>2.17</v>
      </c>
      <c r="M105" s="42">
        <v>1</v>
      </c>
      <c r="N105" s="59">
        <v>1.8400000000000001E-3</v>
      </c>
      <c r="O105" s="60">
        <v>3.3500000000000001E-6</v>
      </c>
      <c r="P105" s="1"/>
      <c r="Q105" s="1"/>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c r="DD105" s="83"/>
      <c r="DE105" s="83"/>
      <c r="DF105" s="83"/>
      <c r="DG105" s="83"/>
      <c r="DH105" s="83"/>
      <c r="DI105" s="83"/>
      <c r="DJ105" s="83"/>
      <c r="DK105" s="83"/>
      <c r="DL105" s="83"/>
      <c r="DM105" s="83"/>
      <c r="DN105" s="83"/>
      <c r="DO105" s="83"/>
      <c r="DP105" s="83"/>
      <c r="DQ105" s="83"/>
      <c r="DR105" s="83"/>
      <c r="DS105" s="83"/>
      <c r="DT105" s="83"/>
      <c r="DU105" s="83"/>
      <c r="DV105" s="83"/>
      <c r="DW105" s="83"/>
      <c r="DX105" s="83"/>
      <c r="DY105" s="83"/>
      <c r="DZ105" s="83"/>
      <c r="EA105" s="83"/>
      <c r="EB105" s="83"/>
      <c r="EC105" s="83"/>
      <c r="ED105" s="83"/>
      <c r="EE105" s="83"/>
      <c r="EF105" s="83"/>
      <c r="EG105" s="83"/>
      <c r="EH105" s="83"/>
      <c r="EI105" s="83"/>
      <c r="EJ105" s="83"/>
      <c r="EK105" s="83"/>
      <c r="EL105" s="83"/>
      <c r="EM105" s="83"/>
      <c r="EN105" s="83"/>
      <c r="EO105" s="83"/>
      <c r="EP105" s="83"/>
      <c r="EQ105" s="83"/>
      <c r="ER105" s="83"/>
      <c r="ES105" s="83"/>
      <c r="ET105" s="83"/>
      <c r="EU105" s="83"/>
      <c r="EV105" s="83"/>
      <c r="EW105" s="83"/>
      <c r="EX105" s="83"/>
      <c r="EY105" s="83"/>
      <c r="EZ105" s="83"/>
      <c r="FA105" s="83"/>
      <c r="FB105" s="83"/>
      <c r="FC105" s="83"/>
      <c r="FD105" s="83"/>
      <c r="FE105" s="83"/>
      <c r="FF105" s="83"/>
      <c r="FG105" s="83"/>
      <c r="FH105" s="83"/>
      <c r="FI105" s="83"/>
      <c r="FJ105" s="83"/>
      <c r="FK105" s="83"/>
      <c r="FL105" s="83"/>
      <c r="FM105" s="83"/>
      <c r="FN105" s="83"/>
      <c r="FO105" s="83"/>
      <c r="FP105" s="83"/>
      <c r="FQ105" s="83"/>
      <c r="FR105" s="83"/>
      <c r="FS105" s="83"/>
      <c r="FT105" s="83"/>
      <c r="FU105" s="83"/>
      <c r="FV105" s="83"/>
      <c r="FW105" s="83"/>
      <c r="FX105" s="83"/>
      <c r="FY105" s="83"/>
      <c r="FZ105" s="83"/>
      <c r="GA105" s="83"/>
      <c r="GB105" s="83"/>
      <c r="GC105" s="83"/>
      <c r="GD105" s="83"/>
      <c r="GE105" s="83"/>
      <c r="GF105" s="83"/>
      <c r="GG105" s="83"/>
      <c r="GH105" s="83"/>
      <c r="GI105" s="83"/>
      <c r="GJ105" s="83"/>
      <c r="GK105" s="83"/>
      <c r="GL105" s="83"/>
      <c r="GM105" s="83"/>
      <c r="GN105" s="83"/>
      <c r="GO105" s="83"/>
      <c r="GP105" s="83"/>
      <c r="GQ105" s="83"/>
      <c r="GR105" s="83"/>
      <c r="GS105" s="83"/>
      <c r="GT105" s="83"/>
      <c r="GU105" s="83"/>
      <c r="GV105" s="83"/>
      <c r="GW105" s="83"/>
      <c r="GX105" s="83"/>
      <c r="GY105" s="83"/>
      <c r="GZ105" s="83"/>
      <c r="HA105" s="83"/>
      <c r="HB105" s="83"/>
      <c r="HC105" s="83"/>
      <c r="HD105" s="83"/>
      <c r="HE105" s="83"/>
      <c r="HF105" s="83"/>
      <c r="HG105" s="83"/>
      <c r="HH105" s="83"/>
      <c r="HI105" s="83"/>
      <c r="HJ105" s="83"/>
      <c r="HK105" s="83"/>
      <c r="HL105" s="83"/>
      <c r="HM105" s="83"/>
      <c r="HN105" s="83"/>
      <c r="HO105" s="83"/>
      <c r="HP105" s="83"/>
      <c r="HQ105" s="83"/>
      <c r="HR105" s="83"/>
      <c r="HS105" s="83"/>
      <c r="HT105" s="83"/>
      <c r="HU105" s="83"/>
      <c r="HV105" s="83"/>
      <c r="HW105" s="83"/>
      <c r="HX105" s="83"/>
      <c r="HY105" s="83"/>
      <c r="HZ105" s="83"/>
      <c r="IA105" s="83"/>
      <c r="IB105" s="83"/>
      <c r="IC105" s="83"/>
      <c r="ID105" s="83"/>
      <c r="IE105" s="83"/>
      <c r="IF105" s="83"/>
      <c r="IG105" s="83"/>
    </row>
    <row r="106" spans="1:241" x14ac:dyDescent="0.3">
      <c r="A106" s="83"/>
      <c r="B106" s="1"/>
      <c r="C106" s="13"/>
      <c r="D106" s="13"/>
      <c r="E106" s="13"/>
      <c r="F106" s="13"/>
      <c r="G106" s="13"/>
      <c r="H106" s="13"/>
      <c r="I106" s="14"/>
      <c r="J106" s="14"/>
      <c r="K106" s="14"/>
      <c r="L106" s="31"/>
      <c r="M106" s="41"/>
      <c r="N106" s="61"/>
      <c r="O106" s="62"/>
      <c r="P106" s="1"/>
      <c r="Q106" s="1"/>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c r="DD106" s="83"/>
      <c r="DE106" s="83"/>
      <c r="DF106" s="83"/>
      <c r="DG106" s="83"/>
      <c r="DH106" s="83"/>
      <c r="DI106" s="83"/>
      <c r="DJ106" s="83"/>
      <c r="DK106" s="83"/>
      <c r="DL106" s="83"/>
      <c r="DM106" s="83"/>
      <c r="DN106" s="83"/>
      <c r="DO106" s="83"/>
      <c r="DP106" s="83"/>
      <c r="DQ106" s="83"/>
      <c r="DR106" s="83"/>
      <c r="DS106" s="83"/>
      <c r="DT106" s="83"/>
      <c r="DU106" s="83"/>
      <c r="DV106" s="83"/>
      <c r="DW106" s="83"/>
      <c r="DX106" s="83"/>
      <c r="DY106" s="83"/>
      <c r="DZ106" s="83"/>
      <c r="EA106" s="83"/>
      <c r="EB106" s="83"/>
      <c r="EC106" s="83"/>
      <c r="ED106" s="83"/>
      <c r="EE106" s="83"/>
      <c r="EF106" s="83"/>
      <c r="EG106" s="83"/>
      <c r="EH106" s="83"/>
      <c r="EI106" s="83"/>
      <c r="EJ106" s="83"/>
      <c r="EK106" s="83"/>
      <c r="EL106" s="83"/>
      <c r="EM106" s="83"/>
      <c r="EN106" s="83"/>
      <c r="EO106" s="83"/>
      <c r="EP106" s="83"/>
      <c r="EQ106" s="83"/>
      <c r="ER106" s="83"/>
      <c r="ES106" s="83"/>
      <c r="ET106" s="83"/>
      <c r="EU106" s="83"/>
      <c r="EV106" s="83"/>
      <c r="EW106" s="83"/>
      <c r="EX106" s="83"/>
      <c r="EY106" s="83"/>
      <c r="EZ106" s="83"/>
      <c r="FA106" s="83"/>
      <c r="FB106" s="83"/>
      <c r="FC106" s="83"/>
      <c r="FD106" s="83"/>
      <c r="FE106" s="83"/>
      <c r="FF106" s="83"/>
      <c r="FG106" s="83"/>
      <c r="FH106" s="83"/>
      <c r="FI106" s="83"/>
      <c r="FJ106" s="83"/>
      <c r="FK106" s="83"/>
      <c r="FL106" s="83"/>
      <c r="FM106" s="83"/>
      <c r="FN106" s="83"/>
      <c r="FO106" s="83"/>
      <c r="FP106" s="83"/>
      <c r="FQ106" s="83"/>
      <c r="FR106" s="83"/>
      <c r="FS106" s="83"/>
      <c r="FT106" s="83"/>
      <c r="FU106" s="83"/>
      <c r="FV106" s="83"/>
      <c r="FW106" s="83"/>
      <c r="FX106" s="83"/>
      <c r="FY106" s="83"/>
      <c r="FZ106" s="83"/>
      <c r="GA106" s="83"/>
      <c r="GB106" s="83"/>
      <c r="GC106" s="83"/>
      <c r="GD106" s="83"/>
      <c r="GE106" s="83"/>
      <c r="GF106" s="83"/>
      <c r="GG106" s="83"/>
      <c r="GH106" s="83"/>
      <c r="GI106" s="83"/>
      <c r="GJ106" s="83"/>
      <c r="GK106" s="83"/>
      <c r="GL106" s="83"/>
      <c r="GM106" s="83"/>
      <c r="GN106" s="83"/>
      <c r="GO106" s="83"/>
      <c r="GP106" s="83"/>
      <c r="GQ106" s="83"/>
      <c r="GR106" s="83"/>
      <c r="GS106" s="83"/>
      <c r="GT106" s="83"/>
      <c r="GU106" s="83"/>
      <c r="GV106" s="83"/>
      <c r="GW106" s="83"/>
      <c r="GX106" s="83"/>
      <c r="GY106" s="83"/>
      <c r="GZ106" s="83"/>
      <c r="HA106" s="83"/>
      <c r="HB106" s="83"/>
      <c r="HC106" s="83"/>
      <c r="HD106" s="83"/>
      <c r="HE106" s="83"/>
      <c r="HF106" s="83"/>
      <c r="HG106" s="83"/>
      <c r="HH106" s="83"/>
      <c r="HI106" s="83"/>
      <c r="HJ106" s="83"/>
      <c r="HK106" s="83"/>
      <c r="HL106" s="83"/>
      <c r="HM106" s="83"/>
      <c r="HN106" s="83"/>
      <c r="HO106" s="83"/>
      <c r="HP106" s="83"/>
      <c r="HQ106" s="83"/>
      <c r="HR106" s="83"/>
      <c r="HS106" s="83"/>
      <c r="HT106" s="83"/>
      <c r="HU106" s="83"/>
      <c r="HV106" s="83"/>
      <c r="HW106" s="83"/>
      <c r="HX106" s="83"/>
      <c r="HY106" s="83"/>
      <c r="HZ106" s="83"/>
      <c r="IA106" s="83"/>
      <c r="IB106" s="83"/>
      <c r="IC106" s="83"/>
      <c r="ID106" s="83"/>
      <c r="IE106" s="83"/>
      <c r="IF106" s="83"/>
      <c r="IG106" s="83"/>
    </row>
    <row r="107" spans="1:241" x14ac:dyDescent="0.3">
      <c r="A107" s="83"/>
      <c r="B107" s="1"/>
      <c r="C107" s="15"/>
      <c r="D107" s="15"/>
      <c r="E107" s="15"/>
      <c r="F107" s="13"/>
      <c r="G107" s="13"/>
      <c r="H107" s="13"/>
      <c r="I107" s="13"/>
      <c r="J107" s="13"/>
      <c r="K107" s="13"/>
      <c r="L107" s="13"/>
      <c r="M107" s="13"/>
      <c r="N107" s="31"/>
      <c r="O107" s="1"/>
      <c r="P107" s="1"/>
      <c r="Q107" s="1"/>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c r="DD107" s="83"/>
      <c r="DE107" s="83"/>
      <c r="DF107" s="83"/>
      <c r="DG107" s="83"/>
      <c r="DH107" s="83"/>
      <c r="DI107" s="83"/>
      <c r="DJ107" s="83"/>
      <c r="DK107" s="83"/>
      <c r="DL107" s="83"/>
      <c r="DM107" s="83"/>
      <c r="DN107" s="83"/>
      <c r="DO107" s="83"/>
      <c r="DP107" s="83"/>
      <c r="DQ107" s="83"/>
      <c r="DR107" s="83"/>
      <c r="DS107" s="83"/>
      <c r="DT107" s="83"/>
      <c r="DU107" s="83"/>
      <c r="DV107" s="83"/>
      <c r="DW107" s="83"/>
      <c r="DX107" s="83"/>
      <c r="DY107" s="83"/>
      <c r="DZ107" s="83"/>
      <c r="EA107" s="83"/>
      <c r="EB107" s="83"/>
      <c r="EC107" s="83"/>
      <c r="ED107" s="83"/>
      <c r="EE107" s="83"/>
      <c r="EF107" s="83"/>
      <c r="EG107" s="83"/>
      <c r="EH107" s="83"/>
      <c r="EI107" s="83"/>
      <c r="EJ107" s="83"/>
      <c r="EK107" s="83"/>
      <c r="EL107" s="83"/>
      <c r="EM107" s="83"/>
      <c r="EN107" s="83"/>
      <c r="EO107" s="83"/>
      <c r="EP107" s="83"/>
      <c r="EQ107" s="83"/>
      <c r="ER107" s="83"/>
      <c r="ES107" s="83"/>
      <c r="ET107" s="83"/>
      <c r="EU107" s="83"/>
      <c r="EV107" s="83"/>
      <c r="EW107" s="83"/>
      <c r="EX107" s="83"/>
      <c r="EY107" s="83"/>
      <c r="EZ107" s="83"/>
      <c r="FA107" s="83"/>
      <c r="FB107" s="83"/>
      <c r="FC107" s="83"/>
      <c r="FD107" s="83"/>
      <c r="FE107" s="83"/>
      <c r="FF107" s="83"/>
      <c r="FG107" s="83"/>
      <c r="FH107" s="83"/>
      <c r="FI107" s="83"/>
      <c r="FJ107" s="83"/>
      <c r="FK107" s="83"/>
      <c r="FL107" s="83"/>
      <c r="FM107" s="83"/>
      <c r="FN107" s="83"/>
      <c r="FO107" s="83"/>
      <c r="FP107" s="83"/>
      <c r="FQ107" s="83"/>
      <c r="FR107" s="83"/>
      <c r="FS107" s="83"/>
      <c r="FT107" s="83"/>
      <c r="FU107" s="83"/>
      <c r="FV107" s="83"/>
      <c r="FW107" s="83"/>
      <c r="FX107" s="83"/>
      <c r="FY107" s="83"/>
      <c r="FZ107" s="83"/>
      <c r="GA107" s="83"/>
      <c r="GB107" s="83"/>
      <c r="GC107" s="83"/>
      <c r="GD107" s="83"/>
      <c r="GE107" s="83"/>
      <c r="GF107" s="83"/>
      <c r="GG107" s="83"/>
      <c r="GH107" s="83"/>
      <c r="GI107" s="83"/>
      <c r="GJ107" s="83"/>
      <c r="GK107" s="83"/>
      <c r="GL107" s="83"/>
      <c r="GM107" s="83"/>
      <c r="GN107" s="83"/>
      <c r="GO107" s="83"/>
      <c r="GP107" s="83"/>
      <c r="GQ107" s="83"/>
      <c r="GR107" s="83"/>
      <c r="GS107" s="83"/>
      <c r="GT107" s="83"/>
      <c r="GU107" s="83"/>
      <c r="GV107" s="83"/>
      <c r="GW107" s="83"/>
      <c r="GX107" s="83"/>
      <c r="GY107" s="83"/>
      <c r="GZ107" s="83"/>
      <c r="HA107" s="83"/>
      <c r="HB107" s="83"/>
      <c r="HC107" s="83"/>
      <c r="HD107" s="83"/>
      <c r="HE107" s="83"/>
      <c r="HF107" s="83"/>
      <c r="HG107" s="83"/>
      <c r="HH107" s="83"/>
      <c r="HI107" s="83"/>
      <c r="HJ107" s="83"/>
      <c r="HK107" s="83"/>
      <c r="HL107" s="83"/>
      <c r="HM107" s="83"/>
      <c r="HN107" s="83"/>
      <c r="HO107" s="83"/>
      <c r="HP107" s="83"/>
      <c r="HQ107" s="83"/>
      <c r="HR107" s="83"/>
      <c r="HS107" s="83"/>
      <c r="HT107" s="83"/>
      <c r="HU107" s="83"/>
      <c r="HV107" s="83"/>
      <c r="HW107" s="83"/>
      <c r="HX107" s="83"/>
      <c r="HY107" s="83"/>
      <c r="HZ107" s="83"/>
      <c r="IA107" s="83"/>
      <c r="IB107" s="83"/>
      <c r="IC107" s="83"/>
      <c r="ID107" s="83"/>
      <c r="IE107" s="83"/>
      <c r="IF107" s="83"/>
      <c r="IG107" s="83"/>
    </row>
    <row r="108" spans="1:241" x14ac:dyDescent="0.3">
      <c r="A108" s="83"/>
      <c r="B108" s="2" t="s">
        <v>251</v>
      </c>
      <c r="C108" s="1"/>
      <c r="D108" s="1"/>
      <c r="E108" s="1"/>
      <c r="F108" s="1"/>
      <c r="G108" s="1"/>
      <c r="H108" s="1"/>
      <c r="I108" s="1"/>
      <c r="J108" s="1"/>
      <c r="K108" s="1"/>
      <c r="L108" s="1"/>
      <c r="M108" s="1"/>
      <c r="N108" s="1"/>
      <c r="O108" s="1"/>
      <c r="P108" s="1"/>
      <c r="Q108" s="1"/>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c r="DD108" s="83"/>
      <c r="DE108" s="83"/>
      <c r="DF108" s="83"/>
      <c r="DG108" s="83"/>
      <c r="DH108" s="83"/>
      <c r="DI108" s="83"/>
      <c r="DJ108" s="83"/>
      <c r="DK108" s="83"/>
      <c r="DL108" s="83"/>
      <c r="DM108" s="83"/>
      <c r="DN108" s="83"/>
      <c r="DO108" s="83"/>
      <c r="DP108" s="83"/>
      <c r="DQ108" s="83"/>
      <c r="DR108" s="83"/>
      <c r="DS108" s="83"/>
      <c r="DT108" s="83"/>
      <c r="DU108" s="83"/>
      <c r="DV108" s="83"/>
      <c r="DW108" s="83"/>
      <c r="DX108" s="83"/>
      <c r="DY108" s="83"/>
      <c r="DZ108" s="83"/>
      <c r="EA108" s="83"/>
      <c r="EB108" s="83"/>
      <c r="EC108" s="83"/>
      <c r="ED108" s="83"/>
      <c r="EE108" s="83"/>
      <c r="EF108" s="83"/>
      <c r="EG108" s="83"/>
      <c r="EH108" s="83"/>
      <c r="EI108" s="83"/>
      <c r="EJ108" s="83"/>
      <c r="EK108" s="83"/>
      <c r="EL108" s="83"/>
      <c r="EM108" s="83"/>
      <c r="EN108" s="83"/>
      <c r="EO108" s="83"/>
      <c r="EP108" s="83"/>
      <c r="EQ108" s="83"/>
      <c r="ER108" s="83"/>
      <c r="ES108" s="83"/>
      <c r="ET108" s="83"/>
      <c r="EU108" s="83"/>
      <c r="EV108" s="83"/>
      <c r="EW108" s="83"/>
      <c r="EX108" s="83"/>
      <c r="EY108" s="83"/>
      <c r="EZ108" s="83"/>
      <c r="FA108" s="83"/>
      <c r="FB108" s="83"/>
      <c r="FC108" s="83"/>
      <c r="FD108" s="83"/>
      <c r="FE108" s="83"/>
      <c r="FF108" s="83"/>
      <c r="FG108" s="83"/>
      <c r="FH108" s="83"/>
      <c r="FI108" s="83"/>
      <c r="FJ108" s="83"/>
      <c r="FK108" s="83"/>
      <c r="FL108" s="83"/>
      <c r="FM108" s="83"/>
      <c r="FN108" s="83"/>
      <c r="FO108" s="83"/>
      <c r="FP108" s="83"/>
      <c r="FQ108" s="83"/>
      <c r="FR108" s="83"/>
      <c r="FS108" s="83"/>
      <c r="FT108" s="83"/>
      <c r="FU108" s="83"/>
      <c r="FV108" s="83"/>
      <c r="FW108" s="83"/>
      <c r="FX108" s="83"/>
      <c r="FY108" s="83"/>
      <c r="FZ108" s="83"/>
      <c r="GA108" s="83"/>
      <c r="GB108" s="83"/>
      <c r="GC108" s="83"/>
      <c r="GD108" s="83"/>
      <c r="GE108" s="83"/>
      <c r="GF108" s="83"/>
      <c r="GG108" s="83"/>
      <c r="GH108" s="83"/>
      <c r="GI108" s="83"/>
      <c r="GJ108" s="83"/>
      <c r="GK108" s="83"/>
      <c r="GL108" s="83"/>
      <c r="GM108" s="83"/>
      <c r="GN108" s="83"/>
      <c r="GO108" s="83"/>
      <c r="GP108" s="83"/>
      <c r="GQ108" s="83"/>
      <c r="GR108" s="83"/>
      <c r="GS108" s="83"/>
      <c r="GT108" s="83"/>
      <c r="GU108" s="83"/>
      <c r="GV108" s="83"/>
      <c r="GW108" s="83"/>
      <c r="GX108" s="83"/>
      <c r="GY108" s="83"/>
      <c r="GZ108" s="83"/>
      <c r="HA108" s="83"/>
      <c r="HB108" s="83"/>
      <c r="HC108" s="83"/>
      <c r="HD108" s="83"/>
      <c r="HE108" s="83"/>
      <c r="HF108" s="83"/>
      <c r="HG108" s="83"/>
      <c r="HH108" s="83"/>
      <c r="HI108" s="83"/>
      <c r="HJ108" s="83"/>
      <c r="HK108" s="83"/>
      <c r="HL108" s="83"/>
      <c r="HM108" s="83"/>
      <c r="HN108" s="83"/>
      <c r="HO108" s="83"/>
      <c r="HP108" s="83"/>
      <c r="HQ108" s="83"/>
      <c r="HR108" s="83"/>
      <c r="HS108" s="83"/>
      <c r="HT108" s="83"/>
      <c r="HU108" s="83"/>
      <c r="HV108" s="83"/>
      <c r="HW108" s="83"/>
      <c r="HX108" s="83"/>
      <c r="HY108" s="83"/>
      <c r="HZ108" s="83"/>
      <c r="IA108" s="83"/>
      <c r="IB108" s="83"/>
      <c r="IC108" s="83"/>
      <c r="ID108" s="83"/>
      <c r="IE108" s="83"/>
      <c r="IF108" s="83"/>
      <c r="IG108" s="83"/>
    </row>
    <row r="109" spans="1:241" x14ac:dyDescent="0.3">
      <c r="A109" s="83"/>
      <c r="B109" s="7"/>
      <c r="C109" s="49"/>
      <c r="D109" s="49"/>
      <c r="E109" s="49"/>
      <c r="F109" s="49"/>
      <c r="G109" s="49"/>
      <c r="H109" s="49"/>
      <c r="I109" s="49"/>
      <c r="J109" s="49"/>
      <c r="K109" s="51"/>
      <c r="L109" s="52"/>
      <c r="M109" s="52"/>
      <c r="N109" s="1"/>
      <c r="O109" s="1"/>
      <c r="P109" s="1"/>
      <c r="Q109" s="1"/>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c r="DD109" s="83"/>
      <c r="DE109" s="83"/>
      <c r="DF109" s="83"/>
      <c r="DG109" s="83"/>
      <c r="DH109" s="83"/>
      <c r="DI109" s="83"/>
      <c r="DJ109" s="83"/>
      <c r="DK109" s="83"/>
      <c r="DL109" s="83"/>
      <c r="DM109" s="83"/>
      <c r="DN109" s="83"/>
      <c r="DO109" s="83"/>
      <c r="DP109" s="83"/>
      <c r="DQ109" s="83"/>
      <c r="DR109" s="83"/>
      <c r="DS109" s="83"/>
      <c r="DT109" s="83"/>
      <c r="DU109" s="83"/>
      <c r="DV109" s="83"/>
      <c r="DW109" s="83"/>
      <c r="DX109" s="83"/>
      <c r="DY109" s="83"/>
      <c r="DZ109" s="83"/>
      <c r="EA109" s="83"/>
      <c r="EB109" s="83"/>
      <c r="EC109" s="83"/>
      <c r="ED109" s="83"/>
      <c r="EE109" s="83"/>
      <c r="EF109" s="83"/>
      <c r="EG109" s="83"/>
      <c r="EH109" s="83"/>
      <c r="EI109" s="83"/>
      <c r="EJ109" s="83"/>
      <c r="EK109" s="83"/>
      <c r="EL109" s="83"/>
      <c r="EM109" s="83"/>
      <c r="EN109" s="83"/>
      <c r="EO109" s="83"/>
      <c r="EP109" s="83"/>
      <c r="EQ109" s="83"/>
      <c r="ER109" s="83"/>
      <c r="ES109" s="83"/>
      <c r="ET109" s="83"/>
      <c r="EU109" s="83"/>
      <c r="EV109" s="83"/>
      <c r="EW109" s="83"/>
      <c r="EX109" s="83"/>
      <c r="EY109" s="83"/>
      <c r="EZ109" s="83"/>
      <c r="FA109" s="83"/>
      <c r="FB109" s="83"/>
      <c r="FC109" s="83"/>
      <c r="FD109" s="83"/>
      <c r="FE109" s="83"/>
      <c r="FF109" s="83"/>
      <c r="FG109" s="83"/>
      <c r="FH109" s="83"/>
      <c r="FI109" s="83"/>
      <c r="FJ109" s="83"/>
      <c r="FK109" s="83"/>
      <c r="FL109" s="83"/>
      <c r="FM109" s="83"/>
      <c r="FN109" s="83"/>
      <c r="FO109" s="83"/>
      <c r="FP109" s="83"/>
      <c r="FQ109" s="83"/>
      <c r="FR109" s="83"/>
      <c r="FS109" s="83"/>
      <c r="FT109" s="83"/>
      <c r="FU109" s="83"/>
      <c r="FV109" s="83"/>
      <c r="FW109" s="83"/>
      <c r="FX109" s="83"/>
      <c r="FY109" s="83"/>
      <c r="FZ109" s="83"/>
      <c r="GA109" s="83"/>
      <c r="GB109" s="83"/>
      <c r="GC109" s="83"/>
      <c r="GD109" s="83"/>
      <c r="GE109" s="83"/>
      <c r="GF109" s="83"/>
      <c r="GG109" s="83"/>
      <c r="GH109" s="83"/>
      <c r="GI109" s="83"/>
      <c r="GJ109" s="83"/>
      <c r="GK109" s="83"/>
      <c r="GL109" s="83"/>
      <c r="GM109" s="83"/>
      <c r="GN109" s="83"/>
      <c r="GO109" s="83"/>
      <c r="GP109" s="83"/>
      <c r="GQ109" s="83"/>
      <c r="GR109" s="83"/>
      <c r="GS109" s="83"/>
      <c r="GT109" s="83"/>
      <c r="GU109" s="83"/>
      <c r="GV109" s="83"/>
      <c r="GW109" s="83"/>
      <c r="GX109" s="83"/>
      <c r="GY109" s="83"/>
      <c r="GZ109" s="83"/>
      <c r="HA109" s="83"/>
      <c r="HB109" s="83"/>
      <c r="HC109" s="83"/>
      <c r="HD109" s="83"/>
      <c r="HE109" s="83"/>
      <c r="HF109" s="83"/>
      <c r="HG109" s="83"/>
      <c r="HH109" s="83"/>
      <c r="HI109" s="83"/>
      <c r="HJ109" s="83"/>
      <c r="HK109" s="83"/>
      <c r="HL109" s="83"/>
      <c r="HM109" s="83"/>
      <c r="HN109" s="83"/>
      <c r="HO109" s="83"/>
      <c r="HP109" s="83"/>
      <c r="HQ109" s="83"/>
      <c r="HR109" s="83"/>
      <c r="HS109" s="83"/>
      <c r="HT109" s="83"/>
      <c r="HU109" s="83"/>
      <c r="HV109" s="83"/>
      <c r="HW109" s="83"/>
      <c r="HX109" s="83"/>
      <c r="HY109" s="83"/>
      <c r="HZ109" s="83"/>
      <c r="IA109" s="83"/>
      <c r="IB109" s="83"/>
      <c r="IC109" s="83"/>
      <c r="ID109" s="83"/>
      <c r="IE109" s="83"/>
      <c r="IF109" s="83"/>
      <c r="IG109" s="83"/>
    </row>
    <row r="110" spans="1:241" ht="15.6" x14ac:dyDescent="0.35">
      <c r="A110" s="83"/>
      <c r="B110" s="53" t="s">
        <v>102</v>
      </c>
      <c r="C110" s="18" t="s">
        <v>1</v>
      </c>
      <c r="D110" s="18" t="s">
        <v>2</v>
      </c>
      <c r="E110" s="18" t="s">
        <v>3</v>
      </c>
      <c r="F110" s="18" t="s">
        <v>103</v>
      </c>
      <c r="G110" s="18" t="s">
        <v>104</v>
      </c>
      <c r="H110" s="18" t="s">
        <v>65</v>
      </c>
      <c r="I110" s="18" t="s">
        <v>60</v>
      </c>
      <c r="J110" s="18" t="s">
        <v>61</v>
      </c>
      <c r="K110" s="21" t="s">
        <v>62</v>
      </c>
      <c r="L110" s="1"/>
      <c r="M110" s="1"/>
      <c r="N110" s="1"/>
      <c r="O110" s="1"/>
      <c r="P110" s="1"/>
      <c r="Q110" s="1"/>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c r="DD110" s="83"/>
      <c r="DE110" s="83"/>
      <c r="DF110" s="83"/>
      <c r="DG110" s="83"/>
      <c r="DH110" s="83"/>
      <c r="DI110" s="83"/>
      <c r="DJ110" s="83"/>
      <c r="DK110" s="83"/>
      <c r="DL110" s="83"/>
      <c r="DM110" s="83"/>
      <c r="DN110" s="83"/>
      <c r="DO110" s="83"/>
      <c r="DP110" s="83"/>
      <c r="DQ110" s="83"/>
      <c r="DR110" s="83"/>
      <c r="DS110" s="83"/>
      <c r="DT110" s="83"/>
      <c r="DU110" s="83"/>
      <c r="DV110" s="83"/>
      <c r="DW110" s="83"/>
      <c r="DX110" s="83"/>
      <c r="DY110" s="83"/>
      <c r="DZ110" s="83"/>
      <c r="EA110" s="83"/>
      <c r="EB110" s="83"/>
      <c r="EC110" s="83"/>
      <c r="ED110" s="83"/>
      <c r="EE110" s="83"/>
      <c r="EF110" s="83"/>
      <c r="EG110" s="83"/>
      <c r="EH110" s="83"/>
      <c r="EI110" s="83"/>
      <c r="EJ110" s="83"/>
      <c r="EK110" s="83"/>
      <c r="EL110" s="83"/>
      <c r="EM110" s="83"/>
      <c r="EN110" s="83"/>
      <c r="EO110" s="83"/>
      <c r="EP110" s="83"/>
      <c r="EQ110" s="83"/>
      <c r="ER110" s="83"/>
      <c r="ES110" s="83"/>
      <c r="ET110" s="83"/>
      <c r="EU110" s="83"/>
      <c r="EV110" s="83"/>
      <c r="EW110" s="83"/>
      <c r="EX110" s="83"/>
      <c r="EY110" s="83"/>
      <c r="EZ110" s="83"/>
      <c r="FA110" s="83"/>
      <c r="FB110" s="83"/>
      <c r="FC110" s="83"/>
      <c r="FD110" s="83"/>
      <c r="FE110" s="83"/>
      <c r="FF110" s="83"/>
      <c r="FG110" s="83"/>
      <c r="FH110" s="83"/>
      <c r="FI110" s="83"/>
      <c r="FJ110" s="83"/>
      <c r="FK110" s="83"/>
      <c r="FL110" s="83"/>
      <c r="FM110" s="83"/>
      <c r="FN110" s="83"/>
      <c r="FO110" s="83"/>
      <c r="FP110" s="83"/>
      <c r="FQ110" s="83"/>
      <c r="FR110" s="83"/>
      <c r="FS110" s="83"/>
      <c r="FT110" s="83"/>
      <c r="FU110" s="83"/>
      <c r="FV110" s="83"/>
      <c r="FW110" s="83"/>
      <c r="FX110" s="83"/>
      <c r="FY110" s="83"/>
      <c r="FZ110" s="83"/>
      <c r="GA110" s="83"/>
      <c r="GB110" s="83"/>
      <c r="GC110" s="83"/>
      <c r="GD110" s="83"/>
      <c r="GE110" s="83"/>
      <c r="GF110" s="83"/>
      <c r="GG110" s="83"/>
      <c r="GH110" s="83"/>
      <c r="GI110" s="83"/>
      <c r="GJ110" s="83"/>
      <c r="GK110" s="83"/>
      <c r="GL110" s="83"/>
      <c r="GM110" s="83"/>
      <c r="GN110" s="83"/>
      <c r="GO110" s="83"/>
      <c r="GP110" s="83"/>
      <c r="GQ110" s="83"/>
      <c r="GR110" s="83"/>
      <c r="GS110" s="83"/>
      <c r="GT110" s="83"/>
      <c r="GU110" s="83"/>
      <c r="GV110" s="83"/>
      <c r="GW110" s="83"/>
      <c r="GX110" s="83"/>
      <c r="GY110" s="83"/>
      <c r="GZ110" s="83"/>
      <c r="HA110" s="83"/>
      <c r="HB110" s="83"/>
      <c r="HC110" s="83"/>
      <c r="HD110" s="83"/>
      <c r="HE110" s="83"/>
      <c r="HF110" s="83"/>
      <c r="HG110" s="83"/>
      <c r="HH110" s="83"/>
      <c r="HI110" s="83"/>
      <c r="HJ110" s="83"/>
      <c r="HK110" s="83"/>
      <c r="HL110" s="83"/>
      <c r="HM110" s="83"/>
      <c r="HN110" s="83"/>
      <c r="HO110" s="83"/>
      <c r="HP110" s="83"/>
      <c r="HQ110" s="83"/>
      <c r="HR110" s="83"/>
      <c r="HS110" s="83"/>
      <c r="HT110" s="83"/>
      <c r="HU110" s="83"/>
      <c r="HV110" s="83"/>
      <c r="HW110" s="83"/>
      <c r="HX110" s="83"/>
      <c r="HY110" s="83"/>
      <c r="HZ110" s="83"/>
      <c r="IA110" s="83"/>
      <c r="IB110" s="83"/>
      <c r="IC110" s="83"/>
      <c r="ID110" s="83"/>
      <c r="IE110" s="83"/>
      <c r="IF110" s="83"/>
      <c r="IG110" s="83"/>
    </row>
    <row r="111" spans="1:241" x14ac:dyDescent="0.3">
      <c r="A111" s="83"/>
      <c r="B111" s="7" t="s">
        <v>105</v>
      </c>
      <c r="C111" s="8">
        <v>5.0237999999999996</v>
      </c>
      <c r="D111" s="8">
        <v>0.34749999999999998</v>
      </c>
      <c r="E111" s="8">
        <v>7.0300000000000001E-2</v>
      </c>
      <c r="F111" s="8">
        <v>5</v>
      </c>
      <c r="G111" s="8">
        <v>1000</v>
      </c>
      <c r="H111" s="8">
        <v>150</v>
      </c>
      <c r="I111" s="8">
        <v>0.1578</v>
      </c>
      <c r="J111" s="8">
        <v>-0.29920000000000002</v>
      </c>
      <c r="K111" s="9">
        <v>0.14130000000000001</v>
      </c>
      <c r="L111" s="1"/>
      <c r="M111" s="1"/>
      <c r="N111" s="1"/>
      <c r="O111" s="1"/>
      <c r="P111" s="1"/>
      <c r="Q111" s="1"/>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c r="DD111" s="83"/>
      <c r="DE111" s="83"/>
      <c r="DF111" s="83"/>
      <c r="DG111" s="83"/>
      <c r="DH111" s="83"/>
      <c r="DI111" s="83"/>
      <c r="DJ111" s="83"/>
      <c r="DK111" s="83"/>
      <c r="DL111" s="83"/>
      <c r="DM111" s="83"/>
      <c r="DN111" s="83"/>
      <c r="DO111" s="83"/>
      <c r="DP111" s="83"/>
      <c r="DQ111" s="83"/>
      <c r="DR111" s="83"/>
      <c r="DS111" s="83"/>
      <c r="DT111" s="83"/>
      <c r="DU111" s="83"/>
      <c r="DV111" s="83"/>
      <c r="DW111" s="83"/>
      <c r="DX111" s="83"/>
      <c r="DY111" s="83"/>
      <c r="DZ111" s="83"/>
      <c r="EA111" s="83"/>
      <c r="EB111" s="83"/>
      <c r="EC111" s="83"/>
      <c r="ED111" s="83"/>
      <c r="EE111" s="83"/>
      <c r="EF111" s="83"/>
      <c r="EG111" s="83"/>
      <c r="EH111" s="83"/>
      <c r="EI111" s="83"/>
      <c r="EJ111" s="83"/>
      <c r="EK111" s="83"/>
      <c r="EL111" s="83"/>
      <c r="EM111" s="83"/>
      <c r="EN111" s="83"/>
      <c r="EO111" s="83"/>
      <c r="EP111" s="83"/>
      <c r="EQ111" s="83"/>
      <c r="ER111" s="83"/>
      <c r="ES111" s="83"/>
      <c r="ET111" s="83"/>
      <c r="EU111" s="83"/>
      <c r="EV111" s="83"/>
      <c r="EW111" s="83"/>
      <c r="EX111" s="83"/>
      <c r="EY111" s="83"/>
      <c r="EZ111" s="83"/>
      <c r="FA111" s="83"/>
      <c r="FB111" s="83"/>
      <c r="FC111" s="83"/>
      <c r="FD111" s="83"/>
      <c r="FE111" s="83"/>
      <c r="FF111" s="83"/>
      <c r="FG111" s="83"/>
      <c r="FH111" s="83"/>
      <c r="FI111" s="83"/>
      <c r="FJ111" s="83"/>
      <c r="FK111" s="83"/>
      <c r="FL111" s="83"/>
      <c r="FM111" s="83"/>
      <c r="FN111" s="83"/>
      <c r="FO111" s="83"/>
      <c r="FP111" s="83"/>
      <c r="FQ111" s="83"/>
      <c r="FR111" s="83"/>
      <c r="FS111" s="83"/>
      <c r="FT111" s="83"/>
      <c r="FU111" s="83"/>
      <c r="FV111" s="83"/>
      <c r="FW111" s="83"/>
      <c r="FX111" s="83"/>
      <c r="FY111" s="83"/>
      <c r="FZ111" s="83"/>
      <c r="GA111" s="83"/>
      <c r="GB111" s="83"/>
      <c r="GC111" s="83"/>
      <c r="GD111" s="83"/>
      <c r="GE111" s="83"/>
      <c r="GF111" s="83"/>
      <c r="GG111" s="83"/>
      <c r="GH111" s="83"/>
      <c r="GI111" s="83"/>
      <c r="GJ111" s="83"/>
      <c r="GK111" s="83"/>
      <c r="GL111" s="83"/>
      <c r="GM111" s="83"/>
      <c r="GN111" s="83"/>
      <c r="GO111" s="83"/>
      <c r="GP111" s="83"/>
      <c r="GQ111" s="83"/>
      <c r="GR111" s="83"/>
      <c r="GS111" s="83"/>
      <c r="GT111" s="83"/>
      <c r="GU111" s="83"/>
      <c r="GV111" s="83"/>
      <c r="GW111" s="83"/>
      <c r="GX111" s="83"/>
      <c r="GY111" s="83"/>
      <c r="GZ111" s="83"/>
      <c r="HA111" s="83"/>
      <c r="HB111" s="83"/>
      <c r="HC111" s="83"/>
      <c r="HD111" s="83"/>
      <c r="HE111" s="83"/>
      <c r="HF111" s="83"/>
      <c r="HG111" s="83"/>
      <c r="HH111" s="83"/>
      <c r="HI111" s="83"/>
      <c r="HJ111" s="83"/>
      <c r="HK111" s="83"/>
      <c r="HL111" s="83"/>
      <c r="HM111" s="83"/>
      <c r="HN111" s="83"/>
      <c r="HO111" s="83"/>
      <c r="HP111" s="83"/>
      <c r="HQ111" s="83"/>
      <c r="HR111" s="83"/>
      <c r="HS111" s="83"/>
      <c r="HT111" s="83"/>
      <c r="HU111" s="83"/>
      <c r="HV111" s="83"/>
      <c r="HW111" s="83"/>
      <c r="HX111" s="83"/>
      <c r="HY111" s="83"/>
      <c r="HZ111" s="83"/>
      <c r="IA111" s="83"/>
      <c r="IB111" s="83"/>
      <c r="IC111" s="83"/>
      <c r="ID111" s="83"/>
      <c r="IE111" s="83"/>
      <c r="IF111" s="83"/>
      <c r="IG111" s="83"/>
    </row>
    <row r="112" spans="1:241" x14ac:dyDescent="0.3">
      <c r="A112" s="83"/>
      <c r="B112" s="12" t="s">
        <v>106</v>
      </c>
      <c r="C112" s="13">
        <v>3.9119000000000002</v>
      </c>
      <c r="D112" s="13">
        <v>0.86270000000000002</v>
      </c>
      <c r="E112" s="13">
        <v>-8.8000000000000005E-3</v>
      </c>
      <c r="F112" s="13">
        <v>50</v>
      </c>
      <c r="G112" s="13">
        <v>500</v>
      </c>
      <c r="H112" s="13">
        <v>150</v>
      </c>
      <c r="I112" s="13">
        <v>0.1578</v>
      </c>
      <c r="J112" s="13">
        <v>-0.29920000000000002</v>
      </c>
      <c r="K112" s="16">
        <v>0.14130000000000001</v>
      </c>
      <c r="L112" s="1"/>
      <c r="M112" s="1"/>
      <c r="N112" s="1"/>
      <c r="O112" s="1"/>
      <c r="P112" s="1"/>
      <c r="Q112" s="1"/>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c r="DD112" s="83"/>
      <c r="DE112" s="83"/>
      <c r="DF112" s="83"/>
      <c r="DG112" s="83"/>
      <c r="DH112" s="83"/>
      <c r="DI112" s="83"/>
      <c r="DJ112" s="83"/>
      <c r="DK112" s="83"/>
      <c r="DL112" s="83"/>
      <c r="DM112" s="83"/>
      <c r="DN112" s="83"/>
      <c r="DO112" s="83"/>
      <c r="DP112" s="83"/>
      <c r="DQ112" s="83"/>
      <c r="DR112" s="83"/>
      <c r="DS112" s="83"/>
      <c r="DT112" s="83"/>
      <c r="DU112" s="83"/>
      <c r="DV112" s="83"/>
      <c r="DW112" s="83"/>
      <c r="DX112" s="83"/>
      <c r="DY112" s="83"/>
      <c r="DZ112" s="83"/>
      <c r="EA112" s="83"/>
      <c r="EB112" s="83"/>
      <c r="EC112" s="83"/>
      <c r="ED112" s="83"/>
      <c r="EE112" s="83"/>
      <c r="EF112" s="83"/>
      <c r="EG112" s="83"/>
      <c r="EH112" s="83"/>
      <c r="EI112" s="83"/>
      <c r="EJ112" s="83"/>
      <c r="EK112" s="83"/>
      <c r="EL112" s="83"/>
      <c r="EM112" s="83"/>
      <c r="EN112" s="83"/>
      <c r="EO112" s="83"/>
      <c r="EP112" s="83"/>
      <c r="EQ112" s="83"/>
      <c r="ER112" s="83"/>
      <c r="ES112" s="83"/>
      <c r="ET112" s="83"/>
      <c r="EU112" s="83"/>
      <c r="EV112" s="83"/>
      <c r="EW112" s="83"/>
      <c r="EX112" s="83"/>
      <c r="EY112" s="83"/>
      <c r="EZ112" s="83"/>
      <c r="FA112" s="83"/>
      <c r="FB112" s="83"/>
      <c r="FC112" s="83"/>
      <c r="FD112" s="83"/>
      <c r="FE112" s="83"/>
      <c r="FF112" s="83"/>
      <c r="FG112" s="83"/>
      <c r="FH112" s="83"/>
      <c r="FI112" s="83"/>
      <c r="FJ112" s="83"/>
      <c r="FK112" s="83"/>
      <c r="FL112" s="83"/>
      <c r="FM112" s="83"/>
      <c r="FN112" s="83"/>
      <c r="FO112" s="83"/>
      <c r="FP112" s="83"/>
      <c r="FQ112" s="83"/>
      <c r="FR112" s="83"/>
      <c r="FS112" s="83"/>
      <c r="FT112" s="83"/>
      <c r="FU112" s="83"/>
      <c r="FV112" s="83"/>
      <c r="FW112" s="83"/>
      <c r="FX112" s="83"/>
      <c r="FY112" s="83"/>
      <c r="FZ112" s="83"/>
      <c r="GA112" s="83"/>
      <c r="GB112" s="83"/>
      <c r="GC112" s="83"/>
      <c r="GD112" s="83"/>
      <c r="GE112" s="83"/>
      <c r="GF112" s="83"/>
      <c r="GG112" s="83"/>
      <c r="GH112" s="83"/>
      <c r="GI112" s="83"/>
      <c r="GJ112" s="83"/>
      <c r="GK112" s="83"/>
      <c r="GL112" s="83"/>
      <c r="GM112" s="83"/>
      <c r="GN112" s="83"/>
      <c r="GO112" s="83"/>
      <c r="GP112" s="83"/>
      <c r="GQ112" s="83"/>
      <c r="GR112" s="83"/>
      <c r="GS112" s="83"/>
      <c r="GT112" s="83"/>
      <c r="GU112" s="83"/>
      <c r="GV112" s="83"/>
      <c r="GW112" s="83"/>
      <c r="GX112" s="83"/>
      <c r="GY112" s="83"/>
      <c r="GZ112" s="83"/>
      <c r="HA112" s="83"/>
      <c r="HB112" s="83"/>
      <c r="HC112" s="83"/>
      <c r="HD112" s="83"/>
      <c r="HE112" s="83"/>
      <c r="HF112" s="83"/>
      <c r="HG112" s="83"/>
      <c r="HH112" s="83"/>
      <c r="HI112" s="83"/>
      <c r="HJ112" s="83"/>
      <c r="HK112" s="83"/>
      <c r="HL112" s="83"/>
      <c r="HM112" s="83"/>
      <c r="HN112" s="83"/>
      <c r="HO112" s="83"/>
      <c r="HP112" s="83"/>
      <c r="HQ112" s="83"/>
      <c r="HR112" s="83"/>
      <c r="HS112" s="83"/>
      <c r="HT112" s="83"/>
      <c r="HU112" s="83"/>
      <c r="HV112" s="83"/>
      <c r="HW112" s="83"/>
      <c r="HX112" s="83"/>
      <c r="HY112" s="83"/>
      <c r="HZ112" s="83"/>
      <c r="IA112" s="83"/>
      <c r="IB112" s="83"/>
      <c r="IC112" s="83"/>
      <c r="ID112" s="83"/>
      <c r="IE112" s="83"/>
      <c r="IF112" s="83"/>
      <c r="IG112" s="83"/>
    </row>
    <row r="113" spans="1:241" x14ac:dyDescent="0.3">
      <c r="A113" s="83"/>
      <c r="B113" s="12" t="s">
        <v>107</v>
      </c>
      <c r="C113" s="13">
        <v>5</v>
      </c>
      <c r="D113" s="13">
        <v>0.14899999999999999</v>
      </c>
      <c r="E113" s="13">
        <v>-1.34E-2</v>
      </c>
      <c r="F113" s="13">
        <v>0.5</v>
      </c>
      <c r="G113" s="13">
        <v>5</v>
      </c>
      <c r="H113" s="13">
        <v>150</v>
      </c>
      <c r="I113" s="13">
        <v>0.1578</v>
      </c>
      <c r="J113" s="13">
        <v>-0.29920000000000002</v>
      </c>
      <c r="K113" s="16">
        <v>0.14130000000000001</v>
      </c>
      <c r="L113" s="52"/>
      <c r="M113" s="52"/>
      <c r="N113" s="1"/>
      <c r="O113" s="1"/>
      <c r="P113" s="1"/>
      <c r="Q113" s="1"/>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c r="DD113" s="83"/>
      <c r="DE113" s="83"/>
      <c r="DF113" s="83"/>
      <c r="DG113" s="83"/>
      <c r="DH113" s="83"/>
      <c r="DI113" s="83"/>
      <c r="DJ113" s="83"/>
      <c r="DK113" s="83"/>
      <c r="DL113" s="83"/>
      <c r="DM113" s="83"/>
      <c r="DN113" s="83"/>
      <c r="DO113" s="83"/>
      <c r="DP113" s="83"/>
      <c r="DQ113" s="83"/>
      <c r="DR113" s="83"/>
      <c r="DS113" s="83"/>
      <c r="DT113" s="83"/>
      <c r="DU113" s="83"/>
      <c r="DV113" s="83"/>
      <c r="DW113" s="83"/>
      <c r="DX113" s="83"/>
      <c r="DY113" s="83"/>
      <c r="DZ113" s="83"/>
      <c r="EA113" s="83"/>
      <c r="EB113" s="83"/>
      <c r="EC113" s="83"/>
      <c r="ED113" s="83"/>
      <c r="EE113" s="83"/>
      <c r="EF113" s="83"/>
      <c r="EG113" s="83"/>
      <c r="EH113" s="83"/>
      <c r="EI113" s="83"/>
      <c r="EJ113" s="83"/>
      <c r="EK113" s="83"/>
      <c r="EL113" s="83"/>
      <c r="EM113" s="83"/>
      <c r="EN113" s="83"/>
      <c r="EO113" s="83"/>
      <c r="EP113" s="83"/>
      <c r="EQ113" s="83"/>
      <c r="ER113" s="83"/>
      <c r="ES113" s="83"/>
      <c r="ET113" s="83"/>
      <c r="EU113" s="83"/>
      <c r="EV113" s="83"/>
      <c r="EW113" s="83"/>
      <c r="EX113" s="83"/>
      <c r="EY113" s="83"/>
      <c r="EZ113" s="83"/>
      <c r="FA113" s="83"/>
      <c r="FB113" s="83"/>
      <c r="FC113" s="83"/>
      <c r="FD113" s="83"/>
      <c r="FE113" s="83"/>
      <c r="FF113" s="83"/>
      <c r="FG113" s="83"/>
      <c r="FH113" s="83"/>
      <c r="FI113" s="83"/>
      <c r="FJ113" s="83"/>
      <c r="FK113" s="83"/>
      <c r="FL113" s="83"/>
      <c r="FM113" s="83"/>
      <c r="FN113" s="83"/>
      <c r="FO113" s="83"/>
      <c r="FP113" s="83"/>
      <c r="FQ113" s="83"/>
      <c r="FR113" s="83"/>
      <c r="FS113" s="83"/>
      <c r="FT113" s="83"/>
      <c r="FU113" s="83"/>
      <c r="FV113" s="83"/>
      <c r="FW113" s="83"/>
      <c r="FX113" s="83"/>
      <c r="FY113" s="83"/>
      <c r="FZ113" s="83"/>
      <c r="GA113" s="83"/>
      <c r="GB113" s="83"/>
      <c r="GC113" s="83"/>
      <c r="GD113" s="83"/>
      <c r="GE113" s="83"/>
      <c r="GF113" s="83"/>
      <c r="GG113" s="83"/>
      <c r="GH113" s="83"/>
      <c r="GI113" s="83"/>
      <c r="GJ113" s="83"/>
      <c r="GK113" s="83"/>
      <c r="GL113" s="83"/>
      <c r="GM113" s="83"/>
      <c r="GN113" s="83"/>
      <c r="GO113" s="83"/>
      <c r="GP113" s="83"/>
      <c r="GQ113" s="83"/>
      <c r="GR113" s="83"/>
      <c r="GS113" s="83"/>
      <c r="GT113" s="83"/>
      <c r="GU113" s="83"/>
      <c r="GV113" s="83"/>
      <c r="GW113" s="83"/>
      <c r="GX113" s="83"/>
      <c r="GY113" s="83"/>
      <c r="GZ113" s="83"/>
      <c r="HA113" s="83"/>
      <c r="HB113" s="83"/>
      <c r="HC113" s="83"/>
      <c r="HD113" s="83"/>
      <c r="HE113" s="83"/>
      <c r="HF113" s="83"/>
      <c r="HG113" s="83"/>
      <c r="HH113" s="83"/>
      <c r="HI113" s="83"/>
      <c r="HJ113" s="83"/>
      <c r="HK113" s="83"/>
      <c r="HL113" s="83"/>
      <c r="HM113" s="83"/>
      <c r="HN113" s="83"/>
      <c r="HO113" s="83"/>
      <c r="HP113" s="83"/>
      <c r="HQ113" s="83"/>
      <c r="HR113" s="83"/>
      <c r="HS113" s="83"/>
      <c r="HT113" s="83"/>
      <c r="HU113" s="83"/>
      <c r="HV113" s="83"/>
      <c r="HW113" s="83"/>
      <c r="HX113" s="83"/>
      <c r="HY113" s="83"/>
      <c r="HZ113" s="83"/>
      <c r="IA113" s="83"/>
      <c r="IB113" s="83"/>
      <c r="IC113" s="83"/>
      <c r="ID113" s="83"/>
      <c r="IE113" s="83"/>
      <c r="IF113" s="83"/>
      <c r="IG113" s="83"/>
    </row>
    <row r="114" spans="1:241" x14ac:dyDescent="0.3">
      <c r="A114" s="83"/>
      <c r="B114" s="12" t="s">
        <v>108</v>
      </c>
      <c r="C114" s="13">
        <v>5.2366000000000001</v>
      </c>
      <c r="D114" s="13">
        <v>-0.65720000000000001</v>
      </c>
      <c r="E114" s="13">
        <v>0.35</v>
      </c>
      <c r="F114" s="13">
        <v>10</v>
      </c>
      <c r="G114" s="13">
        <v>100</v>
      </c>
      <c r="H114" s="13">
        <v>150</v>
      </c>
      <c r="I114" s="13">
        <v>0.1578</v>
      </c>
      <c r="J114" s="13">
        <v>-0.29920000000000002</v>
      </c>
      <c r="K114" s="16">
        <v>0.14130000000000001</v>
      </c>
      <c r="L114" s="52"/>
      <c r="M114" s="52"/>
      <c r="N114" s="1"/>
      <c r="O114" s="1"/>
      <c r="P114" s="1"/>
      <c r="Q114" s="1"/>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c r="DD114" s="83"/>
      <c r="DE114" s="83"/>
      <c r="DF114" s="83"/>
      <c r="DG114" s="83"/>
      <c r="DH114" s="83"/>
      <c r="DI114" s="83"/>
      <c r="DJ114" s="83"/>
      <c r="DK114" s="83"/>
      <c r="DL114" s="83"/>
      <c r="DM114" s="83"/>
      <c r="DN114" s="83"/>
      <c r="DO114" s="83"/>
      <c r="DP114" s="83"/>
      <c r="DQ114" s="83"/>
      <c r="DR114" s="83"/>
      <c r="DS114" s="83"/>
      <c r="DT114" s="83"/>
      <c r="DU114" s="83"/>
      <c r="DV114" s="83"/>
      <c r="DW114" s="83"/>
      <c r="DX114" s="83"/>
      <c r="DY114" s="83"/>
      <c r="DZ114" s="83"/>
      <c r="EA114" s="83"/>
      <c r="EB114" s="83"/>
      <c r="EC114" s="83"/>
      <c r="ED114" s="83"/>
      <c r="EE114" s="83"/>
      <c r="EF114" s="83"/>
      <c r="EG114" s="83"/>
      <c r="EH114" s="83"/>
      <c r="EI114" s="83"/>
      <c r="EJ114" s="83"/>
      <c r="EK114" s="83"/>
      <c r="EL114" s="83"/>
      <c r="EM114" s="83"/>
      <c r="EN114" s="83"/>
      <c r="EO114" s="83"/>
      <c r="EP114" s="83"/>
      <c r="EQ114" s="83"/>
      <c r="ER114" s="83"/>
      <c r="ES114" s="83"/>
      <c r="ET114" s="83"/>
      <c r="EU114" s="83"/>
      <c r="EV114" s="83"/>
      <c r="EW114" s="83"/>
      <c r="EX114" s="83"/>
      <c r="EY114" s="83"/>
      <c r="EZ114" s="83"/>
      <c r="FA114" s="83"/>
      <c r="FB114" s="83"/>
      <c r="FC114" s="83"/>
      <c r="FD114" s="83"/>
      <c r="FE114" s="83"/>
      <c r="FF114" s="83"/>
      <c r="FG114" s="83"/>
      <c r="FH114" s="83"/>
      <c r="FI114" s="83"/>
      <c r="FJ114" s="83"/>
      <c r="FK114" s="83"/>
      <c r="FL114" s="83"/>
      <c r="FM114" s="83"/>
      <c r="FN114" s="83"/>
      <c r="FO114" s="83"/>
      <c r="FP114" s="83"/>
      <c r="FQ114" s="83"/>
      <c r="FR114" s="83"/>
      <c r="FS114" s="83"/>
      <c r="FT114" s="83"/>
      <c r="FU114" s="83"/>
      <c r="FV114" s="83"/>
      <c r="FW114" s="83"/>
      <c r="FX114" s="83"/>
      <c r="FY114" s="83"/>
      <c r="FZ114" s="83"/>
      <c r="GA114" s="83"/>
      <c r="GB114" s="83"/>
      <c r="GC114" s="83"/>
      <c r="GD114" s="83"/>
      <c r="GE114" s="83"/>
      <c r="GF114" s="83"/>
      <c r="GG114" s="83"/>
      <c r="GH114" s="83"/>
      <c r="GI114" s="83"/>
      <c r="GJ114" s="83"/>
      <c r="GK114" s="83"/>
      <c r="GL114" s="83"/>
      <c r="GM114" s="83"/>
      <c r="GN114" s="83"/>
      <c r="GO114" s="83"/>
      <c r="GP114" s="83"/>
      <c r="GQ114" s="83"/>
      <c r="GR114" s="83"/>
      <c r="GS114" s="83"/>
      <c r="GT114" s="83"/>
      <c r="GU114" s="83"/>
      <c r="GV114" s="83"/>
      <c r="GW114" s="83"/>
      <c r="GX114" s="83"/>
      <c r="GY114" s="83"/>
      <c r="GZ114" s="83"/>
      <c r="HA114" s="83"/>
      <c r="HB114" s="83"/>
      <c r="HC114" s="83"/>
      <c r="HD114" s="83"/>
      <c r="HE114" s="83"/>
      <c r="HF114" s="83"/>
      <c r="HG114" s="83"/>
      <c r="HH114" s="83"/>
      <c r="HI114" s="83"/>
      <c r="HJ114" s="83"/>
      <c r="HK114" s="83"/>
      <c r="HL114" s="83"/>
      <c r="HM114" s="83"/>
      <c r="HN114" s="83"/>
      <c r="HO114" s="83"/>
      <c r="HP114" s="83"/>
      <c r="HQ114" s="83"/>
      <c r="HR114" s="83"/>
      <c r="HS114" s="83"/>
      <c r="HT114" s="83"/>
      <c r="HU114" s="83"/>
      <c r="HV114" s="83"/>
      <c r="HW114" s="83"/>
      <c r="HX114" s="83"/>
      <c r="HY114" s="83"/>
      <c r="HZ114" s="83"/>
      <c r="IA114" s="83"/>
      <c r="IB114" s="83"/>
      <c r="IC114" s="83"/>
      <c r="ID114" s="83"/>
      <c r="IE114" s="83"/>
      <c r="IF114" s="83"/>
      <c r="IG114" s="83"/>
    </row>
    <row r="115" spans="1:241" x14ac:dyDescent="0.3">
      <c r="A115" s="83"/>
      <c r="B115" s="17" t="s">
        <v>109</v>
      </c>
      <c r="C115" s="18">
        <v>4.6420000000000003</v>
      </c>
      <c r="D115" s="18">
        <v>0.36980000000000002</v>
      </c>
      <c r="E115" s="18">
        <v>2.5000000000000001E-3</v>
      </c>
      <c r="F115" s="18">
        <v>100</v>
      </c>
      <c r="G115" s="18">
        <v>10000</v>
      </c>
      <c r="H115" s="18">
        <v>150</v>
      </c>
      <c r="I115" s="18">
        <v>0.1578</v>
      </c>
      <c r="J115" s="18">
        <v>-0.29920000000000002</v>
      </c>
      <c r="K115" s="21">
        <v>0.14130000000000001</v>
      </c>
      <c r="L115" s="52"/>
      <c r="M115" s="52"/>
      <c r="N115" s="1"/>
      <c r="O115" s="1"/>
      <c r="P115" s="1"/>
      <c r="Q115" s="1"/>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c r="DD115" s="83"/>
      <c r="DE115" s="83"/>
      <c r="DF115" s="83"/>
      <c r="DG115" s="83"/>
      <c r="DH115" s="83"/>
      <c r="DI115" s="83"/>
      <c r="DJ115" s="83"/>
      <c r="DK115" s="83"/>
      <c r="DL115" s="83"/>
      <c r="DM115" s="83"/>
      <c r="DN115" s="83"/>
      <c r="DO115" s="83"/>
      <c r="DP115" s="83"/>
      <c r="DQ115" s="83"/>
      <c r="DR115" s="83"/>
      <c r="DS115" s="83"/>
      <c r="DT115" s="83"/>
      <c r="DU115" s="83"/>
      <c r="DV115" s="83"/>
      <c r="DW115" s="83"/>
      <c r="DX115" s="83"/>
      <c r="DY115" s="83"/>
      <c r="DZ115" s="83"/>
      <c r="EA115" s="83"/>
      <c r="EB115" s="83"/>
      <c r="EC115" s="83"/>
      <c r="ED115" s="83"/>
      <c r="EE115" s="83"/>
      <c r="EF115" s="83"/>
      <c r="EG115" s="83"/>
      <c r="EH115" s="83"/>
      <c r="EI115" s="83"/>
      <c r="EJ115" s="83"/>
      <c r="EK115" s="83"/>
      <c r="EL115" s="83"/>
      <c r="EM115" s="83"/>
      <c r="EN115" s="83"/>
      <c r="EO115" s="83"/>
      <c r="EP115" s="83"/>
      <c r="EQ115" s="83"/>
      <c r="ER115" s="83"/>
      <c r="ES115" s="83"/>
      <c r="ET115" s="83"/>
      <c r="EU115" s="83"/>
      <c r="EV115" s="83"/>
      <c r="EW115" s="83"/>
      <c r="EX115" s="83"/>
      <c r="EY115" s="83"/>
      <c r="EZ115" s="83"/>
      <c r="FA115" s="83"/>
      <c r="FB115" s="83"/>
      <c r="FC115" s="83"/>
      <c r="FD115" s="83"/>
      <c r="FE115" s="83"/>
      <c r="FF115" s="83"/>
      <c r="FG115" s="83"/>
      <c r="FH115" s="83"/>
      <c r="FI115" s="83"/>
      <c r="FJ115" s="83"/>
      <c r="FK115" s="83"/>
      <c r="FL115" s="83"/>
      <c r="FM115" s="83"/>
      <c r="FN115" s="83"/>
      <c r="FO115" s="83"/>
      <c r="FP115" s="83"/>
      <c r="FQ115" s="83"/>
      <c r="FR115" s="83"/>
      <c r="FS115" s="83"/>
      <c r="FT115" s="83"/>
      <c r="FU115" s="83"/>
      <c r="FV115" s="83"/>
      <c r="FW115" s="83"/>
      <c r="FX115" s="83"/>
      <c r="FY115" s="83"/>
      <c r="FZ115" s="83"/>
      <c r="GA115" s="83"/>
      <c r="GB115" s="83"/>
      <c r="GC115" s="83"/>
      <c r="GD115" s="83"/>
      <c r="GE115" s="83"/>
      <c r="GF115" s="83"/>
      <c r="GG115" s="83"/>
      <c r="GH115" s="83"/>
      <c r="GI115" s="83"/>
      <c r="GJ115" s="83"/>
      <c r="GK115" s="83"/>
      <c r="GL115" s="83"/>
      <c r="GM115" s="83"/>
      <c r="GN115" s="83"/>
      <c r="GO115" s="83"/>
      <c r="GP115" s="83"/>
      <c r="GQ115" s="83"/>
      <c r="GR115" s="83"/>
      <c r="GS115" s="83"/>
      <c r="GT115" s="83"/>
      <c r="GU115" s="83"/>
      <c r="GV115" s="83"/>
      <c r="GW115" s="83"/>
      <c r="GX115" s="83"/>
      <c r="GY115" s="83"/>
      <c r="GZ115" s="83"/>
      <c r="HA115" s="83"/>
      <c r="HB115" s="83"/>
      <c r="HC115" s="83"/>
      <c r="HD115" s="83"/>
      <c r="HE115" s="83"/>
      <c r="HF115" s="83"/>
      <c r="HG115" s="83"/>
      <c r="HH115" s="83"/>
      <c r="HI115" s="83"/>
      <c r="HJ115" s="83"/>
      <c r="HK115" s="83"/>
      <c r="HL115" s="83"/>
      <c r="HM115" s="83"/>
      <c r="HN115" s="83"/>
      <c r="HO115" s="83"/>
      <c r="HP115" s="83"/>
      <c r="HQ115" s="83"/>
      <c r="HR115" s="83"/>
      <c r="HS115" s="83"/>
      <c r="HT115" s="83"/>
      <c r="HU115" s="83"/>
      <c r="HV115" s="83"/>
      <c r="HW115" s="83"/>
      <c r="HX115" s="83"/>
      <c r="HY115" s="83"/>
      <c r="HZ115" s="83"/>
      <c r="IA115" s="83"/>
      <c r="IB115" s="83"/>
      <c r="IC115" s="83"/>
      <c r="ID115" s="83"/>
      <c r="IE115" s="83"/>
      <c r="IF115" s="83"/>
      <c r="IG115" s="83"/>
    </row>
    <row r="116" spans="1:241" x14ac:dyDescent="0.3">
      <c r="A116" s="83"/>
      <c r="B116" s="1"/>
      <c r="C116" s="13"/>
      <c r="D116" s="13"/>
      <c r="E116" s="13"/>
      <c r="F116" s="13"/>
      <c r="G116" s="13"/>
      <c r="H116" s="13"/>
      <c r="I116" s="15"/>
      <c r="J116" s="15"/>
      <c r="K116" s="15"/>
      <c r="L116" s="1"/>
      <c r="M116" s="63"/>
      <c r="N116" s="63"/>
      <c r="O116" s="63"/>
      <c r="P116" s="52"/>
      <c r="Q116" s="1"/>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c r="DD116" s="83"/>
      <c r="DE116" s="83"/>
      <c r="DF116" s="83"/>
      <c r="DG116" s="83"/>
      <c r="DH116" s="83"/>
      <c r="DI116" s="83"/>
      <c r="DJ116" s="83"/>
      <c r="DK116" s="83"/>
      <c r="DL116" s="83"/>
      <c r="DM116" s="83"/>
      <c r="DN116" s="83"/>
      <c r="DO116" s="83"/>
      <c r="DP116" s="83"/>
      <c r="DQ116" s="83"/>
      <c r="DR116" s="83"/>
      <c r="DS116" s="83"/>
      <c r="DT116" s="83"/>
      <c r="DU116" s="83"/>
      <c r="DV116" s="83"/>
      <c r="DW116" s="83"/>
      <c r="DX116" s="83"/>
      <c r="DY116" s="83"/>
      <c r="DZ116" s="83"/>
      <c r="EA116" s="83"/>
      <c r="EB116" s="83"/>
      <c r="EC116" s="83"/>
      <c r="ED116" s="83"/>
      <c r="EE116" s="83"/>
      <c r="EF116" s="83"/>
      <c r="EG116" s="83"/>
      <c r="EH116" s="83"/>
      <c r="EI116" s="83"/>
      <c r="EJ116" s="83"/>
      <c r="EK116" s="83"/>
      <c r="EL116" s="83"/>
      <c r="EM116" s="83"/>
      <c r="EN116" s="83"/>
      <c r="EO116" s="83"/>
      <c r="EP116" s="83"/>
      <c r="EQ116" s="83"/>
      <c r="ER116" s="83"/>
      <c r="ES116" s="83"/>
      <c r="ET116" s="83"/>
      <c r="EU116" s="83"/>
      <c r="EV116" s="83"/>
      <c r="EW116" s="83"/>
      <c r="EX116" s="83"/>
      <c r="EY116" s="83"/>
      <c r="EZ116" s="83"/>
      <c r="FA116" s="83"/>
      <c r="FB116" s="83"/>
      <c r="FC116" s="83"/>
      <c r="FD116" s="83"/>
      <c r="FE116" s="83"/>
      <c r="FF116" s="83"/>
      <c r="FG116" s="83"/>
      <c r="FH116" s="83"/>
      <c r="FI116" s="83"/>
      <c r="FJ116" s="83"/>
      <c r="FK116" s="83"/>
      <c r="FL116" s="83"/>
      <c r="FM116" s="83"/>
      <c r="FN116" s="83"/>
      <c r="FO116" s="83"/>
      <c r="FP116" s="83"/>
      <c r="FQ116" s="83"/>
      <c r="FR116" s="83"/>
      <c r="FS116" s="83"/>
      <c r="FT116" s="83"/>
      <c r="FU116" s="83"/>
      <c r="FV116" s="83"/>
      <c r="FW116" s="83"/>
      <c r="FX116" s="83"/>
      <c r="FY116" s="83"/>
      <c r="FZ116" s="83"/>
      <c r="GA116" s="83"/>
      <c r="GB116" s="83"/>
      <c r="GC116" s="83"/>
      <c r="GD116" s="83"/>
      <c r="GE116" s="83"/>
      <c r="GF116" s="83"/>
      <c r="GG116" s="83"/>
      <c r="GH116" s="83"/>
      <c r="GI116" s="83"/>
      <c r="GJ116" s="83"/>
      <c r="GK116" s="83"/>
      <c r="GL116" s="83"/>
      <c r="GM116" s="83"/>
      <c r="GN116" s="83"/>
      <c r="GO116" s="83"/>
      <c r="GP116" s="83"/>
      <c r="GQ116" s="83"/>
      <c r="GR116" s="83"/>
      <c r="GS116" s="83"/>
      <c r="GT116" s="83"/>
      <c r="GU116" s="83"/>
      <c r="GV116" s="83"/>
      <c r="GW116" s="83"/>
      <c r="GX116" s="83"/>
      <c r="GY116" s="83"/>
      <c r="GZ116" s="83"/>
      <c r="HA116" s="83"/>
      <c r="HB116" s="83"/>
      <c r="HC116" s="83"/>
      <c r="HD116" s="83"/>
      <c r="HE116" s="83"/>
      <c r="HF116" s="83"/>
      <c r="HG116" s="83"/>
      <c r="HH116" s="83"/>
      <c r="HI116" s="83"/>
      <c r="HJ116" s="83"/>
      <c r="HK116" s="83"/>
      <c r="HL116" s="83"/>
      <c r="HM116" s="83"/>
      <c r="HN116" s="83"/>
      <c r="HO116" s="83"/>
      <c r="HP116" s="83"/>
      <c r="HQ116" s="83"/>
      <c r="HR116" s="83"/>
      <c r="HS116" s="83"/>
      <c r="HT116" s="83"/>
      <c r="HU116" s="83"/>
      <c r="HV116" s="83"/>
      <c r="HW116" s="83"/>
      <c r="HX116" s="83"/>
      <c r="HY116" s="83"/>
      <c r="HZ116" s="83"/>
      <c r="IA116" s="83"/>
      <c r="IB116" s="83"/>
      <c r="IC116" s="83"/>
      <c r="ID116" s="83"/>
      <c r="IE116" s="83"/>
      <c r="IF116" s="83"/>
      <c r="IG116" s="83"/>
    </row>
    <row r="117" spans="1:241" x14ac:dyDescent="0.3">
      <c r="A117" s="83"/>
      <c r="B117" s="1"/>
      <c r="C117" s="13"/>
      <c r="D117" s="13"/>
      <c r="E117" s="13"/>
      <c r="F117" s="13"/>
      <c r="G117" s="13"/>
      <c r="H117" s="13"/>
      <c r="I117" s="13"/>
      <c r="J117" s="13"/>
      <c r="K117" s="13"/>
      <c r="L117" s="13"/>
      <c r="M117" s="13"/>
      <c r="N117" s="31"/>
      <c r="O117" s="1"/>
      <c r="P117" s="52"/>
      <c r="Q117" s="1"/>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c r="DD117" s="83"/>
      <c r="DE117" s="83"/>
      <c r="DF117" s="83"/>
      <c r="DG117" s="83"/>
      <c r="DH117" s="83"/>
      <c r="DI117" s="83"/>
      <c r="DJ117" s="83"/>
      <c r="DK117" s="83"/>
      <c r="DL117" s="83"/>
      <c r="DM117" s="83"/>
      <c r="DN117" s="83"/>
      <c r="DO117" s="83"/>
      <c r="DP117" s="83"/>
      <c r="DQ117" s="83"/>
      <c r="DR117" s="83"/>
      <c r="DS117" s="83"/>
      <c r="DT117" s="83"/>
      <c r="DU117" s="83"/>
      <c r="DV117" s="83"/>
      <c r="DW117" s="83"/>
      <c r="DX117" s="83"/>
      <c r="DY117" s="83"/>
      <c r="DZ117" s="83"/>
      <c r="EA117" s="83"/>
      <c r="EB117" s="83"/>
      <c r="EC117" s="83"/>
      <c r="ED117" s="83"/>
      <c r="EE117" s="83"/>
      <c r="EF117" s="83"/>
      <c r="EG117" s="83"/>
      <c r="EH117" s="83"/>
      <c r="EI117" s="83"/>
      <c r="EJ117" s="83"/>
      <c r="EK117" s="83"/>
      <c r="EL117" s="83"/>
      <c r="EM117" s="83"/>
      <c r="EN117" s="83"/>
      <c r="EO117" s="83"/>
      <c r="EP117" s="83"/>
      <c r="EQ117" s="83"/>
      <c r="ER117" s="83"/>
      <c r="ES117" s="83"/>
      <c r="ET117" s="83"/>
      <c r="EU117" s="83"/>
      <c r="EV117" s="83"/>
      <c r="EW117" s="83"/>
      <c r="EX117" s="83"/>
      <c r="EY117" s="83"/>
      <c r="EZ117" s="83"/>
      <c r="FA117" s="83"/>
      <c r="FB117" s="83"/>
      <c r="FC117" s="83"/>
      <c r="FD117" s="83"/>
      <c r="FE117" s="83"/>
      <c r="FF117" s="83"/>
      <c r="FG117" s="83"/>
      <c r="FH117" s="83"/>
      <c r="FI117" s="83"/>
      <c r="FJ117" s="83"/>
      <c r="FK117" s="83"/>
      <c r="FL117" s="83"/>
      <c r="FM117" s="83"/>
      <c r="FN117" s="83"/>
      <c r="FO117" s="83"/>
      <c r="FP117" s="83"/>
      <c r="FQ117" s="83"/>
      <c r="FR117" s="83"/>
      <c r="FS117" s="83"/>
      <c r="FT117" s="83"/>
      <c r="FU117" s="83"/>
      <c r="FV117" s="83"/>
      <c r="FW117" s="83"/>
      <c r="FX117" s="83"/>
      <c r="FY117" s="83"/>
      <c r="FZ117" s="83"/>
      <c r="GA117" s="83"/>
      <c r="GB117" s="83"/>
      <c r="GC117" s="83"/>
      <c r="GD117" s="83"/>
      <c r="GE117" s="83"/>
      <c r="GF117" s="83"/>
      <c r="GG117" s="83"/>
      <c r="GH117" s="83"/>
      <c r="GI117" s="83"/>
      <c r="GJ117" s="83"/>
      <c r="GK117" s="83"/>
      <c r="GL117" s="83"/>
      <c r="GM117" s="83"/>
      <c r="GN117" s="83"/>
      <c r="GO117" s="83"/>
      <c r="GP117" s="83"/>
      <c r="GQ117" s="83"/>
      <c r="GR117" s="83"/>
      <c r="GS117" s="83"/>
      <c r="GT117" s="83"/>
      <c r="GU117" s="83"/>
      <c r="GV117" s="83"/>
      <c r="GW117" s="83"/>
      <c r="GX117" s="83"/>
      <c r="GY117" s="83"/>
      <c r="GZ117" s="83"/>
      <c r="HA117" s="83"/>
      <c r="HB117" s="83"/>
      <c r="HC117" s="83"/>
      <c r="HD117" s="83"/>
      <c r="HE117" s="83"/>
      <c r="HF117" s="83"/>
      <c r="HG117" s="83"/>
      <c r="HH117" s="83"/>
      <c r="HI117" s="83"/>
      <c r="HJ117" s="83"/>
      <c r="HK117" s="83"/>
      <c r="HL117" s="83"/>
      <c r="HM117" s="83"/>
      <c r="HN117" s="83"/>
      <c r="HO117" s="83"/>
      <c r="HP117" s="83"/>
      <c r="HQ117" s="83"/>
      <c r="HR117" s="83"/>
      <c r="HS117" s="83"/>
      <c r="HT117" s="83"/>
      <c r="HU117" s="83"/>
      <c r="HV117" s="83"/>
      <c r="HW117" s="83"/>
      <c r="HX117" s="83"/>
      <c r="HY117" s="83"/>
      <c r="HZ117" s="83"/>
      <c r="IA117" s="83"/>
      <c r="IB117" s="83"/>
      <c r="IC117" s="83"/>
      <c r="ID117" s="83"/>
      <c r="IE117" s="83"/>
      <c r="IF117" s="83"/>
      <c r="IG117" s="83"/>
    </row>
    <row r="118" spans="1:241" x14ac:dyDescent="0.3">
      <c r="A118" s="83"/>
      <c r="B118" s="2" t="s">
        <v>252</v>
      </c>
      <c r="C118" s="13"/>
      <c r="D118" s="13"/>
      <c r="E118" s="13"/>
      <c r="F118" s="13"/>
      <c r="G118" s="13"/>
      <c r="H118" s="13"/>
      <c r="I118" s="13"/>
      <c r="J118" s="13"/>
      <c r="K118" s="13"/>
      <c r="L118" s="13"/>
      <c r="M118" s="13"/>
      <c r="N118" s="31"/>
      <c r="O118" s="1"/>
      <c r="P118" s="1"/>
      <c r="Q118" s="1"/>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c r="DD118" s="83"/>
      <c r="DE118" s="83"/>
      <c r="DF118" s="83"/>
      <c r="DG118" s="83"/>
      <c r="DH118" s="83"/>
      <c r="DI118" s="83"/>
      <c r="DJ118" s="83"/>
      <c r="DK118" s="83"/>
      <c r="DL118" s="83"/>
      <c r="DM118" s="83"/>
      <c r="DN118" s="83"/>
      <c r="DO118" s="83"/>
      <c r="DP118" s="83"/>
      <c r="DQ118" s="83"/>
      <c r="DR118" s="83"/>
      <c r="DS118" s="83"/>
      <c r="DT118" s="83"/>
      <c r="DU118" s="83"/>
      <c r="DV118" s="83"/>
      <c r="DW118" s="83"/>
      <c r="DX118" s="83"/>
      <c r="DY118" s="83"/>
      <c r="DZ118" s="83"/>
      <c r="EA118" s="83"/>
      <c r="EB118" s="83"/>
      <c r="EC118" s="83"/>
      <c r="ED118" s="83"/>
      <c r="EE118" s="83"/>
      <c r="EF118" s="83"/>
      <c r="EG118" s="83"/>
      <c r="EH118" s="83"/>
      <c r="EI118" s="83"/>
      <c r="EJ118" s="83"/>
      <c r="EK118" s="83"/>
      <c r="EL118" s="83"/>
      <c r="EM118" s="83"/>
      <c r="EN118" s="83"/>
      <c r="EO118" s="83"/>
      <c r="EP118" s="83"/>
      <c r="EQ118" s="83"/>
      <c r="ER118" s="83"/>
      <c r="ES118" s="83"/>
      <c r="ET118" s="83"/>
      <c r="EU118" s="83"/>
      <c r="EV118" s="83"/>
      <c r="EW118" s="83"/>
      <c r="EX118" s="83"/>
      <c r="EY118" s="83"/>
      <c r="EZ118" s="83"/>
      <c r="FA118" s="83"/>
      <c r="FB118" s="83"/>
      <c r="FC118" s="83"/>
      <c r="FD118" s="83"/>
      <c r="FE118" s="83"/>
      <c r="FF118" s="83"/>
      <c r="FG118" s="83"/>
      <c r="FH118" s="83"/>
      <c r="FI118" s="83"/>
      <c r="FJ118" s="83"/>
      <c r="FK118" s="83"/>
      <c r="FL118" s="83"/>
      <c r="FM118" s="83"/>
      <c r="FN118" s="83"/>
      <c r="FO118" s="83"/>
      <c r="FP118" s="83"/>
      <c r="FQ118" s="83"/>
      <c r="FR118" s="83"/>
      <c r="FS118" s="83"/>
      <c r="FT118" s="83"/>
      <c r="FU118" s="83"/>
      <c r="FV118" s="83"/>
      <c r="FW118" s="83"/>
      <c r="FX118" s="83"/>
      <c r="FY118" s="83"/>
      <c r="FZ118" s="83"/>
      <c r="GA118" s="83"/>
      <c r="GB118" s="83"/>
      <c r="GC118" s="83"/>
      <c r="GD118" s="83"/>
      <c r="GE118" s="83"/>
      <c r="GF118" s="83"/>
      <c r="GG118" s="83"/>
      <c r="GH118" s="83"/>
      <c r="GI118" s="83"/>
      <c r="GJ118" s="83"/>
      <c r="GK118" s="83"/>
      <c r="GL118" s="83"/>
      <c r="GM118" s="83"/>
      <c r="GN118" s="83"/>
      <c r="GO118" s="83"/>
      <c r="GP118" s="83"/>
      <c r="GQ118" s="83"/>
      <c r="GR118" s="83"/>
      <c r="GS118" s="83"/>
      <c r="GT118" s="83"/>
      <c r="GU118" s="83"/>
      <c r="GV118" s="83"/>
      <c r="GW118" s="83"/>
      <c r="GX118" s="83"/>
      <c r="GY118" s="83"/>
      <c r="GZ118" s="83"/>
      <c r="HA118" s="83"/>
      <c r="HB118" s="83"/>
      <c r="HC118" s="83"/>
      <c r="HD118" s="83"/>
      <c r="HE118" s="83"/>
      <c r="HF118" s="83"/>
      <c r="HG118" s="83"/>
      <c r="HH118" s="83"/>
      <c r="HI118" s="83"/>
      <c r="HJ118" s="83"/>
      <c r="HK118" s="83"/>
      <c r="HL118" s="83"/>
      <c r="HM118" s="83"/>
      <c r="HN118" s="83"/>
      <c r="HO118" s="83"/>
      <c r="HP118" s="83"/>
      <c r="HQ118" s="83"/>
      <c r="HR118" s="83"/>
      <c r="HS118" s="83"/>
      <c r="HT118" s="83"/>
      <c r="HU118" s="83"/>
      <c r="HV118" s="83"/>
      <c r="HW118" s="83"/>
      <c r="HX118" s="83"/>
      <c r="HY118" s="83"/>
      <c r="HZ118" s="83"/>
      <c r="IA118" s="83"/>
      <c r="IB118" s="83"/>
      <c r="IC118" s="83"/>
      <c r="ID118" s="83"/>
      <c r="IE118" s="83"/>
      <c r="IF118" s="83"/>
      <c r="IG118" s="83"/>
    </row>
    <row r="119" spans="1:241" ht="15.6" x14ac:dyDescent="0.35">
      <c r="A119" s="83"/>
      <c r="B119" s="23" t="s">
        <v>110</v>
      </c>
      <c r="C119" s="8" t="s">
        <v>1</v>
      </c>
      <c r="D119" s="8" t="s">
        <v>2</v>
      </c>
      <c r="E119" s="8" t="s">
        <v>3</v>
      </c>
      <c r="F119" s="8" t="s">
        <v>60</v>
      </c>
      <c r="G119" s="8" t="s">
        <v>61</v>
      </c>
      <c r="H119" s="8" t="s">
        <v>62</v>
      </c>
      <c r="I119" s="8" t="s">
        <v>111</v>
      </c>
      <c r="J119" s="8" t="s">
        <v>112</v>
      </c>
      <c r="K119" s="8" t="s">
        <v>103</v>
      </c>
      <c r="L119" s="8" t="s">
        <v>104</v>
      </c>
      <c r="M119" s="9" t="s">
        <v>65</v>
      </c>
      <c r="N119" s="31"/>
      <c r="O119" s="1"/>
      <c r="P119" s="1"/>
      <c r="Q119" s="1"/>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c r="DD119" s="83"/>
      <c r="DE119" s="83"/>
      <c r="DF119" s="83"/>
      <c r="DG119" s="83"/>
      <c r="DH119" s="83"/>
      <c r="DI119" s="83"/>
      <c r="DJ119" s="83"/>
      <c r="DK119" s="83"/>
      <c r="DL119" s="83"/>
      <c r="DM119" s="83"/>
      <c r="DN119" s="83"/>
      <c r="DO119" s="83"/>
      <c r="DP119" s="83"/>
      <c r="DQ119" s="83"/>
      <c r="DR119" s="83"/>
      <c r="DS119" s="83"/>
      <c r="DT119" s="83"/>
      <c r="DU119" s="83"/>
      <c r="DV119" s="83"/>
      <c r="DW119" s="83"/>
      <c r="DX119" s="83"/>
      <c r="DY119" s="83"/>
      <c r="DZ119" s="83"/>
      <c r="EA119" s="83"/>
      <c r="EB119" s="83"/>
      <c r="EC119" s="83"/>
      <c r="ED119" s="83"/>
      <c r="EE119" s="83"/>
      <c r="EF119" s="83"/>
      <c r="EG119" s="83"/>
      <c r="EH119" s="83"/>
      <c r="EI119" s="83"/>
      <c r="EJ119" s="83"/>
      <c r="EK119" s="83"/>
      <c r="EL119" s="83"/>
      <c r="EM119" s="83"/>
      <c r="EN119" s="83"/>
      <c r="EO119" s="83"/>
      <c r="EP119" s="83"/>
      <c r="EQ119" s="83"/>
      <c r="ER119" s="83"/>
      <c r="ES119" s="83"/>
      <c r="ET119" s="83"/>
      <c r="EU119" s="83"/>
      <c r="EV119" s="83"/>
      <c r="EW119" s="83"/>
      <c r="EX119" s="83"/>
      <c r="EY119" s="83"/>
      <c r="EZ119" s="83"/>
      <c r="FA119" s="83"/>
      <c r="FB119" s="83"/>
      <c r="FC119" s="83"/>
      <c r="FD119" s="83"/>
      <c r="FE119" s="83"/>
      <c r="FF119" s="83"/>
      <c r="FG119" s="83"/>
      <c r="FH119" s="83"/>
      <c r="FI119" s="83"/>
      <c r="FJ119" s="83"/>
      <c r="FK119" s="83"/>
      <c r="FL119" s="83"/>
      <c r="FM119" s="83"/>
      <c r="FN119" s="83"/>
      <c r="FO119" s="83"/>
      <c r="FP119" s="83"/>
      <c r="FQ119" s="83"/>
      <c r="FR119" s="83"/>
      <c r="FS119" s="83"/>
      <c r="FT119" s="83"/>
      <c r="FU119" s="83"/>
      <c r="FV119" s="83"/>
      <c r="FW119" s="83"/>
      <c r="FX119" s="83"/>
      <c r="FY119" s="83"/>
      <c r="FZ119" s="83"/>
      <c r="GA119" s="83"/>
      <c r="GB119" s="83"/>
      <c r="GC119" s="83"/>
      <c r="GD119" s="83"/>
      <c r="GE119" s="83"/>
      <c r="GF119" s="83"/>
      <c r="GG119" s="83"/>
      <c r="GH119" s="83"/>
      <c r="GI119" s="83"/>
      <c r="GJ119" s="83"/>
      <c r="GK119" s="83"/>
      <c r="GL119" s="83"/>
      <c r="GM119" s="83"/>
      <c r="GN119" s="83"/>
      <c r="GO119" s="83"/>
      <c r="GP119" s="83"/>
      <c r="GQ119" s="83"/>
      <c r="GR119" s="83"/>
      <c r="GS119" s="83"/>
      <c r="GT119" s="83"/>
      <c r="GU119" s="83"/>
      <c r="GV119" s="83"/>
      <c r="GW119" s="83"/>
      <c r="GX119" s="83"/>
      <c r="GY119" s="83"/>
      <c r="GZ119" s="83"/>
      <c r="HA119" s="83"/>
      <c r="HB119" s="83"/>
      <c r="HC119" s="83"/>
      <c r="HD119" s="83"/>
      <c r="HE119" s="83"/>
      <c r="HF119" s="83"/>
      <c r="HG119" s="83"/>
      <c r="HH119" s="83"/>
      <c r="HI119" s="83"/>
      <c r="HJ119" s="83"/>
      <c r="HK119" s="83"/>
      <c r="HL119" s="83"/>
      <c r="HM119" s="83"/>
      <c r="HN119" s="83"/>
      <c r="HO119" s="83"/>
      <c r="HP119" s="83"/>
      <c r="HQ119" s="83"/>
      <c r="HR119" s="83"/>
      <c r="HS119" s="83"/>
      <c r="HT119" s="83"/>
      <c r="HU119" s="83"/>
      <c r="HV119" s="83"/>
      <c r="HW119" s="83"/>
      <c r="HX119" s="83"/>
      <c r="HY119" s="83"/>
      <c r="HZ119" s="83"/>
      <c r="IA119" s="83"/>
      <c r="IB119" s="83"/>
      <c r="IC119" s="83"/>
      <c r="ID119" s="83"/>
      <c r="IE119" s="83"/>
      <c r="IF119" s="83"/>
      <c r="IG119" s="83"/>
    </row>
    <row r="120" spans="1:241" x14ac:dyDescent="0.3">
      <c r="A120" s="83"/>
      <c r="B120" s="7" t="s">
        <v>113</v>
      </c>
      <c r="C120" s="8">
        <v>3.3443999999999998</v>
      </c>
      <c r="D120" s="8">
        <v>0.27450000000000002</v>
      </c>
      <c r="E120" s="8">
        <v>-4.7199999999999999E-2</v>
      </c>
      <c r="F120" s="8">
        <v>13.146699999999999</v>
      </c>
      <c r="G120" s="8">
        <v>-12.657400000000001</v>
      </c>
      <c r="H120" s="8">
        <v>3.0705</v>
      </c>
      <c r="I120" s="26">
        <v>1.74</v>
      </c>
      <c r="J120" s="26">
        <v>1.55</v>
      </c>
      <c r="K120" s="8">
        <v>1</v>
      </c>
      <c r="L120" s="8">
        <v>10</v>
      </c>
      <c r="M120" s="9">
        <v>300</v>
      </c>
      <c r="N120" s="31"/>
      <c r="O120" s="1"/>
      <c r="P120" s="1"/>
      <c r="Q120" s="1"/>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c r="DD120" s="83"/>
      <c r="DE120" s="83"/>
      <c r="DF120" s="83"/>
      <c r="DG120" s="83"/>
      <c r="DH120" s="83"/>
      <c r="DI120" s="83"/>
      <c r="DJ120" s="83"/>
      <c r="DK120" s="83"/>
      <c r="DL120" s="83"/>
      <c r="DM120" s="83"/>
      <c r="DN120" s="83"/>
      <c r="DO120" s="83"/>
      <c r="DP120" s="83"/>
      <c r="DQ120" s="83"/>
      <c r="DR120" s="83"/>
      <c r="DS120" s="83"/>
      <c r="DT120" s="83"/>
      <c r="DU120" s="83"/>
      <c r="DV120" s="83"/>
      <c r="DW120" s="83"/>
      <c r="DX120" s="83"/>
      <c r="DY120" s="83"/>
      <c r="DZ120" s="83"/>
      <c r="EA120" s="83"/>
      <c r="EB120" s="83"/>
      <c r="EC120" s="83"/>
      <c r="ED120" s="83"/>
      <c r="EE120" s="83"/>
      <c r="EF120" s="83"/>
      <c r="EG120" s="83"/>
      <c r="EH120" s="83"/>
      <c r="EI120" s="83"/>
      <c r="EJ120" s="83"/>
      <c r="EK120" s="83"/>
      <c r="EL120" s="83"/>
      <c r="EM120" s="83"/>
      <c r="EN120" s="83"/>
      <c r="EO120" s="83"/>
      <c r="EP120" s="83"/>
      <c r="EQ120" s="83"/>
      <c r="ER120" s="83"/>
      <c r="ES120" s="83"/>
      <c r="ET120" s="83"/>
      <c r="EU120" s="83"/>
      <c r="EV120" s="83"/>
      <c r="EW120" s="83"/>
      <c r="EX120" s="83"/>
      <c r="EY120" s="83"/>
      <c r="EZ120" s="83"/>
      <c r="FA120" s="83"/>
      <c r="FB120" s="83"/>
      <c r="FC120" s="83"/>
      <c r="FD120" s="83"/>
      <c r="FE120" s="83"/>
      <c r="FF120" s="83"/>
      <c r="FG120" s="83"/>
      <c r="FH120" s="83"/>
      <c r="FI120" s="83"/>
      <c r="FJ120" s="83"/>
      <c r="FK120" s="83"/>
      <c r="FL120" s="83"/>
      <c r="FM120" s="83"/>
      <c r="FN120" s="83"/>
      <c r="FO120" s="83"/>
      <c r="FP120" s="83"/>
      <c r="FQ120" s="83"/>
      <c r="FR120" s="83"/>
      <c r="FS120" s="83"/>
      <c r="FT120" s="83"/>
      <c r="FU120" s="83"/>
      <c r="FV120" s="83"/>
      <c r="FW120" s="83"/>
      <c r="FX120" s="83"/>
      <c r="FY120" s="83"/>
      <c r="FZ120" s="83"/>
      <c r="GA120" s="83"/>
      <c r="GB120" s="83"/>
      <c r="GC120" s="83"/>
      <c r="GD120" s="83"/>
      <c r="GE120" s="83"/>
      <c r="GF120" s="83"/>
      <c r="GG120" s="83"/>
      <c r="GH120" s="83"/>
      <c r="GI120" s="83"/>
      <c r="GJ120" s="83"/>
      <c r="GK120" s="83"/>
      <c r="GL120" s="83"/>
      <c r="GM120" s="83"/>
      <c r="GN120" s="83"/>
      <c r="GO120" s="83"/>
      <c r="GP120" s="83"/>
      <c r="GQ120" s="83"/>
      <c r="GR120" s="83"/>
      <c r="GS120" s="83"/>
      <c r="GT120" s="83"/>
      <c r="GU120" s="83"/>
      <c r="GV120" s="83"/>
      <c r="GW120" s="83"/>
      <c r="GX120" s="83"/>
      <c r="GY120" s="83"/>
      <c r="GZ120" s="83"/>
      <c r="HA120" s="83"/>
      <c r="HB120" s="83"/>
      <c r="HC120" s="83"/>
      <c r="HD120" s="83"/>
      <c r="HE120" s="83"/>
      <c r="HF120" s="83"/>
      <c r="HG120" s="83"/>
      <c r="HH120" s="83"/>
      <c r="HI120" s="83"/>
      <c r="HJ120" s="83"/>
      <c r="HK120" s="83"/>
      <c r="HL120" s="83"/>
      <c r="HM120" s="83"/>
      <c r="HN120" s="83"/>
      <c r="HO120" s="83"/>
      <c r="HP120" s="83"/>
      <c r="HQ120" s="83"/>
      <c r="HR120" s="83"/>
      <c r="HS120" s="83"/>
      <c r="HT120" s="83"/>
      <c r="HU120" s="83"/>
      <c r="HV120" s="83"/>
      <c r="HW120" s="83"/>
      <c r="HX120" s="83"/>
      <c r="HY120" s="83"/>
      <c r="HZ120" s="83"/>
      <c r="IA120" s="83"/>
      <c r="IB120" s="83"/>
      <c r="IC120" s="83"/>
      <c r="ID120" s="83"/>
      <c r="IE120" s="83"/>
      <c r="IF120" s="83"/>
      <c r="IG120" s="83"/>
    </row>
    <row r="121" spans="1:241" x14ac:dyDescent="0.3">
      <c r="A121" s="83"/>
      <c r="B121" s="64" t="s">
        <v>114</v>
      </c>
      <c r="C121" s="13"/>
      <c r="D121" s="13"/>
      <c r="E121" s="13"/>
      <c r="F121" s="13">
        <v>0.60719999999999996</v>
      </c>
      <c r="G121" s="13">
        <v>-0.91200000000000003</v>
      </c>
      <c r="H121" s="13">
        <v>0.3327</v>
      </c>
      <c r="I121" s="15"/>
      <c r="J121" s="15"/>
      <c r="K121" s="15"/>
      <c r="L121" s="15"/>
      <c r="M121" s="28"/>
      <c r="N121" s="31"/>
      <c r="O121" s="1"/>
      <c r="P121" s="1"/>
      <c r="Q121" s="1"/>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c r="DD121" s="83"/>
      <c r="DE121" s="83"/>
      <c r="DF121" s="83"/>
      <c r="DG121" s="83"/>
      <c r="DH121" s="83"/>
      <c r="DI121" s="83"/>
      <c r="DJ121" s="83"/>
      <c r="DK121" s="83"/>
      <c r="DL121" s="83"/>
      <c r="DM121" s="83"/>
      <c r="DN121" s="83"/>
      <c r="DO121" s="83"/>
      <c r="DP121" s="83"/>
      <c r="DQ121" s="83"/>
      <c r="DR121" s="83"/>
      <c r="DS121" s="83"/>
      <c r="DT121" s="83"/>
      <c r="DU121" s="83"/>
      <c r="DV121" s="83"/>
      <c r="DW121" s="83"/>
      <c r="DX121" s="83"/>
      <c r="DY121" s="83"/>
      <c r="DZ121" s="83"/>
      <c r="EA121" s="83"/>
      <c r="EB121" s="83"/>
      <c r="EC121" s="83"/>
      <c r="ED121" s="83"/>
      <c r="EE121" s="83"/>
      <c r="EF121" s="83"/>
      <c r="EG121" s="83"/>
      <c r="EH121" s="83"/>
      <c r="EI121" s="83"/>
      <c r="EJ121" s="83"/>
      <c r="EK121" s="83"/>
      <c r="EL121" s="83"/>
      <c r="EM121" s="83"/>
      <c r="EN121" s="83"/>
      <c r="EO121" s="83"/>
      <c r="EP121" s="83"/>
      <c r="EQ121" s="83"/>
      <c r="ER121" s="83"/>
      <c r="ES121" s="83"/>
      <c r="ET121" s="83"/>
      <c r="EU121" s="83"/>
      <c r="EV121" s="83"/>
      <c r="EW121" s="83"/>
      <c r="EX121" s="83"/>
      <c r="EY121" s="83"/>
      <c r="EZ121" s="83"/>
      <c r="FA121" s="83"/>
      <c r="FB121" s="83"/>
      <c r="FC121" s="83"/>
      <c r="FD121" s="83"/>
      <c r="FE121" s="83"/>
      <c r="FF121" s="83"/>
      <c r="FG121" s="83"/>
      <c r="FH121" s="83"/>
      <c r="FI121" s="83"/>
      <c r="FJ121" s="83"/>
      <c r="FK121" s="83"/>
      <c r="FL121" s="83"/>
      <c r="FM121" s="83"/>
      <c r="FN121" s="83"/>
      <c r="FO121" s="83"/>
      <c r="FP121" s="83"/>
      <c r="FQ121" s="83"/>
      <c r="FR121" s="83"/>
      <c r="FS121" s="83"/>
      <c r="FT121" s="83"/>
      <c r="FU121" s="83"/>
      <c r="FV121" s="83"/>
      <c r="FW121" s="83"/>
      <c r="FX121" s="83"/>
      <c r="FY121" s="83"/>
      <c r="FZ121" s="83"/>
      <c r="GA121" s="83"/>
      <c r="GB121" s="83"/>
      <c r="GC121" s="83"/>
      <c r="GD121" s="83"/>
      <c r="GE121" s="83"/>
      <c r="GF121" s="83"/>
      <c r="GG121" s="83"/>
      <c r="GH121" s="83"/>
      <c r="GI121" s="83"/>
      <c r="GJ121" s="83"/>
      <c r="GK121" s="83"/>
      <c r="GL121" s="83"/>
      <c r="GM121" s="83"/>
      <c r="GN121" s="83"/>
      <c r="GO121" s="83"/>
      <c r="GP121" s="83"/>
      <c r="GQ121" s="83"/>
      <c r="GR121" s="83"/>
      <c r="GS121" s="83"/>
      <c r="GT121" s="83"/>
      <c r="GU121" s="83"/>
      <c r="GV121" s="83"/>
      <c r="GW121" s="83"/>
      <c r="GX121" s="83"/>
      <c r="GY121" s="83"/>
      <c r="GZ121" s="83"/>
      <c r="HA121" s="83"/>
      <c r="HB121" s="83"/>
      <c r="HC121" s="83"/>
      <c r="HD121" s="83"/>
      <c r="HE121" s="83"/>
      <c r="HF121" s="83"/>
      <c r="HG121" s="83"/>
      <c r="HH121" s="83"/>
      <c r="HI121" s="83"/>
      <c r="HJ121" s="83"/>
      <c r="HK121" s="83"/>
      <c r="HL121" s="83"/>
      <c r="HM121" s="83"/>
      <c r="HN121" s="83"/>
      <c r="HO121" s="83"/>
      <c r="HP121" s="83"/>
      <c r="HQ121" s="83"/>
      <c r="HR121" s="83"/>
      <c r="HS121" s="83"/>
      <c r="HT121" s="83"/>
      <c r="HU121" s="83"/>
      <c r="HV121" s="83"/>
      <c r="HW121" s="83"/>
      <c r="HX121" s="83"/>
      <c r="HY121" s="83"/>
      <c r="HZ121" s="83"/>
      <c r="IA121" s="83"/>
      <c r="IB121" s="83"/>
      <c r="IC121" s="83"/>
      <c r="ID121" s="83"/>
      <c r="IE121" s="83"/>
      <c r="IF121" s="83"/>
      <c r="IG121" s="83"/>
    </row>
    <row r="122" spans="1:241" x14ac:dyDescent="0.3">
      <c r="A122" s="83"/>
      <c r="B122" s="64" t="s">
        <v>115</v>
      </c>
      <c r="C122" s="13"/>
      <c r="D122" s="13"/>
      <c r="E122" s="13"/>
      <c r="F122" s="13">
        <v>0</v>
      </c>
      <c r="G122" s="13">
        <v>0</v>
      </c>
      <c r="H122" s="13">
        <v>0</v>
      </c>
      <c r="I122" s="15"/>
      <c r="J122" s="15"/>
      <c r="K122" s="15"/>
      <c r="L122" s="15"/>
      <c r="M122" s="28"/>
      <c r="N122" s="31"/>
      <c r="O122" s="1"/>
      <c r="P122" s="1"/>
      <c r="Q122" s="1"/>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c r="DD122" s="83"/>
      <c r="DE122" s="83"/>
      <c r="DF122" s="83"/>
      <c r="DG122" s="83"/>
      <c r="DH122" s="83"/>
      <c r="DI122" s="83"/>
      <c r="DJ122" s="83"/>
      <c r="DK122" s="83"/>
      <c r="DL122" s="83"/>
      <c r="DM122" s="83"/>
      <c r="DN122" s="83"/>
      <c r="DO122" s="83"/>
      <c r="DP122" s="83"/>
      <c r="DQ122" s="83"/>
      <c r="DR122" s="83"/>
      <c r="DS122" s="83"/>
      <c r="DT122" s="83"/>
      <c r="DU122" s="83"/>
      <c r="DV122" s="83"/>
      <c r="DW122" s="83"/>
      <c r="DX122" s="83"/>
      <c r="DY122" s="83"/>
      <c r="DZ122" s="83"/>
      <c r="EA122" s="83"/>
      <c r="EB122" s="83"/>
      <c r="EC122" s="83"/>
      <c r="ED122" s="83"/>
      <c r="EE122" s="83"/>
      <c r="EF122" s="83"/>
      <c r="EG122" s="83"/>
      <c r="EH122" s="83"/>
      <c r="EI122" s="83"/>
      <c r="EJ122" s="83"/>
      <c r="EK122" s="83"/>
      <c r="EL122" s="83"/>
      <c r="EM122" s="83"/>
      <c r="EN122" s="83"/>
      <c r="EO122" s="83"/>
      <c r="EP122" s="83"/>
      <c r="EQ122" s="83"/>
      <c r="ER122" s="83"/>
      <c r="ES122" s="83"/>
      <c r="ET122" s="83"/>
      <c r="EU122" s="83"/>
      <c r="EV122" s="83"/>
      <c r="EW122" s="83"/>
      <c r="EX122" s="83"/>
      <c r="EY122" s="83"/>
      <c r="EZ122" s="83"/>
      <c r="FA122" s="83"/>
      <c r="FB122" s="83"/>
      <c r="FC122" s="83"/>
      <c r="FD122" s="83"/>
      <c r="FE122" s="83"/>
      <c r="FF122" s="83"/>
      <c r="FG122" s="83"/>
      <c r="FH122" s="83"/>
      <c r="FI122" s="83"/>
      <c r="FJ122" s="83"/>
      <c r="FK122" s="83"/>
      <c r="FL122" s="83"/>
      <c r="FM122" s="83"/>
      <c r="FN122" s="83"/>
      <c r="FO122" s="83"/>
      <c r="FP122" s="83"/>
      <c r="FQ122" s="83"/>
      <c r="FR122" s="83"/>
      <c r="FS122" s="83"/>
      <c r="FT122" s="83"/>
      <c r="FU122" s="83"/>
      <c r="FV122" s="83"/>
      <c r="FW122" s="83"/>
      <c r="FX122" s="83"/>
      <c r="FY122" s="83"/>
      <c r="FZ122" s="83"/>
      <c r="GA122" s="83"/>
      <c r="GB122" s="83"/>
      <c r="GC122" s="83"/>
      <c r="GD122" s="83"/>
      <c r="GE122" s="83"/>
      <c r="GF122" s="83"/>
      <c r="GG122" s="83"/>
      <c r="GH122" s="83"/>
      <c r="GI122" s="83"/>
      <c r="GJ122" s="83"/>
      <c r="GK122" s="83"/>
      <c r="GL122" s="83"/>
      <c r="GM122" s="83"/>
      <c r="GN122" s="83"/>
      <c r="GO122" s="83"/>
      <c r="GP122" s="83"/>
      <c r="GQ122" s="83"/>
      <c r="GR122" s="83"/>
      <c r="GS122" s="83"/>
      <c r="GT122" s="83"/>
      <c r="GU122" s="83"/>
      <c r="GV122" s="83"/>
      <c r="GW122" s="83"/>
      <c r="GX122" s="83"/>
      <c r="GY122" s="83"/>
      <c r="GZ122" s="83"/>
      <c r="HA122" s="83"/>
      <c r="HB122" s="83"/>
      <c r="HC122" s="83"/>
      <c r="HD122" s="83"/>
      <c r="HE122" s="83"/>
      <c r="HF122" s="83"/>
      <c r="HG122" s="83"/>
      <c r="HH122" s="83"/>
      <c r="HI122" s="83"/>
      <c r="HJ122" s="83"/>
      <c r="HK122" s="83"/>
      <c r="HL122" s="83"/>
      <c r="HM122" s="83"/>
      <c r="HN122" s="83"/>
      <c r="HO122" s="83"/>
      <c r="HP122" s="83"/>
      <c r="HQ122" s="83"/>
      <c r="HR122" s="83"/>
      <c r="HS122" s="83"/>
      <c r="HT122" s="83"/>
      <c r="HU122" s="83"/>
      <c r="HV122" s="83"/>
      <c r="HW122" s="83"/>
      <c r="HX122" s="83"/>
      <c r="HY122" s="83"/>
      <c r="HZ122" s="83"/>
      <c r="IA122" s="83"/>
      <c r="IB122" s="83"/>
      <c r="IC122" s="83"/>
      <c r="ID122" s="83"/>
      <c r="IE122" s="83"/>
      <c r="IF122" s="83"/>
      <c r="IG122" s="83"/>
    </row>
    <row r="123" spans="1:241" x14ac:dyDescent="0.3">
      <c r="A123" s="83"/>
      <c r="B123" s="12" t="s">
        <v>116</v>
      </c>
      <c r="C123" s="13">
        <v>2.7652000000000001</v>
      </c>
      <c r="D123" s="13">
        <v>0.72819999999999996</v>
      </c>
      <c r="E123" s="13">
        <v>7.8299999999999995E-2</v>
      </c>
      <c r="F123" s="13">
        <v>13.146699999999999</v>
      </c>
      <c r="G123" s="13">
        <v>-12.657400000000001</v>
      </c>
      <c r="H123" s="13">
        <v>3.0705</v>
      </c>
      <c r="I123" s="15">
        <v>1.74</v>
      </c>
      <c r="J123" s="15">
        <v>1.55</v>
      </c>
      <c r="K123" s="13">
        <v>10</v>
      </c>
      <c r="L123" s="13">
        <v>100</v>
      </c>
      <c r="M123" s="16">
        <v>300</v>
      </c>
      <c r="N123" s="31"/>
      <c r="O123" s="1"/>
      <c r="P123" s="1"/>
      <c r="Q123" s="1"/>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c r="DD123" s="83"/>
      <c r="DE123" s="83"/>
      <c r="DF123" s="83"/>
      <c r="DG123" s="83"/>
      <c r="DH123" s="83"/>
      <c r="DI123" s="83"/>
      <c r="DJ123" s="83"/>
      <c r="DK123" s="83"/>
      <c r="DL123" s="83"/>
      <c r="DM123" s="83"/>
      <c r="DN123" s="83"/>
      <c r="DO123" s="83"/>
      <c r="DP123" s="83"/>
      <c r="DQ123" s="83"/>
      <c r="DR123" s="83"/>
      <c r="DS123" s="83"/>
      <c r="DT123" s="83"/>
      <c r="DU123" s="83"/>
      <c r="DV123" s="83"/>
      <c r="DW123" s="83"/>
      <c r="DX123" s="83"/>
      <c r="DY123" s="83"/>
      <c r="DZ123" s="83"/>
      <c r="EA123" s="83"/>
      <c r="EB123" s="83"/>
      <c r="EC123" s="83"/>
      <c r="ED123" s="83"/>
      <c r="EE123" s="83"/>
      <c r="EF123" s="83"/>
      <c r="EG123" s="83"/>
      <c r="EH123" s="83"/>
      <c r="EI123" s="83"/>
      <c r="EJ123" s="83"/>
      <c r="EK123" s="83"/>
      <c r="EL123" s="83"/>
      <c r="EM123" s="83"/>
      <c r="EN123" s="83"/>
      <c r="EO123" s="83"/>
      <c r="EP123" s="83"/>
      <c r="EQ123" s="83"/>
      <c r="ER123" s="83"/>
      <c r="ES123" s="83"/>
      <c r="ET123" s="83"/>
      <c r="EU123" s="83"/>
      <c r="EV123" s="83"/>
      <c r="EW123" s="83"/>
      <c r="EX123" s="83"/>
      <c r="EY123" s="83"/>
      <c r="EZ123" s="83"/>
      <c r="FA123" s="83"/>
      <c r="FB123" s="83"/>
      <c r="FC123" s="83"/>
      <c r="FD123" s="83"/>
      <c r="FE123" s="83"/>
      <c r="FF123" s="83"/>
      <c r="FG123" s="83"/>
      <c r="FH123" s="83"/>
      <c r="FI123" s="83"/>
      <c r="FJ123" s="83"/>
      <c r="FK123" s="83"/>
      <c r="FL123" s="83"/>
      <c r="FM123" s="83"/>
      <c r="FN123" s="83"/>
      <c r="FO123" s="83"/>
      <c r="FP123" s="83"/>
      <c r="FQ123" s="83"/>
      <c r="FR123" s="83"/>
      <c r="FS123" s="83"/>
      <c r="FT123" s="83"/>
      <c r="FU123" s="83"/>
      <c r="FV123" s="83"/>
      <c r="FW123" s="83"/>
      <c r="FX123" s="83"/>
      <c r="FY123" s="83"/>
      <c r="FZ123" s="83"/>
      <c r="GA123" s="83"/>
      <c r="GB123" s="83"/>
      <c r="GC123" s="83"/>
      <c r="GD123" s="83"/>
      <c r="GE123" s="83"/>
      <c r="GF123" s="83"/>
      <c r="GG123" s="83"/>
      <c r="GH123" s="83"/>
      <c r="GI123" s="83"/>
      <c r="GJ123" s="83"/>
      <c r="GK123" s="83"/>
      <c r="GL123" s="83"/>
      <c r="GM123" s="83"/>
      <c r="GN123" s="83"/>
      <c r="GO123" s="83"/>
      <c r="GP123" s="83"/>
      <c r="GQ123" s="83"/>
      <c r="GR123" s="83"/>
      <c r="GS123" s="83"/>
      <c r="GT123" s="83"/>
      <c r="GU123" s="83"/>
      <c r="GV123" s="83"/>
      <c r="GW123" s="83"/>
      <c r="GX123" s="83"/>
      <c r="GY123" s="83"/>
      <c r="GZ123" s="83"/>
      <c r="HA123" s="83"/>
      <c r="HB123" s="83"/>
      <c r="HC123" s="83"/>
      <c r="HD123" s="83"/>
      <c r="HE123" s="83"/>
      <c r="HF123" s="83"/>
      <c r="HG123" s="83"/>
      <c r="HH123" s="83"/>
      <c r="HI123" s="83"/>
      <c r="HJ123" s="83"/>
      <c r="HK123" s="83"/>
      <c r="HL123" s="83"/>
      <c r="HM123" s="83"/>
      <c r="HN123" s="83"/>
      <c r="HO123" s="83"/>
      <c r="HP123" s="83"/>
      <c r="HQ123" s="83"/>
      <c r="HR123" s="83"/>
      <c r="HS123" s="83"/>
      <c r="HT123" s="83"/>
      <c r="HU123" s="83"/>
      <c r="HV123" s="83"/>
      <c r="HW123" s="83"/>
      <c r="HX123" s="83"/>
      <c r="HY123" s="83"/>
      <c r="HZ123" s="83"/>
      <c r="IA123" s="83"/>
      <c r="IB123" s="83"/>
      <c r="IC123" s="83"/>
      <c r="ID123" s="83"/>
      <c r="IE123" s="83"/>
      <c r="IF123" s="83"/>
      <c r="IG123" s="83"/>
    </row>
    <row r="124" spans="1:241" x14ac:dyDescent="0.3">
      <c r="A124" s="83"/>
      <c r="B124" s="64" t="s">
        <v>114</v>
      </c>
      <c r="C124" s="13"/>
      <c r="D124" s="13"/>
      <c r="E124" s="13"/>
      <c r="F124" s="13">
        <v>0.60719999999999996</v>
      </c>
      <c r="G124" s="13">
        <v>-0.91200000000000003</v>
      </c>
      <c r="H124" s="13">
        <v>0.3327</v>
      </c>
      <c r="I124" s="15"/>
      <c r="J124" s="15"/>
      <c r="K124" s="15"/>
      <c r="L124" s="15"/>
      <c r="M124" s="28"/>
      <c r="N124" s="31"/>
      <c r="O124" s="1"/>
      <c r="P124" s="1"/>
      <c r="Q124" s="1"/>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c r="DD124" s="83"/>
      <c r="DE124" s="83"/>
      <c r="DF124" s="83"/>
      <c r="DG124" s="83"/>
      <c r="DH124" s="83"/>
      <c r="DI124" s="83"/>
      <c r="DJ124" s="83"/>
      <c r="DK124" s="83"/>
      <c r="DL124" s="83"/>
      <c r="DM124" s="83"/>
      <c r="DN124" s="83"/>
      <c r="DO124" s="83"/>
      <c r="DP124" s="83"/>
      <c r="DQ124" s="83"/>
      <c r="DR124" s="83"/>
      <c r="DS124" s="83"/>
      <c r="DT124" s="83"/>
      <c r="DU124" s="83"/>
      <c r="DV124" s="83"/>
      <c r="DW124" s="83"/>
      <c r="DX124" s="83"/>
      <c r="DY124" s="83"/>
      <c r="DZ124" s="83"/>
      <c r="EA124" s="83"/>
      <c r="EB124" s="83"/>
      <c r="EC124" s="83"/>
      <c r="ED124" s="83"/>
      <c r="EE124" s="83"/>
      <c r="EF124" s="83"/>
      <c r="EG124" s="83"/>
      <c r="EH124" s="83"/>
      <c r="EI124" s="83"/>
      <c r="EJ124" s="83"/>
      <c r="EK124" s="83"/>
      <c r="EL124" s="83"/>
      <c r="EM124" s="83"/>
      <c r="EN124" s="83"/>
      <c r="EO124" s="83"/>
      <c r="EP124" s="83"/>
      <c r="EQ124" s="83"/>
      <c r="ER124" s="83"/>
      <c r="ES124" s="83"/>
      <c r="ET124" s="83"/>
      <c r="EU124" s="83"/>
      <c r="EV124" s="83"/>
      <c r="EW124" s="83"/>
      <c r="EX124" s="83"/>
      <c r="EY124" s="83"/>
      <c r="EZ124" s="83"/>
      <c r="FA124" s="83"/>
      <c r="FB124" s="83"/>
      <c r="FC124" s="83"/>
      <c r="FD124" s="83"/>
      <c r="FE124" s="83"/>
      <c r="FF124" s="83"/>
      <c r="FG124" s="83"/>
      <c r="FH124" s="83"/>
      <c r="FI124" s="83"/>
      <c r="FJ124" s="83"/>
      <c r="FK124" s="83"/>
      <c r="FL124" s="83"/>
      <c r="FM124" s="83"/>
      <c r="FN124" s="83"/>
      <c r="FO124" s="83"/>
      <c r="FP124" s="83"/>
      <c r="FQ124" s="83"/>
      <c r="FR124" s="83"/>
      <c r="FS124" s="83"/>
      <c r="FT124" s="83"/>
      <c r="FU124" s="83"/>
      <c r="FV124" s="83"/>
      <c r="FW124" s="83"/>
      <c r="FX124" s="83"/>
      <c r="FY124" s="83"/>
      <c r="FZ124" s="83"/>
      <c r="GA124" s="83"/>
      <c r="GB124" s="83"/>
      <c r="GC124" s="83"/>
      <c r="GD124" s="83"/>
      <c r="GE124" s="83"/>
      <c r="GF124" s="83"/>
      <c r="GG124" s="83"/>
      <c r="GH124" s="83"/>
      <c r="GI124" s="83"/>
      <c r="GJ124" s="83"/>
      <c r="GK124" s="83"/>
      <c r="GL124" s="83"/>
      <c r="GM124" s="83"/>
      <c r="GN124" s="83"/>
      <c r="GO124" s="83"/>
      <c r="GP124" s="83"/>
      <c r="GQ124" s="83"/>
      <c r="GR124" s="83"/>
      <c r="GS124" s="83"/>
      <c r="GT124" s="83"/>
      <c r="GU124" s="83"/>
      <c r="GV124" s="83"/>
      <c r="GW124" s="83"/>
      <c r="GX124" s="83"/>
      <c r="GY124" s="83"/>
      <c r="GZ124" s="83"/>
      <c r="HA124" s="83"/>
      <c r="HB124" s="83"/>
      <c r="HC124" s="83"/>
      <c r="HD124" s="83"/>
      <c r="HE124" s="83"/>
      <c r="HF124" s="83"/>
      <c r="HG124" s="83"/>
      <c r="HH124" s="83"/>
      <c r="HI124" s="83"/>
      <c r="HJ124" s="83"/>
      <c r="HK124" s="83"/>
      <c r="HL124" s="83"/>
      <c r="HM124" s="83"/>
      <c r="HN124" s="83"/>
      <c r="HO124" s="83"/>
      <c r="HP124" s="83"/>
      <c r="HQ124" s="83"/>
      <c r="HR124" s="83"/>
      <c r="HS124" s="83"/>
      <c r="HT124" s="83"/>
      <c r="HU124" s="83"/>
      <c r="HV124" s="83"/>
      <c r="HW124" s="83"/>
      <c r="HX124" s="83"/>
      <c r="HY124" s="83"/>
      <c r="HZ124" s="83"/>
      <c r="IA124" s="83"/>
      <c r="IB124" s="83"/>
      <c r="IC124" s="83"/>
      <c r="ID124" s="83"/>
      <c r="IE124" s="83"/>
      <c r="IF124" s="83"/>
      <c r="IG124" s="83"/>
    </row>
    <row r="125" spans="1:241" x14ac:dyDescent="0.3">
      <c r="A125" s="83"/>
      <c r="B125" s="64" t="s">
        <v>115</v>
      </c>
      <c r="C125" s="13"/>
      <c r="D125" s="13"/>
      <c r="E125" s="13"/>
      <c r="F125" s="13">
        <v>0</v>
      </c>
      <c r="G125" s="13">
        <v>0</v>
      </c>
      <c r="H125" s="13">
        <v>0</v>
      </c>
      <c r="I125" s="15"/>
      <c r="J125" s="15"/>
      <c r="K125" s="15"/>
      <c r="L125" s="15"/>
      <c r="M125" s="28"/>
      <c r="N125" s="31"/>
      <c r="O125" s="31"/>
      <c r="P125" s="31"/>
      <c r="Q125" s="31"/>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c r="DD125" s="83"/>
      <c r="DE125" s="83"/>
      <c r="DF125" s="83"/>
      <c r="DG125" s="83"/>
      <c r="DH125" s="83"/>
      <c r="DI125" s="83"/>
      <c r="DJ125" s="83"/>
      <c r="DK125" s="83"/>
      <c r="DL125" s="83"/>
      <c r="DM125" s="83"/>
      <c r="DN125" s="83"/>
      <c r="DO125" s="83"/>
      <c r="DP125" s="83"/>
      <c r="DQ125" s="83"/>
      <c r="DR125" s="83"/>
      <c r="DS125" s="83"/>
      <c r="DT125" s="83"/>
      <c r="DU125" s="83"/>
      <c r="DV125" s="83"/>
      <c r="DW125" s="83"/>
      <c r="DX125" s="83"/>
      <c r="DY125" s="83"/>
      <c r="DZ125" s="83"/>
      <c r="EA125" s="83"/>
      <c r="EB125" s="83"/>
      <c r="EC125" s="83"/>
      <c r="ED125" s="83"/>
      <c r="EE125" s="83"/>
      <c r="EF125" s="83"/>
      <c r="EG125" s="83"/>
      <c r="EH125" s="83"/>
      <c r="EI125" s="83"/>
      <c r="EJ125" s="83"/>
      <c r="EK125" s="83"/>
      <c r="EL125" s="83"/>
      <c r="EM125" s="83"/>
      <c r="EN125" s="83"/>
      <c r="EO125" s="83"/>
      <c r="EP125" s="83"/>
      <c r="EQ125" s="83"/>
      <c r="ER125" s="83"/>
      <c r="ES125" s="83"/>
      <c r="ET125" s="83"/>
      <c r="EU125" s="83"/>
      <c r="EV125" s="83"/>
      <c r="EW125" s="83"/>
      <c r="EX125" s="83"/>
      <c r="EY125" s="83"/>
      <c r="EZ125" s="83"/>
      <c r="FA125" s="83"/>
      <c r="FB125" s="83"/>
      <c r="FC125" s="83"/>
      <c r="FD125" s="83"/>
      <c r="FE125" s="83"/>
      <c r="FF125" s="83"/>
      <c r="FG125" s="83"/>
      <c r="FH125" s="83"/>
      <c r="FI125" s="83"/>
      <c r="FJ125" s="83"/>
      <c r="FK125" s="83"/>
      <c r="FL125" s="83"/>
      <c r="FM125" s="83"/>
      <c r="FN125" s="83"/>
      <c r="FO125" s="83"/>
      <c r="FP125" s="83"/>
      <c r="FQ125" s="83"/>
      <c r="FR125" s="83"/>
      <c r="FS125" s="83"/>
      <c r="FT125" s="83"/>
      <c r="FU125" s="83"/>
      <c r="FV125" s="83"/>
      <c r="FW125" s="83"/>
      <c r="FX125" s="83"/>
      <c r="FY125" s="83"/>
      <c r="FZ125" s="83"/>
      <c r="GA125" s="83"/>
      <c r="GB125" s="83"/>
      <c r="GC125" s="83"/>
      <c r="GD125" s="83"/>
      <c r="GE125" s="83"/>
      <c r="GF125" s="83"/>
      <c r="GG125" s="83"/>
      <c r="GH125" s="83"/>
      <c r="GI125" s="83"/>
      <c r="GJ125" s="83"/>
      <c r="GK125" s="83"/>
      <c r="GL125" s="83"/>
      <c r="GM125" s="83"/>
      <c r="GN125" s="83"/>
      <c r="GO125" s="83"/>
      <c r="GP125" s="83"/>
      <c r="GQ125" s="83"/>
      <c r="GR125" s="83"/>
      <c r="GS125" s="83"/>
      <c r="GT125" s="83"/>
      <c r="GU125" s="83"/>
      <c r="GV125" s="83"/>
      <c r="GW125" s="83"/>
      <c r="GX125" s="83"/>
      <c r="GY125" s="83"/>
      <c r="GZ125" s="83"/>
      <c r="HA125" s="83"/>
      <c r="HB125" s="83"/>
      <c r="HC125" s="83"/>
      <c r="HD125" s="83"/>
      <c r="HE125" s="83"/>
      <c r="HF125" s="83"/>
      <c r="HG125" s="83"/>
      <c r="HH125" s="83"/>
      <c r="HI125" s="83"/>
      <c r="HJ125" s="83"/>
      <c r="HK125" s="83"/>
      <c r="HL125" s="83"/>
      <c r="HM125" s="83"/>
      <c r="HN125" s="83"/>
      <c r="HO125" s="83"/>
      <c r="HP125" s="83"/>
      <c r="HQ125" s="83"/>
      <c r="HR125" s="83"/>
      <c r="HS125" s="83"/>
      <c r="HT125" s="83"/>
      <c r="HU125" s="83"/>
      <c r="HV125" s="83"/>
      <c r="HW125" s="83"/>
      <c r="HX125" s="83"/>
      <c r="HY125" s="83"/>
      <c r="HZ125" s="83"/>
      <c r="IA125" s="83"/>
      <c r="IB125" s="83"/>
      <c r="IC125" s="83"/>
      <c r="ID125" s="83"/>
      <c r="IE125" s="83"/>
      <c r="IF125" s="83"/>
      <c r="IG125" s="83"/>
    </row>
    <row r="126" spans="1:241" x14ac:dyDescent="0.3">
      <c r="A126" s="83"/>
      <c r="B126" s="12" t="s">
        <v>117</v>
      </c>
      <c r="C126" s="13">
        <v>4.3247</v>
      </c>
      <c r="D126" s="13">
        <v>-0.30299999999999999</v>
      </c>
      <c r="E126" s="13">
        <v>0.16339999999999999</v>
      </c>
      <c r="F126" s="13">
        <v>3.8809999999999997E-2</v>
      </c>
      <c r="G126" s="13">
        <v>-0.11272</v>
      </c>
      <c r="H126" s="13">
        <v>8.183E-2</v>
      </c>
      <c r="I126" s="15">
        <v>1.63</v>
      </c>
      <c r="J126" s="15">
        <v>1.66</v>
      </c>
      <c r="K126" s="31">
        <v>10</v>
      </c>
      <c r="L126" s="13">
        <v>1000</v>
      </c>
      <c r="M126" s="16">
        <v>140</v>
      </c>
      <c r="N126" s="31"/>
      <c r="O126" s="31"/>
      <c r="P126" s="31"/>
      <c r="Q126" s="31"/>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c r="DD126" s="83"/>
      <c r="DE126" s="83"/>
      <c r="DF126" s="83"/>
      <c r="DG126" s="83"/>
      <c r="DH126" s="83"/>
      <c r="DI126" s="83"/>
      <c r="DJ126" s="83"/>
      <c r="DK126" s="83"/>
      <c r="DL126" s="83"/>
      <c r="DM126" s="83"/>
      <c r="DN126" s="83"/>
      <c r="DO126" s="83"/>
      <c r="DP126" s="83"/>
      <c r="DQ126" s="83"/>
      <c r="DR126" s="83"/>
      <c r="DS126" s="83"/>
      <c r="DT126" s="83"/>
      <c r="DU126" s="83"/>
      <c r="DV126" s="83"/>
      <c r="DW126" s="83"/>
      <c r="DX126" s="83"/>
      <c r="DY126" s="83"/>
      <c r="DZ126" s="83"/>
      <c r="EA126" s="83"/>
      <c r="EB126" s="83"/>
      <c r="EC126" s="83"/>
      <c r="ED126" s="83"/>
      <c r="EE126" s="83"/>
      <c r="EF126" s="83"/>
      <c r="EG126" s="83"/>
      <c r="EH126" s="83"/>
      <c r="EI126" s="83"/>
      <c r="EJ126" s="83"/>
      <c r="EK126" s="83"/>
      <c r="EL126" s="83"/>
      <c r="EM126" s="83"/>
      <c r="EN126" s="83"/>
      <c r="EO126" s="83"/>
      <c r="EP126" s="83"/>
      <c r="EQ126" s="83"/>
      <c r="ER126" s="83"/>
      <c r="ES126" s="83"/>
      <c r="ET126" s="83"/>
      <c r="EU126" s="83"/>
      <c r="EV126" s="83"/>
      <c r="EW126" s="83"/>
      <c r="EX126" s="83"/>
      <c r="EY126" s="83"/>
      <c r="EZ126" s="83"/>
      <c r="FA126" s="83"/>
      <c r="FB126" s="83"/>
      <c r="FC126" s="83"/>
      <c r="FD126" s="83"/>
      <c r="FE126" s="83"/>
      <c r="FF126" s="83"/>
      <c r="FG126" s="83"/>
      <c r="FH126" s="83"/>
      <c r="FI126" s="83"/>
      <c r="FJ126" s="83"/>
      <c r="FK126" s="83"/>
      <c r="FL126" s="83"/>
      <c r="FM126" s="83"/>
      <c r="FN126" s="83"/>
      <c r="FO126" s="83"/>
      <c r="FP126" s="83"/>
      <c r="FQ126" s="83"/>
      <c r="FR126" s="83"/>
      <c r="FS126" s="83"/>
      <c r="FT126" s="83"/>
      <c r="FU126" s="83"/>
      <c r="FV126" s="83"/>
      <c r="FW126" s="83"/>
      <c r="FX126" s="83"/>
      <c r="FY126" s="83"/>
      <c r="FZ126" s="83"/>
      <c r="GA126" s="83"/>
      <c r="GB126" s="83"/>
      <c r="GC126" s="83"/>
      <c r="GD126" s="83"/>
      <c r="GE126" s="83"/>
      <c r="GF126" s="83"/>
      <c r="GG126" s="83"/>
      <c r="GH126" s="83"/>
      <c r="GI126" s="83"/>
      <c r="GJ126" s="83"/>
      <c r="GK126" s="83"/>
      <c r="GL126" s="83"/>
      <c r="GM126" s="83"/>
      <c r="GN126" s="83"/>
      <c r="GO126" s="83"/>
      <c r="GP126" s="83"/>
      <c r="GQ126" s="83"/>
      <c r="GR126" s="83"/>
      <c r="GS126" s="83"/>
      <c r="GT126" s="83"/>
      <c r="GU126" s="83"/>
      <c r="GV126" s="83"/>
      <c r="GW126" s="83"/>
      <c r="GX126" s="83"/>
      <c r="GY126" s="83"/>
      <c r="GZ126" s="83"/>
      <c r="HA126" s="83"/>
      <c r="HB126" s="83"/>
      <c r="HC126" s="83"/>
      <c r="HD126" s="83"/>
      <c r="HE126" s="83"/>
      <c r="HF126" s="83"/>
      <c r="HG126" s="83"/>
      <c r="HH126" s="83"/>
      <c r="HI126" s="83"/>
      <c r="HJ126" s="83"/>
      <c r="HK126" s="83"/>
      <c r="HL126" s="83"/>
      <c r="HM126" s="83"/>
      <c r="HN126" s="83"/>
      <c r="HO126" s="83"/>
      <c r="HP126" s="83"/>
      <c r="HQ126" s="83"/>
      <c r="HR126" s="83"/>
      <c r="HS126" s="83"/>
      <c r="HT126" s="83"/>
      <c r="HU126" s="83"/>
      <c r="HV126" s="83"/>
      <c r="HW126" s="83"/>
      <c r="HX126" s="83"/>
      <c r="HY126" s="83"/>
      <c r="HZ126" s="83"/>
      <c r="IA126" s="83"/>
      <c r="IB126" s="83"/>
      <c r="IC126" s="83"/>
      <c r="ID126" s="83"/>
      <c r="IE126" s="83"/>
      <c r="IF126" s="83"/>
      <c r="IG126" s="83"/>
    </row>
    <row r="127" spans="1:241" x14ac:dyDescent="0.3">
      <c r="A127" s="83"/>
      <c r="B127" s="64" t="s">
        <v>118</v>
      </c>
      <c r="C127" s="13"/>
      <c r="D127" s="13"/>
      <c r="E127" s="13"/>
      <c r="F127" s="13">
        <v>-1.64E-3</v>
      </c>
      <c r="G127" s="13">
        <v>-6.2700000000000004E-3</v>
      </c>
      <c r="H127" s="13">
        <v>1.23E-2</v>
      </c>
      <c r="I127" s="15"/>
      <c r="J127" s="15"/>
      <c r="K127" s="31"/>
      <c r="L127" s="13"/>
      <c r="M127" s="16"/>
      <c r="N127" s="31"/>
      <c r="O127" s="31"/>
      <c r="P127" s="31"/>
      <c r="Q127" s="31"/>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c r="DD127" s="83"/>
      <c r="DE127" s="83"/>
      <c r="DF127" s="83"/>
      <c r="DG127" s="83"/>
      <c r="DH127" s="83"/>
      <c r="DI127" s="83"/>
      <c r="DJ127" s="83"/>
      <c r="DK127" s="83"/>
      <c r="DL127" s="83"/>
      <c r="DM127" s="83"/>
      <c r="DN127" s="83"/>
      <c r="DO127" s="83"/>
      <c r="DP127" s="83"/>
      <c r="DQ127" s="83"/>
      <c r="DR127" s="83"/>
      <c r="DS127" s="83"/>
      <c r="DT127" s="83"/>
      <c r="DU127" s="83"/>
      <c r="DV127" s="83"/>
      <c r="DW127" s="83"/>
      <c r="DX127" s="83"/>
      <c r="DY127" s="83"/>
      <c r="DZ127" s="83"/>
      <c r="EA127" s="83"/>
      <c r="EB127" s="83"/>
      <c r="EC127" s="83"/>
      <c r="ED127" s="83"/>
      <c r="EE127" s="83"/>
      <c r="EF127" s="83"/>
      <c r="EG127" s="83"/>
      <c r="EH127" s="83"/>
      <c r="EI127" s="83"/>
      <c r="EJ127" s="83"/>
      <c r="EK127" s="83"/>
      <c r="EL127" s="83"/>
      <c r="EM127" s="83"/>
      <c r="EN127" s="83"/>
      <c r="EO127" s="83"/>
      <c r="EP127" s="83"/>
      <c r="EQ127" s="83"/>
      <c r="ER127" s="83"/>
      <c r="ES127" s="83"/>
      <c r="ET127" s="83"/>
      <c r="EU127" s="83"/>
      <c r="EV127" s="83"/>
      <c r="EW127" s="83"/>
      <c r="EX127" s="83"/>
      <c r="EY127" s="83"/>
      <c r="EZ127" s="83"/>
      <c r="FA127" s="83"/>
      <c r="FB127" s="83"/>
      <c r="FC127" s="83"/>
      <c r="FD127" s="83"/>
      <c r="FE127" s="83"/>
      <c r="FF127" s="83"/>
      <c r="FG127" s="83"/>
      <c r="FH127" s="83"/>
      <c r="FI127" s="83"/>
      <c r="FJ127" s="83"/>
      <c r="FK127" s="83"/>
      <c r="FL127" s="83"/>
      <c r="FM127" s="83"/>
      <c r="FN127" s="83"/>
      <c r="FO127" s="83"/>
      <c r="FP127" s="83"/>
      <c r="FQ127" s="83"/>
      <c r="FR127" s="83"/>
      <c r="FS127" s="83"/>
      <c r="FT127" s="83"/>
      <c r="FU127" s="83"/>
      <c r="FV127" s="83"/>
      <c r="FW127" s="83"/>
      <c r="FX127" s="83"/>
      <c r="FY127" s="83"/>
      <c r="FZ127" s="83"/>
      <c r="GA127" s="83"/>
      <c r="GB127" s="83"/>
      <c r="GC127" s="83"/>
      <c r="GD127" s="83"/>
      <c r="GE127" s="83"/>
      <c r="GF127" s="83"/>
      <c r="GG127" s="83"/>
      <c r="GH127" s="83"/>
      <c r="GI127" s="83"/>
      <c r="GJ127" s="83"/>
      <c r="GK127" s="83"/>
      <c r="GL127" s="83"/>
      <c r="GM127" s="83"/>
      <c r="GN127" s="83"/>
      <c r="GO127" s="83"/>
      <c r="GP127" s="83"/>
      <c r="GQ127" s="83"/>
      <c r="GR127" s="83"/>
      <c r="GS127" s="83"/>
      <c r="GT127" s="83"/>
      <c r="GU127" s="83"/>
      <c r="GV127" s="83"/>
      <c r="GW127" s="83"/>
      <c r="GX127" s="83"/>
      <c r="GY127" s="83"/>
      <c r="GZ127" s="83"/>
      <c r="HA127" s="83"/>
      <c r="HB127" s="83"/>
      <c r="HC127" s="83"/>
      <c r="HD127" s="83"/>
      <c r="HE127" s="83"/>
      <c r="HF127" s="83"/>
      <c r="HG127" s="83"/>
      <c r="HH127" s="83"/>
      <c r="HI127" s="83"/>
      <c r="HJ127" s="83"/>
      <c r="HK127" s="83"/>
      <c r="HL127" s="83"/>
      <c r="HM127" s="83"/>
      <c r="HN127" s="83"/>
      <c r="HO127" s="83"/>
      <c r="HP127" s="83"/>
      <c r="HQ127" s="83"/>
      <c r="HR127" s="83"/>
      <c r="HS127" s="83"/>
      <c r="HT127" s="83"/>
      <c r="HU127" s="83"/>
      <c r="HV127" s="83"/>
      <c r="HW127" s="83"/>
      <c r="HX127" s="83"/>
      <c r="HY127" s="83"/>
      <c r="HZ127" s="83"/>
      <c r="IA127" s="83"/>
      <c r="IB127" s="83"/>
      <c r="IC127" s="83"/>
      <c r="ID127" s="83"/>
      <c r="IE127" s="83"/>
      <c r="IF127" s="83"/>
      <c r="IG127" s="83"/>
    </row>
    <row r="128" spans="1:241" x14ac:dyDescent="0.3">
      <c r="A128" s="83"/>
      <c r="B128" s="12" t="s">
        <v>119</v>
      </c>
      <c r="C128" s="13">
        <v>4.8305999999999996</v>
      </c>
      <c r="D128" s="13">
        <v>-0.85089999999999999</v>
      </c>
      <c r="E128" s="13">
        <v>0.31869999999999998</v>
      </c>
      <c r="F128" s="13">
        <v>3.8809999999999997E-2</v>
      </c>
      <c r="G128" s="13">
        <v>-0.11272</v>
      </c>
      <c r="H128" s="13">
        <v>8.183E-2</v>
      </c>
      <c r="I128" s="15">
        <v>1.63</v>
      </c>
      <c r="J128" s="15">
        <v>1.66</v>
      </c>
      <c r="K128" s="31">
        <v>10</v>
      </c>
      <c r="L128" s="13">
        <v>1000</v>
      </c>
      <c r="M128" s="16">
        <v>140</v>
      </c>
      <c r="N128" s="31"/>
      <c r="O128" s="31"/>
      <c r="P128" s="31"/>
      <c r="Q128" s="31"/>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c r="DD128" s="83"/>
      <c r="DE128" s="83"/>
      <c r="DF128" s="83"/>
      <c r="DG128" s="83"/>
      <c r="DH128" s="83"/>
      <c r="DI128" s="83"/>
      <c r="DJ128" s="83"/>
      <c r="DK128" s="83"/>
      <c r="DL128" s="83"/>
      <c r="DM128" s="83"/>
      <c r="DN128" s="83"/>
      <c r="DO128" s="83"/>
      <c r="DP128" s="83"/>
      <c r="DQ128" s="83"/>
      <c r="DR128" s="83"/>
      <c r="DS128" s="83"/>
      <c r="DT128" s="83"/>
      <c r="DU128" s="83"/>
      <c r="DV128" s="83"/>
      <c r="DW128" s="83"/>
      <c r="DX128" s="83"/>
      <c r="DY128" s="83"/>
      <c r="DZ128" s="83"/>
      <c r="EA128" s="83"/>
      <c r="EB128" s="83"/>
      <c r="EC128" s="83"/>
      <c r="ED128" s="83"/>
      <c r="EE128" s="83"/>
      <c r="EF128" s="83"/>
      <c r="EG128" s="83"/>
      <c r="EH128" s="83"/>
      <c r="EI128" s="83"/>
      <c r="EJ128" s="83"/>
      <c r="EK128" s="83"/>
      <c r="EL128" s="83"/>
      <c r="EM128" s="83"/>
      <c r="EN128" s="83"/>
      <c r="EO128" s="83"/>
      <c r="EP128" s="83"/>
      <c r="EQ128" s="83"/>
      <c r="ER128" s="83"/>
      <c r="ES128" s="83"/>
      <c r="ET128" s="83"/>
      <c r="EU128" s="83"/>
      <c r="EV128" s="83"/>
      <c r="EW128" s="83"/>
      <c r="EX128" s="83"/>
      <c r="EY128" s="83"/>
      <c r="EZ128" s="83"/>
      <c r="FA128" s="83"/>
      <c r="FB128" s="83"/>
      <c r="FC128" s="83"/>
      <c r="FD128" s="83"/>
      <c r="FE128" s="83"/>
      <c r="FF128" s="83"/>
      <c r="FG128" s="83"/>
      <c r="FH128" s="83"/>
      <c r="FI128" s="83"/>
      <c r="FJ128" s="83"/>
      <c r="FK128" s="83"/>
      <c r="FL128" s="83"/>
      <c r="FM128" s="83"/>
      <c r="FN128" s="83"/>
      <c r="FO128" s="83"/>
      <c r="FP128" s="83"/>
      <c r="FQ128" s="83"/>
      <c r="FR128" s="83"/>
      <c r="FS128" s="83"/>
      <c r="FT128" s="83"/>
      <c r="FU128" s="83"/>
      <c r="FV128" s="83"/>
      <c r="FW128" s="83"/>
      <c r="FX128" s="83"/>
      <c r="FY128" s="83"/>
      <c r="FZ128" s="83"/>
      <c r="GA128" s="83"/>
      <c r="GB128" s="83"/>
      <c r="GC128" s="83"/>
      <c r="GD128" s="83"/>
      <c r="GE128" s="83"/>
      <c r="GF128" s="83"/>
      <c r="GG128" s="83"/>
      <c r="GH128" s="83"/>
      <c r="GI128" s="83"/>
      <c r="GJ128" s="83"/>
      <c r="GK128" s="83"/>
      <c r="GL128" s="83"/>
      <c r="GM128" s="83"/>
      <c r="GN128" s="83"/>
      <c r="GO128" s="83"/>
      <c r="GP128" s="83"/>
      <c r="GQ128" s="83"/>
      <c r="GR128" s="83"/>
      <c r="GS128" s="83"/>
      <c r="GT128" s="83"/>
      <c r="GU128" s="83"/>
      <c r="GV128" s="83"/>
      <c r="GW128" s="83"/>
      <c r="GX128" s="83"/>
      <c r="GY128" s="83"/>
      <c r="GZ128" s="83"/>
      <c r="HA128" s="83"/>
      <c r="HB128" s="83"/>
      <c r="HC128" s="83"/>
      <c r="HD128" s="83"/>
      <c r="HE128" s="83"/>
      <c r="HF128" s="83"/>
      <c r="HG128" s="83"/>
      <c r="HH128" s="83"/>
      <c r="HI128" s="83"/>
      <c r="HJ128" s="83"/>
      <c r="HK128" s="83"/>
      <c r="HL128" s="83"/>
      <c r="HM128" s="83"/>
      <c r="HN128" s="83"/>
      <c r="HO128" s="83"/>
      <c r="HP128" s="83"/>
      <c r="HQ128" s="83"/>
      <c r="HR128" s="83"/>
      <c r="HS128" s="83"/>
      <c r="HT128" s="83"/>
      <c r="HU128" s="83"/>
      <c r="HV128" s="83"/>
      <c r="HW128" s="83"/>
      <c r="HX128" s="83"/>
      <c r="HY128" s="83"/>
      <c r="HZ128" s="83"/>
      <c r="IA128" s="83"/>
      <c r="IB128" s="83"/>
      <c r="IC128" s="83"/>
      <c r="ID128" s="83"/>
      <c r="IE128" s="83"/>
      <c r="IF128" s="83"/>
      <c r="IG128" s="83"/>
    </row>
    <row r="129" spans="1:241" x14ac:dyDescent="0.3">
      <c r="A129" s="83"/>
      <c r="B129" s="64" t="s">
        <v>120</v>
      </c>
      <c r="C129" s="13"/>
      <c r="D129" s="13"/>
      <c r="E129" s="13"/>
      <c r="F129" s="13">
        <v>-1.64E-3</v>
      </c>
      <c r="G129" s="13">
        <v>-6.2700000000000004E-3</v>
      </c>
      <c r="H129" s="13">
        <v>1.23E-2</v>
      </c>
      <c r="I129" s="15"/>
      <c r="J129" s="15"/>
      <c r="K129" s="31"/>
      <c r="L129" s="13"/>
      <c r="M129" s="16"/>
      <c r="N129" s="31"/>
      <c r="O129" s="31"/>
      <c r="P129" s="31"/>
      <c r="Q129" s="31"/>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c r="DD129" s="83"/>
      <c r="DE129" s="83"/>
      <c r="DF129" s="83"/>
      <c r="DG129" s="83"/>
      <c r="DH129" s="83"/>
      <c r="DI129" s="83"/>
      <c r="DJ129" s="83"/>
      <c r="DK129" s="83"/>
      <c r="DL129" s="83"/>
      <c r="DM129" s="83"/>
      <c r="DN129" s="83"/>
      <c r="DO129" s="83"/>
      <c r="DP129" s="83"/>
      <c r="DQ129" s="83"/>
      <c r="DR129" s="83"/>
      <c r="DS129" s="83"/>
      <c r="DT129" s="83"/>
      <c r="DU129" s="83"/>
      <c r="DV129" s="83"/>
      <c r="DW129" s="83"/>
      <c r="DX129" s="83"/>
      <c r="DY129" s="83"/>
      <c r="DZ129" s="83"/>
      <c r="EA129" s="83"/>
      <c r="EB129" s="83"/>
      <c r="EC129" s="83"/>
      <c r="ED129" s="83"/>
      <c r="EE129" s="83"/>
      <c r="EF129" s="83"/>
      <c r="EG129" s="83"/>
      <c r="EH129" s="83"/>
      <c r="EI129" s="83"/>
      <c r="EJ129" s="83"/>
      <c r="EK129" s="83"/>
      <c r="EL129" s="83"/>
      <c r="EM129" s="83"/>
      <c r="EN129" s="83"/>
      <c r="EO129" s="83"/>
      <c r="EP129" s="83"/>
      <c r="EQ129" s="83"/>
      <c r="ER129" s="83"/>
      <c r="ES129" s="83"/>
      <c r="ET129" s="83"/>
      <c r="EU129" s="83"/>
      <c r="EV129" s="83"/>
      <c r="EW129" s="83"/>
      <c r="EX129" s="83"/>
      <c r="EY129" s="83"/>
      <c r="EZ129" s="83"/>
      <c r="FA129" s="83"/>
      <c r="FB129" s="83"/>
      <c r="FC129" s="83"/>
      <c r="FD129" s="83"/>
      <c r="FE129" s="83"/>
      <c r="FF129" s="83"/>
      <c r="FG129" s="83"/>
      <c r="FH129" s="83"/>
      <c r="FI129" s="83"/>
      <c r="FJ129" s="83"/>
      <c r="FK129" s="83"/>
      <c r="FL129" s="83"/>
      <c r="FM129" s="83"/>
      <c r="FN129" s="83"/>
      <c r="FO129" s="83"/>
      <c r="FP129" s="83"/>
      <c r="FQ129" s="83"/>
      <c r="FR129" s="83"/>
      <c r="FS129" s="83"/>
      <c r="FT129" s="83"/>
      <c r="FU129" s="83"/>
      <c r="FV129" s="83"/>
      <c r="FW129" s="83"/>
      <c r="FX129" s="83"/>
      <c r="FY129" s="83"/>
      <c r="FZ129" s="83"/>
      <c r="GA129" s="83"/>
      <c r="GB129" s="83"/>
      <c r="GC129" s="83"/>
      <c r="GD129" s="83"/>
      <c r="GE129" s="83"/>
      <c r="GF129" s="83"/>
      <c r="GG129" s="83"/>
      <c r="GH129" s="83"/>
      <c r="GI129" s="83"/>
      <c r="GJ129" s="83"/>
      <c r="GK129" s="83"/>
      <c r="GL129" s="83"/>
      <c r="GM129" s="83"/>
      <c r="GN129" s="83"/>
      <c r="GO129" s="83"/>
      <c r="GP129" s="83"/>
      <c r="GQ129" s="83"/>
      <c r="GR129" s="83"/>
      <c r="GS129" s="83"/>
      <c r="GT129" s="83"/>
      <c r="GU129" s="83"/>
      <c r="GV129" s="83"/>
      <c r="GW129" s="83"/>
      <c r="GX129" s="83"/>
      <c r="GY129" s="83"/>
      <c r="GZ129" s="83"/>
      <c r="HA129" s="83"/>
      <c r="HB129" s="83"/>
      <c r="HC129" s="83"/>
      <c r="HD129" s="83"/>
      <c r="HE129" s="83"/>
      <c r="HF129" s="83"/>
      <c r="HG129" s="83"/>
      <c r="HH129" s="83"/>
      <c r="HI129" s="83"/>
      <c r="HJ129" s="83"/>
      <c r="HK129" s="83"/>
      <c r="HL129" s="83"/>
      <c r="HM129" s="83"/>
      <c r="HN129" s="83"/>
      <c r="HO129" s="83"/>
      <c r="HP129" s="83"/>
      <c r="HQ129" s="83"/>
      <c r="HR129" s="83"/>
      <c r="HS129" s="83"/>
      <c r="HT129" s="83"/>
      <c r="HU129" s="83"/>
      <c r="HV129" s="83"/>
      <c r="HW129" s="83"/>
      <c r="HX129" s="83"/>
      <c r="HY129" s="83"/>
      <c r="HZ129" s="83"/>
      <c r="IA129" s="83"/>
      <c r="IB129" s="83"/>
      <c r="IC129" s="83"/>
      <c r="ID129" s="83"/>
      <c r="IE129" s="83"/>
      <c r="IF129" s="83"/>
      <c r="IG129" s="83"/>
    </row>
    <row r="130" spans="1:241" x14ac:dyDescent="0.3">
      <c r="A130" s="83"/>
      <c r="B130" s="12" t="s">
        <v>121</v>
      </c>
      <c r="C130" s="13">
        <v>4.2767999999999997</v>
      </c>
      <c r="D130" s="13">
        <v>-4.9500000000000002E-2</v>
      </c>
      <c r="E130" s="13">
        <v>0.1431</v>
      </c>
      <c r="F130" s="13">
        <v>3.8809999999999997E-2</v>
      </c>
      <c r="G130" s="13">
        <v>-0.11272</v>
      </c>
      <c r="H130" s="13">
        <v>8.183E-2</v>
      </c>
      <c r="I130" s="15">
        <v>1.63</v>
      </c>
      <c r="J130" s="15">
        <v>1.66</v>
      </c>
      <c r="K130" s="31">
        <v>10</v>
      </c>
      <c r="L130" s="13">
        <v>1000</v>
      </c>
      <c r="M130" s="16">
        <v>140</v>
      </c>
      <c r="N130" s="31"/>
      <c r="O130" s="31"/>
      <c r="P130" s="31"/>
      <c r="Q130" s="31"/>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c r="DD130" s="83"/>
      <c r="DE130" s="83"/>
      <c r="DF130" s="83"/>
      <c r="DG130" s="83"/>
      <c r="DH130" s="83"/>
      <c r="DI130" s="83"/>
      <c r="DJ130" s="83"/>
      <c r="DK130" s="83"/>
      <c r="DL130" s="83"/>
      <c r="DM130" s="83"/>
      <c r="DN130" s="83"/>
      <c r="DO130" s="83"/>
      <c r="DP130" s="83"/>
      <c r="DQ130" s="83"/>
      <c r="DR130" s="83"/>
      <c r="DS130" s="83"/>
      <c r="DT130" s="83"/>
      <c r="DU130" s="83"/>
      <c r="DV130" s="83"/>
      <c r="DW130" s="83"/>
      <c r="DX130" s="83"/>
      <c r="DY130" s="83"/>
      <c r="DZ130" s="83"/>
      <c r="EA130" s="83"/>
      <c r="EB130" s="83"/>
      <c r="EC130" s="83"/>
      <c r="ED130" s="83"/>
      <c r="EE130" s="83"/>
      <c r="EF130" s="83"/>
      <c r="EG130" s="83"/>
      <c r="EH130" s="83"/>
      <c r="EI130" s="83"/>
      <c r="EJ130" s="83"/>
      <c r="EK130" s="83"/>
      <c r="EL130" s="83"/>
      <c r="EM130" s="83"/>
      <c r="EN130" s="83"/>
      <c r="EO130" s="83"/>
      <c r="EP130" s="83"/>
      <c r="EQ130" s="83"/>
      <c r="ER130" s="83"/>
      <c r="ES130" s="83"/>
      <c r="ET130" s="83"/>
      <c r="EU130" s="83"/>
      <c r="EV130" s="83"/>
      <c r="EW130" s="83"/>
      <c r="EX130" s="83"/>
      <c r="EY130" s="83"/>
      <c r="EZ130" s="83"/>
      <c r="FA130" s="83"/>
      <c r="FB130" s="83"/>
      <c r="FC130" s="83"/>
      <c r="FD130" s="83"/>
      <c r="FE130" s="83"/>
      <c r="FF130" s="83"/>
      <c r="FG130" s="83"/>
      <c r="FH130" s="83"/>
      <c r="FI130" s="83"/>
      <c r="FJ130" s="83"/>
      <c r="FK130" s="83"/>
      <c r="FL130" s="83"/>
      <c r="FM130" s="83"/>
      <c r="FN130" s="83"/>
      <c r="FO130" s="83"/>
      <c r="FP130" s="83"/>
      <c r="FQ130" s="83"/>
      <c r="FR130" s="83"/>
      <c r="FS130" s="83"/>
      <c r="FT130" s="83"/>
      <c r="FU130" s="83"/>
      <c r="FV130" s="83"/>
      <c r="FW130" s="83"/>
      <c r="FX130" s="83"/>
      <c r="FY130" s="83"/>
      <c r="FZ130" s="83"/>
      <c r="GA130" s="83"/>
      <c r="GB130" s="83"/>
      <c r="GC130" s="83"/>
      <c r="GD130" s="83"/>
      <c r="GE130" s="83"/>
      <c r="GF130" s="83"/>
      <c r="GG130" s="83"/>
      <c r="GH130" s="83"/>
      <c r="GI130" s="83"/>
      <c r="GJ130" s="83"/>
      <c r="GK130" s="83"/>
      <c r="GL130" s="83"/>
      <c r="GM130" s="83"/>
      <c r="GN130" s="83"/>
      <c r="GO130" s="83"/>
      <c r="GP130" s="83"/>
      <c r="GQ130" s="83"/>
      <c r="GR130" s="83"/>
      <c r="GS130" s="83"/>
      <c r="GT130" s="83"/>
      <c r="GU130" s="83"/>
      <c r="GV130" s="83"/>
      <c r="GW130" s="83"/>
      <c r="GX130" s="83"/>
      <c r="GY130" s="83"/>
      <c r="GZ130" s="83"/>
      <c r="HA130" s="83"/>
      <c r="HB130" s="83"/>
      <c r="HC130" s="83"/>
      <c r="HD130" s="83"/>
      <c r="HE130" s="83"/>
      <c r="HF130" s="83"/>
      <c r="HG130" s="83"/>
      <c r="HH130" s="83"/>
      <c r="HI130" s="83"/>
      <c r="HJ130" s="83"/>
      <c r="HK130" s="83"/>
      <c r="HL130" s="83"/>
      <c r="HM130" s="83"/>
      <c r="HN130" s="83"/>
      <c r="HO130" s="83"/>
      <c r="HP130" s="83"/>
      <c r="HQ130" s="83"/>
      <c r="HR130" s="83"/>
      <c r="HS130" s="83"/>
      <c r="HT130" s="83"/>
      <c r="HU130" s="83"/>
      <c r="HV130" s="83"/>
      <c r="HW130" s="83"/>
      <c r="HX130" s="83"/>
      <c r="HY130" s="83"/>
      <c r="HZ130" s="83"/>
      <c r="IA130" s="83"/>
      <c r="IB130" s="83"/>
      <c r="IC130" s="83"/>
      <c r="ID130" s="83"/>
      <c r="IE130" s="83"/>
      <c r="IF130" s="83"/>
      <c r="IG130" s="83"/>
    </row>
    <row r="131" spans="1:241" x14ac:dyDescent="0.3">
      <c r="A131" s="83"/>
      <c r="B131" s="64" t="s">
        <v>118</v>
      </c>
      <c r="C131" s="13"/>
      <c r="D131" s="13"/>
      <c r="E131" s="13"/>
      <c r="F131" s="13">
        <v>-1.64E-3</v>
      </c>
      <c r="G131" s="13">
        <v>-6.2700000000000004E-3</v>
      </c>
      <c r="H131" s="13">
        <v>1.23E-2</v>
      </c>
      <c r="I131" s="15"/>
      <c r="J131" s="15"/>
      <c r="K131" s="31"/>
      <c r="L131" s="13"/>
      <c r="M131" s="16"/>
      <c r="N131" s="31"/>
      <c r="O131" s="31"/>
      <c r="P131" s="31"/>
      <c r="Q131" s="31"/>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c r="DD131" s="83"/>
      <c r="DE131" s="83"/>
      <c r="DF131" s="83"/>
      <c r="DG131" s="83"/>
      <c r="DH131" s="83"/>
      <c r="DI131" s="83"/>
      <c r="DJ131" s="83"/>
      <c r="DK131" s="83"/>
      <c r="DL131" s="83"/>
      <c r="DM131" s="83"/>
      <c r="DN131" s="83"/>
      <c r="DO131" s="83"/>
      <c r="DP131" s="83"/>
      <c r="DQ131" s="83"/>
      <c r="DR131" s="83"/>
      <c r="DS131" s="83"/>
      <c r="DT131" s="83"/>
      <c r="DU131" s="83"/>
      <c r="DV131" s="83"/>
      <c r="DW131" s="83"/>
      <c r="DX131" s="83"/>
      <c r="DY131" s="83"/>
      <c r="DZ131" s="83"/>
      <c r="EA131" s="83"/>
      <c r="EB131" s="83"/>
      <c r="EC131" s="83"/>
      <c r="ED131" s="83"/>
      <c r="EE131" s="83"/>
      <c r="EF131" s="83"/>
      <c r="EG131" s="83"/>
      <c r="EH131" s="83"/>
      <c r="EI131" s="83"/>
      <c r="EJ131" s="83"/>
      <c r="EK131" s="83"/>
      <c r="EL131" s="83"/>
      <c r="EM131" s="83"/>
      <c r="EN131" s="83"/>
      <c r="EO131" s="83"/>
      <c r="EP131" s="83"/>
      <c r="EQ131" s="83"/>
      <c r="ER131" s="83"/>
      <c r="ES131" s="83"/>
      <c r="ET131" s="83"/>
      <c r="EU131" s="83"/>
      <c r="EV131" s="83"/>
      <c r="EW131" s="83"/>
      <c r="EX131" s="83"/>
      <c r="EY131" s="83"/>
      <c r="EZ131" s="83"/>
      <c r="FA131" s="83"/>
      <c r="FB131" s="83"/>
      <c r="FC131" s="83"/>
      <c r="FD131" s="83"/>
      <c r="FE131" s="83"/>
      <c r="FF131" s="83"/>
      <c r="FG131" s="83"/>
      <c r="FH131" s="83"/>
      <c r="FI131" s="83"/>
      <c r="FJ131" s="83"/>
      <c r="FK131" s="83"/>
      <c r="FL131" s="83"/>
      <c r="FM131" s="83"/>
      <c r="FN131" s="83"/>
      <c r="FO131" s="83"/>
      <c r="FP131" s="83"/>
      <c r="FQ131" s="83"/>
      <c r="FR131" s="83"/>
      <c r="FS131" s="83"/>
      <c r="FT131" s="83"/>
      <c r="FU131" s="83"/>
      <c r="FV131" s="83"/>
      <c r="FW131" s="83"/>
      <c r="FX131" s="83"/>
      <c r="FY131" s="83"/>
      <c r="FZ131" s="83"/>
      <c r="GA131" s="83"/>
      <c r="GB131" s="83"/>
      <c r="GC131" s="83"/>
      <c r="GD131" s="83"/>
      <c r="GE131" s="83"/>
      <c r="GF131" s="83"/>
      <c r="GG131" s="83"/>
      <c r="GH131" s="83"/>
      <c r="GI131" s="83"/>
      <c r="GJ131" s="83"/>
      <c r="GK131" s="83"/>
      <c r="GL131" s="83"/>
      <c r="GM131" s="83"/>
      <c r="GN131" s="83"/>
      <c r="GO131" s="83"/>
      <c r="GP131" s="83"/>
      <c r="GQ131" s="83"/>
      <c r="GR131" s="83"/>
      <c r="GS131" s="83"/>
      <c r="GT131" s="83"/>
      <c r="GU131" s="83"/>
      <c r="GV131" s="83"/>
      <c r="GW131" s="83"/>
      <c r="GX131" s="83"/>
      <c r="GY131" s="83"/>
      <c r="GZ131" s="83"/>
      <c r="HA131" s="83"/>
      <c r="HB131" s="83"/>
      <c r="HC131" s="83"/>
      <c r="HD131" s="83"/>
      <c r="HE131" s="83"/>
      <c r="HF131" s="83"/>
      <c r="HG131" s="83"/>
      <c r="HH131" s="83"/>
      <c r="HI131" s="83"/>
      <c r="HJ131" s="83"/>
      <c r="HK131" s="83"/>
      <c r="HL131" s="83"/>
      <c r="HM131" s="83"/>
      <c r="HN131" s="83"/>
      <c r="HO131" s="83"/>
      <c r="HP131" s="83"/>
      <c r="HQ131" s="83"/>
      <c r="HR131" s="83"/>
      <c r="HS131" s="83"/>
      <c r="HT131" s="83"/>
      <c r="HU131" s="83"/>
      <c r="HV131" s="83"/>
      <c r="HW131" s="83"/>
      <c r="HX131" s="83"/>
      <c r="HY131" s="83"/>
      <c r="HZ131" s="83"/>
      <c r="IA131" s="83"/>
      <c r="IB131" s="83"/>
      <c r="IC131" s="83"/>
      <c r="ID131" s="83"/>
      <c r="IE131" s="83"/>
      <c r="IF131" s="83"/>
      <c r="IG131" s="83"/>
    </row>
    <row r="132" spans="1:241" x14ac:dyDescent="0.3">
      <c r="A132" s="83"/>
      <c r="B132" s="12" t="s">
        <v>122</v>
      </c>
      <c r="C132" s="13">
        <v>4.4645999999999999</v>
      </c>
      <c r="D132" s="13">
        <v>-0.52769999999999995</v>
      </c>
      <c r="E132" s="13">
        <v>0.39550000000000002</v>
      </c>
      <c r="F132" s="13">
        <v>3.8809999999999997E-2</v>
      </c>
      <c r="G132" s="13">
        <v>-0.11272</v>
      </c>
      <c r="H132" s="13">
        <v>8.183E-2</v>
      </c>
      <c r="I132" s="15">
        <v>1.63</v>
      </c>
      <c r="J132" s="15">
        <v>1.66</v>
      </c>
      <c r="K132" s="31">
        <v>10</v>
      </c>
      <c r="L132" s="13">
        <v>100</v>
      </c>
      <c r="M132" s="16">
        <v>140</v>
      </c>
      <c r="N132" s="31"/>
      <c r="O132" s="31"/>
      <c r="P132" s="31"/>
      <c r="Q132" s="31"/>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c r="DD132" s="83"/>
      <c r="DE132" s="83"/>
      <c r="DF132" s="83"/>
      <c r="DG132" s="83"/>
      <c r="DH132" s="83"/>
      <c r="DI132" s="83"/>
      <c r="DJ132" s="83"/>
      <c r="DK132" s="83"/>
      <c r="DL132" s="83"/>
      <c r="DM132" s="83"/>
      <c r="DN132" s="83"/>
      <c r="DO132" s="83"/>
      <c r="DP132" s="83"/>
      <c r="DQ132" s="83"/>
      <c r="DR132" s="83"/>
      <c r="DS132" s="83"/>
      <c r="DT132" s="83"/>
      <c r="DU132" s="83"/>
      <c r="DV132" s="83"/>
      <c r="DW132" s="83"/>
      <c r="DX132" s="83"/>
      <c r="DY132" s="83"/>
      <c r="DZ132" s="83"/>
      <c r="EA132" s="83"/>
      <c r="EB132" s="83"/>
      <c r="EC132" s="83"/>
      <c r="ED132" s="83"/>
      <c r="EE132" s="83"/>
      <c r="EF132" s="83"/>
      <c r="EG132" s="83"/>
      <c r="EH132" s="83"/>
      <c r="EI132" s="83"/>
      <c r="EJ132" s="83"/>
      <c r="EK132" s="83"/>
      <c r="EL132" s="83"/>
      <c r="EM132" s="83"/>
      <c r="EN132" s="83"/>
      <c r="EO132" s="83"/>
      <c r="EP132" s="83"/>
      <c r="EQ132" s="83"/>
      <c r="ER132" s="83"/>
      <c r="ES132" s="83"/>
      <c r="ET132" s="83"/>
      <c r="EU132" s="83"/>
      <c r="EV132" s="83"/>
      <c r="EW132" s="83"/>
      <c r="EX132" s="83"/>
      <c r="EY132" s="83"/>
      <c r="EZ132" s="83"/>
      <c r="FA132" s="83"/>
      <c r="FB132" s="83"/>
      <c r="FC132" s="83"/>
      <c r="FD132" s="83"/>
      <c r="FE132" s="83"/>
      <c r="FF132" s="83"/>
      <c r="FG132" s="83"/>
      <c r="FH132" s="83"/>
      <c r="FI132" s="83"/>
      <c r="FJ132" s="83"/>
      <c r="FK132" s="83"/>
      <c r="FL132" s="83"/>
      <c r="FM132" s="83"/>
      <c r="FN132" s="83"/>
      <c r="FO132" s="83"/>
      <c r="FP132" s="83"/>
      <c r="FQ132" s="83"/>
      <c r="FR132" s="83"/>
      <c r="FS132" s="83"/>
      <c r="FT132" s="83"/>
      <c r="FU132" s="83"/>
      <c r="FV132" s="83"/>
      <c r="FW132" s="83"/>
      <c r="FX132" s="83"/>
      <c r="FY132" s="83"/>
      <c r="FZ132" s="83"/>
      <c r="GA132" s="83"/>
      <c r="GB132" s="83"/>
      <c r="GC132" s="83"/>
      <c r="GD132" s="83"/>
      <c r="GE132" s="83"/>
      <c r="GF132" s="83"/>
      <c r="GG132" s="83"/>
      <c r="GH132" s="83"/>
      <c r="GI132" s="83"/>
      <c r="GJ132" s="83"/>
      <c r="GK132" s="83"/>
      <c r="GL132" s="83"/>
      <c r="GM132" s="83"/>
      <c r="GN132" s="83"/>
      <c r="GO132" s="83"/>
      <c r="GP132" s="83"/>
      <c r="GQ132" s="83"/>
      <c r="GR132" s="83"/>
      <c r="GS132" s="83"/>
      <c r="GT132" s="83"/>
      <c r="GU132" s="83"/>
      <c r="GV132" s="83"/>
      <c r="GW132" s="83"/>
      <c r="GX132" s="83"/>
      <c r="GY132" s="83"/>
      <c r="GZ132" s="83"/>
      <c r="HA132" s="83"/>
      <c r="HB132" s="83"/>
      <c r="HC132" s="83"/>
      <c r="HD132" s="83"/>
      <c r="HE132" s="83"/>
      <c r="HF132" s="83"/>
      <c r="HG132" s="83"/>
      <c r="HH132" s="83"/>
      <c r="HI132" s="83"/>
      <c r="HJ132" s="83"/>
      <c r="HK132" s="83"/>
      <c r="HL132" s="83"/>
      <c r="HM132" s="83"/>
      <c r="HN132" s="83"/>
      <c r="HO132" s="83"/>
      <c r="HP132" s="83"/>
      <c r="HQ132" s="83"/>
      <c r="HR132" s="83"/>
      <c r="HS132" s="83"/>
      <c r="HT132" s="83"/>
      <c r="HU132" s="83"/>
      <c r="HV132" s="83"/>
      <c r="HW132" s="83"/>
      <c r="HX132" s="83"/>
      <c r="HY132" s="83"/>
      <c r="HZ132" s="83"/>
      <c r="IA132" s="83"/>
      <c r="IB132" s="83"/>
      <c r="IC132" s="83"/>
      <c r="ID132" s="83"/>
      <c r="IE132" s="83"/>
      <c r="IF132" s="83"/>
      <c r="IG132" s="83"/>
    </row>
    <row r="133" spans="1:241" x14ac:dyDescent="0.3">
      <c r="A133" s="83"/>
      <c r="B133" s="64" t="s">
        <v>118</v>
      </c>
      <c r="C133" s="13"/>
      <c r="D133" s="13"/>
      <c r="E133" s="13"/>
      <c r="F133" s="13">
        <v>-1.64E-3</v>
      </c>
      <c r="G133" s="13">
        <v>-6.2700000000000004E-3</v>
      </c>
      <c r="H133" s="13">
        <v>1.23E-2</v>
      </c>
      <c r="I133" s="15"/>
      <c r="J133" s="15"/>
      <c r="K133" s="31"/>
      <c r="L133" s="13"/>
      <c r="M133" s="16"/>
      <c r="N133" s="31"/>
      <c r="O133" s="31"/>
      <c r="P133" s="31"/>
      <c r="Q133" s="31"/>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c r="DD133" s="83"/>
      <c r="DE133" s="83"/>
      <c r="DF133" s="83"/>
      <c r="DG133" s="83"/>
      <c r="DH133" s="83"/>
      <c r="DI133" s="83"/>
      <c r="DJ133" s="83"/>
      <c r="DK133" s="83"/>
      <c r="DL133" s="83"/>
      <c r="DM133" s="83"/>
      <c r="DN133" s="83"/>
      <c r="DO133" s="83"/>
      <c r="DP133" s="83"/>
      <c r="DQ133" s="83"/>
      <c r="DR133" s="83"/>
      <c r="DS133" s="83"/>
      <c r="DT133" s="83"/>
      <c r="DU133" s="83"/>
      <c r="DV133" s="83"/>
      <c r="DW133" s="83"/>
      <c r="DX133" s="83"/>
      <c r="DY133" s="83"/>
      <c r="DZ133" s="83"/>
      <c r="EA133" s="83"/>
      <c r="EB133" s="83"/>
      <c r="EC133" s="83"/>
      <c r="ED133" s="83"/>
      <c r="EE133" s="83"/>
      <c r="EF133" s="83"/>
      <c r="EG133" s="83"/>
      <c r="EH133" s="83"/>
      <c r="EI133" s="83"/>
      <c r="EJ133" s="83"/>
      <c r="EK133" s="83"/>
      <c r="EL133" s="83"/>
      <c r="EM133" s="83"/>
      <c r="EN133" s="83"/>
      <c r="EO133" s="83"/>
      <c r="EP133" s="83"/>
      <c r="EQ133" s="83"/>
      <c r="ER133" s="83"/>
      <c r="ES133" s="83"/>
      <c r="ET133" s="83"/>
      <c r="EU133" s="83"/>
      <c r="EV133" s="83"/>
      <c r="EW133" s="83"/>
      <c r="EX133" s="83"/>
      <c r="EY133" s="83"/>
      <c r="EZ133" s="83"/>
      <c r="FA133" s="83"/>
      <c r="FB133" s="83"/>
      <c r="FC133" s="83"/>
      <c r="FD133" s="83"/>
      <c r="FE133" s="83"/>
      <c r="FF133" s="83"/>
      <c r="FG133" s="83"/>
      <c r="FH133" s="83"/>
      <c r="FI133" s="83"/>
      <c r="FJ133" s="83"/>
      <c r="FK133" s="83"/>
      <c r="FL133" s="83"/>
      <c r="FM133" s="83"/>
      <c r="FN133" s="83"/>
      <c r="FO133" s="83"/>
      <c r="FP133" s="83"/>
      <c r="FQ133" s="83"/>
      <c r="FR133" s="83"/>
      <c r="FS133" s="83"/>
      <c r="FT133" s="83"/>
      <c r="FU133" s="83"/>
      <c r="FV133" s="83"/>
      <c r="FW133" s="83"/>
      <c r="FX133" s="83"/>
      <c r="FY133" s="83"/>
      <c r="FZ133" s="83"/>
      <c r="GA133" s="83"/>
      <c r="GB133" s="83"/>
      <c r="GC133" s="83"/>
      <c r="GD133" s="83"/>
      <c r="GE133" s="83"/>
      <c r="GF133" s="83"/>
      <c r="GG133" s="83"/>
      <c r="GH133" s="83"/>
      <c r="GI133" s="83"/>
      <c r="GJ133" s="83"/>
      <c r="GK133" s="83"/>
      <c r="GL133" s="83"/>
      <c r="GM133" s="83"/>
      <c r="GN133" s="83"/>
      <c r="GO133" s="83"/>
      <c r="GP133" s="83"/>
      <c r="GQ133" s="83"/>
      <c r="GR133" s="83"/>
      <c r="GS133" s="83"/>
      <c r="GT133" s="83"/>
      <c r="GU133" s="83"/>
      <c r="GV133" s="83"/>
      <c r="GW133" s="83"/>
      <c r="GX133" s="83"/>
      <c r="GY133" s="83"/>
      <c r="GZ133" s="83"/>
      <c r="HA133" s="83"/>
      <c r="HB133" s="83"/>
      <c r="HC133" s="83"/>
      <c r="HD133" s="83"/>
      <c r="HE133" s="83"/>
      <c r="HF133" s="83"/>
      <c r="HG133" s="83"/>
      <c r="HH133" s="83"/>
      <c r="HI133" s="83"/>
      <c r="HJ133" s="83"/>
      <c r="HK133" s="83"/>
      <c r="HL133" s="83"/>
      <c r="HM133" s="83"/>
      <c r="HN133" s="83"/>
      <c r="HO133" s="83"/>
      <c r="HP133" s="83"/>
      <c r="HQ133" s="83"/>
      <c r="HR133" s="83"/>
      <c r="HS133" s="83"/>
      <c r="HT133" s="83"/>
      <c r="HU133" s="83"/>
      <c r="HV133" s="83"/>
      <c r="HW133" s="83"/>
      <c r="HX133" s="83"/>
      <c r="HY133" s="83"/>
      <c r="HZ133" s="83"/>
      <c r="IA133" s="83"/>
      <c r="IB133" s="83"/>
      <c r="IC133" s="83"/>
      <c r="ID133" s="83"/>
      <c r="IE133" s="83"/>
      <c r="IF133" s="83"/>
      <c r="IG133" s="83"/>
    </row>
    <row r="134" spans="1:241" x14ac:dyDescent="0.3">
      <c r="A134" s="83"/>
      <c r="B134" s="12" t="s">
        <v>123</v>
      </c>
      <c r="C134" s="13">
        <v>3.7803</v>
      </c>
      <c r="D134" s="13">
        <v>0.8569</v>
      </c>
      <c r="E134" s="13">
        <v>3.49E-2</v>
      </c>
      <c r="F134" s="13">
        <v>13.146699999999999</v>
      </c>
      <c r="G134" s="13">
        <v>-12.657400000000001</v>
      </c>
      <c r="H134" s="13">
        <v>3.0705</v>
      </c>
      <c r="I134" s="15">
        <v>1.74</v>
      </c>
      <c r="J134" s="15">
        <v>1.55</v>
      </c>
      <c r="K134" s="31">
        <v>2</v>
      </c>
      <c r="L134" s="13">
        <v>20</v>
      </c>
      <c r="M134" s="16">
        <v>300</v>
      </c>
      <c r="N134" s="31"/>
      <c r="O134" s="31"/>
      <c r="P134" s="31"/>
      <c r="Q134" s="31"/>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c r="DD134" s="83"/>
      <c r="DE134" s="83"/>
      <c r="DF134" s="83"/>
      <c r="DG134" s="83"/>
      <c r="DH134" s="83"/>
      <c r="DI134" s="83"/>
      <c r="DJ134" s="83"/>
      <c r="DK134" s="83"/>
      <c r="DL134" s="83"/>
      <c r="DM134" s="83"/>
      <c r="DN134" s="83"/>
      <c r="DO134" s="83"/>
      <c r="DP134" s="83"/>
      <c r="DQ134" s="83"/>
      <c r="DR134" s="83"/>
      <c r="DS134" s="83"/>
      <c r="DT134" s="83"/>
      <c r="DU134" s="83"/>
      <c r="DV134" s="83"/>
      <c r="DW134" s="83"/>
      <c r="DX134" s="83"/>
      <c r="DY134" s="83"/>
      <c r="DZ134" s="83"/>
      <c r="EA134" s="83"/>
      <c r="EB134" s="83"/>
      <c r="EC134" s="83"/>
      <c r="ED134" s="83"/>
      <c r="EE134" s="83"/>
      <c r="EF134" s="83"/>
      <c r="EG134" s="83"/>
      <c r="EH134" s="83"/>
      <c r="EI134" s="83"/>
      <c r="EJ134" s="83"/>
      <c r="EK134" s="83"/>
      <c r="EL134" s="83"/>
      <c r="EM134" s="83"/>
      <c r="EN134" s="83"/>
      <c r="EO134" s="83"/>
      <c r="EP134" s="83"/>
      <c r="EQ134" s="83"/>
      <c r="ER134" s="83"/>
      <c r="ES134" s="83"/>
      <c r="ET134" s="83"/>
      <c r="EU134" s="83"/>
      <c r="EV134" s="83"/>
      <c r="EW134" s="83"/>
      <c r="EX134" s="83"/>
      <c r="EY134" s="83"/>
      <c r="EZ134" s="83"/>
      <c r="FA134" s="83"/>
      <c r="FB134" s="83"/>
      <c r="FC134" s="83"/>
      <c r="FD134" s="83"/>
      <c r="FE134" s="83"/>
      <c r="FF134" s="83"/>
      <c r="FG134" s="83"/>
      <c r="FH134" s="83"/>
      <c r="FI134" s="83"/>
      <c r="FJ134" s="83"/>
      <c r="FK134" s="83"/>
      <c r="FL134" s="83"/>
      <c r="FM134" s="83"/>
      <c r="FN134" s="83"/>
      <c r="FO134" s="83"/>
      <c r="FP134" s="83"/>
      <c r="FQ134" s="83"/>
      <c r="FR134" s="83"/>
      <c r="FS134" s="83"/>
      <c r="FT134" s="83"/>
      <c r="FU134" s="83"/>
      <c r="FV134" s="83"/>
      <c r="FW134" s="83"/>
      <c r="FX134" s="83"/>
      <c r="FY134" s="83"/>
      <c r="FZ134" s="83"/>
      <c r="GA134" s="83"/>
      <c r="GB134" s="83"/>
      <c r="GC134" s="83"/>
      <c r="GD134" s="83"/>
      <c r="GE134" s="83"/>
      <c r="GF134" s="83"/>
      <c r="GG134" s="83"/>
      <c r="GH134" s="83"/>
      <c r="GI134" s="83"/>
      <c r="GJ134" s="83"/>
      <c r="GK134" s="83"/>
      <c r="GL134" s="83"/>
      <c r="GM134" s="83"/>
      <c r="GN134" s="83"/>
      <c r="GO134" s="83"/>
      <c r="GP134" s="83"/>
      <c r="GQ134" s="83"/>
      <c r="GR134" s="83"/>
      <c r="GS134" s="83"/>
      <c r="GT134" s="83"/>
      <c r="GU134" s="83"/>
      <c r="GV134" s="83"/>
      <c r="GW134" s="83"/>
      <c r="GX134" s="83"/>
      <c r="GY134" s="83"/>
      <c r="GZ134" s="83"/>
      <c r="HA134" s="83"/>
      <c r="HB134" s="83"/>
      <c r="HC134" s="83"/>
      <c r="HD134" s="83"/>
      <c r="HE134" s="83"/>
      <c r="HF134" s="83"/>
      <c r="HG134" s="83"/>
      <c r="HH134" s="83"/>
      <c r="HI134" s="83"/>
      <c r="HJ134" s="83"/>
      <c r="HK134" s="83"/>
      <c r="HL134" s="83"/>
      <c r="HM134" s="83"/>
      <c r="HN134" s="83"/>
      <c r="HO134" s="83"/>
      <c r="HP134" s="83"/>
      <c r="HQ134" s="83"/>
      <c r="HR134" s="83"/>
      <c r="HS134" s="83"/>
      <c r="HT134" s="83"/>
      <c r="HU134" s="83"/>
      <c r="HV134" s="83"/>
      <c r="HW134" s="83"/>
      <c r="HX134" s="83"/>
      <c r="HY134" s="83"/>
      <c r="HZ134" s="83"/>
      <c r="IA134" s="83"/>
      <c r="IB134" s="83"/>
      <c r="IC134" s="83"/>
      <c r="ID134" s="83"/>
      <c r="IE134" s="83"/>
      <c r="IF134" s="83"/>
      <c r="IG134" s="83"/>
    </row>
    <row r="135" spans="1:241" x14ac:dyDescent="0.3">
      <c r="A135" s="83"/>
      <c r="B135" s="64" t="s">
        <v>114</v>
      </c>
      <c r="C135" s="13"/>
      <c r="D135" s="13"/>
      <c r="E135" s="13"/>
      <c r="F135" s="13">
        <v>0.60719999999999996</v>
      </c>
      <c r="G135" s="13">
        <v>-0.91200000000000003</v>
      </c>
      <c r="H135" s="13">
        <v>0.3327</v>
      </c>
      <c r="I135" s="15"/>
      <c r="J135" s="15"/>
      <c r="K135" s="15"/>
      <c r="L135" s="15"/>
      <c r="M135" s="28"/>
      <c r="N135" s="31"/>
      <c r="O135" s="31"/>
      <c r="P135" s="31"/>
      <c r="Q135" s="31"/>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c r="DD135" s="83"/>
      <c r="DE135" s="83"/>
      <c r="DF135" s="83"/>
      <c r="DG135" s="83"/>
      <c r="DH135" s="83"/>
      <c r="DI135" s="83"/>
      <c r="DJ135" s="83"/>
      <c r="DK135" s="83"/>
      <c r="DL135" s="83"/>
      <c r="DM135" s="83"/>
      <c r="DN135" s="83"/>
      <c r="DO135" s="83"/>
      <c r="DP135" s="83"/>
      <c r="DQ135" s="83"/>
      <c r="DR135" s="83"/>
      <c r="DS135" s="83"/>
      <c r="DT135" s="83"/>
      <c r="DU135" s="83"/>
      <c r="DV135" s="83"/>
      <c r="DW135" s="83"/>
      <c r="DX135" s="83"/>
      <c r="DY135" s="83"/>
      <c r="DZ135" s="83"/>
      <c r="EA135" s="83"/>
      <c r="EB135" s="83"/>
      <c r="EC135" s="83"/>
      <c r="ED135" s="83"/>
      <c r="EE135" s="83"/>
      <c r="EF135" s="83"/>
      <c r="EG135" s="83"/>
      <c r="EH135" s="83"/>
      <c r="EI135" s="83"/>
      <c r="EJ135" s="83"/>
      <c r="EK135" s="83"/>
      <c r="EL135" s="83"/>
      <c r="EM135" s="83"/>
      <c r="EN135" s="83"/>
      <c r="EO135" s="83"/>
      <c r="EP135" s="83"/>
      <c r="EQ135" s="83"/>
      <c r="ER135" s="83"/>
      <c r="ES135" s="83"/>
      <c r="ET135" s="83"/>
      <c r="EU135" s="83"/>
      <c r="EV135" s="83"/>
      <c r="EW135" s="83"/>
      <c r="EX135" s="83"/>
      <c r="EY135" s="83"/>
      <c r="EZ135" s="83"/>
      <c r="FA135" s="83"/>
      <c r="FB135" s="83"/>
      <c r="FC135" s="83"/>
      <c r="FD135" s="83"/>
      <c r="FE135" s="83"/>
      <c r="FF135" s="83"/>
      <c r="FG135" s="83"/>
      <c r="FH135" s="83"/>
      <c r="FI135" s="83"/>
      <c r="FJ135" s="83"/>
      <c r="FK135" s="83"/>
      <c r="FL135" s="83"/>
      <c r="FM135" s="83"/>
      <c r="FN135" s="83"/>
      <c r="FO135" s="83"/>
      <c r="FP135" s="83"/>
      <c r="FQ135" s="83"/>
      <c r="FR135" s="83"/>
      <c r="FS135" s="83"/>
      <c r="FT135" s="83"/>
      <c r="FU135" s="83"/>
      <c r="FV135" s="83"/>
      <c r="FW135" s="83"/>
      <c r="FX135" s="83"/>
      <c r="FY135" s="83"/>
      <c r="FZ135" s="83"/>
      <c r="GA135" s="83"/>
      <c r="GB135" s="83"/>
      <c r="GC135" s="83"/>
      <c r="GD135" s="83"/>
      <c r="GE135" s="83"/>
      <c r="GF135" s="83"/>
      <c r="GG135" s="83"/>
      <c r="GH135" s="83"/>
      <c r="GI135" s="83"/>
      <c r="GJ135" s="83"/>
      <c r="GK135" s="83"/>
      <c r="GL135" s="83"/>
      <c r="GM135" s="83"/>
      <c r="GN135" s="83"/>
      <c r="GO135" s="83"/>
      <c r="GP135" s="83"/>
      <c r="GQ135" s="83"/>
      <c r="GR135" s="83"/>
      <c r="GS135" s="83"/>
      <c r="GT135" s="83"/>
      <c r="GU135" s="83"/>
      <c r="GV135" s="83"/>
      <c r="GW135" s="83"/>
      <c r="GX135" s="83"/>
      <c r="GY135" s="83"/>
      <c r="GZ135" s="83"/>
      <c r="HA135" s="83"/>
      <c r="HB135" s="83"/>
      <c r="HC135" s="83"/>
      <c r="HD135" s="83"/>
      <c r="HE135" s="83"/>
      <c r="HF135" s="83"/>
      <c r="HG135" s="83"/>
      <c r="HH135" s="83"/>
      <c r="HI135" s="83"/>
      <c r="HJ135" s="83"/>
      <c r="HK135" s="83"/>
      <c r="HL135" s="83"/>
      <c r="HM135" s="83"/>
      <c r="HN135" s="83"/>
      <c r="HO135" s="83"/>
      <c r="HP135" s="83"/>
      <c r="HQ135" s="83"/>
      <c r="HR135" s="83"/>
      <c r="HS135" s="83"/>
      <c r="HT135" s="83"/>
      <c r="HU135" s="83"/>
      <c r="HV135" s="83"/>
      <c r="HW135" s="83"/>
      <c r="HX135" s="83"/>
      <c r="HY135" s="83"/>
      <c r="HZ135" s="83"/>
      <c r="IA135" s="83"/>
      <c r="IB135" s="83"/>
      <c r="IC135" s="83"/>
      <c r="ID135" s="83"/>
      <c r="IE135" s="83"/>
      <c r="IF135" s="83"/>
      <c r="IG135" s="83"/>
    </row>
    <row r="136" spans="1:241" x14ac:dyDescent="0.3">
      <c r="A136" s="83"/>
      <c r="B136" s="64" t="s">
        <v>115</v>
      </c>
      <c r="C136" s="13"/>
      <c r="D136" s="13"/>
      <c r="E136" s="13"/>
      <c r="F136" s="13">
        <v>0</v>
      </c>
      <c r="G136" s="13">
        <v>0</v>
      </c>
      <c r="H136" s="13">
        <v>0</v>
      </c>
      <c r="I136" s="15"/>
      <c r="J136" s="15"/>
      <c r="K136" s="15"/>
      <c r="L136" s="15"/>
      <c r="M136" s="28"/>
      <c r="N136" s="31"/>
      <c r="O136" s="31"/>
      <c r="P136" s="31"/>
      <c r="Q136" s="31"/>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c r="DD136" s="83"/>
      <c r="DE136" s="83"/>
      <c r="DF136" s="83"/>
      <c r="DG136" s="83"/>
      <c r="DH136" s="83"/>
      <c r="DI136" s="83"/>
      <c r="DJ136" s="83"/>
      <c r="DK136" s="83"/>
      <c r="DL136" s="83"/>
      <c r="DM136" s="83"/>
      <c r="DN136" s="83"/>
      <c r="DO136" s="83"/>
      <c r="DP136" s="83"/>
      <c r="DQ136" s="83"/>
      <c r="DR136" s="83"/>
      <c r="DS136" s="83"/>
      <c r="DT136" s="83"/>
      <c r="DU136" s="83"/>
      <c r="DV136" s="83"/>
      <c r="DW136" s="83"/>
      <c r="DX136" s="83"/>
      <c r="DY136" s="83"/>
      <c r="DZ136" s="83"/>
      <c r="EA136" s="83"/>
      <c r="EB136" s="83"/>
      <c r="EC136" s="83"/>
      <c r="ED136" s="83"/>
      <c r="EE136" s="83"/>
      <c r="EF136" s="83"/>
      <c r="EG136" s="83"/>
      <c r="EH136" s="83"/>
      <c r="EI136" s="83"/>
      <c r="EJ136" s="83"/>
      <c r="EK136" s="83"/>
      <c r="EL136" s="83"/>
      <c r="EM136" s="83"/>
      <c r="EN136" s="83"/>
      <c r="EO136" s="83"/>
      <c r="EP136" s="83"/>
      <c r="EQ136" s="83"/>
      <c r="ER136" s="83"/>
      <c r="ES136" s="83"/>
      <c r="ET136" s="83"/>
      <c r="EU136" s="83"/>
      <c r="EV136" s="83"/>
      <c r="EW136" s="83"/>
      <c r="EX136" s="83"/>
      <c r="EY136" s="83"/>
      <c r="EZ136" s="83"/>
      <c r="FA136" s="83"/>
      <c r="FB136" s="83"/>
      <c r="FC136" s="83"/>
      <c r="FD136" s="83"/>
      <c r="FE136" s="83"/>
      <c r="FF136" s="83"/>
      <c r="FG136" s="83"/>
      <c r="FH136" s="83"/>
      <c r="FI136" s="83"/>
      <c r="FJ136" s="83"/>
      <c r="FK136" s="83"/>
      <c r="FL136" s="83"/>
      <c r="FM136" s="83"/>
      <c r="FN136" s="83"/>
      <c r="FO136" s="83"/>
      <c r="FP136" s="83"/>
      <c r="FQ136" s="83"/>
      <c r="FR136" s="83"/>
      <c r="FS136" s="83"/>
      <c r="FT136" s="83"/>
      <c r="FU136" s="83"/>
      <c r="FV136" s="83"/>
      <c r="FW136" s="83"/>
      <c r="FX136" s="83"/>
      <c r="FY136" s="83"/>
      <c r="FZ136" s="83"/>
      <c r="GA136" s="83"/>
      <c r="GB136" s="83"/>
      <c r="GC136" s="83"/>
      <c r="GD136" s="83"/>
      <c r="GE136" s="83"/>
      <c r="GF136" s="83"/>
      <c r="GG136" s="83"/>
      <c r="GH136" s="83"/>
      <c r="GI136" s="83"/>
      <c r="GJ136" s="83"/>
      <c r="GK136" s="83"/>
      <c r="GL136" s="83"/>
      <c r="GM136" s="83"/>
      <c r="GN136" s="83"/>
      <c r="GO136" s="83"/>
      <c r="GP136" s="83"/>
      <c r="GQ136" s="83"/>
      <c r="GR136" s="83"/>
      <c r="GS136" s="83"/>
      <c r="GT136" s="83"/>
      <c r="GU136" s="83"/>
      <c r="GV136" s="83"/>
      <c r="GW136" s="83"/>
      <c r="GX136" s="83"/>
      <c r="GY136" s="83"/>
      <c r="GZ136" s="83"/>
      <c r="HA136" s="83"/>
      <c r="HB136" s="83"/>
      <c r="HC136" s="83"/>
      <c r="HD136" s="83"/>
      <c r="HE136" s="83"/>
      <c r="HF136" s="83"/>
      <c r="HG136" s="83"/>
      <c r="HH136" s="83"/>
      <c r="HI136" s="83"/>
      <c r="HJ136" s="83"/>
      <c r="HK136" s="83"/>
      <c r="HL136" s="83"/>
      <c r="HM136" s="83"/>
      <c r="HN136" s="83"/>
      <c r="HO136" s="83"/>
      <c r="HP136" s="83"/>
      <c r="HQ136" s="83"/>
      <c r="HR136" s="83"/>
      <c r="HS136" s="83"/>
      <c r="HT136" s="83"/>
      <c r="HU136" s="83"/>
      <c r="HV136" s="83"/>
      <c r="HW136" s="83"/>
      <c r="HX136" s="83"/>
      <c r="HY136" s="83"/>
      <c r="HZ136" s="83"/>
      <c r="IA136" s="83"/>
      <c r="IB136" s="83"/>
      <c r="IC136" s="83"/>
      <c r="ID136" s="83"/>
      <c r="IE136" s="83"/>
      <c r="IF136" s="83"/>
      <c r="IG136" s="83"/>
    </row>
    <row r="137" spans="1:241" x14ac:dyDescent="0.3">
      <c r="A137" s="83"/>
      <c r="B137" s="12" t="s">
        <v>124</v>
      </c>
      <c r="C137" s="13">
        <v>3.8062</v>
      </c>
      <c r="D137" s="13">
        <v>0.89239999999999997</v>
      </c>
      <c r="E137" s="13">
        <v>-0.1671</v>
      </c>
      <c r="F137" s="13">
        <v>0</v>
      </c>
      <c r="G137" s="13">
        <v>0</v>
      </c>
      <c r="H137" s="13">
        <v>0</v>
      </c>
      <c r="I137" s="15">
        <v>1.63</v>
      </c>
      <c r="J137" s="15">
        <v>1.66</v>
      </c>
      <c r="K137" s="31">
        <v>1</v>
      </c>
      <c r="L137" s="13">
        <v>10</v>
      </c>
      <c r="M137" s="16">
        <v>15</v>
      </c>
      <c r="N137" s="12"/>
      <c r="O137" s="1"/>
      <c r="P137" s="1"/>
      <c r="Q137" s="1"/>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c r="DD137" s="83"/>
      <c r="DE137" s="83"/>
      <c r="DF137" s="83"/>
      <c r="DG137" s="83"/>
      <c r="DH137" s="83"/>
      <c r="DI137" s="83"/>
      <c r="DJ137" s="83"/>
      <c r="DK137" s="83"/>
      <c r="DL137" s="83"/>
      <c r="DM137" s="83"/>
      <c r="DN137" s="83"/>
      <c r="DO137" s="83"/>
      <c r="DP137" s="83"/>
      <c r="DQ137" s="83"/>
      <c r="DR137" s="83"/>
      <c r="DS137" s="83"/>
      <c r="DT137" s="83"/>
      <c r="DU137" s="83"/>
      <c r="DV137" s="83"/>
      <c r="DW137" s="83"/>
      <c r="DX137" s="83"/>
      <c r="DY137" s="83"/>
      <c r="DZ137" s="83"/>
      <c r="EA137" s="83"/>
      <c r="EB137" s="83"/>
      <c r="EC137" s="83"/>
      <c r="ED137" s="83"/>
      <c r="EE137" s="83"/>
      <c r="EF137" s="83"/>
      <c r="EG137" s="83"/>
      <c r="EH137" s="83"/>
      <c r="EI137" s="83"/>
      <c r="EJ137" s="83"/>
      <c r="EK137" s="83"/>
      <c r="EL137" s="83"/>
      <c r="EM137" s="83"/>
      <c r="EN137" s="83"/>
      <c r="EO137" s="83"/>
      <c r="EP137" s="83"/>
      <c r="EQ137" s="83"/>
      <c r="ER137" s="83"/>
      <c r="ES137" s="83"/>
      <c r="ET137" s="83"/>
      <c r="EU137" s="83"/>
      <c r="EV137" s="83"/>
      <c r="EW137" s="83"/>
      <c r="EX137" s="83"/>
      <c r="EY137" s="83"/>
      <c r="EZ137" s="83"/>
      <c r="FA137" s="83"/>
      <c r="FB137" s="83"/>
      <c r="FC137" s="83"/>
      <c r="FD137" s="83"/>
      <c r="FE137" s="83"/>
      <c r="FF137" s="83"/>
      <c r="FG137" s="83"/>
      <c r="FH137" s="83"/>
      <c r="FI137" s="83"/>
      <c r="FJ137" s="83"/>
      <c r="FK137" s="83"/>
      <c r="FL137" s="83"/>
      <c r="FM137" s="83"/>
      <c r="FN137" s="83"/>
      <c r="FO137" s="83"/>
      <c r="FP137" s="83"/>
      <c r="FQ137" s="83"/>
      <c r="FR137" s="83"/>
      <c r="FS137" s="83"/>
      <c r="FT137" s="83"/>
      <c r="FU137" s="83"/>
      <c r="FV137" s="83"/>
      <c r="FW137" s="83"/>
      <c r="FX137" s="83"/>
      <c r="FY137" s="83"/>
      <c r="FZ137" s="83"/>
      <c r="GA137" s="83"/>
      <c r="GB137" s="83"/>
      <c r="GC137" s="83"/>
      <c r="GD137" s="83"/>
      <c r="GE137" s="83"/>
      <c r="GF137" s="83"/>
      <c r="GG137" s="83"/>
      <c r="GH137" s="83"/>
      <c r="GI137" s="83"/>
      <c r="GJ137" s="83"/>
      <c r="GK137" s="83"/>
      <c r="GL137" s="83"/>
      <c r="GM137" s="83"/>
      <c r="GN137" s="83"/>
      <c r="GO137" s="83"/>
      <c r="GP137" s="83"/>
      <c r="GQ137" s="83"/>
      <c r="GR137" s="83"/>
      <c r="GS137" s="83"/>
      <c r="GT137" s="83"/>
      <c r="GU137" s="83"/>
      <c r="GV137" s="83"/>
      <c r="GW137" s="83"/>
      <c r="GX137" s="83"/>
      <c r="GY137" s="83"/>
      <c r="GZ137" s="83"/>
      <c r="HA137" s="83"/>
      <c r="HB137" s="83"/>
      <c r="HC137" s="83"/>
      <c r="HD137" s="83"/>
      <c r="HE137" s="83"/>
      <c r="HF137" s="83"/>
      <c r="HG137" s="83"/>
      <c r="HH137" s="83"/>
      <c r="HI137" s="83"/>
      <c r="HJ137" s="83"/>
      <c r="HK137" s="83"/>
      <c r="HL137" s="83"/>
      <c r="HM137" s="83"/>
      <c r="HN137" s="83"/>
      <c r="HO137" s="83"/>
      <c r="HP137" s="83"/>
      <c r="HQ137" s="83"/>
      <c r="HR137" s="83"/>
      <c r="HS137" s="83"/>
      <c r="HT137" s="83"/>
      <c r="HU137" s="83"/>
      <c r="HV137" s="83"/>
      <c r="HW137" s="83"/>
      <c r="HX137" s="83"/>
      <c r="HY137" s="83"/>
      <c r="HZ137" s="83"/>
      <c r="IA137" s="83"/>
      <c r="IB137" s="83"/>
      <c r="IC137" s="83"/>
      <c r="ID137" s="83"/>
      <c r="IE137" s="83"/>
      <c r="IF137" s="83"/>
      <c r="IG137" s="83"/>
    </row>
    <row r="138" spans="1:241" x14ac:dyDescent="0.3">
      <c r="A138" s="83"/>
      <c r="B138" s="12" t="s">
        <v>125</v>
      </c>
      <c r="C138" s="13">
        <v>4.0335999999999999</v>
      </c>
      <c r="D138" s="13">
        <v>0.2341</v>
      </c>
      <c r="E138" s="13">
        <v>4.9700000000000001E-2</v>
      </c>
      <c r="F138" s="13">
        <v>-0.125</v>
      </c>
      <c r="G138" s="13">
        <v>0.15361</v>
      </c>
      <c r="H138" s="13">
        <v>-2.861E-2</v>
      </c>
      <c r="I138" s="15">
        <v>0.96</v>
      </c>
      <c r="J138" s="15">
        <v>1.21</v>
      </c>
      <c r="K138" s="13">
        <v>10</v>
      </c>
      <c r="L138" s="13">
        <v>10000</v>
      </c>
      <c r="M138" s="16">
        <v>100</v>
      </c>
      <c r="N138" s="65"/>
      <c r="O138" s="1"/>
      <c r="P138" s="1"/>
      <c r="Q138" s="1"/>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c r="DD138" s="83"/>
      <c r="DE138" s="83"/>
      <c r="DF138" s="83"/>
      <c r="DG138" s="83"/>
      <c r="DH138" s="83"/>
      <c r="DI138" s="83"/>
      <c r="DJ138" s="83"/>
      <c r="DK138" s="83"/>
      <c r="DL138" s="83"/>
      <c r="DM138" s="83"/>
      <c r="DN138" s="83"/>
      <c r="DO138" s="83"/>
      <c r="DP138" s="83"/>
      <c r="DQ138" s="83"/>
      <c r="DR138" s="83"/>
      <c r="DS138" s="83"/>
      <c r="DT138" s="83"/>
      <c r="DU138" s="83"/>
      <c r="DV138" s="83"/>
      <c r="DW138" s="83"/>
      <c r="DX138" s="83"/>
      <c r="DY138" s="83"/>
      <c r="DZ138" s="83"/>
      <c r="EA138" s="83"/>
      <c r="EB138" s="83"/>
      <c r="EC138" s="83"/>
      <c r="ED138" s="83"/>
      <c r="EE138" s="83"/>
      <c r="EF138" s="83"/>
      <c r="EG138" s="83"/>
      <c r="EH138" s="83"/>
      <c r="EI138" s="83"/>
      <c r="EJ138" s="83"/>
      <c r="EK138" s="83"/>
      <c r="EL138" s="83"/>
      <c r="EM138" s="83"/>
      <c r="EN138" s="83"/>
      <c r="EO138" s="83"/>
      <c r="EP138" s="83"/>
      <c r="EQ138" s="83"/>
      <c r="ER138" s="83"/>
      <c r="ES138" s="83"/>
      <c r="ET138" s="83"/>
      <c r="EU138" s="83"/>
      <c r="EV138" s="83"/>
      <c r="EW138" s="83"/>
      <c r="EX138" s="83"/>
      <c r="EY138" s="83"/>
      <c r="EZ138" s="83"/>
      <c r="FA138" s="83"/>
      <c r="FB138" s="83"/>
      <c r="FC138" s="83"/>
      <c r="FD138" s="83"/>
      <c r="FE138" s="83"/>
      <c r="FF138" s="83"/>
      <c r="FG138" s="83"/>
      <c r="FH138" s="83"/>
      <c r="FI138" s="83"/>
      <c r="FJ138" s="83"/>
      <c r="FK138" s="83"/>
      <c r="FL138" s="83"/>
      <c r="FM138" s="83"/>
      <c r="FN138" s="83"/>
      <c r="FO138" s="83"/>
      <c r="FP138" s="83"/>
      <c r="FQ138" s="83"/>
      <c r="FR138" s="83"/>
      <c r="FS138" s="83"/>
      <c r="FT138" s="83"/>
      <c r="FU138" s="83"/>
      <c r="FV138" s="83"/>
      <c r="FW138" s="83"/>
      <c r="FX138" s="83"/>
      <c r="FY138" s="83"/>
      <c r="FZ138" s="83"/>
      <c r="GA138" s="83"/>
      <c r="GB138" s="83"/>
      <c r="GC138" s="83"/>
      <c r="GD138" s="83"/>
      <c r="GE138" s="83"/>
      <c r="GF138" s="83"/>
      <c r="GG138" s="83"/>
      <c r="GH138" s="83"/>
      <c r="GI138" s="83"/>
      <c r="GJ138" s="83"/>
      <c r="GK138" s="83"/>
      <c r="GL138" s="83"/>
      <c r="GM138" s="83"/>
      <c r="GN138" s="83"/>
      <c r="GO138" s="83"/>
      <c r="GP138" s="83"/>
      <c r="GQ138" s="83"/>
      <c r="GR138" s="83"/>
      <c r="GS138" s="83"/>
      <c r="GT138" s="83"/>
      <c r="GU138" s="83"/>
      <c r="GV138" s="83"/>
      <c r="GW138" s="83"/>
      <c r="GX138" s="83"/>
      <c r="GY138" s="83"/>
      <c r="GZ138" s="83"/>
      <c r="HA138" s="83"/>
      <c r="HB138" s="83"/>
      <c r="HC138" s="83"/>
      <c r="HD138" s="83"/>
      <c r="HE138" s="83"/>
      <c r="HF138" s="83"/>
      <c r="HG138" s="83"/>
      <c r="HH138" s="83"/>
      <c r="HI138" s="83"/>
      <c r="HJ138" s="83"/>
      <c r="HK138" s="83"/>
      <c r="HL138" s="83"/>
      <c r="HM138" s="83"/>
      <c r="HN138" s="83"/>
      <c r="HO138" s="83"/>
      <c r="HP138" s="83"/>
      <c r="HQ138" s="83"/>
      <c r="HR138" s="83"/>
      <c r="HS138" s="83"/>
      <c r="HT138" s="83"/>
      <c r="HU138" s="83"/>
      <c r="HV138" s="83"/>
      <c r="HW138" s="83"/>
      <c r="HX138" s="83"/>
      <c r="HY138" s="83"/>
      <c r="HZ138" s="83"/>
      <c r="IA138" s="83"/>
      <c r="IB138" s="83"/>
      <c r="IC138" s="83"/>
      <c r="ID138" s="83"/>
      <c r="IE138" s="83"/>
      <c r="IF138" s="83"/>
      <c r="IG138" s="83"/>
    </row>
    <row r="139" spans="1:241" x14ac:dyDescent="0.3">
      <c r="A139" s="83"/>
      <c r="B139" s="12" t="s">
        <v>126</v>
      </c>
      <c r="C139" s="13">
        <v>3.9912000000000001</v>
      </c>
      <c r="D139" s="13">
        <v>6.6799999999999998E-2</v>
      </c>
      <c r="E139" s="13">
        <v>0.24299999999999999</v>
      </c>
      <c r="F139" s="13">
        <v>-0.40450000000000003</v>
      </c>
      <c r="G139" s="13">
        <v>0.18590000000000001</v>
      </c>
      <c r="H139" s="13">
        <v>0</v>
      </c>
      <c r="I139" s="15">
        <v>1.74</v>
      </c>
      <c r="J139" s="15">
        <v>1.55</v>
      </c>
      <c r="K139" s="13">
        <v>1</v>
      </c>
      <c r="L139" s="13">
        <v>100</v>
      </c>
      <c r="M139" s="16">
        <v>400</v>
      </c>
      <c r="N139" s="12"/>
      <c r="O139" s="1"/>
      <c r="P139" s="1"/>
      <c r="Q139" s="1"/>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c r="DD139" s="83"/>
      <c r="DE139" s="83"/>
      <c r="DF139" s="83"/>
      <c r="DG139" s="83"/>
      <c r="DH139" s="83"/>
      <c r="DI139" s="83"/>
      <c r="DJ139" s="83"/>
      <c r="DK139" s="83"/>
      <c r="DL139" s="83"/>
      <c r="DM139" s="83"/>
      <c r="DN139" s="83"/>
      <c r="DO139" s="83"/>
      <c r="DP139" s="83"/>
      <c r="DQ139" s="83"/>
      <c r="DR139" s="83"/>
      <c r="DS139" s="83"/>
      <c r="DT139" s="83"/>
      <c r="DU139" s="83"/>
      <c r="DV139" s="83"/>
      <c r="DW139" s="83"/>
      <c r="DX139" s="83"/>
      <c r="DY139" s="83"/>
      <c r="DZ139" s="83"/>
      <c r="EA139" s="83"/>
      <c r="EB139" s="83"/>
      <c r="EC139" s="83"/>
      <c r="ED139" s="83"/>
      <c r="EE139" s="83"/>
      <c r="EF139" s="83"/>
      <c r="EG139" s="83"/>
      <c r="EH139" s="83"/>
      <c r="EI139" s="83"/>
      <c r="EJ139" s="83"/>
      <c r="EK139" s="83"/>
      <c r="EL139" s="83"/>
      <c r="EM139" s="83"/>
      <c r="EN139" s="83"/>
      <c r="EO139" s="83"/>
      <c r="EP139" s="83"/>
      <c r="EQ139" s="83"/>
      <c r="ER139" s="83"/>
      <c r="ES139" s="83"/>
      <c r="ET139" s="83"/>
      <c r="EU139" s="83"/>
      <c r="EV139" s="83"/>
      <c r="EW139" s="83"/>
      <c r="EX139" s="83"/>
      <c r="EY139" s="83"/>
      <c r="EZ139" s="83"/>
      <c r="FA139" s="83"/>
      <c r="FB139" s="83"/>
      <c r="FC139" s="83"/>
      <c r="FD139" s="83"/>
      <c r="FE139" s="83"/>
      <c r="FF139" s="83"/>
      <c r="FG139" s="83"/>
      <c r="FH139" s="83"/>
      <c r="FI139" s="83"/>
      <c r="FJ139" s="83"/>
      <c r="FK139" s="83"/>
      <c r="FL139" s="83"/>
      <c r="FM139" s="83"/>
      <c r="FN139" s="83"/>
      <c r="FO139" s="83"/>
      <c r="FP139" s="83"/>
      <c r="FQ139" s="83"/>
      <c r="FR139" s="83"/>
      <c r="FS139" s="83"/>
      <c r="FT139" s="83"/>
      <c r="FU139" s="83"/>
      <c r="FV139" s="83"/>
      <c r="FW139" s="83"/>
      <c r="FX139" s="83"/>
      <c r="FY139" s="83"/>
      <c r="FZ139" s="83"/>
      <c r="GA139" s="83"/>
      <c r="GB139" s="83"/>
      <c r="GC139" s="83"/>
      <c r="GD139" s="83"/>
      <c r="GE139" s="83"/>
      <c r="GF139" s="83"/>
      <c r="GG139" s="83"/>
      <c r="GH139" s="83"/>
      <c r="GI139" s="83"/>
      <c r="GJ139" s="83"/>
      <c r="GK139" s="83"/>
      <c r="GL139" s="83"/>
      <c r="GM139" s="83"/>
      <c r="GN139" s="83"/>
      <c r="GO139" s="83"/>
      <c r="GP139" s="83"/>
      <c r="GQ139" s="83"/>
      <c r="GR139" s="83"/>
      <c r="GS139" s="83"/>
      <c r="GT139" s="83"/>
      <c r="GU139" s="83"/>
      <c r="GV139" s="83"/>
      <c r="GW139" s="83"/>
      <c r="GX139" s="83"/>
      <c r="GY139" s="83"/>
      <c r="GZ139" s="83"/>
      <c r="HA139" s="83"/>
      <c r="HB139" s="83"/>
      <c r="HC139" s="83"/>
      <c r="HD139" s="83"/>
      <c r="HE139" s="83"/>
      <c r="HF139" s="83"/>
      <c r="HG139" s="83"/>
      <c r="HH139" s="83"/>
      <c r="HI139" s="83"/>
      <c r="HJ139" s="83"/>
      <c r="HK139" s="83"/>
      <c r="HL139" s="83"/>
      <c r="HM139" s="83"/>
      <c r="HN139" s="83"/>
      <c r="HO139" s="83"/>
      <c r="HP139" s="83"/>
      <c r="HQ139" s="83"/>
      <c r="HR139" s="83"/>
      <c r="HS139" s="83"/>
      <c r="HT139" s="83"/>
      <c r="HU139" s="83"/>
      <c r="HV139" s="83"/>
      <c r="HW139" s="83"/>
      <c r="HX139" s="83"/>
      <c r="HY139" s="83"/>
      <c r="HZ139" s="83"/>
      <c r="IA139" s="83"/>
      <c r="IB139" s="83"/>
      <c r="IC139" s="83"/>
      <c r="ID139" s="83"/>
      <c r="IE139" s="83"/>
      <c r="IF139" s="83"/>
      <c r="IG139" s="83"/>
    </row>
    <row r="140" spans="1:241" x14ac:dyDescent="0.3">
      <c r="A140" s="83"/>
      <c r="B140" s="12" t="s">
        <v>127</v>
      </c>
      <c r="C140" s="13"/>
      <c r="D140" s="13"/>
      <c r="E140" s="13"/>
      <c r="F140" s="13">
        <v>-0.21149999999999999</v>
      </c>
      <c r="G140" s="13">
        <v>9.7170000000000006E-2</v>
      </c>
      <c r="H140" s="13">
        <v>0</v>
      </c>
      <c r="I140" s="15"/>
      <c r="J140" s="15"/>
      <c r="K140" s="13"/>
      <c r="L140" s="13"/>
      <c r="M140" s="16"/>
      <c r="N140" s="31"/>
      <c r="O140" s="1"/>
      <c r="P140" s="1"/>
      <c r="Q140" s="1"/>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c r="DD140" s="83"/>
      <c r="DE140" s="83"/>
      <c r="DF140" s="83"/>
      <c r="DG140" s="83"/>
      <c r="DH140" s="83"/>
      <c r="DI140" s="83"/>
      <c r="DJ140" s="83"/>
      <c r="DK140" s="83"/>
      <c r="DL140" s="83"/>
      <c r="DM140" s="83"/>
      <c r="DN140" s="83"/>
      <c r="DO140" s="83"/>
      <c r="DP140" s="83"/>
      <c r="DQ140" s="83"/>
      <c r="DR140" s="83"/>
      <c r="DS140" s="83"/>
      <c r="DT140" s="83"/>
      <c r="DU140" s="83"/>
      <c r="DV140" s="83"/>
      <c r="DW140" s="83"/>
      <c r="DX140" s="83"/>
      <c r="DY140" s="83"/>
      <c r="DZ140" s="83"/>
      <c r="EA140" s="83"/>
      <c r="EB140" s="83"/>
      <c r="EC140" s="83"/>
      <c r="ED140" s="83"/>
      <c r="EE140" s="83"/>
      <c r="EF140" s="83"/>
      <c r="EG140" s="83"/>
      <c r="EH140" s="83"/>
      <c r="EI140" s="83"/>
      <c r="EJ140" s="83"/>
      <c r="EK140" s="83"/>
      <c r="EL140" s="83"/>
      <c r="EM140" s="83"/>
      <c r="EN140" s="83"/>
      <c r="EO140" s="83"/>
      <c r="EP140" s="83"/>
      <c r="EQ140" s="83"/>
      <c r="ER140" s="83"/>
      <c r="ES140" s="83"/>
      <c r="ET140" s="83"/>
      <c r="EU140" s="83"/>
      <c r="EV140" s="83"/>
      <c r="EW140" s="83"/>
      <c r="EX140" s="83"/>
      <c r="EY140" s="83"/>
      <c r="EZ140" s="83"/>
      <c r="FA140" s="83"/>
      <c r="FB140" s="83"/>
      <c r="FC140" s="83"/>
      <c r="FD140" s="83"/>
      <c r="FE140" s="83"/>
      <c r="FF140" s="83"/>
      <c r="FG140" s="83"/>
      <c r="FH140" s="83"/>
      <c r="FI140" s="83"/>
      <c r="FJ140" s="83"/>
      <c r="FK140" s="83"/>
      <c r="FL140" s="83"/>
      <c r="FM140" s="83"/>
      <c r="FN140" s="83"/>
      <c r="FO140" s="83"/>
      <c r="FP140" s="83"/>
      <c r="FQ140" s="83"/>
      <c r="FR140" s="83"/>
      <c r="FS140" s="83"/>
      <c r="FT140" s="83"/>
      <c r="FU140" s="83"/>
      <c r="FV140" s="83"/>
      <c r="FW140" s="83"/>
      <c r="FX140" s="83"/>
      <c r="FY140" s="83"/>
      <c r="FZ140" s="83"/>
      <c r="GA140" s="83"/>
      <c r="GB140" s="83"/>
      <c r="GC140" s="83"/>
      <c r="GD140" s="83"/>
      <c r="GE140" s="83"/>
      <c r="GF140" s="83"/>
      <c r="GG140" s="83"/>
      <c r="GH140" s="83"/>
      <c r="GI140" s="83"/>
      <c r="GJ140" s="83"/>
      <c r="GK140" s="83"/>
      <c r="GL140" s="83"/>
      <c r="GM140" s="83"/>
      <c r="GN140" s="83"/>
      <c r="GO140" s="83"/>
      <c r="GP140" s="83"/>
      <c r="GQ140" s="83"/>
      <c r="GR140" s="83"/>
      <c r="GS140" s="83"/>
      <c r="GT140" s="83"/>
      <c r="GU140" s="83"/>
      <c r="GV140" s="83"/>
      <c r="GW140" s="83"/>
      <c r="GX140" s="83"/>
      <c r="GY140" s="83"/>
      <c r="GZ140" s="83"/>
      <c r="HA140" s="83"/>
      <c r="HB140" s="83"/>
      <c r="HC140" s="83"/>
      <c r="HD140" s="83"/>
      <c r="HE140" s="83"/>
      <c r="HF140" s="83"/>
      <c r="HG140" s="83"/>
      <c r="HH140" s="83"/>
      <c r="HI140" s="83"/>
      <c r="HJ140" s="83"/>
      <c r="HK140" s="83"/>
      <c r="HL140" s="83"/>
      <c r="HM140" s="83"/>
      <c r="HN140" s="83"/>
      <c r="HO140" s="83"/>
      <c r="HP140" s="83"/>
      <c r="HQ140" s="83"/>
      <c r="HR140" s="83"/>
      <c r="HS140" s="83"/>
      <c r="HT140" s="83"/>
      <c r="HU140" s="83"/>
      <c r="HV140" s="83"/>
      <c r="HW140" s="83"/>
      <c r="HX140" s="83"/>
      <c r="HY140" s="83"/>
      <c r="HZ140" s="83"/>
      <c r="IA140" s="83"/>
      <c r="IB140" s="83"/>
      <c r="IC140" s="83"/>
      <c r="ID140" s="83"/>
      <c r="IE140" s="83"/>
      <c r="IF140" s="83"/>
      <c r="IG140" s="83"/>
    </row>
    <row r="141" spans="1:241" x14ac:dyDescent="0.3">
      <c r="A141" s="83"/>
      <c r="B141" s="12" t="s">
        <v>128</v>
      </c>
      <c r="C141" s="13">
        <v>4.6561000000000003</v>
      </c>
      <c r="D141" s="13">
        <v>-0.29470000000000002</v>
      </c>
      <c r="E141" s="13">
        <v>0.22070000000000001</v>
      </c>
      <c r="F141" s="13">
        <v>0</v>
      </c>
      <c r="G141" s="13">
        <v>0</v>
      </c>
      <c r="H141" s="13">
        <v>0</v>
      </c>
      <c r="I141" s="15">
        <v>0.96</v>
      </c>
      <c r="J141" s="15">
        <v>1.21</v>
      </c>
      <c r="K141" s="13">
        <v>1</v>
      </c>
      <c r="L141" s="13">
        <v>100</v>
      </c>
      <c r="M141" s="16">
        <v>19</v>
      </c>
      <c r="N141" s="31"/>
      <c r="O141" s="1"/>
      <c r="P141" s="1"/>
      <c r="Q141" s="1"/>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c r="DD141" s="83"/>
      <c r="DE141" s="83"/>
      <c r="DF141" s="83"/>
      <c r="DG141" s="83"/>
      <c r="DH141" s="83"/>
      <c r="DI141" s="83"/>
      <c r="DJ141" s="83"/>
      <c r="DK141" s="83"/>
      <c r="DL141" s="83"/>
      <c r="DM141" s="83"/>
      <c r="DN141" s="83"/>
      <c r="DO141" s="83"/>
      <c r="DP141" s="83"/>
      <c r="DQ141" s="83"/>
      <c r="DR141" s="83"/>
      <c r="DS141" s="83"/>
      <c r="DT141" s="83"/>
      <c r="DU141" s="83"/>
      <c r="DV141" s="83"/>
      <c r="DW141" s="83"/>
      <c r="DX141" s="83"/>
      <c r="DY141" s="83"/>
      <c r="DZ141" s="83"/>
      <c r="EA141" s="83"/>
      <c r="EB141" s="83"/>
      <c r="EC141" s="83"/>
      <c r="ED141" s="83"/>
      <c r="EE141" s="83"/>
      <c r="EF141" s="83"/>
      <c r="EG141" s="83"/>
      <c r="EH141" s="83"/>
      <c r="EI141" s="83"/>
      <c r="EJ141" s="83"/>
      <c r="EK141" s="83"/>
      <c r="EL141" s="83"/>
      <c r="EM141" s="83"/>
      <c r="EN141" s="83"/>
      <c r="EO141" s="83"/>
      <c r="EP141" s="83"/>
      <c r="EQ141" s="83"/>
      <c r="ER141" s="83"/>
      <c r="ES141" s="83"/>
      <c r="ET141" s="83"/>
      <c r="EU141" s="83"/>
      <c r="EV141" s="83"/>
      <c r="EW141" s="83"/>
      <c r="EX141" s="83"/>
      <c r="EY141" s="83"/>
      <c r="EZ141" s="83"/>
      <c r="FA141" s="83"/>
      <c r="FB141" s="83"/>
      <c r="FC141" s="83"/>
      <c r="FD141" s="83"/>
      <c r="FE141" s="83"/>
      <c r="FF141" s="83"/>
      <c r="FG141" s="83"/>
      <c r="FH141" s="83"/>
      <c r="FI141" s="83"/>
      <c r="FJ141" s="83"/>
      <c r="FK141" s="83"/>
      <c r="FL141" s="83"/>
      <c r="FM141" s="83"/>
      <c r="FN141" s="83"/>
      <c r="FO141" s="83"/>
      <c r="FP141" s="83"/>
      <c r="FQ141" s="83"/>
      <c r="FR141" s="83"/>
      <c r="FS141" s="83"/>
      <c r="FT141" s="83"/>
      <c r="FU141" s="83"/>
      <c r="FV141" s="83"/>
      <c r="FW141" s="83"/>
      <c r="FX141" s="83"/>
      <c r="FY141" s="83"/>
      <c r="FZ141" s="83"/>
      <c r="GA141" s="83"/>
      <c r="GB141" s="83"/>
      <c r="GC141" s="83"/>
      <c r="GD141" s="83"/>
      <c r="GE141" s="83"/>
      <c r="GF141" s="83"/>
      <c r="GG141" s="83"/>
      <c r="GH141" s="83"/>
      <c r="GI141" s="83"/>
      <c r="GJ141" s="83"/>
      <c r="GK141" s="83"/>
      <c r="GL141" s="83"/>
      <c r="GM141" s="83"/>
      <c r="GN141" s="83"/>
      <c r="GO141" s="83"/>
      <c r="GP141" s="83"/>
      <c r="GQ141" s="83"/>
      <c r="GR141" s="83"/>
      <c r="GS141" s="83"/>
      <c r="GT141" s="83"/>
      <c r="GU141" s="83"/>
      <c r="GV141" s="83"/>
      <c r="GW141" s="83"/>
      <c r="GX141" s="83"/>
      <c r="GY141" s="83"/>
      <c r="GZ141" s="83"/>
      <c r="HA141" s="83"/>
      <c r="HB141" s="83"/>
      <c r="HC141" s="83"/>
      <c r="HD141" s="83"/>
      <c r="HE141" s="83"/>
      <c r="HF141" s="83"/>
      <c r="HG141" s="83"/>
      <c r="HH141" s="83"/>
      <c r="HI141" s="83"/>
      <c r="HJ141" s="83"/>
      <c r="HK141" s="83"/>
      <c r="HL141" s="83"/>
      <c r="HM141" s="83"/>
      <c r="HN141" s="83"/>
      <c r="HO141" s="83"/>
      <c r="HP141" s="83"/>
      <c r="HQ141" s="83"/>
      <c r="HR141" s="83"/>
      <c r="HS141" s="83"/>
      <c r="HT141" s="83"/>
      <c r="HU141" s="83"/>
      <c r="HV141" s="83"/>
      <c r="HW141" s="83"/>
      <c r="HX141" s="83"/>
      <c r="HY141" s="83"/>
      <c r="HZ141" s="83"/>
      <c r="IA141" s="83"/>
      <c r="IB141" s="83"/>
      <c r="IC141" s="83"/>
      <c r="ID141" s="83"/>
      <c r="IE141" s="83"/>
      <c r="IF141" s="83"/>
      <c r="IG141" s="83"/>
    </row>
    <row r="142" spans="1:241" x14ac:dyDescent="0.3">
      <c r="A142" s="83"/>
      <c r="B142" s="17" t="s">
        <v>129</v>
      </c>
      <c r="C142" s="18">
        <v>4.6656000000000004</v>
      </c>
      <c r="D142" s="18">
        <v>-0.15570000000000001</v>
      </c>
      <c r="E142" s="18">
        <v>0.1547</v>
      </c>
      <c r="F142" s="18">
        <v>0</v>
      </c>
      <c r="G142" s="18">
        <v>0</v>
      </c>
      <c r="H142" s="18">
        <v>0</v>
      </c>
      <c r="I142" s="20">
        <v>0.96</v>
      </c>
      <c r="J142" s="20">
        <v>1.21</v>
      </c>
      <c r="K142" s="18">
        <v>10</v>
      </c>
      <c r="L142" s="18">
        <v>1000</v>
      </c>
      <c r="M142" s="21">
        <v>19</v>
      </c>
      <c r="N142" s="31"/>
      <c r="O142" s="1"/>
      <c r="P142" s="1"/>
      <c r="Q142" s="1"/>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c r="DD142" s="83"/>
      <c r="DE142" s="83"/>
      <c r="DF142" s="83"/>
      <c r="DG142" s="83"/>
      <c r="DH142" s="83"/>
      <c r="DI142" s="83"/>
      <c r="DJ142" s="83"/>
      <c r="DK142" s="83"/>
      <c r="DL142" s="83"/>
      <c r="DM142" s="83"/>
      <c r="DN142" s="83"/>
      <c r="DO142" s="83"/>
      <c r="DP142" s="83"/>
      <c r="DQ142" s="83"/>
      <c r="DR142" s="83"/>
      <c r="DS142" s="83"/>
      <c r="DT142" s="83"/>
      <c r="DU142" s="83"/>
      <c r="DV142" s="83"/>
      <c r="DW142" s="83"/>
      <c r="DX142" s="83"/>
      <c r="DY142" s="83"/>
      <c r="DZ142" s="83"/>
      <c r="EA142" s="83"/>
      <c r="EB142" s="83"/>
      <c r="EC142" s="83"/>
      <c r="ED142" s="83"/>
      <c r="EE142" s="83"/>
      <c r="EF142" s="83"/>
      <c r="EG142" s="83"/>
      <c r="EH142" s="83"/>
      <c r="EI142" s="83"/>
      <c r="EJ142" s="83"/>
      <c r="EK142" s="83"/>
      <c r="EL142" s="83"/>
      <c r="EM142" s="83"/>
      <c r="EN142" s="83"/>
      <c r="EO142" s="83"/>
      <c r="EP142" s="83"/>
      <c r="EQ142" s="83"/>
      <c r="ER142" s="83"/>
      <c r="ES142" s="83"/>
      <c r="ET142" s="83"/>
      <c r="EU142" s="83"/>
      <c r="EV142" s="83"/>
      <c r="EW142" s="83"/>
      <c r="EX142" s="83"/>
      <c r="EY142" s="83"/>
      <c r="EZ142" s="83"/>
      <c r="FA142" s="83"/>
      <c r="FB142" s="83"/>
      <c r="FC142" s="83"/>
      <c r="FD142" s="83"/>
      <c r="FE142" s="83"/>
      <c r="FF142" s="83"/>
      <c r="FG142" s="83"/>
      <c r="FH142" s="83"/>
      <c r="FI142" s="83"/>
      <c r="FJ142" s="83"/>
      <c r="FK142" s="83"/>
      <c r="FL142" s="83"/>
      <c r="FM142" s="83"/>
      <c r="FN142" s="83"/>
      <c r="FO142" s="83"/>
      <c r="FP142" s="83"/>
      <c r="FQ142" s="83"/>
      <c r="FR142" s="83"/>
      <c r="FS142" s="83"/>
      <c r="FT142" s="83"/>
      <c r="FU142" s="83"/>
      <c r="FV142" s="83"/>
      <c r="FW142" s="83"/>
      <c r="FX142" s="83"/>
      <c r="FY142" s="83"/>
      <c r="FZ142" s="83"/>
      <c r="GA142" s="83"/>
      <c r="GB142" s="83"/>
      <c r="GC142" s="83"/>
      <c r="GD142" s="83"/>
      <c r="GE142" s="83"/>
      <c r="GF142" s="83"/>
      <c r="GG142" s="83"/>
      <c r="GH142" s="83"/>
      <c r="GI142" s="83"/>
      <c r="GJ142" s="83"/>
      <c r="GK142" s="83"/>
      <c r="GL142" s="83"/>
      <c r="GM142" s="83"/>
      <c r="GN142" s="83"/>
      <c r="GO142" s="83"/>
      <c r="GP142" s="83"/>
      <c r="GQ142" s="83"/>
      <c r="GR142" s="83"/>
      <c r="GS142" s="83"/>
      <c r="GT142" s="83"/>
      <c r="GU142" s="83"/>
      <c r="GV142" s="83"/>
      <c r="GW142" s="83"/>
      <c r="GX142" s="83"/>
      <c r="GY142" s="83"/>
      <c r="GZ142" s="83"/>
      <c r="HA142" s="83"/>
      <c r="HB142" s="83"/>
      <c r="HC142" s="83"/>
      <c r="HD142" s="83"/>
      <c r="HE142" s="83"/>
      <c r="HF142" s="83"/>
      <c r="HG142" s="83"/>
      <c r="HH142" s="83"/>
      <c r="HI142" s="83"/>
      <c r="HJ142" s="83"/>
      <c r="HK142" s="83"/>
      <c r="HL142" s="83"/>
      <c r="HM142" s="83"/>
      <c r="HN142" s="83"/>
      <c r="HO142" s="83"/>
      <c r="HP142" s="83"/>
      <c r="HQ142" s="83"/>
      <c r="HR142" s="83"/>
      <c r="HS142" s="83"/>
      <c r="HT142" s="83"/>
      <c r="HU142" s="83"/>
      <c r="HV142" s="83"/>
      <c r="HW142" s="83"/>
      <c r="HX142" s="83"/>
      <c r="HY142" s="83"/>
      <c r="HZ142" s="83"/>
      <c r="IA142" s="83"/>
      <c r="IB142" s="83"/>
      <c r="IC142" s="83"/>
      <c r="ID142" s="83"/>
      <c r="IE142" s="83"/>
      <c r="IF142" s="83"/>
      <c r="IG142" s="83"/>
    </row>
    <row r="143" spans="1:241" x14ac:dyDescent="0.3">
      <c r="A143" s="83"/>
      <c r="B143" s="1"/>
      <c r="C143" s="13"/>
      <c r="D143" s="13"/>
      <c r="E143" s="13"/>
      <c r="F143" s="13"/>
      <c r="G143" s="13"/>
      <c r="H143" s="13"/>
      <c r="I143" s="13"/>
      <c r="J143" s="13"/>
      <c r="K143" s="13"/>
      <c r="L143" s="13"/>
      <c r="M143" s="13"/>
      <c r="N143" s="31"/>
      <c r="O143" s="1"/>
      <c r="P143" s="1"/>
      <c r="Q143" s="1"/>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c r="DD143" s="83"/>
      <c r="DE143" s="83"/>
      <c r="DF143" s="83"/>
      <c r="DG143" s="83"/>
      <c r="DH143" s="83"/>
      <c r="DI143" s="83"/>
      <c r="DJ143" s="83"/>
      <c r="DK143" s="83"/>
      <c r="DL143" s="83"/>
      <c r="DM143" s="83"/>
      <c r="DN143" s="83"/>
      <c r="DO143" s="83"/>
      <c r="DP143" s="83"/>
      <c r="DQ143" s="83"/>
      <c r="DR143" s="83"/>
      <c r="DS143" s="83"/>
      <c r="DT143" s="83"/>
      <c r="DU143" s="83"/>
      <c r="DV143" s="83"/>
      <c r="DW143" s="83"/>
      <c r="DX143" s="83"/>
      <c r="DY143" s="83"/>
      <c r="DZ143" s="83"/>
      <c r="EA143" s="83"/>
      <c r="EB143" s="83"/>
      <c r="EC143" s="83"/>
      <c r="ED143" s="83"/>
      <c r="EE143" s="83"/>
      <c r="EF143" s="83"/>
      <c r="EG143" s="83"/>
      <c r="EH143" s="83"/>
      <c r="EI143" s="83"/>
      <c r="EJ143" s="83"/>
      <c r="EK143" s="83"/>
      <c r="EL143" s="83"/>
      <c r="EM143" s="83"/>
      <c r="EN143" s="83"/>
      <c r="EO143" s="83"/>
      <c r="EP143" s="83"/>
      <c r="EQ143" s="83"/>
      <c r="ER143" s="83"/>
      <c r="ES143" s="83"/>
      <c r="ET143" s="83"/>
      <c r="EU143" s="83"/>
      <c r="EV143" s="83"/>
      <c r="EW143" s="83"/>
      <c r="EX143" s="83"/>
      <c r="EY143" s="83"/>
      <c r="EZ143" s="83"/>
      <c r="FA143" s="83"/>
      <c r="FB143" s="83"/>
      <c r="FC143" s="83"/>
      <c r="FD143" s="83"/>
      <c r="FE143" s="83"/>
      <c r="FF143" s="83"/>
      <c r="FG143" s="83"/>
      <c r="FH143" s="83"/>
      <c r="FI143" s="83"/>
      <c r="FJ143" s="83"/>
      <c r="FK143" s="83"/>
      <c r="FL143" s="83"/>
      <c r="FM143" s="83"/>
      <c r="FN143" s="83"/>
      <c r="FO143" s="83"/>
      <c r="FP143" s="83"/>
      <c r="FQ143" s="83"/>
      <c r="FR143" s="83"/>
      <c r="FS143" s="83"/>
      <c r="FT143" s="83"/>
      <c r="FU143" s="83"/>
      <c r="FV143" s="83"/>
      <c r="FW143" s="83"/>
      <c r="FX143" s="83"/>
      <c r="FY143" s="83"/>
      <c r="FZ143" s="83"/>
      <c r="GA143" s="83"/>
      <c r="GB143" s="83"/>
      <c r="GC143" s="83"/>
      <c r="GD143" s="83"/>
      <c r="GE143" s="83"/>
      <c r="GF143" s="83"/>
      <c r="GG143" s="83"/>
      <c r="GH143" s="83"/>
      <c r="GI143" s="83"/>
      <c r="GJ143" s="83"/>
      <c r="GK143" s="83"/>
      <c r="GL143" s="83"/>
      <c r="GM143" s="83"/>
      <c r="GN143" s="83"/>
      <c r="GO143" s="83"/>
      <c r="GP143" s="83"/>
      <c r="GQ143" s="83"/>
      <c r="GR143" s="83"/>
      <c r="GS143" s="83"/>
      <c r="GT143" s="83"/>
      <c r="GU143" s="83"/>
      <c r="GV143" s="83"/>
      <c r="GW143" s="83"/>
      <c r="GX143" s="83"/>
      <c r="GY143" s="83"/>
      <c r="GZ143" s="83"/>
      <c r="HA143" s="83"/>
      <c r="HB143" s="83"/>
      <c r="HC143" s="83"/>
      <c r="HD143" s="83"/>
      <c r="HE143" s="83"/>
      <c r="HF143" s="83"/>
      <c r="HG143" s="83"/>
      <c r="HH143" s="83"/>
      <c r="HI143" s="83"/>
      <c r="HJ143" s="83"/>
      <c r="HK143" s="83"/>
      <c r="HL143" s="83"/>
      <c r="HM143" s="83"/>
      <c r="HN143" s="83"/>
      <c r="HO143" s="83"/>
      <c r="HP143" s="83"/>
      <c r="HQ143" s="83"/>
      <c r="HR143" s="83"/>
      <c r="HS143" s="83"/>
      <c r="HT143" s="83"/>
      <c r="HU143" s="83"/>
      <c r="HV143" s="83"/>
      <c r="HW143" s="83"/>
      <c r="HX143" s="83"/>
      <c r="HY143" s="83"/>
      <c r="HZ143" s="83"/>
      <c r="IA143" s="83"/>
      <c r="IB143" s="83"/>
      <c r="IC143" s="83"/>
      <c r="ID143" s="83"/>
      <c r="IE143" s="83"/>
      <c r="IF143" s="83"/>
      <c r="IG143" s="83"/>
    </row>
    <row r="144" spans="1:241" ht="15.6" x14ac:dyDescent="0.35">
      <c r="A144" s="83"/>
      <c r="B144" s="1" t="s">
        <v>130</v>
      </c>
      <c r="C144" s="13"/>
      <c r="D144" s="13"/>
      <c r="E144" s="13"/>
      <c r="F144" s="13"/>
      <c r="G144" s="13"/>
      <c r="H144" s="13"/>
      <c r="I144" s="13"/>
      <c r="J144" s="13"/>
      <c r="K144" s="13"/>
      <c r="L144" s="13"/>
      <c r="M144" s="13"/>
      <c r="N144" s="31"/>
      <c r="O144" s="1"/>
      <c r="P144" s="1"/>
      <c r="Q144" s="1"/>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c r="DD144" s="83"/>
      <c r="DE144" s="83"/>
      <c r="DF144" s="83"/>
      <c r="DG144" s="83"/>
      <c r="DH144" s="83"/>
      <c r="DI144" s="83"/>
      <c r="DJ144" s="83"/>
      <c r="DK144" s="83"/>
      <c r="DL144" s="83"/>
      <c r="DM144" s="83"/>
      <c r="DN144" s="83"/>
      <c r="DO144" s="83"/>
      <c r="DP144" s="83"/>
      <c r="DQ144" s="83"/>
      <c r="DR144" s="83"/>
      <c r="DS144" s="83"/>
      <c r="DT144" s="83"/>
      <c r="DU144" s="83"/>
      <c r="DV144" s="83"/>
      <c r="DW144" s="83"/>
      <c r="DX144" s="83"/>
      <c r="DY144" s="83"/>
      <c r="DZ144" s="83"/>
      <c r="EA144" s="83"/>
      <c r="EB144" s="83"/>
      <c r="EC144" s="83"/>
      <c r="ED144" s="83"/>
      <c r="EE144" s="83"/>
      <c r="EF144" s="83"/>
      <c r="EG144" s="83"/>
      <c r="EH144" s="83"/>
      <c r="EI144" s="83"/>
      <c r="EJ144" s="83"/>
      <c r="EK144" s="83"/>
      <c r="EL144" s="83"/>
      <c r="EM144" s="83"/>
      <c r="EN144" s="83"/>
      <c r="EO144" s="83"/>
      <c r="EP144" s="83"/>
      <c r="EQ144" s="83"/>
      <c r="ER144" s="83"/>
      <c r="ES144" s="83"/>
      <c r="ET144" s="83"/>
      <c r="EU144" s="83"/>
      <c r="EV144" s="83"/>
      <c r="EW144" s="83"/>
      <c r="EX144" s="83"/>
      <c r="EY144" s="83"/>
      <c r="EZ144" s="83"/>
      <c r="FA144" s="83"/>
      <c r="FB144" s="83"/>
      <c r="FC144" s="83"/>
      <c r="FD144" s="83"/>
      <c r="FE144" s="83"/>
      <c r="FF144" s="83"/>
      <c r="FG144" s="83"/>
      <c r="FH144" s="83"/>
      <c r="FI144" s="83"/>
      <c r="FJ144" s="83"/>
      <c r="FK144" s="83"/>
      <c r="FL144" s="83"/>
      <c r="FM144" s="83"/>
      <c r="FN144" s="83"/>
      <c r="FO144" s="83"/>
      <c r="FP144" s="83"/>
      <c r="FQ144" s="83"/>
      <c r="FR144" s="83"/>
      <c r="FS144" s="83"/>
      <c r="FT144" s="83"/>
      <c r="FU144" s="83"/>
      <c r="FV144" s="83"/>
      <c r="FW144" s="83"/>
      <c r="FX144" s="83"/>
      <c r="FY144" s="83"/>
      <c r="FZ144" s="83"/>
      <c r="GA144" s="83"/>
      <c r="GB144" s="83"/>
      <c r="GC144" s="83"/>
      <c r="GD144" s="83"/>
      <c r="GE144" s="83"/>
      <c r="GF144" s="83"/>
      <c r="GG144" s="83"/>
      <c r="GH144" s="83"/>
      <c r="GI144" s="83"/>
      <c r="GJ144" s="83"/>
      <c r="GK144" s="83"/>
      <c r="GL144" s="83"/>
      <c r="GM144" s="83"/>
      <c r="GN144" s="83"/>
      <c r="GO144" s="83"/>
      <c r="GP144" s="83"/>
      <c r="GQ144" s="83"/>
      <c r="GR144" s="83"/>
      <c r="GS144" s="83"/>
      <c r="GT144" s="83"/>
      <c r="GU144" s="83"/>
      <c r="GV144" s="83"/>
      <c r="GW144" s="83"/>
      <c r="GX144" s="83"/>
      <c r="GY144" s="83"/>
      <c r="GZ144" s="83"/>
      <c r="HA144" s="83"/>
      <c r="HB144" s="83"/>
      <c r="HC144" s="83"/>
      <c r="HD144" s="83"/>
      <c r="HE144" s="83"/>
      <c r="HF144" s="83"/>
      <c r="HG144" s="83"/>
      <c r="HH144" s="83"/>
      <c r="HI144" s="83"/>
      <c r="HJ144" s="83"/>
      <c r="HK144" s="83"/>
      <c r="HL144" s="83"/>
      <c r="HM144" s="83"/>
      <c r="HN144" s="83"/>
      <c r="HO144" s="83"/>
      <c r="HP144" s="83"/>
      <c r="HQ144" s="83"/>
      <c r="HR144" s="83"/>
      <c r="HS144" s="83"/>
      <c r="HT144" s="83"/>
      <c r="HU144" s="83"/>
      <c r="HV144" s="83"/>
      <c r="HW144" s="83"/>
      <c r="HX144" s="83"/>
      <c r="HY144" s="83"/>
      <c r="HZ144" s="83"/>
      <c r="IA144" s="83"/>
      <c r="IB144" s="83"/>
      <c r="IC144" s="83"/>
      <c r="ID144" s="83"/>
      <c r="IE144" s="83"/>
      <c r="IF144" s="83"/>
      <c r="IG144" s="83"/>
    </row>
    <row r="145" spans="1:241" x14ac:dyDescent="0.3">
      <c r="A145" s="83"/>
      <c r="B145" s="7"/>
      <c r="C145" s="8" t="s">
        <v>131</v>
      </c>
      <c r="D145" s="8" t="s">
        <v>85</v>
      </c>
      <c r="E145" s="8" t="s">
        <v>132</v>
      </c>
      <c r="F145" s="8" t="s">
        <v>85</v>
      </c>
      <c r="G145" s="8" t="s">
        <v>87</v>
      </c>
      <c r="H145" s="8" t="s">
        <v>85</v>
      </c>
      <c r="I145" s="8" t="s">
        <v>133</v>
      </c>
      <c r="J145" s="8" t="s">
        <v>85</v>
      </c>
      <c r="K145" s="9" t="s">
        <v>134</v>
      </c>
      <c r="L145" s="13"/>
      <c r="M145" s="13"/>
      <c r="N145" s="31"/>
      <c r="O145" s="1"/>
      <c r="P145" s="1"/>
      <c r="Q145" s="1"/>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c r="DD145" s="83"/>
      <c r="DE145" s="83"/>
      <c r="DF145" s="83"/>
      <c r="DG145" s="83"/>
      <c r="DH145" s="83"/>
      <c r="DI145" s="83"/>
      <c r="DJ145" s="83"/>
      <c r="DK145" s="83"/>
      <c r="DL145" s="83"/>
      <c r="DM145" s="83"/>
      <c r="DN145" s="83"/>
      <c r="DO145" s="83"/>
      <c r="DP145" s="83"/>
      <c r="DQ145" s="83"/>
      <c r="DR145" s="83"/>
      <c r="DS145" s="83"/>
      <c r="DT145" s="83"/>
      <c r="DU145" s="83"/>
      <c r="DV145" s="83"/>
      <c r="DW145" s="83"/>
      <c r="DX145" s="83"/>
      <c r="DY145" s="83"/>
      <c r="DZ145" s="83"/>
      <c r="EA145" s="83"/>
      <c r="EB145" s="83"/>
      <c r="EC145" s="83"/>
      <c r="ED145" s="83"/>
      <c r="EE145" s="83"/>
      <c r="EF145" s="83"/>
      <c r="EG145" s="83"/>
      <c r="EH145" s="83"/>
      <c r="EI145" s="83"/>
      <c r="EJ145" s="83"/>
      <c r="EK145" s="83"/>
      <c r="EL145" s="83"/>
      <c r="EM145" s="83"/>
      <c r="EN145" s="83"/>
      <c r="EO145" s="83"/>
      <c r="EP145" s="83"/>
      <c r="EQ145" s="83"/>
      <c r="ER145" s="83"/>
      <c r="ES145" s="83"/>
      <c r="ET145" s="83"/>
      <c r="EU145" s="83"/>
      <c r="EV145" s="83"/>
      <c r="EW145" s="83"/>
      <c r="EX145" s="83"/>
      <c r="EY145" s="83"/>
      <c r="EZ145" s="83"/>
      <c r="FA145" s="83"/>
      <c r="FB145" s="83"/>
      <c r="FC145" s="83"/>
      <c r="FD145" s="83"/>
      <c r="FE145" s="83"/>
      <c r="FF145" s="83"/>
      <c r="FG145" s="83"/>
      <c r="FH145" s="83"/>
      <c r="FI145" s="83"/>
      <c r="FJ145" s="83"/>
      <c r="FK145" s="83"/>
      <c r="FL145" s="83"/>
      <c r="FM145" s="83"/>
      <c r="FN145" s="83"/>
      <c r="FO145" s="83"/>
      <c r="FP145" s="83"/>
      <c r="FQ145" s="83"/>
      <c r="FR145" s="83"/>
      <c r="FS145" s="83"/>
      <c r="FT145" s="83"/>
      <c r="FU145" s="83"/>
      <c r="FV145" s="83"/>
      <c r="FW145" s="83"/>
      <c r="FX145" s="83"/>
      <c r="FY145" s="83"/>
      <c r="FZ145" s="83"/>
      <c r="GA145" s="83"/>
      <c r="GB145" s="83"/>
      <c r="GC145" s="83"/>
      <c r="GD145" s="83"/>
      <c r="GE145" s="83"/>
      <c r="GF145" s="83"/>
      <c r="GG145" s="83"/>
      <c r="GH145" s="83"/>
      <c r="GI145" s="83"/>
      <c r="GJ145" s="83"/>
      <c r="GK145" s="83"/>
      <c r="GL145" s="83"/>
      <c r="GM145" s="83"/>
      <c r="GN145" s="83"/>
      <c r="GO145" s="83"/>
      <c r="GP145" s="83"/>
      <c r="GQ145" s="83"/>
      <c r="GR145" s="83"/>
      <c r="GS145" s="83"/>
      <c r="GT145" s="83"/>
      <c r="GU145" s="83"/>
      <c r="GV145" s="83"/>
      <c r="GW145" s="83"/>
      <c r="GX145" s="83"/>
      <c r="GY145" s="83"/>
      <c r="GZ145" s="83"/>
      <c r="HA145" s="83"/>
      <c r="HB145" s="83"/>
      <c r="HC145" s="83"/>
      <c r="HD145" s="83"/>
      <c r="HE145" s="83"/>
      <c r="HF145" s="83"/>
      <c r="HG145" s="83"/>
      <c r="HH145" s="83"/>
      <c r="HI145" s="83"/>
      <c r="HJ145" s="83"/>
      <c r="HK145" s="83"/>
      <c r="HL145" s="83"/>
      <c r="HM145" s="83"/>
      <c r="HN145" s="83"/>
      <c r="HO145" s="83"/>
      <c r="HP145" s="83"/>
      <c r="HQ145" s="83"/>
      <c r="HR145" s="83"/>
      <c r="HS145" s="83"/>
      <c r="HT145" s="83"/>
      <c r="HU145" s="83"/>
      <c r="HV145" s="83"/>
      <c r="HW145" s="83"/>
      <c r="HX145" s="83"/>
      <c r="HY145" s="83"/>
      <c r="HZ145" s="83"/>
      <c r="IA145" s="83"/>
      <c r="IB145" s="83"/>
      <c r="IC145" s="83"/>
      <c r="ID145" s="83"/>
      <c r="IE145" s="83"/>
      <c r="IF145" s="83"/>
      <c r="IG145" s="83"/>
    </row>
    <row r="146" spans="1:241" x14ac:dyDescent="0.3">
      <c r="A146" s="83"/>
      <c r="B146" s="66" t="s">
        <v>135</v>
      </c>
      <c r="C146" s="13" t="s">
        <v>136</v>
      </c>
      <c r="D146" s="13" t="s">
        <v>132</v>
      </c>
      <c r="E146" s="13" t="s">
        <v>132</v>
      </c>
      <c r="F146" s="13" t="s">
        <v>87</v>
      </c>
      <c r="G146" s="13" t="s">
        <v>87</v>
      </c>
      <c r="H146" s="13" t="s">
        <v>133</v>
      </c>
      <c r="I146" s="13" t="s">
        <v>133</v>
      </c>
      <c r="J146" s="13" t="s">
        <v>134</v>
      </c>
      <c r="K146" s="16" t="s">
        <v>134</v>
      </c>
      <c r="L146" s="13"/>
      <c r="M146" s="13"/>
      <c r="N146" s="31"/>
      <c r="O146" s="1"/>
      <c r="P146" s="1"/>
      <c r="Q146" s="1"/>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c r="DD146" s="83"/>
      <c r="DE146" s="83"/>
      <c r="DF146" s="83"/>
      <c r="DG146" s="83"/>
      <c r="DH146" s="83"/>
      <c r="DI146" s="83"/>
      <c r="DJ146" s="83"/>
      <c r="DK146" s="83"/>
      <c r="DL146" s="83"/>
      <c r="DM146" s="83"/>
      <c r="DN146" s="83"/>
      <c r="DO146" s="83"/>
      <c r="DP146" s="83"/>
      <c r="DQ146" s="83"/>
      <c r="DR146" s="83"/>
      <c r="DS146" s="83"/>
      <c r="DT146" s="83"/>
      <c r="DU146" s="83"/>
      <c r="DV146" s="83"/>
      <c r="DW146" s="83"/>
      <c r="DX146" s="83"/>
      <c r="DY146" s="83"/>
      <c r="DZ146" s="83"/>
      <c r="EA146" s="83"/>
      <c r="EB146" s="83"/>
      <c r="EC146" s="83"/>
      <c r="ED146" s="83"/>
      <c r="EE146" s="83"/>
      <c r="EF146" s="83"/>
      <c r="EG146" s="83"/>
      <c r="EH146" s="83"/>
      <c r="EI146" s="83"/>
      <c r="EJ146" s="83"/>
      <c r="EK146" s="83"/>
      <c r="EL146" s="83"/>
      <c r="EM146" s="83"/>
      <c r="EN146" s="83"/>
      <c r="EO146" s="83"/>
      <c r="EP146" s="83"/>
      <c r="EQ146" s="83"/>
      <c r="ER146" s="83"/>
      <c r="ES146" s="83"/>
      <c r="ET146" s="83"/>
      <c r="EU146" s="83"/>
      <c r="EV146" s="83"/>
      <c r="EW146" s="83"/>
      <c r="EX146" s="83"/>
      <c r="EY146" s="83"/>
      <c r="EZ146" s="83"/>
      <c r="FA146" s="83"/>
      <c r="FB146" s="83"/>
      <c r="FC146" s="83"/>
      <c r="FD146" s="83"/>
      <c r="FE146" s="83"/>
      <c r="FF146" s="83"/>
      <c r="FG146" s="83"/>
      <c r="FH146" s="83"/>
      <c r="FI146" s="83"/>
      <c r="FJ146" s="83"/>
      <c r="FK146" s="83"/>
      <c r="FL146" s="83"/>
      <c r="FM146" s="83"/>
      <c r="FN146" s="83"/>
      <c r="FO146" s="83"/>
      <c r="FP146" s="83"/>
      <c r="FQ146" s="83"/>
      <c r="FR146" s="83"/>
      <c r="FS146" s="83"/>
      <c r="FT146" s="83"/>
      <c r="FU146" s="83"/>
      <c r="FV146" s="83"/>
      <c r="FW146" s="83"/>
      <c r="FX146" s="83"/>
      <c r="FY146" s="83"/>
      <c r="FZ146" s="83"/>
      <c r="GA146" s="83"/>
      <c r="GB146" s="83"/>
      <c r="GC146" s="83"/>
      <c r="GD146" s="83"/>
      <c r="GE146" s="83"/>
      <c r="GF146" s="83"/>
      <c r="GG146" s="83"/>
      <c r="GH146" s="83"/>
      <c r="GI146" s="83"/>
      <c r="GJ146" s="83"/>
      <c r="GK146" s="83"/>
      <c r="GL146" s="83"/>
      <c r="GM146" s="83"/>
      <c r="GN146" s="83"/>
      <c r="GO146" s="83"/>
      <c r="GP146" s="83"/>
      <c r="GQ146" s="83"/>
      <c r="GR146" s="83"/>
      <c r="GS146" s="83"/>
      <c r="GT146" s="83"/>
      <c r="GU146" s="83"/>
      <c r="GV146" s="83"/>
      <c r="GW146" s="83"/>
      <c r="GX146" s="83"/>
      <c r="GY146" s="83"/>
      <c r="GZ146" s="83"/>
      <c r="HA146" s="83"/>
      <c r="HB146" s="83"/>
      <c r="HC146" s="83"/>
      <c r="HD146" s="83"/>
      <c r="HE146" s="83"/>
      <c r="HF146" s="83"/>
      <c r="HG146" s="83"/>
      <c r="HH146" s="83"/>
      <c r="HI146" s="83"/>
      <c r="HJ146" s="83"/>
      <c r="HK146" s="83"/>
      <c r="HL146" s="83"/>
      <c r="HM146" s="83"/>
      <c r="HN146" s="83"/>
      <c r="HO146" s="83"/>
      <c r="HP146" s="83"/>
      <c r="HQ146" s="83"/>
      <c r="HR146" s="83"/>
      <c r="HS146" s="83"/>
      <c r="HT146" s="83"/>
      <c r="HU146" s="83"/>
      <c r="HV146" s="83"/>
      <c r="HW146" s="83"/>
      <c r="HX146" s="83"/>
      <c r="HY146" s="83"/>
      <c r="HZ146" s="83"/>
      <c r="IA146" s="83"/>
      <c r="IB146" s="83"/>
      <c r="IC146" s="83"/>
      <c r="ID146" s="83"/>
      <c r="IE146" s="83"/>
      <c r="IF146" s="83"/>
      <c r="IG146" s="83"/>
    </row>
    <row r="147" spans="1:241" x14ac:dyDescent="0.3">
      <c r="A147" s="83"/>
      <c r="B147" s="7" t="s">
        <v>113</v>
      </c>
      <c r="C147" s="26">
        <v>1</v>
      </c>
      <c r="D147" s="26">
        <v>1.35</v>
      </c>
      <c r="E147" s="26">
        <v>1.69</v>
      </c>
      <c r="F147" s="26">
        <v>1.81</v>
      </c>
      <c r="G147" s="26">
        <v>2.73</v>
      </c>
      <c r="H147" s="26">
        <v>2.68</v>
      </c>
      <c r="I147" s="26">
        <v>3.73</v>
      </c>
      <c r="J147" s="26">
        <v>4.63</v>
      </c>
      <c r="K147" s="24">
        <v>11.38</v>
      </c>
      <c r="L147" s="13"/>
      <c r="M147" s="13"/>
      <c r="N147" s="31"/>
      <c r="O147" s="1"/>
      <c r="P147" s="1"/>
      <c r="Q147" s="1"/>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c r="DD147" s="83"/>
      <c r="DE147" s="83"/>
      <c r="DF147" s="83"/>
      <c r="DG147" s="83"/>
      <c r="DH147" s="83"/>
      <c r="DI147" s="83"/>
      <c r="DJ147" s="83"/>
      <c r="DK147" s="83"/>
      <c r="DL147" s="83"/>
      <c r="DM147" s="83"/>
      <c r="DN147" s="83"/>
      <c r="DO147" s="83"/>
      <c r="DP147" s="83"/>
      <c r="DQ147" s="83"/>
      <c r="DR147" s="83"/>
      <c r="DS147" s="83"/>
      <c r="DT147" s="83"/>
      <c r="DU147" s="83"/>
      <c r="DV147" s="83"/>
      <c r="DW147" s="83"/>
      <c r="DX147" s="83"/>
      <c r="DY147" s="83"/>
      <c r="DZ147" s="83"/>
      <c r="EA147" s="83"/>
      <c r="EB147" s="83"/>
      <c r="EC147" s="83"/>
      <c r="ED147" s="83"/>
      <c r="EE147" s="83"/>
      <c r="EF147" s="83"/>
      <c r="EG147" s="83"/>
      <c r="EH147" s="83"/>
      <c r="EI147" s="83"/>
      <c r="EJ147" s="83"/>
      <c r="EK147" s="83"/>
      <c r="EL147" s="83"/>
      <c r="EM147" s="83"/>
      <c r="EN147" s="83"/>
      <c r="EO147" s="83"/>
      <c r="EP147" s="83"/>
      <c r="EQ147" s="83"/>
      <c r="ER147" s="83"/>
      <c r="ES147" s="83"/>
      <c r="ET147" s="83"/>
      <c r="EU147" s="83"/>
      <c r="EV147" s="83"/>
      <c r="EW147" s="83"/>
      <c r="EX147" s="83"/>
      <c r="EY147" s="83"/>
      <c r="EZ147" s="83"/>
      <c r="FA147" s="83"/>
      <c r="FB147" s="83"/>
      <c r="FC147" s="83"/>
      <c r="FD147" s="83"/>
      <c r="FE147" s="83"/>
      <c r="FF147" s="83"/>
      <c r="FG147" s="83"/>
      <c r="FH147" s="83"/>
      <c r="FI147" s="83"/>
      <c r="FJ147" s="83"/>
      <c r="FK147" s="83"/>
      <c r="FL147" s="83"/>
      <c r="FM147" s="83"/>
      <c r="FN147" s="83"/>
      <c r="FO147" s="83"/>
      <c r="FP147" s="83"/>
      <c r="FQ147" s="83"/>
      <c r="FR147" s="83"/>
      <c r="FS147" s="83"/>
      <c r="FT147" s="83"/>
      <c r="FU147" s="83"/>
      <c r="FV147" s="83"/>
      <c r="FW147" s="83"/>
      <c r="FX147" s="83"/>
      <c r="FY147" s="83"/>
      <c r="FZ147" s="83"/>
      <c r="GA147" s="83"/>
      <c r="GB147" s="83"/>
      <c r="GC147" s="83"/>
      <c r="GD147" s="83"/>
      <c r="GE147" s="83"/>
      <c r="GF147" s="83"/>
      <c r="GG147" s="83"/>
      <c r="GH147" s="83"/>
      <c r="GI147" s="83"/>
      <c r="GJ147" s="83"/>
      <c r="GK147" s="83"/>
      <c r="GL147" s="83"/>
      <c r="GM147" s="83"/>
      <c r="GN147" s="83"/>
      <c r="GO147" s="83"/>
      <c r="GP147" s="83"/>
      <c r="GQ147" s="83"/>
      <c r="GR147" s="83"/>
      <c r="GS147" s="83"/>
      <c r="GT147" s="83"/>
      <c r="GU147" s="83"/>
      <c r="GV147" s="83"/>
      <c r="GW147" s="83"/>
      <c r="GX147" s="83"/>
      <c r="GY147" s="83"/>
      <c r="GZ147" s="83"/>
      <c r="HA147" s="83"/>
      <c r="HB147" s="83"/>
      <c r="HC147" s="83"/>
      <c r="HD147" s="83"/>
      <c r="HE147" s="83"/>
      <c r="HF147" s="83"/>
      <c r="HG147" s="83"/>
      <c r="HH147" s="83"/>
      <c r="HI147" s="83"/>
      <c r="HJ147" s="83"/>
      <c r="HK147" s="83"/>
      <c r="HL147" s="83"/>
      <c r="HM147" s="83"/>
      <c r="HN147" s="83"/>
      <c r="HO147" s="83"/>
      <c r="HP147" s="83"/>
      <c r="HQ147" s="83"/>
      <c r="HR147" s="83"/>
      <c r="HS147" s="83"/>
      <c r="HT147" s="83"/>
      <c r="HU147" s="83"/>
      <c r="HV147" s="83"/>
      <c r="HW147" s="83"/>
      <c r="HX147" s="83"/>
      <c r="HY147" s="83"/>
      <c r="HZ147" s="83"/>
      <c r="IA147" s="83"/>
      <c r="IB147" s="83"/>
      <c r="IC147" s="83"/>
      <c r="ID147" s="83"/>
      <c r="IE147" s="83"/>
      <c r="IF147" s="83"/>
      <c r="IG147" s="83"/>
    </row>
    <row r="148" spans="1:241" x14ac:dyDescent="0.3">
      <c r="A148" s="83"/>
      <c r="B148" s="12" t="s">
        <v>116</v>
      </c>
      <c r="C148" s="15">
        <v>1</v>
      </c>
      <c r="D148" s="15">
        <v>1.35</v>
      </c>
      <c r="E148" s="15">
        <v>1.69</v>
      </c>
      <c r="F148" s="15">
        <v>1.81</v>
      </c>
      <c r="G148" s="15">
        <v>2.73</v>
      </c>
      <c r="H148" s="15">
        <v>2.68</v>
      </c>
      <c r="I148" s="15">
        <v>3.73</v>
      </c>
      <c r="J148" s="15">
        <v>4.63</v>
      </c>
      <c r="K148" s="28">
        <v>11.38</v>
      </c>
      <c r="L148" s="13"/>
      <c r="M148" s="13"/>
      <c r="N148" s="31"/>
      <c r="O148" s="1"/>
      <c r="P148" s="1"/>
      <c r="Q148" s="1"/>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c r="DD148" s="83"/>
      <c r="DE148" s="83"/>
      <c r="DF148" s="83"/>
      <c r="DG148" s="83"/>
      <c r="DH148" s="83"/>
      <c r="DI148" s="83"/>
      <c r="DJ148" s="83"/>
      <c r="DK148" s="83"/>
      <c r="DL148" s="83"/>
      <c r="DM148" s="83"/>
      <c r="DN148" s="83"/>
      <c r="DO148" s="83"/>
      <c r="DP148" s="83"/>
      <c r="DQ148" s="83"/>
      <c r="DR148" s="83"/>
      <c r="DS148" s="83"/>
      <c r="DT148" s="83"/>
      <c r="DU148" s="83"/>
      <c r="DV148" s="83"/>
      <c r="DW148" s="83"/>
      <c r="DX148" s="83"/>
      <c r="DY148" s="83"/>
      <c r="DZ148" s="83"/>
      <c r="EA148" s="83"/>
      <c r="EB148" s="83"/>
      <c r="EC148" s="83"/>
      <c r="ED148" s="83"/>
      <c r="EE148" s="83"/>
      <c r="EF148" s="83"/>
      <c r="EG148" s="83"/>
      <c r="EH148" s="83"/>
      <c r="EI148" s="83"/>
      <c r="EJ148" s="83"/>
      <c r="EK148" s="83"/>
      <c r="EL148" s="83"/>
      <c r="EM148" s="83"/>
      <c r="EN148" s="83"/>
      <c r="EO148" s="83"/>
      <c r="EP148" s="83"/>
      <c r="EQ148" s="83"/>
      <c r="ER148" s="83"/>
      <c r="ES148" s="83"/>
      <c r="ET148" s="83"/>
      <c r="EU148" s="83"/>
      <c r="EV148" s="83"/>
      <c r="EW148" s="83"/>
      <c r="EX148" s="83"/>
      <c r="EY148" s="83"/>
      <c r="EZ148" s="83"/>
      <c r="FA148" s="83"/>
      <c r="FB148" s="83"/>
      <c r="FC148" s="83"/>
      <c r="FD148" s="83"/>
      <c r="FE148" s="83"/>
      <c r="FF148" s="83"/>
      <c r="FG148" s="83"/>
      <c r="FH148" s="83"/>
      <c r="FI148" s="83"/>
      <c r="FJ148" s="83"/>
      <c r="FK148" s="83"/>
      <c r="FL148" s="83"/>
      <c r="FM148" s="83"/>
      <c r="FN148" s="83"/>
      <c r="FO148" s="83"/>
      <c r="FP148" s="83"/>
      <c r="FQ148" s="83"/>
      <c r="FR148" s="83"/>
      <c r="FS148" s="83"/>
      <c r="FT148" s="83"/>
      <c r="FU148" s="83"/>
      <c r="FV148" s="83"/>
      <c r="FW148" s="83"/>
      <c r="FX148" s="83"/>
      <c r="FY148" s="83"/>
      <c r="FZ148" s="83"/>
      <c r="GA148" s="83"/>
      <c r="GB148" s="83"/>
      <c r="GC148" s="83"/>
      <c r="GD148" s="83"/>
      <c r="GE148" s="83"/>
      <c r="GF148" s="83"/>
      <c r="GG148" s="83"/>
      <c r="GH148" s="83"/>
      <c r="GI148" s="83"/>
      <c r="GJ148" s="83"/>
      <c r="GK148" s="83"/>
      <c r="GL148" s="83"/>
      <c r="GM148" s="83"/>
      <c r="GN148" s="83"/>
      <c r="GO148" s="83"/>
      <c r="GP148" s="83"/>
      <c r="GQ148" s="83"/>
      <c r="GR148" s="83"/>
      <c r="GS148" s="83"/>
      <c r="GT148" s="83"/>
      <c r="GU148" s="83"/>
      <c r="GV148" s="83"/>
      <c r="GW148" s="83"/>
      <c r="GX148" s="83"/>
      <c r="GY148" s="83"/>
      <c r="GZ148" s="83"/>
      <c r="HA148" s="83"/>
      <c r="HB148" s="83"/>
      <c r="HC148" s="83"/>
      <c r="HD148" s="83"/>
      <c r="HE148" s="83"/>
      <c r="HF148" s="83"/>
      <c r="HG148" s="83"/>
      <c r="HH148" s="83"/>
      <c r="HI148" s="83"/>
      <c r="HJ148" s="83"/>
      <c r="HK148" s="83"/>
      <c r="HL148" s="83"/>
      <c r="HM148" s="83"/>
      <c r="HN148" s="83"/>
      <c r="HO148" s="83"/>
      <c r="HP148" s="83"/>
      <c r="HQ148" s="83"/>
      <c r="HR148" s="83"/>
      <c r="HS148" s="83"/>
      <c r="HT148" s="83"/>
      <c r="HU148" s="83"/>
      <c r="HV148" s="83"/>
      <c r="HW148" s="83"/>
      <c r="HX148" s="83"/>
      <c r="HY148" s="83"/>
      <c r="HZ148" s="83"/>
      <c r="IA148" s="83"/>
      <c r="IB148" s="83"/>
      <c r="IC148" s="83"/>
      <c r="ID148" s="83"/>
      <c r="IE148" s="83"/>
      <c r="IF148" s="83"/>
      <c r="IG148" s="83"/>
    </row>
    <row r="149" spans="1:241" x14ac:dyDescent="0.3">
      <c r="A149" s="83"/>
      <c r="B149" s="12" t="s">
        <v>117</v>
      </c>
      <c r="C149" s="15">
        <v>1</v>
      </c>
      <c r="D149" s="15">
        <v>1.35</v>
      </c>
      <c r="E149" s="15">
        <v>1.69</v>
      </c>
      <c r="F149" s="15">
        <v>1.81</v>
      </c>
      <c r="G149" s="15">
        <v>2.73</v>
      </c>
      <c r="H149" s="15">
        <v>2.68</v>
      </c>
      <c r="I149" s="15">
        <v>3.73</v>
      </c>
      <c r="J149" s="15">
        <v>4.63</v>
      </c>
      <c r="K149" s="28">
        <v>11.38</v>
      </c>
      <c r="L149" s="13"/>
      <c r="M149" s="13"/>
      <c r="N149" s="31"/>
      <c r="O149" s="1"/>
      <c r="P149" s="1"/>
      <c r="Q149" s="1"/>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c r="DD149" s="83"/>
      <c r="DE149" s="83"/>
      <c r="DF149" s="83"/>
      <c r="DG149" s="83"/>
      <c r="DH149" s="83"/>
      <c r="DI149" s="83"/>
      <c r="DJ149" s="83"/>
      <c r="DK149" s="83"/>
      <c r="DL149" s="83"/>
      <c r="DM149" s="83"/>
      <c r="DN149" s="83"/>
      <c r="DO149" s="83"/>
      <c r="DP149" s="83"/>
      <c r="DQ149" s="83"/>
      <c r="DR149" s="83"/>
      <c r="DS149" s="83"/>
      <c r="DT149" s="83"/>
      <c r="DU149" s="83"/>
      <c r="DV149" s="83"/>
      <c r="DW149" s="83"/>
      <c r="DX149" s="83"/>
      <c r="DY149" s="83"/>
      <c r="DZ149" s="83"/>
      <c r="EA149" s="83"/>
      <c r="EB149" s="83"/>
      <c r="EC149" s="83"/>
      <c r="ED149" s="83"/>
      <c r="EE149" s="83"/>
      <c r="EF149" s="83"/>
      <c r="EG149" s="83"/>
      <c r="EH149" s="83"/>
      <c r="EI149" s="83"/>
      <c r="EJ149" s="83"/>
      <c r="EK149" s="83"/>
      <c r="EL149" s="83"/>
      <c r="EM149" s="83"/>
      <c r="EN149" s="83"/>
      <c r="EO149" s="83"/>
      <c r="EP149" s="83"/>
      <c r="EQ149" s="83"/>
      <c r="ER149" s="83"/>
      <c r="ES149" s="83"/>
      <c r="ET149" s="83"/>
      <c r="EU149" s="83"/>
      <c r="EV149" s="83"/>
      <c r="EW149" s="83"/>
      <c r="EX149" s="83"/>
      <c r="EY149" s="83"/>
      <c r="EZ149" s="83"/>
      <c r="FA149" s="83"/>
      <c r="FB149" s="83"/>
      <c r="FC149" s="83"/>
      <c r="FD149" s="83"/>
      <c r="FE149" s="83"/>
      <c r="FF149" s="83"/>
      <c r="FG149" s="83"/>
      <c r="FH149" s="83"/>
      <c r="FI149" s="83"/>
      <c r="FJ149" s="83"/>
      <c r="FK149" s="83"/>
      <c r="FL149" s="83"/>
      <c r="FM149" s="83"/>
      <c r="FN149" s="83"/>
      <c r="FO149" s="83"/>
      <c r="FP149" s="83"/>
      <c r="FQ149" s="83"/>
      <c r="FR149" s="83"/>
      <c r="FS149" s="83"/>
      <c r="FT149" s="83"/>
      <c r="FU149" s="83"/>
      <c r="FV149" s="83"/>
      <c r="FW149" s="83"/>
      <c r="FX149" s="83"/>
      <c r="FY149" s="83"/>
      <c r="FZ149" s="83"/>
      <c r="GA149" s="83"/>
      <c r="GB149" s="83"/>
      <c r="GC149" s="83"/>
      <c r="GD149" s="83"/>
      <c r="GE149" s="83"/>
      <c r="GF149" s="83"/>
      <c r="GG149" s="83"/>
      <c r="GH149" s="83"/>
      <c r="GI149" s="83"/>
      <c r="GJ149" s="83"/>
      <c r="GK149" s="83"/>
      <c r="GL149" s="83"/>
      <c r="GM149" s="83"/>
      <c r="GN149" s="83"/>
      <c r="GO149" s="83"/>
      <c r="GP149" s="83"/>
      <c r="GQ149" s="83"/>
      <c r="GR149" s="83"/>
      <c r="GS149" s="83"/>
      <c r="GT149" s="83"/>
      <c r="GU149" s="83"/>
      <c r="GV149" s="83"/>
      <c r="GW149" s="83"/>
      <c r="GX149" s="83"/>
      <c r="GY149" s="83"/>
      <c r="GZ149" s="83"/>
      <c r="HA149" s="83"/>
      <c r="HB149" s="83"/>
      <c r="HC149" s="83"/>
      <c r="HD149" s="83"/>
      <c r="HE149" s="83"/>
      <c r="HF149" s="83"/>
      <c r="HG149" s="83"/>
      <c r="HH149" s="83"/>
      <c r="HI149" s="83"/>
      <c r="HJ149" s="83"/>
      <c r="HK149" s="83"/>
      <c r="HL149" s="83"/>
      <c r="HM149" s="83"/>
      <c r="HN149" s="83"/>
      <c r="HO149" s="83"/>
      <c r="HP149" s="83"/>
      <c r="HQ149" s="83"/>
      <c r="HR149" s="83"/>
      <c r="HS149" s="83"/>
      <c r="HT149" s="83"/>
      <c r="HU149" s="83"/>
      <c r="HV149" s="83"/>
      <c r="HW149" s="83"/>
      <c r="HX149" s="83"/>
      <c r="HY149" s="83"/>
      <c r="HZ149" s="83"/>
      <c r="IA149" s="83"/>
      <c r="IB149" s="83"/>
      <c r="IC149" s="83"/>
      <c r="ID149" s="83"/>
      <c r="IE149" s="83"/>
      <c r="IF149" s="83"/>
      <c r="IG149" s="83"/>
    </row>
    <row r="150" spans="1:241" x14ac:dyDescent="0.3">
      <c r="A150" s="83"/>
      <c r="B150" s="12" t="s">
        <v>119</v>
      </c>
      <c r="C150" s="15">
        <v>1</v>
      </c>
      <c r="D150" s="15">
        <v>1.35</v>
      </c>
      <c r="E150" s="15">
        <v>1.69</v>
      </c>
      <c r="F150" s="15">
        <v>1.81</v>
      </c>
      <c r="G150" s="15">
        <v>2.73</v>
      </c>
      <c r="H150" s="15">
        <v>2.68</v>
      </c>
      <c r="I150" s="15">
        <v>3.73</v>
      </c>
      <c r="J150" s="15">
        <v>4.63</v>
      </c>
      <c r="K150" s="28">
        <v>11.38</v>
      </c>
      <c r="L150" s="13"/>
      <c r="M150" s="13"/>
      <c r="N150" s="31"/>
      <c r="O150" s="1"/>
      <c r="P150" s="1"/>
      <c r="Q150" s="1"/>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c r="DD150" s="83"/>
      <c r="DE150" s="83"/>
      <c r="DF150" s="83"/>
      <c r="DG150" s="83"/>
      <c r="DH150" s="83"/>
      <c r="DI150" s="83"/>
      <c r="DJ150" s="83"/>
      <c r="DK150" s="83"/>
      <c r="DL150" s="83"/>
      <c r="DM150" s="83"/>
      <c r="DN150" s="83"/>
      <c r="DO150" s="83"/>
      <c r="DP150" s="83"/>
      <c r="DQ150" s="83"/>
      <c r="DR150" s="83"/>
      <c r="DS150" s="83"/>
      <c r="DT150" s="83"/>
      <c r="DU150" s="83"/>
      <c r="DV150" s="83"/>
      <c r="DW150" s="83"/>
      <c r="DX150" s="83"/>
      <c r="DY150" s="83"/>
      <c r="DZ150" s="83"/>
      <c r="EA150" s="83"/>
      <c r="EB150" s="83"/>
      <c r="EC150" s="83"/>
      <c r="ED150" s="83"/>
      <c r="EE150" s="83"/>
      <c r="EF150" s="83"/>
      <c r="EG150" s="83"/>
      <c r="EH150" s="83"/>
      <c r="EI150" s="83"/>
      <c r="EJ150" s="83"/>
      <c r="EK150" s="83"/>
      <c r="EL150" s="83"/>
      <c r="EM150" s="83"/>
      <c r="EN150" s="83"/>
      <c r="EO150" s="83"/>
      <c r="EP150" s="83"/>
      <c r="EQ150" s="83"/>
      <c r="ER150" s="83"/>
      <c r="ES150" s="83"/>
      <c r="ET150" s="83"/>
      <c r="EU150" s="83"/>
      <c r="EV150" s="83"/>
      <c r="EW150" s="83"/>
      <c r="EX150" s="83"/>
      <c r="EY150" s="83"/>
      <c r="EZ150" s="83"/>
      <c r="FA150" s="83"/>
      <c r="FB150" s="83"/>
      <c r="FC150" s="83"/>
      <c r="FD150" s="83"/>
      <c r="FE150" s="83"/>
      <c r="FF150" s="83"/>
      <c r="FG150" s="83"/>
      <c r="FH150" s="83"/>
      <c r="FI150" s="83"/>
      <c r="FJ150" s="83"/>
      <c r="FK150" s="83"/>
      <c r="FL150" s="83"/>
      <c r="FM150" s="83"/>
      <c r="FN150" s="83"/>
      <c r="FO150" s="83"/>
      <c r="FP150" s="83"/>
      <c r="FQ150" s="83"/>
      <c r="FR150" s="83"/>
      <c r="FS150" s="83"/>
      <c r="FT150" s="83"/>
      <c r="FU150" s="83"/>
      <c r="FV150" s="83"/>
      <c r="FW150" s="83"/>
      <c r="FX150" s="83"/>
      <c r="FY150" s="83"/>
      <c r="FZ150" s="83"/>
      <c r="GA150" s="83"/>
      <c r="GB150" s="83"/>
      <c r="GC150" s="83"/>
      <c r="GD150" s="83"/>
      <c r="GE150" s="83"/>
      <c r="GF150" s="83"/>
      <c r="GG150" s="83"/>
      <c r="GH150" s="83"/>
      <c r="GI150" s="83"/>
      <c r="GJ150" s="83"/>
      <c r="GK150" s="83"/>
      <c r="GL150" s="83"/>
      <c r="GM150" s="83"/>
      <c r="GN150" s="83"/>
      <c r="GO150" s="83"/>
      <c r="GP150" s="83"/>
      <c r="GQ150" s="83"/>
      <c r="GR150" s="83"/>
      <c r="GS150" s="83"/>
      <c r="GT150" s="83"/>
      <c r="GU150" s="83"/>
      <c r="GV150" s="83"/>
      <c r="GW150" s="83"/>
      <c r="GX150" s="83"/>
      <c r="GY150" s="83"/>
      <c r="GZ150" s="83"/>
      <c r="HA150" s="83"/>
      <c r="HB150" s="83"/>
      <c r="HC150" s="83"/>
      <c r="HD150" s="83"/>
      <c r="HE150" s="83"/>
      <c r="HF150" s="83"/>
      <c r="HG150" s="83"/>
      <c r="HH150" s="83"/>
      <c r="HI150" s="83"/>
      <c r="HJ150" s="83"/>
      <c r="HK150" s="83"/>
      <c r="HL150" s="83"/>
      <c r="HM150" s="83"/>
      <c r="HN150" s="83"/>
      <c r="HO150" s="83"/>
      <c r="HP150" s="83"/>
      <c r="HQ150" s="83"/>
      <c r="HR150" s="83"/>
      <c r="HS150" s="83"/>
      <c r="HT150" s="83"/>
      <c r="HU150" s="83"/>
      <c r="HV150" s="83"/>
      <c r="HW150" s="83"/>
      <c r="HX150" s="83"/>
      <c r="HY150" s="83"/>
      <c r="HZ150" s="83"/>
      <c r="IA150" s="83"/>
      <c r="IB150" s="83"/>
      <c r="IC150" s="83"/>
      <c r="ID150" s="83"/>
      <c r="IE150" s="83"/>
      <c r="IF150" s="83"/>
      <c r="IG150" s="83"/>
    </row>
    <row r="151" spans="1:241" x14ac:dyDescent="0.3">
      <c r="A151" s="83"/>
      <c r="B151" s="12" t="s">
        <v>121</v>
      </c>
      <c r="C151" s="15">
        <v>1</v>
      </c>
      <c r="D151" s="15">
        <v>1.35</v>
      </c>
      <c r="E151" s="15">
        <v>1.69</v>
      </c>
      <c r="F151" s="15">
        <v>1.81</v>
      </c>
      <c r="G151" s="15">
        <v>2.73</v>
      </c>
      <c r="H151" s="15">
        <v>2.68</v>
      </c>
      <c r="I151" s="15">
        <v>3.73</v>
      </c>
      <c r="J151" s="15">
        <v>4.63</v>
      </c>
      <c r="K151" s="28">
        <v>11.38</v>
      </c>
      <c r="L151" s="13"/>
      <c r="M151" s="13"/>
      <c r="N151" s="31"/>
      <c r="O151" s="1"/>
      <c r="P151" s="1"/>
      <c r="Q151" s="1"/>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c r="DD151" s="83"/>
      <c r="DE151" s="83"/>
      <c r="DF151" s="83"/>
      <c r="DG151" s="83"/>
      <c r="DH151" s="83"/>
      <c r="DI151" s="83"/>
      <c r="DJ151" s="83"/>
      <c r="DK151" s="83"/>
      <c r="DL151" s="83"/>
      <c r="DM151" s="83"/>
      <c r="DN151" s="83"/>
      <c r="DO151" s="83"/>
      <c r="DP151" s="83"/>
      <c r="DQ151" s="83"/>
      <c r="DR151" s="83"/>
      <c r="DS151" s="83"/>
      <c r="DT151" s="83"/>
      <c r="DU151" s="83"/>
      <c r="DV151" s="83"/>
      <c r="DW151" s="83"/>
      <c r="DX151" s="83"/>
      <c r="DY151" s="83"/>
      <c r="DZ151" s="83"/>
      <c r="EA151" s="83"/>
      <c r="EB151" s="83"/>
      <c r="EC151" s="83"/>
      <c r="ED151" s="83"/>
      <c r="EE151" s="83"/>
      <c r="EF151" s="83"/>
      <c r="EG151" s="83"/>
      <c r="EH151" s="83"/>
      <c r="EI151" s="83"/>
      <c r="EJ151" s="83"/>
      <c r="EK151" s="83"/>
      <c r="EL151" s="83"/>
      <c r="EM151" s="83"/>
      <c r="EN151" s="83"/>
      <c r="EO151" s="83"/>
      <c r="EP151" s="83"/>
      <c r="EQ151" s="83"/>
      <c r="ER151" s="83"/>
      <c r="ES151" s="83"/>
      <c r="ET151" s="83"/>
      <c r="EU151" s="83"/>
      <c r="EV151" s="83"/>
      <c r="EW151" s="83"/>
      <c r="EX151" s="83"/>
      <c r="EY151" s="83"/>
      <c r="EZ151" s="83"/>
      <c r="FA151" s="83"/>
      <c r="FB151" s="83"/>
      <c r="FC151" s="83"/>
      <c r="FD151" s="83"/>
      <c r="FE151" s="83"/>
      <c r="FF151" s="83"/>
      <c r="FG151" s="83"/>
      <c r="FH151" s="83"/>
      <c r="FI151" s="83"/>
      <c r="FJ151" s="83"/>
      <c r="FK151" s="83"/>
      <c r="FL151" s="83"/>
      <c r="FM151" s="83"/>
      <c r="FN151" s="83"/>
      <c r="FO151" s="83"/>
      <c r="FP151" s="83"/>
      <c r="FQ151" s="83"/>
      <c r="FR151" s="83"/>
      <c r="FS151" s="83"/>
      <c r="FT151" s="83"/>
      <c r="FU151" s="83"/>
      <c r="FV151" s="83"/>
      <c r="FW151" s="83"/>
      <c r="FX151" s="83"/>
      <c r="FY151" s="83"/>
      <c r="FZ151" s="83"/>
      <c r="GA151" s="83"/>
      <c r="GB151" s="83"/>
      <c r="GC151" s="83"/>
      <c r="GD151" s="83"/>
      <c r="GE151" s="83"/>
      <c r="GF151" s="83"/>
      <c r="GG151" s="83"/>
      <c r="GH151" s="83"/>
      <c r="GI151" s="83"/>
      <c r="GJ151" s="83"/>
      <c r="GK151" s="83"/>
      <c r="GL151" s="83"/>
      <c r="GM151" s="83"/>
      <c r="GN151" s="83"/>
      <c r="GO151" s="83"/>
      <c r="GP151" s="83"/>
      <c r="GQ151" s="83"/>
      <c r="GR151" s="83"/>
      <c r="GS151" s="83"/>
      <c r="GT151" s="83"/>
      <c r="GU151" s="83"/>
      <c r="GV151" s="83"/>
      <c r="GW151" s="83"/>
      <c r="GX151" s="83"/>
      <c r="GY151" s="83"/>
      <c r="GZ151" s="83"/>
      <c r="HA151" s="83"/>
      <c r="HB151" s="83"/>
      <c r="HC151" s="83"/>
      <c r="HD151" s="83"/>
      <c r="HE151" s="83"/>
      <c r="HF151" s="83"/>
      <c r="HG151" s="83"/>
      <c r="HH151" s="83"/>
      <c r="HI151" s="83"/>
      <c r="HJ151" s="83"/>
      <c r="HK151" s="83"/>
      <c r="HL151" s="83"/>
      <c r="HM151" s="83"/>
      <c r="HN151" s="83"/>
      <c r="HO151" s="83"/>
      <c r="HP151" s="83"/>
      <c r="HQ151" s="83"/>
      <c r="HR151" s="83"/>
      <c r="HS151" s="83"/>
      <c r="HT151" s="83"/>
      <c r="HU151" s="83"/>
      <c r="HV151" s="83"/>
      <c r="HW151" s="83"/>
      <c r="HX151" s="83"/>
      <c r="HY151" s="83"/>
      <c r="HZ151" s="83"/>
      <c r="IA151" s="83"/>
      <c r="IB151" s="83"/>
      <c r="IC151" s="83"/>
      <c r="ID151" s="83"/>
      <c r="IE151" s="83"/>
      <c r="IF151" s="83"/>
      <c r="IG151" s="83"/>
    </row>
    <row r="152" spans="1:241" x14ac:dyDescent="0.3">
      <c r="A152" s="83"/>
      <c r="B152" s="12" t="s">
        <v>122</v>
      </c>
      <c r="C152" s="15">
        <v>1</v>
      </c>
      <c r="D152" s="15">
        <v>1.35</v>
      </c>
      <c r="E152" s="15">
        <v>1.69</v>
      </c>
      <c r="F152" s="15">
        <v>1.81</v>
      </c>
      <c r="G152" s="15">
        <v>2.73</v>
      </c>
      <c r="H152" s="15">
        <v>2.68</v>
      </c>
      <c r="I152" s="15">
        <v>3.73</v>
      </c>
      <c r="J152" s="15">
        <v>4.63</v>
      </c>
      <c r="K152" s="28">
        <v>11.38</v>
      </c>
      <c r="L152" s="13"/>
      <c r="M152" s="13"/>
      <c r="N152" s="31"/>
      <c r="O152" s="1"/>
      <c r="P152" s="1"/>
      <c r="Q152" s="1"/>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c r="DD152" s="83"/>
      <c r="DE152" s="83"/>
      <c r="DF152" s="83"/>
      <c r="DG152" s="83"/>
      <c r="DH152" s="83"/>
      <c r="DI152" s="83"/>
      <c r="DJ152" s="83"/>
      <c r="DK152" s="83"/>
      <c r="DL152" s="83"/>
      <c r="DM152" s="83"/>
      <c r="DN152" s="83"/>
      <c r="DO152" s="83"/>
      <c r="DP152" s="83"/>
      <c r="DQ152" s="83"/>
      <c r="DR152" s="83"/>
      <c r="DS152" s="83"/>
      <c r="DT152" s="83"/>
      <c r="DU152" s="83"/>
      <c r="DV152" s="83"/>
      <c r="DW152" s="83"/>
      <c r="DX152" s="83"/>
      <c r="DY152" s="83"/>
      <c r="DZ152" s="83"/>
      <c r="EA152" s="83"/>
      <c r="EB152" s="83"/>
      <c r="EC152" s="83"/>
      <c r="ED152" s="83"/>
      <c r="EE152" s="83"/>
      <c r="EF152" s="83"/>
      <c r="EG152" s="83"/>
      <c r="EH152" s="83"/>
      <c r="EI152" s="83"/>
      <c r="EJ152" s="83"/>
      <c r="EK152" s="83"/>
      <c r="EL152" s="83"/>
      <c r="EM152" s="83"/>
      <c r="EN152" s="83"/>
      <c r="EO152" s="83"/>
      <c r="EP152" s="83"/>
      <c r="EQ152" s="83"/>
      <c r="ER152" s="83"/>
      <c r="ES152" s="83"/>
      <c r="ET152" s="83"/>
      <c r="EU152" s="83"/>
      <c r="EV152" s="83"/>
      <c r="EW152" s="83"/>
      <c r="EX152" s="83"/>
      <c r="EY152" s="83"/>
      <c r="EZ152" s="83"/>
      <c r="FA152" s="83"/>
      <c r="FB152" s="83"/>
      <c r="FC152" s="83"/>
      <c r="FD152" s="83"/>
      <c r="FE152" s="83"/>
      <c r="FF152" s="83"/>
      <c r="FG152" s="83"/>
      <c r="FH152" s="83"/>
      <c r="FI152" s="83"/>
      <c r="FJ152" s="83"/>
      <c r="FK152" s="83"/>
      <c r="FL152" s="83"/>
      <c r="FM152" s="83"/>
      <c r="FN152" s="83"/>
      <c r="FO152" s="83"/>
      <c r="FP152" s="83"/>
      <c r="FQ152" s="83"/>
      <c r="FR152" s="83"/>
      <c r="FS152" s="83"/>
      <c r="FT152" s="83"/>
      <c r="FU152" s="83"/>
      <c r="FV152" s="83"/>
      <c r="FW152" s="83"/>
      <c r="FX152" s="83"/>
      <c r="FY152" s="83"/>
      <c r="FZ152" s="83"/>
      <c r="GA152" s="83"/>
      <c r="GB152" s="83"/>
      <c r="GC152" s="83"/>
      <c r="GD152" s="83"/>
      <c r="GE152" s="83"/>
      <c r="GF152" s="83"/>
      <c r="GG152" s="83"/>
      <c r="GH152" s="83"/>
      <c r="GI152" s="83"/>
      <c r="GJ152" s="83"/>
      <c r="GK152" s="83"/>
      <c r="GL152" s="83"/>
      <c r="GM152" s="83"/>
      <c r="GN152" s="83"/>
      <c r="GO152" s="83"/>
      <c r="GP152" s="83"/>
      <c r="GQ152" s="83"/>
      <c r="GR152" s="83"/>
      <c r="GS152" s="83"/>
      <c r="GT152" s="83"/>
      <c r="GU152" s="83"/>
      <c r="GV152" s="83"/>
      <c r="GW152" s="83"/>
      <c r="GX152" s="83"/>
      <c r="GY152" s="83"/>
      <c r="GZ152" s="83"/>
      <c r="HA152" s="83"/>
      <c r="HB152" s="83"/>
      <c r="HC152" s="83"/>
      <c r="HD152" s="83"/>
      <c r="HE152" s="83"/>
      <c r="HF152" s="83"/>
      <c r="HG152" s="83"/>
      <c r="HH152" s="83"/>
      <c r="HI152" s="83"/>
      <c r="HJ152" s="83"/>
      <c r="HK152" s="83"/>
      <c r="HL152" s="83"/>
      <c r="HM152" s="83"/>
      <c r="HN152" s="83"/>
      <c r="HO152" s="83"/>
      <c r="HP152" s="83"/>
      <c r="HQ152" s="83"/>
      <c r="HR152" s="83"/>
      <c r="HS152" s="83"/>
      <c r="HT152" s="83"/>
      <c r="HU152" s="83"/>
      <c r="HV152" s="83"/>
      <c r="HW152" s="83"/>
      <c r="HX152" s="83"/>
      <c r="HY152" s="83"/>
      <c r="HZ152" s="83"/>
      <c r="IA152" s="83"/>
      <c r="IB152" s="83"/>
      <c r="IC152" s="83"/>
      <c r="ID152" s="83"/>
      <c r="IE152" s="83"/>
      <c r="IF152" s="83"/>
      <c r="IG152" s="83"/>
    </row>
    <row r="153" spans="1:241" x14ac:dyDescent="0.3">
      <c r="A153" s="83"/>
      <c r="B153" s="12" t="s">
        <v>123</v>
      </c>
      <c r="C153" s="15">
        <v>1</v>
      </c>
      <c r="D153" s="15">
        <v>1.35</v>
      </c>
      <c r="E153" s="15">
        <v>1.69</v>
      </c>
      <c r="F153" s="15">
        <v>1.81</v>
      </c>
      <c r="G153" s="15">
        <v>2.73</v>
      </c>
      <c r="H153" s="15">
        <v>2.68</v>
      </c>
      <c r="I153" s="15">
        <v>3.73</v>
      </c>
      <c r="J153" s="15">
        <v>4.63</v>
      </c>
      <c r="K153" s="28">
        <v>11.38</v>
      </c>
      <c r="L153" s="13"/>
      <c r="M153" s="13"/>
      <c r="N153" s="31"/>
      <c r="O153" s="1"/>
      <c r="P153" s="1"/>
      <c r="Q153" s="1"/>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c r="DD153" s="83"/>
      <c r="DE153" s="83"/>
      <c r="DF153" s="83"/>
      <c r="DG153" s="83"/>
      <c r="DH153" s="83"/>
      <c r="DI153" s="83"/>
      <c r="DJ153" s="83"/>
      <c r="DK153" s="83"/>
      <c r="DL153" s="83"/>
      <c r="DM153" s="83"/>
      <c r="DN153" s="83"/>
      <c r="DO153" s="83"/>
      <c r="DP153" s="83"/>
      <c r="DQ153" s="83"/>
      <c r="DR153" s="83"/>
      <c r="DS153" s="83"/>
      <c r="DT153" s="83"/>
      <c r="DU153" s="83"/>
      <c r="DV153" s="83"/>
      <c r="DW153" s="83"/>
      <c r="DX153" s="83"/>
      <c r="DY153" s="83"/>
      <c r="DZ153" s="83"/>
      <c r="EA153" s="83"/>
      <c r="EB153" s="83"/>
      <c r="EC153" s="83"/>
      <c r="ED153" s="83"/>
      <c r="EE153" s="83"/>
      <c r="EF153" s="83"/>
      <c r="EG153" s="83"/>
      <c r="EH153" s="83"/>
      <c r="EI153" s="83"/>
      <c r="EJ153" s="83"/>
      <c r="EK153" s="83"/>
      <c r="EL153" s="83"/>
      <c r="EM153" s="83"/>
      <c r="EN153" s="83"/>
      <c r="EO153" s="83"/>
      <c r="EP153" s="83"/>
      <c r="EQ153" s="83"/>
      <c r="ER153" s="83"/>
      <c r="ES153" s="83"/>
      <c r="ET153" s="83"/>
      <c r="EU153" s="83"/>
      <c r="EV153" s="83"/>
      <c r="EW153" s="83"/>
      <c r="EX153" s="83"/>
      <c r="EY153" s="83"/>
      <c r="EZ153" s="83"/>
      <c r="FA153" s="83"/>
      <c r="FB153" s="83"/>
      <c r="FC153" s="83"/>
      <c r="FD153" s="83"/>
      <c r="FE153" s="83"/>
      <c r="FF153" s="83"/>
      <c r="FG153" s="83"/>
      <c r="FH153" s="83"/>
      <c r="FI153" s="83"/>
      <c r="FJ153" s="83"/>
      <c r="FK153" s="83"/>
      <c r="FL153" s="83"/>
      <c r="FM153" s="83"/>
      <c r="FN153" s="83"/>
      <c r="FO153" s="83"/>
      <c r="FP153" s="83"/>
      <c r="FQ153" s="83"/>
      <c r="FR153" s="83"/>
      <c r="FS153" s="83"/>
      <c r="FT153" s="83"/>
      <c r="FU153" s="83"/>
      <c r="FV153" s="83"/>
      <c r="FW153" s="83"/>
      <c r="FX153" s="83"/>
      <c r="FY153" s="83"/>
      <c r="FZ153" s="83"/>
      <c r="GA153" s="83"/>
      <c r="GB153" s="83"/>
      <c r="GC153" s="83"/>
      <c r="GD153" s="83"/>
      <c r="GE153" s="83"/>
      <c r="GF153" s="83"/>
      <c r="GG153" s="83"/>
      <c r="GH153" s="83"/>
      <c r="GI153" s="83"/>
      <c r="GJ153" s="83"/>
      <c r="GK153" s="83"/>
      <c r="GL153" s="83"/>
      <c r="GM153" s="83"/>
      <c r="GN153" s="83"/>
      <c r="GO153" s="83"/>
      <c r="GP153" s="83"/>
      <c r="GQ153" s="83"/>
      <c r="GR153" s="83"/>
      <c r="GS153" s="83"/>
      <c r="GT153" s="83"/>
      <c r="GU153" s="83"/>
      <c r="GV153" s="83"/>
      <c r="GW153" s="83"/>
      <c r="GX153" s="83"/>
      <c r="GY153" s="83"/>
      <c r="GZ153" s="83"/>
      <c r="HA153" s="83"/>
      <c r="HB153" s="83"/>
      <c r="HC153" s="83"/>
      <c r="HD153" s="83"/>
      <c r="HE153" s="83"/>
      <c r="HF153" s="83"/>
      <c r="HG153" s="83"/>
      <c r="HH153" s="83"/>
      <c r="HI153" s="83"/>
      <c r="HJ153" s="83"/>
      <c r="HK153" s="83"/>
      <c r="HL153" s="83"/>
      <c r="HM153" s="83"/>
      <c r="HN153" s="83"/>
      <c r="HO153" s="83"/>
      <c r="HP153" s="83"/>
      <c r="HQ153" s="83"/>
      <c r="HR153" s="83"/>
      <c r="HS153" s="83"/>
      <c r="HT153" s="83"/>
      <c r="HU153" s="83"/>
      <c r="HV153" s="83"/>
      <c r="HW153" s="83"/>
      <c r="HX153" s="83"/>
      <c r="HY153" s="83"/>
      <c r="HZ153" s="83"/>
      <c r="IA153" s="83"/>
      <c r="IB153" s="83"/>
      <c r="IC153" s="83"/>
      <c r="ID153" s="83"/>
      <c r="IE153" s="83"/>
      <c r="IF153" s="83"/>
      <c r="IG153" s="83"/>
    </row>
    <row r="154" spans="1:241" x14ac:dyDescent="0.3">
      <c r="A154" s="83"/>
      <c r="B154" s="17" t="s">
        <v>137</v>
      </c>
      <c r="C154" s="20">
        <v>1</v>
      </c>
      <c r="D154" s="20">
        <v>1.35</v>
      </c>
      <c r="E154" s="20">
        <v>1.69</v>
      </c>
      <c r="F154" s="20">
        <v>1.81</v>
      </c>
      <c r="G154" s="20">
        <v>2.73</v>
      </c>
      <c r="H154" s="20">
        <v>2.68</v>
      </c>
      <c r="I154" s="20">
        <v>3.73</v>
      </c>
      <c r="J154" s="20">
        <v>4.63</v>
      </c>
      <c r="K154" s="29">
        <v>11.38</v>
      </c>
      <c r="L154" s="13"/>
      <c r="M154" s="13"/>
      <c r="N154" s="31"/>
      <c r="O154" s="1"/>
      <c r="P154" s="1"/>
      <c r="Q154" s="1"/>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c r="DD154" s="83"/>
      <c r="DE154" s="83"/>
      <c r="DF154" s="83"/>
      <c r="DG154" s="83"/>
      <c r="DH154" s="83"/>
      <c r="DI154" s="83"/>
      <c r="DJ154" s="83"/>
      <c r="DK154" s="83"/>
      <c r="DL154" s="83"/>
      <c r="DM154" s="83"/>
      <c r="DN154" s="83"/>
      <c r="DO154" s="83"/>
      <c r="DP154" s="83"/>
      <c r="DQ154" s="83"/>
      <c r="DR154" s="83"/>
      <c r="DS154" s="83"/>
      <c r="DT154" s="83"/>
      <c r="DU154" s="83"/>
      <c r="DV154" s="83"/>
      <c r="DW154" s="83"/>
      <c r="DX154" s="83"/>
      <c r="DY154" s="83"/>
      <c r="DZ154" s="83"/>
      <c r="EA154" s="83"/>
      <c r="EB154" s="83"/>
      <c r="EC154" s="83"/>
      <c r="ED154" s="83"/>
      <c r="EE154" s="83"/>
      <c r="EF154" s="83"/>
      <c r="EG154" s="83"/>
      <c r="EH154" s="83"/>
      <c r="EI154" s="83"/>
      <c r="EJ154" s="83"/>
      <c r="EK154" s="83"/>
      <c r="EL154" s="83"/>
      <c r="EM154" s="83"/>
      <c r="EN154" s="83"/>
      <c r="EO154" s="83"/>
      <c r="EP154" s="83"/>
      <c r="EQ154" s="83"/>
      <c r="ER154" s="83"/>
      <c r="ES154" s="83"/>
      <c r="ET154" s="83"/>
      <c r="EU154" s="83"/>
      <c r="EV154" s="83"/>
      <c r="EW154" s="83"/>
      <c r="EX154" s="83"/>
      <c r="EY154" s="83"/>
      <c r="EZ154" s="83"/>
      <c r="FA154" s="83"/>
      <c r="FB154" s="83"/>
      <c r="FC154" s="83"/>
      <c r="FD154" s="83"/>
      <c r="FE154" s="83"/>
      <c r="FF154" s="83"/>
      <c r="FG154" s="83"/>
      <c r="FH154" s="83"/>
      <c r="FI154" s="83"/>
      <c r="FJ154" s="83"/>
      <c r="FK154" s="83"/>
      <c r="FL154" s="83"/>
      <c r="FM154" s="83"/>
      <c r="FN154" s="83"/>
      <c r="FO154" s="83"/>
      <c r="FP154" s="83"/>
      <c r="FQ154" s="83"/>
      <c r="FR154" s="83"/>
      <c r="FS154" s="83"/>
      <c r="FT154" s="83"/>
      <c r="FU154" s="83"/>
      <c r="FV154" s="83"/>
      <c r="FW154" s="83"/>
      <c r="FX154" s="83"/>
      <c r="FY154" s="83"/>
      <c r="FZ154" s="83"/>
      <c r="GA154" s="83"/>
      <c r="GB154" s="83"/>
      <c r="GC154" s="83"/>
      <c r="GD154" s="83"/>
      <c r="GE154" s="83"/>
      <c r="GF154" s="83"/>
      <c r="GG154" s="83"/>
      <c r="GH154" s="83"/>
      <c r="GI154" s="83"/>
      <c r="GJ154" s="83"/>
      <c r="GK154" s="83"/>
      <c r="GL154" s="83"/>
      <c r="GM154" s="83"/>
      <c r="GN154" s="83"/>
      <c r="GO154" s="83"/>
      <c r="GP154" s="83"/>
      <c r="GQ154" s="83"/>
      <c r="GR154" s="83"/>
      <c r="GS154" s="83"/>
      <c r="GT154" s="83"/>
      <c r="GU154" s="83"/>
      <c r="GV154" s="83"/>
      <c r="GW154" s="83"/>
      <c r="GX154" s="83"/>
      <c r="GY154" s="83"/>
      <c r="GZ154" s="83"/>
      <c r="HA154" s="83"/>
      <c r="HB154" s="83"/>
      <c r="HC154" s="83"/>
      <c r="HD154" s="83"/>
      <c r="HE154" s="83"/>
      <c r="HF154" s="83"/>
      <c r="HG154" s="83"/>
      <c r="HH154" s="83"/>
      <c r="HI154" s="83"/>
      <c r="HJ154" s="83"/>
      <c r="HK154" s="83"/>
      <c r="HL154" s="83"/>
      <c r="HM154" s="83"/>
      <c r="HN154" s="83"/>
      <c r="HO154" s="83"/>
      <c r="HP154" s="83"/>
      <c r="HQ154" s="83"/>
      <c r="HR154" s="83"/>
      <c r="HS154" s="83"/>
      <c r="HT154" s="83"/>
      <c r="HU154" s="83"/>
      <c r="HV154" s="83"/>
      <c r="HW154" s="83"/>
      <c r="HX154" s="83"/>
      <c r="HY154" s="83"/>
      <c r="HZ154" s="83"/>
      <c r="IA154" s="83"/>
      <c r="IB154" s="83"/>
      <c r="IC154" s="83"/>
      <c r="ID154" s="83"/>
      <c r="IE154" s="83"/>
      <c r="IF154" s="83"/>
      <c r="IG154" s="83"/>
    </row>
    <row r="155" spans="1:241" x14ac:dyDescent="0.3">
      <c r="A155" s="83"/>
      <c r="B155" s="1"/>
      <c r="C155" s="13"/>
      <c r="D155" s="13"/>
      <c r="E155" s="13"/>
      <c r="F155" s="13"/>
      <c r="G155" s="13"/>
      <c r="H155" s="13"/>
      <c r="I155" s="13"/>
      <c r="J155" s="13"/>
      <c r="K155" s="13"/>
      <c r="L155" s="13"/>
      <c r="M155" s="13"/>
      <c r="N155" s="31"/>
      <c r="O155" s="1"/>
      <c r="P155" s="1"/>
      <c r="Q155" s="1"/>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c r="DD155" s="83"/>
      <c r="DE155" s="83"/>
      <c r="DF155" s="83"/>
      <c r="DG155" s="83"/>
      <c r="DH155" s="83"/>
      <c r="DI155" s="83"/>
      <c r="DJ155" s="83"/>
      <c r="DK155" s="83"/>
      <c r="DL155" s="83"/>
      <c r="DM155" s="83"/>
      <c r="DN155" s="83"/>
      <c r="DO155" s="83"/>
      <c r="DP155" s="83"/>
      <c r="DQ155" s="83"/>
      <c r="DR155" s="83"/>
      <c r="DS155" s="83"/>
      <c r="DT155" s="83"/>
      <c r="DU155" s="83"/>
      <c r="DV155" s="83"/>
      <c r="DW155" s="83"/>
      <c r="DX155" s="83"/>
      <c r="DY155" s="83"/>
      <c r="DZ155" s="83"/>
      <c r="EA155" s="83"/>
      <c r="EB155" s="83"/>
      <c r="EC155" s="83"/>
      <c r="ED155" s="83"/>
      <c r="EE155" s="83"/>
      <c r="EF155" s="83"/>
      <c r="EG155" s="83"/>
      <c r="EH155" s="83"/>
      <c r="EI155" s="83"/>
      <c r="EJ155" s="83"/>
      <c r="EK155" s="83"/>
      <c r="EL155" s="83"/>
      <c r="EM155" s="83"/>
      <c r="EN155" s="83"/>
      <c r="EO155" s="83"/>
      <c r="EP155" s="83"/>
      <c r="EQ155" s="83"/>
      <c r="ER155" s="83"/>
      <c r="ES155" s="83"/>
      <c r="ET155" s="83"/>
      <c r="EU155" s="83"/>
      <c r="EV155" s="83"/>
      <c r="EW155" s="83"/>
      <c r="EX155" s="83"/>
      <c r="EY155" s="83"/>
      <c r="EZ155" s="83"/>
      <c r="FA155" s="83"/>
      <c r="FB155" s="83"/>
      <c r="FC155" s="83"/>
      <c r="FD155" s="83"/>
      <c r="FE155" s="83"/>
      <c r="FF155" s="83"/>
      <c r="FG155" s="83"/>
      <c r="FH155" s="83"/>
      <c r="FI155" s="83"/>
      <c r="FJ155" s="83"/>
      <c r="FK155" s="83"/>
      <c r="FL155" s="83"/>
      <c r="FM155" s="83"/>
      <c r="FN155" s="83"/>
      <c r="FO155" s="83"/>
      <c r="FP155" s="83"/>
      <c r="FQ155" s="83"/>
      <c r="FR155" s="83"/>
      <c r="FS155" s="83"/>
      <c r="FT155" s="83"/>
      <c r="FU155" s="83"/>
      <c r="FV155" s="83"/>
      <c r="FW155" s="83"/>
      <c r="FX155" s="83"/>
      <c r="FY155" s="83"/>
      <c r="FZ155" s="83"/>
      <c r="GA155" s="83"/>
      <c r="GB155" s="83"/>
      <c r="GC155" s="83"/>
      <c r="GD155" s="83"/>
      <c r="GE155" s="83"/>
      <c r="GF155" s="83"/>
      <c r="GG155" s="83"/>
      <c r="GH155" s="83"/>
      <c r="GI155" s="83"/>
      <c r="GJ155" s="83"/>
      <c r="GK155" s="83"/>
      <c r="GL155" s="83"/>
      <c r="GM155" s="83"/>
      <c r="GN155" s="83"/>
      <c r="GO155" s="83"/>
      <c r="GP155" s="83"/>
      <c r="GQ155" s="83"/>
      <c r="GR155" s="83"/>
      <c r="GS155" s="83"/>
      <c r="GT155" s="83"/>
      <c r="GU155" s="83"/>
      <c r="GV155" s="83"/>
      <c r="GW155" s="83"/>
      <c r="GX155" s="83"/>
      <c r="GY155" s="83"/>
      <c r="GZ155" s="83"/>
      <c r="HA155" s="83"/>
      <c r="HB155" s="83"/>
      <c r="HC155" s="83"/>
      <c r="HD155" s="83"/>
      <c r="HE155" s="83"/>
      <c r="HF155" s="83"/>
      <c r="HG155" s="83"/>
      <c r="HH155" s="83"/>
      <c r="HI155" s="83"/>
      <c r="HJ155" s="83"/>
      <c r="HK155" s="83"/>
      <c r="HL155" s="83"/>
      <c r="HM155" s="83"/>
      <c r="HN155" s="83"/>
      <c r="HO155" s="83"/>
      <c r="HP155" s="83"/>
      <c r="HQ155" s="83"/>
      <c r="HR155" s="83"/>
      <c r="HS155" s="83"/>
      <c r="HT155" s="83"/>
      <c r="HU155" s="83"/>
      <c r="HV155" s="83"/>
      <c r="HW155" s="83"/>
      <c r="HX155" s="83"/>
      <c r="HY155" s="83"/>
      <c r="HZ155" s="83"/>
      <c r="IA155" s="83"/>
      <c r="IB155" s="83"/>
      <c r="IC155" s="83"/>
      <c r="ID155" s="83"/>
      <c r="IE155" s="83"/>
      <c r="IF155" s="83"/>
      <c r="IG155" s="83"/>
    </row>
    <row r="156" spans="1:241" x14ac:dyDescent="0.3">
      <c r="A156" s="83"/>
      <c r="B156" s="7"/>
      <c r="C156" s="67" t="s">
        <v>138</v>
      </c>
      <c r="D156" s="8"/>
      <c r="E156" s="8"/>
      <c r="F156" s="8"/>
      <c r="G156" s="9"/>
      <c r="H156" s="13"/>
      <c r="I156" s="13"/>
      <c r="J156" s="13"/>
      <c r="K156" s="13"/>
      <c r="L156" s="13"/>
      <c r="M156" s="13"/>
      <c r="N156" s="31"/>
      <c r="O156" s="1"/>
      <c r="P156" s="1"/>
      <c r="Q156" s="1"/>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c r="DD156" s="83"/>
      <c r="DE156" s="83"/>
      <c r="DF156" s="83"/>
      <c r="DG156" s="83"/>
      <c r="DH156" s="83"/>
      <c r="DI156" s="83"/>
      <c r="DJ156" s="83"/>
      <c r="DK156" s="83"/>
      <c r="DL156" s="83"/>
      <c r="DM156" s="83"/>
      <c r="DN156" s="83"/>
      <c r="DO156" s="83"/>
      <c r="DP156" s="83"/>
      <c r="DQ156" s="83"/>
      <c r="DR156" s="83"/>
      <c r="DS156" s="83"/>
      <c r="DT156" s="83"/>
      <c r="DU156" s="83"/>
      <c r="DV156" s="83"/>
      <c r="DW156" s="83"/>
      <c r="DX156" s="83"/>
      <c r="DY156" s="83"/>
      <c r="DZ156" s="83"/>
      <c r="EA156" s="83"/>
      <c r="EB156" s="83"/>
      <c r="EC156" s="83"/>
      <c r="ED156" s="83"/>
      <c r="EE156" s="83"/>
      <c r="EF156" s="83"/>
      <c r="EG156" s="83"/>
      <c r="EH156" s="83"/>
      <c r="EI156" s="83"/>
      <c r="EJ156" s="83"/>
      <c r="EK156" s="83"/>
      <c r="EL156" s="83"/>
      <c r="EM156" s="83"/>
      <c r="EN156" s="83"/>
      <c r="EO156" s="83"/>
      <c r="EP156" s="83"/>
      <c r="EQ156" s="83"/>
      <c r="ER156" s="83"/>
      <c r="ES156" s="83"/>
      <c r="ET156" s="83"/>
      <c r="EU156" s="83"/>
      <c r="EV156" s="83"/>
      <c r="EW156" s="83"/>
      <c r="EX156" s="83"/>
      <c r="EY156" s="83"/>
      <c r="EZ156" s="83"/>
      <c r="FA156" s="83"/>
      <c r="FB156" s="83"/>
      <c r="FC156" s="83"/>
      <c r="FD156" s="83"/>
      <c r="FE156" s="83"/>
      <c r="FF156" s="83"/>
      <c r="FG156" s="83"/>
      <c r="FH156" s="83"/>
      <c r="FI156" s="83"/>
      <c r="FJ156" s="83"/>
      <c r="FK156" s="83"/>
      <c r="FL156" s="83"/>
      <c r="FM156" s="83"/>
      <c r="FN156" s="83"/>
      <c r="FO156" s="83"/>
      <c r="FP156" s="83"/>
      <c r="FQ156" s="83"/>
      <c r="FR156" s="83"/>
      <c r="FS156" s="83"/>
      <c r="FT156" s="83"/>
      <c r="FU156" s="83"/>
      <c r="FV156" s="83"/>
      <c r="FW156" s="83"/>
      <c r="FX156" s="83"/>
      <c r="FY156" s="83"/>
      <c r="FZ156" s="83"/>
      <c r="GA156" s="83"/>
      <c r="GB156" s="83"/>
      <c r="GC156" s="83"/>
      <c r="GD156" s="83"/>
      <c r="GE156" s="83"/>
      <c r="GF156" s="83"/>
      <c r="GG156" s="83"/>
      <c r="GH156" s="83"/>
      <c r="GI156" s="83"/>
      <c r="GJ156" s="83"/>
      <c r="GK156" s="83"/>
      <c r="GL156" s="83"/>
      <c r="GM156" s="83"/>
      <c r="GN156" s="83"/>
      <c r="GO156" s="83"/>
      <c r="GP156" s="83"/>
      <c r="GQ156" s="83"/>
      <c r="GR156" s="83"/>
      <c r="GS156" s="83"/>
      <c r="GT156" s="83"/>
      <c r="GU156" s="83"/>
      <c r="GV156" s="83"/>
      <c r="GW156" s="83"/>
      <c r="GX156" s="83"/>
      <c r="GY156" s="83"/>
      <c r="GZ156" s="83"/>
      <c r="HA156" s="83"/>
      <c r="HB156" s="83"/>
      <c r="HC156" s="83"/>
      <c r="HD156" s="83"/>
      <c r="HE156" s="83"/>
      <c r="HF156" s="83"/>
      <c r="HG156" s="83"/>
      <c r="HH156" s="83"/>
      <c r="HI156" s="83"/>
      <c r="HJ156" s="83"/>
      <c r="HK156" s="83"/>
      <c r="HL156" s="83"/>
      <c r="HM156" s="83"/>
      <c r="HN156" s="83"/>
      <c r="HO156" s="83"/>
      <c r="HP156" s="83"/>
      <c r="HQ156" s="83"/>
      <c r="HR156" s="83"/>
      <c r="HS156" s="83"/>
      <c r="HT156" s="83"/>
      <c r="HU156" s="83"/>
      <c r="HV156" s="83"/>
      <c r="HW156" s="83"/>
      <c r="HX156" s="83"/>
      <c r="HY156" s="83"/>
      <c r="HZ156" s="83"/>
      <c r="IA156" s="83"/>
      <c r="IB156" s="83"/>
      <c r="IC156" s="83"/>
      <c r="ID156" s="83"/>
      <c r="IE156" s="83"/>
      <c r="IF156" s="83"/>
      <c r="IG156" s="83"/>
    </row>
    <row r="157" spans="1:241" x14ac:dyDescent="0.3">
      <c r="A157" s="83"/>
      <c r="B157" s="66" t="s">
        <v>135</v>
      </c>
      <c r="C157" s="18" t="s">
        <v>85</v>
      </c>
      <c r="D157" s="18" t="s">
        <v>132</v>
      </c>
      <c r="E157" s="18" t="s">
        <v>87</v>
      </c>
      <c r="F157" s="18" t="s">
        <v>133</v>
      </c>
      <c r="G157" s="21" t="s">
        <v>134</v>
      </c>
      <c r="H157" s="13"/>
      <c r="I157" s="13"/>
      <c r="J157" s="13"/>
      <c r="K157" s="13"/>
      <c r="L157" s="13"/>
      <c r="M157" s="13"/>
      <c r="N157" s="31"/>
      <c r="O157" s="1"/>
      <c r="P157" s="1"/>
      <c r="Q157" s="1"/>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c r="DD157" s="83"/>
      <c r="DE157" s="83"/>
      <c r="DF157" s="83"/>
      <c r="DG157" s="83"/>
      <c r="DH157" s="83"/>
      <c r="DI157" s="83"/>
      <c r="DJ157" s="83"/>
      <c r="DK157" s="83"/>
      <c r="DL157" s="83"/>
      <c r="DM157" s="83"/>
      <c r="DN157" s="83"/>
      <c r="DO157" s="83"/>
      <c r="DP157" s="83"/>
      <c r="DQ157" s="83"/>
      <c r="DR157" s="83"/>
      <c r="DS157" s="83"/>
      <c r="DT157" s="83"/>
      <c r="DU157" s="83"/>
      <c r="DV157" s="83"/>
      <c r="DW157" s="83"/>
      <c r="DX157" s="83"/>
      <c r="DY157" s="83"/>
      <c r="DZ157" s="83"/>
      <c r="EA157" s="83"/>
      <c r="EB157" s="83"/>
      <c r="EC157" s="83"/>
      <c r="ED157" s="83"/>
      <c r="EE157" s="83"/>
      <c r="EF157" s="83"/>
      <c r="EG157" s="83"/>
      <c r="EH157" s="83"/>
      <c r="EI157" s="83"/>
      <c r="EJ157" s="83"/>
      <c r="EK157" s="83"/>
      <c r="EL157" s="83"/>
      <c r="EM157" s="83"/>
      <c r="EN157" s="83"/>
      <c r="EO157" s="83"/>
      <c r="EP157" s="83"/>
      <c r="EQ157" s="83"/>
      <c r="ER157" s="83"/>
      <c r="ES157" s="83"/>
      <c r="ET157" s="83"/>
      <c r="EU157" s="83"/>
      <c r="EV157" s="83"/>
      <c r="EW157" s="83"/>
      <c r="EX157" s="83"/>
      <c r="EY157" s="83"/>
      <c r="EZ157" s="83"/>
      <c r="FA157" s="83"/>
      <c r="FB157" s="83"/>
      <c r="FC157" s="83"/>
      <c r="FD157" s="83"/>
      <c r="FE157" s="83"/>
      <c r="FF157" s="83"/>
      <c r="FG157" s="83"/>
      <c r="FH157" s="83"/>
      <c r="FI157" s="83"/>
      <c r="FJ157" s="83"/>
      <c r="FK157" s="83"/>
      <c r="FL157" s="83"/>
      <c r="FM157" s="83"/>
      <c r="FN157" s="83"/>
      <c r="FO157" s="83"/>
      <c r="FP157" s="83"/>
      <c r="FQ157" s="83"/>
      <c r="FR157" s="83"/>
      <c r="FS157" s="83"/>
      <c r="FT157" s="83"/>
      <c r="FU157" s="83"/>
      <c r="FV157" s="83"/>
      <c r="FW157" s="83"/>
      <c r="FX157" s="83"/>
      <c r="FY157" s="83"/>
      <c r="FZ157" s="83"/>
      <c r="GA157" s="83"/>
      <c r="GB157" s="83"/>
      <c r="GC157" s="83"/>
      <c r="GD157" s="83"/>
      <c r="GE157" s="83"/>
      <c r="GF157" s="83"/>
      <c r="GG157" s="83"/>
      <c r="GH157" s="83"/>
      <c r="GI157" s="83"/>
      <c r="GJ157" s="83"/>
      <c r="GK157" s="83"/>
      <c r="GL157" s="83"/>
      <c r="GM157" s="83"/>
      <c r="GN157" s="83"/>
      <c r="GO157" s="83"/>
      <c r="GP157" s="83"/>
      <c r="GQ157" s="83"/>
      <c r="GR157" s="83"/>
      <c r="GS157" s="83"/>
      <c r="GT157" s="83"/>
      <c r="GU157" s="83"/>
      <c r="GV157" s="83"/>
      <c r="GW157" s="83"/>
      <c r="GX157" s="83"/>
      <c r="GY157" s="83"/>
      <c r="GZ157" s="83"/>
      <c r="HA157" s="83"/>
      <c r="HB157" s="83"/>
      <c r="HC157" s="83"/>
      <c r="HD157" s="83"/>
      <c r="HE157" s="83"/>
      <c r="HF157" s="83"/>
      <c r="HG157" s="83"/>
      <c r="HH157" s="83"/>
      <c r="HI157" s="83"/>
      <c r="HJ157" s="83"/>
      <c r="HK157" s="83"/>
      <c r="HL157" s="83"/>
      <c r="HM157" s="83"/>
      <c r="HN157" s="83"/>
      <c r="HO157" s="83"/>
      <c r="HP157" s="83"/>
      <c r="HQ157" s="83"/>
      <c r="HR157" s="83"/>
      <c r="HS157" s="83"/>
      <c r="HT157" s="83"/>
      <c r="HU157" s="83"/>
      <c r="HV157" s="83"/>
      <c r="HW157" s="83"/>
      <c r="HX157" s="83"/>
      <c r="HY157" s="83"/>
      <c r="HZ157" s="83"/>
      <c r="IA157" s="83"/>
      <c r="IB157" s="83"/>
      <c r="IC157" s="83"/>
      <c r="ID157" s="83"/>
      <c r="IE157" s="83"/>
      <c r="IF157" s="83"/>
      <c r="IG157" s="83"/>
    </row>
    <row r="158" spans="1:241" x14ac:dyDescent="0.3">
      <c r="A158" s="83"/>
      <c r="B158" s="33" t="s">
        <v>139</v>
      </c>
      <c r="C158" s="35">
        <v>1</v>
      </c>
      <c r="D158" s="35">
        <v>1.2</v>
      </c>
      <c r="E158" s="35">
        <v>1.3</v>
      </c>
      <c r="F158" s="35">
        <v>1.4</v>
      </c>
      <c r="G158" s="5">
        <v>3.3</v>
      </c>
      <c r="H158" s="13"/>
      <c r="I158" s="13"/>
      <c r="J158" s="13"/>
      <c r="K158" s="13"/>
      <c r="L158" s="13"/>
      <c r="M158" s="13"/>
      <c r="N158" s="31"/>
      <c r="O158" s="1"/>
      <c r="P158" s="1"/>
      <c r="Q158" s="1"/>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c r="DD158" s="83"/>
      <c r="DE158" s="83"/>
      <c r="DF158" s="83"/>
      <c r="DG158" s="83"/>
      <c r="DH158" s="83"/>
      <c r="DI158" s="83"/>
      <c r="DJ158" s="83"/>
      <c r="DK158" s="83"/>
      <c r="DL158" s="83"/>
      <c r="DM158" s="83"/>
      <c r="DN158" s="83"/>
      <c r="DO158" s="83"/>
      <c r="DP158" s="83"/>
      <c r="DQ158" s="83"/>
      <c r="DR158" s="83"/>
      <c r="DS158" s="83"/>
      <c r="DT158" s="83"/>
      <c r="DU158" s="83"/>
      <c r="DV158" s="83"/>
      <c r="DW158" s="83"/>
      <c r="DX158" s="83"/>
      <c r="DY158" s="83"/>
      <c r="DZ158" s="83"/>
      <c r="EA158" s="83"/>
      <c r="EB158" s="83"/>
      <c r="EC158" s="83"/>
      <c r="ED158" s="83"/>
      <c r="EE158" s="83"/>
      <c r="EF158" s="83"/>
      <c r="EG158" s="83"/>
      <c r="EH158" s="83"/>
      <c r="EI158" s="83"/>
      <c r="EJ158" s="83"/>
      <c r="EK158" s="83"/>
      <c r="EL158" s="83"/>
      <c r="EM158" s="83"/>
      <c r="EN158" s="83"/>
      <c r="EO158" s="83"/>
      <c r="EP158" s="83"/>
      <c r="EQ158" s="83"/>
      <c r="ER158" s="83"/>
      <c r="ES158" s="83"/>
      <c r="ET158" s="83"/>
      <c r="EU158" s="83"/>
      <c r="EV158" s="83"/>
      <c r="EW158" s="83"/>
      <c r="EX158" s="83"/>
      <c r="EY158" s="83"/>
      <c r="EZ158" s="83"/>
      <c r="FA158" s="83"/>
      <c r="FB158" s="83"/>
      <c r="FC158" s="83"/>
      <c r="FD158" s="83"/>
      <c r="FE158" s="83"/>
      <c r="FF158" s="83"/>
      <c r="FG158" s="83"/>
      <c r="FH158" s="83"/>
      <c r="FI158" s="83"/>
      <c r="FJ158" s="83"/>
      <c r="FK158" s="83"/>
      <c r="FL158" s="83"/>
      <c r="FM158" s="83"/>
      <c r="FN158" s="83"/>
      <c r="FO158" s="83"/>
      <c r="FP158" s="83"/>
      <c r="FQ158" s="83"/>
      <c r="FR158" s="83"/>
      <c r="FS158" s="83"/>
      <c r="FT158" s="83"/>
      <c r="FU158" s="83"/>
      <c r="FV158" s="83"/>
      <c r="FW158" s="83"/>
      <c r="FX158" s="83"/>
      <c r="FY158" s="83"/>
      <c r="FZ158" s="83"/>
      <c r="GA158" s="83"/>
      <c r="GB158" s="83"/>
      <c r="GC158" s="83"/>
      <c r="GD158" s="83"/>
      <c r="GE158" s="83"/>
      <c r="GF158" s="83"/>
      <c r="GG158" s="83"/>
      <c r="GH158" s="83"/>
      <c r="GI158" s="83"/>
      <c r="GJ158" s="83"/>
      <c r="GK158" s="83"/>
      <c r="GL158" s="83"/>
      <c r="GM158" s="83"/>
      <c r="GN158" s="83"/>
      <c r="GO158" s="83"/>
      <c r="GP158" s="83"/>
      <c r="GQ158" s="83"/>
      <c r="GR158" s="83"/>
      <c r="GS158" s="83"/>
      <c r="GT158" s="83"/>
      <c r="GU158" s="83"/>
      <c r="GV158" s="83"/>
      <c r="GW158" s="83"/>
      <c r="GX158" s="83"/>
      <c r="GY158" s="83"/>
      <c r="GZ158" s="83"/>
      <c r="HA158" s="83"/>
      <c r="HB158" s="83"/>
      <c r="HC158" s="83"/>
      <c r="HD158" s="83"/>
      <c r="HE158" s="83"/>
      <c r="HF158" s="83"/>
      <c r="HG158" s="83"/>
      <c r="HH158" s="83"/>
      <c r="HI158" s="83"/>
      <c r="HJ158" s="83"/>
      <c r="HK158" s="83"/>
      <c r="HL158" s="83"/>
      <c r="HM158" s="83"/>
      <c r="HN158" s="83"/>
      <c r="HO158" s="83"/>
      <c r="HP158" s="83"/>
      <c r="HQ158" s="83"/>
      <c r="HR158" s="83"/>
      <c r="HS158" s="83"/>
      <c r="HT158" s="83"/>
      <c r="HU158" s="83"/>
      <c r="HV158" s="83"/>
      <c r="HW158" s="83"/>
      <c r="HX158" s="83"/>
      <c r="HY158" s="83"/>
      <c r="HZ158" s="83"/>
      <c r="IA158" s="83"/>
      <c r="IB158" s="83"/>
      <c r="IC158" s="83"/>
      <c r="ID158" s="83"/>
      <c r="IE158" s="83"/>
      <c r="IF158" s="83"/>
      <c r="IG158" s="83"/>
    </row>
    <row r="159" spans="1:241" x14ac:dyDescent="0.3">
      <c r="A159" s="83"/>
      <c r="B159" s="1"/>
      <c r="C159" s="15"/>
      <c r="D159" s="15"/>
      <c r="E159" s="15"/>
      <c r="F159" s="15"/>
      <c r="G159" s="15"/>
      <c r="H159" s="13"/>
      <c r="I159" s="13"/>
      <c r="J159" s="13"/>
      <c r="K159" s="13"/>
      <c r="L159" s="13"/>
      <c r="M159" s="13"/>
      <c r="N159" s="31"/>
      <c r="O159" s="1"/>
      <c r="P159" s="1"/>
      <c r="Q159" s="1"/>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c r="DD159" s="83"/>
      <c r="DE159" s="83"/>
      <c r="DF159" s="83"/>
      <c r="DG159" s="83"/>
      <c r="DH159" s="83"/>
      <c r="DI159" s="83"/>
      <c r="DJ159" s="83"/>
      <c r="DK159" s="83"/>
      <c r="DL159" s="83"/>
      <c r="DM159" s="83"/>
      <c r="DN159" s="83"/>
      <c r="DO159" s="83"/>
      <c r="DP159" s="83"/>
      <c r="DQ159" s="83"/>
      <c r="DR159" s="83"/>
      <c r="DS159" s="83"/>
      <c r="DT159" s="83"/>
      <c r="DU159" s="83"/>
      <c r="DV159" s="83"/>
      <c r="DW159" s="83"/>
      <c r="DX159" s="83"/>
      <c r="DY159" s="83"/>
      <c r="DZ159" s="83"/>
      <c r="EA159" s="83"/>
      <c r="EB159" s="83"/>
      <c r="EC159" s="83"/>
      <c r="ED159" s="83"/>
      <c r="EE159" s="83"/>
      <c r="EF159" s="83"/>
      <c r="EG159" s="83"/>
      <c r="EH159" s="83"/>
      <c r="EI159" s="83"/>
      <c r="EJ159" s="83"/>
      <c r="EK159" s="83"/>
      <c r="EL159" s="83"/>
      <c r="EM159" s="83"/>
      <c r="EN159" s="83"/>
      <c r="EO159" s="83"/>
      <c r="EP159" s="83"/>
      <c r="EQ159" s="83"/>
      <c r="ER159" s="83"/>
      <c r="ES159" s="83"/>
      <c r="ET159" s="83"/>
      <c r="EU159" s="83"/>
      <c r="EV159" s="83"/>
      <c r="EW159" s="83"/>
      <c r="EX159" s="83"/>
      <c r="EY159" s="83"/>
      <c r="EZ159" s="83"/>
      <c r="FA159" s="83"/>
      <c r="FB159" s="83"/>
      <c r="FC159" s="83"/>
      <c r="FD159" s="83"/>
      <c r="FE159" s="83"/>
      <c r="FF159" s="83"/>
      <c r="FG159" s="83"/>
      <c r="FH159" s="83"/>
      <c r="FI159" s="83"/>
      <c r="FJ159" s="83"/>
      <c r="FK159" s="83"/>
      <c r="FL159" s="83"/>
      <c r="FM159" s="83"/>
      <c r="FN159" s="83"/>
      <c r="FO159" s="83"/>
      <c r="FP159" s="83"/>
      <c r="FQ159" s="83"/>
      <c r="FR159" s="83"/>
      <c r="FS159" s="83"/>
      <c r="FT159" s="83"/>
      <c r="FU159" s="83"/>
      <c r="FV159" s="83"/>
      <c r="FW159" s="83"/>
      <c r="FX159" s="83"/>
      <c r="FY159" s="83"/>
      <c r="FZ159" s="83"/>
      <c r="GA159" s="83"/>
      <c r="GB159" s="83"/>
      <c r="GC159" s="83"/>
      <c r="GD159" s="83"/>
      <c r="GE159" s="83"/>
      <c r="GF159" s="83"/>
      <c r="GG159" s="83"/>
      <c r="GH159" s="83"/>
      <c r="GI159" s="83"/>
      <c r="GJ159" s="83"/>
      <c r="GK159" s="83"/>
      <c r="GL159" s="83"/>
      <c r="GM159" s="83"/>
      <c r="GN159" s="83"/>
      <c r="GO159" s="83"/>
      <c r="GP159" s="83"/>
      <c r="GQ159" s="83"/>
      <c r="GR159" s="83"/>
      <c r="GS159" s="83"/>
      <c r="GT159" s="83"/>
      <c r="GU159" s="83"/>
      <c r="GV159" s="83"/>
      <c r="GW159" s="83"/>
      <c r="GX159" s="83"/>
      <c r="GY159" s="83"/>
      <c r="GZ159" s="83"/>
      <c r="HA159" s="83"/>
      <c r="HB159" s="83"/>
      <c r="HC159" s="83"/>
      <c r="HD159" s="83"/>
      <c r="HE159" s="83"/>
      <c r="HF159" s="83"/>
      <c r="HG159" s="83"/>
      <c r="HH159" s="83"/>
      <c r="HI159" s="83"/>
      <c r="HJ159" s="83"/>
      <c r="HK159" s="83"/>
      <c r="HL159" s="83"/>
      <c r="HM159" s="83"/>
      <c r="HN159" s="83"/>
      <c r="HO159" s="83"/>
      <c r="HP159" s="83"/>
      <c r="HQ159" s="83"/>
      <c r="HR159" s="83"/>
      <c r="HS159" s="83"/>
      <c r="HT159" s="83"/>
      <c r="HU159" s="83"/>
      <c r="HV159" s="83"/>
      <c r="HW159" s="83"/>
      <c r="HX159" s="83"/>
      <c r="HY159" s="83"/>
      <c r="HZ159" s="83"/>
      <c r="IA159" s="83"/>
      <c r="IB159" s="83"/>
      <c r="IC159" s="83"/>
      <c r="ID159" s="83"/>
      <c r="IE159" s="83"/>
      <c r="IF159" s="83"/>
      <c r="IG159" s="83"/>
    </row>
    <row r="160" spans="1:241" x14ac:dyDescent="0.3">
      <c r="A160" s="83"/>
      <c r="B160" s="7"/>
      <c r="C160" s="67" t="s">
        <v>140</v>
      </c>
      <c r="D160" s="8"/>
      <c r="E160" s="8"/>
      <c r="F160" s="8"/>
      <c r="G160" s="9"/>
      <c r="H160" s="13"/>
      <c r="I160" s="13"/>
      <c r="J160" s="13"/>
      <c r="K160" s="13"/>
      <c r="L160" s="13"/>
      <c r="M160" s="13"/>
      <c r="N160" s="31"/>
      <c r="O160" s="1"/>
      <c r="P160" s="1"/>
      <c r="Q160" s="1"/>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c r="DD160" s="83"/>
      <c r="DE160" s="83"/>
      <c r="DF160" s="83"/>
      <c r="DG160" s="83"/>
      <c r="DH160" s="83"/>
      <c r="DI160" s="83"/>
      <c r="DJ160" s="83"/>
      <c r="DK160" s="83"/>
      <c r="DL160" s="83"/>
      <c r="DM160" s="83"/>
      <c r="DN160" s="83"/>
      <c r="DO160" s="83"/>
      <c r="DP160" s="83"/>
      <c r="DQ160" s="83"/>
      <c r="DR160" s="83"/>
      <c r="DS160" s="83"/>
      <c r="DT160" s="83"/>
      <c r="DU160" s="83"/>
      <c r="DV160" s="83"/>
      <c r="DW160" s="83"/>
      <c r="DX160" s="83"/>
      <c r="DY160" s="83"/>
      <c r="DZ160" s="83"/>
      <c r="EA160" s="83"/>
      <c r="EB160" s="83"/>
      <c r="EC160" s="83"/>
      <c r="ED160" s="83"/>
      <c r="EE160" s="83"/>
      <c r="EF160" s="83"/>
      <c r="EG160" s="83"/>
      <c r="EH160" s="83"/>
      <c r="EI160" s="83"/>
      <c r="EJ160" s="83"/>
      <c r="EK160" s="83"/>
      <c r="EL160" s="83"/>
      <c r="EM160" s="83"/>
      <c r="EN160" s="83"/>
      <c r="EO160" s="83"/>
      <c r="EP160" s="83"/>
      <c r="EQ160" s="83"/>
      <c r="ER160" s="83"/>
      <c r="ES160" s="83"/>
      <c r="ET160" s="83"/>
      <c r="EU160" s="83"/>
      <c r="EV160" s="83"/>
      <c r="EW160" s="83"/>
      <c r="EX160" s="83"/>
      <c r="EY160" s="83"/>
      <c r="EZ160" s="83"/>
      <c r="FA160" s="83"/>
      <c r="FB160" s="83"/>
      <c r="FC160" s="83"/>
      <c r="FD160" s="83"/>
      <c r="FE160" s="83"/>
      <c r="FF160" s="83"/>
      <c r="FG160" s="83"/>
      <c r="FH160" s="83"/>
      <c r="FI160" s="83"/>
      <c r="FJ160" s="83"/>
      <c r="FK160" s="83"/>
      <c r="FL160" s="83"/>
      <c r="FM160" s="83"/>
      <c r="FN160" s="83"/>
      <c r="FO160" s="83"/>
      <c r="FP160" s="83"/>
      <c r="FQ160" s="83"/>
      <c r="FR160" s="83"/>
      <c r="FS160" s="83"/>
      <c r="FT160" s="83"/>
      <c r="FU160" s="83"/>
      <c r="FV160" s="83"/>
      <c r="FW160" s="83"/>
      <c r="FX160" s="83"/>
      <c r="FY160" s="83"/>
      <c r="FZ160" s="83"/>
      <c r="GA160" s="83"/>
      <c r="GB160" s="83"/>
      <c r="GC160" s="83"/>
      <c r="GD160" s="83"/>
      <c r="GE160" s="83"/>
      <c r="GF160" s="83"/>
      <c r="GG160" s="83"/>
      <c r="GH160" s="83"/>
      <c r="GI160" s="83"/>
      <c r="GJ160" s="83"/>
      <c r="GK160" s="83"/>
      <c r="GL160" s="83"/>
      <c r="GM160" s="83"/>
      <c r="GN160" s="83"/>
      <c r="GO160" s="83"/>
      <c r="GP160" s="83"/>
      <c r="GQ160" s="83"/>
      <c r="GR160" s="83"/>
      <c r="GS160" s="83"/>
      <c r="GT160" s="83"/>
      <c r="GU160" s="83"/>
      <c r="GV160" s="83"/>
      <c r="GW160" s="83"/>
      <c r="GX160" s="83"/>
      <c r="GY160" s="83"/>
      <c r="GZ160" s="83"/>
      <c r="HA160" s="83"/>
      <c r="HB160" s="83"/>
      <c r="HC160" s="83"/>
      <c r="HD160" s="83"/>
      <c r="HE160" s="83"/>
      <c r="HF160" s="83"/>
      <c r="HG160" s="83"/>
      <c r="HH160" s="83"/>
      <c r="HI160" s="83"/>
      <c r="HJ160" s="83"/>
      <c r="HK160" s="83"/>
      <c r="HL160" s="83"/>
      <c r="HM160" s="83"/>
      <c r="HN160" s="83"/>
      <c r="HO160" s="83"/>
      <c r="HP160" s="83"/>
      <c r="HQ160" s="83"/>
      <c r="HR160" s="83"/>
      <c r="HS160" s="83"/>
      <c r="HT160" s="83"/>
      <c r="HU160" s="83"/>
      <c r="HV160" s="83"/>
      <c r="HW160" s="83"/>
      <c r="HX160" s="83"/>
      <c r="HY160" s="83"/>
      <c r="HZ160" s="83"/>
      <c r="IA160" s="83"/>
      <c r="IB160" s="83"/>
      <c r="IC160" s="83"/>
      <c r="ID160" s="83"/>
      <c r="IE160" s="83"/>
      <c r="IF160" s="83"/>
      <c r="IG160" s="83"/>
    </row>
    <row r="161" spans="1:241" x14ac:dyDescent="0.3">
      <c r="A161" s="83"/>
      <c r="B161" s="66" t="s">
        <v>135</v>
      </c>
      <c r="C161" s="13" t="s">
        <v>85</v>
      </c>
      <c r="D161" s="13" t="s">
        <v>132</v>
      </c>
      <c r="E161" s="13" t="s">
        <v>87</v>
      </c>
      <c r="F161" s="13" t="s">
        <v>133</v>
      </c>
      <c r="G161" s="16" t="s">
        <v>134</v>
      </c>
      <c r="H161" s="13"/>
      <c r="I161" s="13"/>
      <c r="J161" s="13"/>
      <c r="K161" s="13"/>
      <c r="L161" s="13"/>
      <c r="M161" s="13"/>
      <c r="N161" s="31"/>
      <c r="O161" s="1"/>
      <c r="P161" s="1"/>
      <c r="Q161" s="1"/>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c r="DD161" s="83"/>
      <c r="DE161" s="83"/>
      <c r="DF161" s="83"/>
      <c r="DG161" s="83"/>
      <c r="DH161" s="83"/>
      <c r="DI161" s="83"/>
      <c r="DJ161" s="83"/>
      <c r="DK161" s="83"/>
      <c r="DL161" s="83"/>
      <c r="DM161" s="83"/>
      <c r="DN161" s="83"/>
      <c r="DO161" s="83"/>
      <c r="DP161" s="83"/>
      <c r="DQ161" s="83"/>
      <c r="DR161" s="83"/>
      <c r="DS161" s="83"/>
      <c r="DT161" s="83"/>
      <c r="DU161" s="83"/>
      <c r="DV161" s="83"/>
      <c r="DW161" s="83"/>
      <c r="DX161" s="83"/>
      <c r="DY161" s="83"/>
      <c r="DZ161" s="83"/>
      <c r="EA161" s="83"/>
      <c r="EB161" s="83"/>
      <c r="EC161" s="83"/>
      <c r="ED161" s="83"/>
      <c r="EE161" s="83"/>
      <c r="EF161" s="83"/>
      <c r="EG161" s="83"/>
      <c r="EH161" s="83"/>
      <c r="EI161" s="83"/>
      <c r="EJ161" s="83"/>
      <c r="EK161" s="83"/>
      <c r="EL161" s="83"/>
      <c r="EM161" s="83"/>
      <c r="EN161" s="83"/>
      <c r="EO161" s="83"/>
      <c r="EP161" s="83"/>
      <c r="EQ161" s="83"/>
      <c r="ER161" s="83"/>
      <c r="ES161" s="83"/>
      <c r="ET161" s="83"/>
      <c r="EU161" s="83"/>
      <c r="EV161" s="83"/>
      <c r="EW161" s="83"/>
      <c r="EX161" s="83"/>
      <c r="EY161" s="83"/>
      <c r="EZ161" s="83"/>
      <c r="FA161" s="83"/>
      <c r="FB161" s="83"/>
      <c r="FC161" s="83"/>
      <c r="FD161" s="83"/>
      <c r="FE161" s="83"/>
      <c r="FF161" s="83"/>
      <c r="FG161" s="83"/>
      <c r="FH161" s="83"/>
      <c r="FI161" s="83"/>
      <c r="FJ161" s="83"/>
      <c r="FK161" s="83"/>
      <c r="FL161" s="83"/>
      <c r="FM161" s="83"/>
      <c r="FN161" s="83"/>
      <c r="FO161" s="83"/>
      <c r="FP161" s="83"/>
      <c r="FQ161" s="83"/>
      <c r="FR161" s="83"/>
      <c r="FS161" s="83"/>
      <c r="FT161" s="83"/>
      <c r="FU161" s="83"/>
      <c r="FV161" s="83"/>
      <c r="FW161" s="83"/>
      <c r="FX161" s="83"/>
      <c r="FY161" s="83"/>
      <c r="FZ161" s="83"/>
      <c r="GA161" s="83"/>
      <c r="GB161" s="83"/>
      <c r="GC161" s="83"/>
      <c r="GD161" s="83"/>
      <c r="GE161" s="83"/>
      <c r="GF161" s="83"/>
      <c r="GG161" s="83"/>
      <c r="GH161" s="83"/>
      <c r="GI161" s="83"/>
      <c r="GJ161" s="83"/>
      <c r="GK161" s="83"/>
      <c r="GL161" s="83"/>
      <c r="GM161" s="83"/>
      <c r="GN161" s="83"/>
      <c r="GO161" s="83"/>
      <c r="GP161" s="83"/>
      <c r="GQ161" s="83"/>
      <c r="GR161" s="83"/>
      <c r="GS161" s="83"/>
      <c r="GT161" s="83"/>
      <c r="GU161" s="83"/>
      <c r="GV161" s="83"/>
      <c r="GW161" s="83"/>
      <c r="GX161" s="83"/>
      <c r="GY161" s="83"/>
      <c r="GZ161" s="83"/>
      <c r="HA161" s="83"/>
      <c r="HB161" s="83"/>
      <c r="HC161" s="83"/>
      <c r="HD161" s="83"/>
      <c r="HE161" s="83"/>
      <c r="HF161" s="83"/>
      <c r="HG161" s="83"/>
      <c r="HH161" s="83"/>
      <c r="HI161" s="83"/>
      <c r="HJ161" s="83"/>
      <c r="HK161" s="83"/>
      <c r="HL161" s="83"/>
      <c r="HM161" s="83"/>
      <c r="HN161" s="83"/>
      <c r="HO161" s="83"/>
      <c r="HP161" s="83"/>
      <c r="HQ161" s="83"/>
      <c r="HR161" s="83"/>
      <c r="HS161" s="83"/>
      <c r="HT161" s="83"/>
      <c r="HU161" s="83"/>
      <c r="HV161" s="83"/>
      <c r="HW161" s="83"/>
      <c r="HX161" s="83"/>
      <c r="HY161" s="83"/>
      <c r="HZ161" s="83"/>
      <c r="IA161" s="83"/>
      <c r="IB161" s="83"/>
      <c r="IC161" s="83"/>
      <c r="ID161" s="83"/>
      <c r="IE161" s="83"/>
      <c r="IF161" s="83"/>
      <c r="IG161" s="83"/>
    </row>
    <row r="162" spans="1:241" x14ac:dyDescent="0.3">
      <c r="A162" s="83"/>
      <c r="B162" s="7" t="s">
        <v>128</v>
      </c>
      <c r="C162" s="26">
        <v>1</v>
      </c>
      <c r="D162" s="26">
        <v>1.35</v>
      </c>
      <c r="E162" s="26">
        <v>2.4500000000000002</v>
      </c>
      <c r="F162" s="26">
        <v>2.68</v>
      </c>
      <c r="G162" s="24">
        <v>4.63</v>
      </c>
      <c r="H162" s="13"/>
      <c r="I162" s="13"/>
      <c r="J162" s="13"/>
      <c r="K162" s="13"/>
      <c r="L162" s="13"/>
      <c r="M162" s="13"/>
      <c r="N162" s="31"/>
      <c r="O162" s="1"/>
      <c r="P162" s="1"/>
      <c r="Q162" s="1"/>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c r="DD162" s="83"/>
      <c r="DE162" s="83"/>
      <c r="DF162" s="83"/>
      <c r="DG162" s="83"/>
      <c r="DH162" s="83"/>
      <c r="DI162" s="83"/>
      <c r="DJ162" s="83"/>
      <c r="DK162" s="83"/>
      <c r="DL162" s="83"/>
      <c r="DM162" s="83"/>
      <c r="DN162" s="83"/>
      <c r="DO162" s="83"/>
      <c r="DP162" s="83"/>
      <c r="DQ162" s="83"/>
      <c r="DR162" s="83"/>
      <c r="DS162" s="83"/>
      <c r="DT162" s="83"/>
      <c r="DU162" s="83"/>
      <c r="DV162" s="83"/>
      <c r="DW162" s="83"/>
      <c r="DX162" s="83"/>
      <c r="DY162" s="83"/>
      <c r="DZ162" s="83"/>
      <c r="EA162" s="83"/>
      <c r="EB162" s="83"/>
      <c r="EC162" s="83"/>
      <c r="ED162" s="83"/>
      <c r="EE162" s="83"/>
      <c r="EF162" s="83"/>
      <c r="EG162" s="83"/>
      <c r="EH162" s="83"/>
      <c r="EI162" s="83"/>
      <c r="EJ162" s="83"/>
      <c r="EK162" s="83"/>
      <c r="EL162" s="83"/>
      <c r="EM162" s="83"/>
      <c r="EN162" s="83"/>
      <c r="EO162" s="83"/>
      <c r="EP162" s="83"/>
      <c r="EQ162" s="83"/>
      <c r="ER162" s="83"/>
      <c r="ES162" s="83"/>
      <c r="ET162" s="83"/>
      <c r="EU162" s="83"/>
      <c r="EV162" s="83"/>
      <c r="EW162" s="83"/>
      <c r="EX162" s="83"/>
      <c r="EY162" s="83"/>
      <c r="EZ162" s="83"/>
      <c r="FA162" s="83"/>
      <c r="FB162" s="83"/>
      <c r="FC162" s="83"/>
      <c r="FD162" s="83"/>
      <c r="FE162" s="83"/>
      <c r="FF162" s="83"/>
      <c r="FG162" s="83"/>
      <c r="FH162" s="83"/>
      <c r="FI162" s="83"/>
      <c r="FJ162" s="83"/>
      <c r="FK162" s="83"/>
      <c r="FL162" s="83"/>
      <c r="FM162" s="83"/>
      <c r="FN162" s="83"/>
      <c r="FO162" s="83"/>
      <c r="FP162" s="83"/>
      <c r="FQ162" s="83"/>
      <c r="FR162" s="83"/>
      <c r="FS162" s="83"/>
      <c r="FT162" s="83"/>
      <c r="FU162" s="83"/>
      <c r="FV162" s="83"/>
      <c r="FW162" s="83"/>
      <c r="FX162" s="83"/>
      <c r="FY162" s="83"/>
      <c r="FZ162" s="83"/>
      <c r="GA162" s="83"/>
      <c r="GB162" s="83"/>
      <c r="GC162" s="83"/>
      <c r="GD162" s="83"/>
      <c r="GE162" s="83"/>
      <c r="GF162" s="83"/>
      <c r="GG162" s="83"/>
      <c r="GH162" s="83"/>
      <c r="GI162" s="83"/>
      <c r="GJ162" s="83"/>
      <c r="GK162" s="83"/>
      <c r="GL162" s="83"/>
      <c r="GM162" s="83"/>
      <c r="GN162" s="83"/>
      <c r="GO162" s="83"/>
      <c r="GP162" s="83"/>
      <c r="GQ162" s="83"/>
      <c r="GR162" s="83"/>
      <c r="GS162" s="83"/>
      <c r="GT162" s="83"/>
      <c r="GU162" s="83"/>
      <c r="GV162" s="83"/>
      <c r="GW162" s="83"/>
      <c r="GX162" s="83"/>
      <c r="GY162" s="83"/>
      <c r="GZ162" s="83"/>
      <c r="HA162" s="83"/>
      <c r="HB162" s="83"/>
      <c r="HC162" s="83"/>
      <c r="HD162" s="83"/>
      <c r="HE162" s="83"/>
      <c r="HF162" s="83"/>
      <c r="HG162" s="83"/>
      <c r="HH162" s="83"/>
      <c r="HI162" s="83"/>
      <c r="HJ162" s="83"/>
      <c r="HK162" s="83"/>
      <c r="HL162" s="83"/>
      <c r="HM162" s="83"/>
      <c r="HN162" s="83"/>
      <c r="HO162" s="83"/>
      <c r="HP162" s="83"/>
      <c r="HQ162" s="83"/>
      <c r="HR162" s="83"/>
      <c r="HS162" s="83"/>
      <c r="HT162" s="83"/>
      <c r="HU162" s="83"/>
      <c r="HV162" s="83"/>
      <c r="HW162" s="83"/>
      <c r="HX162" s="83"/>
      <c r="HY162" s="83"/>
      <c r="HZ162" s="83"/>
      <c r="IA162" s="83"/>
      <c r="IB162" s="83"/>
      <c r="IC162" s="83"/>
      <c r="ID162" s="83"/>
      <c r="IE162" s="83"/>
      <c r="IF162" s="83"/>
      <c r="IG162" s="83"/>
    </row>
    <row r="163" spans="1:241" x14ac:dyDescent="0.3">
      <c r="A163" s="83"/>
      <c r="B163" s="17" t="s">
        <v>129</v>
      </c>
      <c r="C163" s="20">
        <v>1</v>
      </c>
      <c r="D163" s="20">
        <v>1.35</v>
      </c>
      <c r="E163" s="20">
        <v>2.4500000000000002</v>
      </c>
      <c r="F163" s="20">
        <v>2.68</v>
      </c>
      <c r="G163" s="29">
        <v>4.63</v>
      </c>
      <c r="H163" s="13"/>
      <c r="I163" s="13"/>
      <c r="J163" s="13"/>
      <c r="K163" s="13"/>
      <c r="L163" s="13"/>
      <c r="M163" s="13"/>
      <c r="N163" s="31"/>
      <c r="O163" s="1"/>
      <c r="P163" s="1"/>
      <c r="Q163" s="1"/>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c r="DD163" s="83"/>
      <c r="DE163" s="83"/>
      <c r="DF163" s="83"/>
      <c r="DG163" s="83"/>
      <c r="DH163" s="83"/>
      <c r="DI163" s="83"/>
      <c r="DJ163" s="83"/>
      <c r="DK163" s="83"/>
      <c r="DL163" s="83"/>
      <c r="DM163" s="83"/>
      <c r="DN163" s="83"/>
      <c r="DO163" s="83"/>
      <c r="DP163" s="83"/>
      <c r="DQ163" s="83"/>
      <c r="DR163" s="83"/>
      <c r="DS163" s="83"/>
      <c r="DT163" s="83"/>
      <c r="DU163" s="83"/>
      <c r="DV163" s="83"/>
      <c r="DW163" s="83"/>
      <c r="DX163" s="83"/>
      <c r="DY163" s="83"/>
      <c r="DZ163" s="83"/>
      <c r="EA163" s="83"/>
      <c r="EB163" s="83"/>
      <c r="EC163" s="83"/>
      <c r="ED163" s="83"/>
      <c r="EE163" s="83"/>
      <c r="EF163" s="83"/>
      <c r="EG163" s="83"/>
      <c r="EH163" s="83"/>
      <c r="EI163" s="83"/>
      <c r="EJ163" s="83"/>
      <c r="EK163" s="83"/>
      <c r="EL163" s="83"/>
      <c r="EM163" s="83"/>
      <c r="EN163" s="83"/>
      <c r="EO163" s="83"/>
      <c r="EP163" s="83"/>
      <c r="EQ163" s="83"/>
      <c r="ER163" s="83"/>
      <c r="ES163" s="83"/>
      <c r="ET163" s="83"/>
      <c r="EU163" s="83"/>
      <c r="EV163" s="83"/>
      <c r="EW163" s="83"/>
      <c r="EX163" s="83"/>
      <c r="EY163" s="83"/>
      <c r="EZ163" s="83"/>
      <c r="FA163" s="83"/>
      <c r="FB163" s="83"/>
      <c r="FC163" s="83"/>
      <c r="FD163" s="83"/>
      <c r="FE163" s="83"/>
      <c r="FF163" s="83"/>
      <c r="FG163" s="83"/>
      <c r="FH163" s="83"/>
      <c r="FI163" s="83"/>
      <c r="FJ163" s="83"/>
      <c r="FK163" s="83"/>
      <c r="FL163" s="83"/>
      <c r="FM163" s="83"/>
      <c r="FN163" s="83"/>
      <c r="FO163" s="83"/>
      <c r="FP163" s="83"/>
      <c r="FQ163" s="83"/>
      <c r="FR163" s="83"/>
      <c r="FS163" s="83"/>
      <c r="FT163" s="83"/>
      <c r="FU163" s="83"/>
      <c r="FV163" s="83"/>
      <c r="FW163" s="83"/>
      <c r="FX163" s="83"/>
      <c r="FY163" s="83"/>
      <c r="FZ163" s="83"/>
      <c r="GA163" s="83"/>
      <c r="GB163" s="83"/>
      <c r="GC163" s="83"/>
      <c r="GD163" s="83"/>
      <c r="GE163" s="83"/>
      <c r="GF163" s="83"/>
      <c r="GG163" s="83"/>
      <c r="GH163" s="83"/>
      <c r="GI163" s="83"/>
      <c r="GJ163" s="83"/>
      <c r="GK163" s="83"/>
      <c r="GL163" s="83"/>
      <c r="GM163" s="83"/>
      <c r="GN163" s="83"/>
      <c r="GO163" s="83"/>
      <c r="GP163" s="83"/>
      <c r="GQ163" s="83"/>
      <c r="GR163" s="83"/>
      <c r="GS163" s="83"/>
      <c r="GT163" s="83"/>
      <c r="GU163" s="83"/>
      <c r="GV163" s="83"/>
      <c r="GW163" s="83"/>
      <c r="GX163" s="83"/>
      <c r="GY163" s="83"/>
      <c r="GZ163" s="83"/>
      <c r="HA163" s="83"/>
      <c r="HB163" s="83"/>
      <c r="HC163" s="83"/>
      <c r="HD163" s="83"/>
      <c r="HE163" s="83"/>
      <c r="HF163" s="83"/>
      <c r="HG163" s="83"/>
      <c r="HH163" s="83"/>
      <c r="HI163" s="83"/>
      <c r="HJ163" s="83"/>
      <c r="HK163" s="83"/>
      <c r="HL163" s="83"/>
      <c r="HM163" s="83"/>
      <c r="HN163" s="83"/>
      <c r="HO163" s="83"/>
      <c r="HP163" s="83"/>
      <c r="HQ163" s="83"/>
      <c r="HR163" s="83"/>
      <c r="HS163" s="83"/>
      <c r="HT163" s="83"/>
      <c r="HU163" s="83"/>
      <c r="HV163" s="83"/>
      <c r="HW163" s="83"/>
      <c r="HX163" s="83"/>
      <c r="HY163" s="83"/>
      <c r="HZ163" s="83"/>
      <c r="IA163" s="83"/>
      <c r="IB163" s="83"/>
      <c r="IC163" s="83"/>
      <c r="ID163" s="83"/>
      <c r="IE163" s="83"/>
      <c r="IF163" s="83"/>
      <c r="IG163" s="83"/>
    </row>
    <row r="164" spans="1:241" x14ac:dyDescent="0.3">
      <c r="A164" s="83"/>
      <c r="B164" s="1"/>
      <c r="C164" s="13"/>
      <c r="D164" s="13"/>
      <c r="E164" s="13"/>
      <c r="F164" s="13"/>
      <c r="G164" s="13"/>
      <c r="H164" s="13"/>
      <c r="I164" s="13"/>
      <c r="J164" s="13"/>
      <c r="K164" s="13"/>
      <c r="L164" s="13"/>
      <c r="M164" s="13"/>
      <c r="N164" s="31"/>
      <c r="O164" s="1"/>
      <c r="P164" s="1"/>
      <c r="Q164" s="1"/>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c r="DD164" s="83"/>
      <c r="DE164" s="83"/>
      <c r="DF164" s="83"/>
      <c r="DG164" s="83"/>
      <c r="DH164" s="83"/>
      <c r="DI164" s="83"/>
      <c r="DJ164" s="83"/>
      <c r="DK164" s="83"/>
      <c r="DL164" s="83"/>
      <c r="DM164" s="83"/>
      <c r="DN164" s="83"/>
      <c r="DO164" s="83"/>
      <c r="DP164" s="83"/>
      <c r="DQ164" s="83"/>
      <c r="DR164" s="83"/>
      <c r="DS164" s="83"/>
      <c r="DT164" s="83"/>
      <c r="DU164" s="83"/>
      <c r="DV164" s="83"/>
      <c r="DW164" s="83"/>
      <c r="DX164" s="83"/>
      <c r="DY164" s="83"/>
      <c r="DZ164" s="83"/>
      <c r="EA164" s="83"/>
      <c r="EB164" s="83"/>
      <c r="EC164" s="83"/>
      <c r="ED164" s="83"/>
      <c r="EE164" s="83"/>
      <c r="EF164" s="83"/>
      <c r="EG164" s="83"/>
      <c r="EH164" s="83"/>
      <c r="EI164" s="83"/>
      <c r="EJ164" s="83"/>
      <c r="EK164" s="83"/>
      <c r="EL164" s="83"/>
      <c r="EM164" s="83"/>
      <c r="EN164" s="83"/>
      <c r="EO164" s="83"/>
      <c r="EP164" s="83"/>
      <c r="EQ164" s="83"/>
      <c r="ER164" s="83"/>
      <c r="ES164" s="83"/>
      <c r="ET164" s="83"/>
      <c r="EU164" s="83"/>
      <c r="EV164" s="83"/>
      <c r="EW164" s="83"/>
      <c r="EX164" s="83"/>
      <c r="EY164" s="83"/>
      <c r="EZ164" s="83"/>
      <c r="FA164" s="83"/>
      <c r="FB164" s="83"/>
      <c r="FC164" s="83"/>
      <c r="FD164" s="83"/>
      <c r="FE164" s="83"/>
      <c r="FF164" s="83"/>
      <c r="FG164" s="83"/>
      <c r="FH164" s="83"/>
      <c r="FI164" s="83"/>
      <c r="FJ164" s="83"/>
      <c r="FK164" s="83"/>
      <c r="FL164" s="83"/>
      <c r="FM164" s="83"/>
      <c r="FN164" s="83"/>
      <c r="FO164" s="83"/>
      <c r="FP164" s="83"/>
      <c r="FQ164" s="83"/>
      <c r="FR164" s="83"/>
      <c r="FS164" s="83"/>
      <c r="FT164" s="83"/>
      <c r="FU164" s="83"/>
      <c r="FV164" s="83"/>
      <c r="FW164" s="83"/>
      <c r="FX164" s="83"/>
      <c r="FY164" s="83"/>
      <c r="FZ164" s="83"/>
      <c r="GA164" s="83"/>
      <c r="GB164" s="83"/>
      <c r="GC164" s="83"/>
      <c r="GD164" s="83"/>
      <c r="GE164" s="83"/>
      <c r="GF164" s="83"/>
      <c r="GG164" s="83"/>
      <c r="GH164" s="83"/>
      <c r="GI164" s="83"/>
      <c r="GJ164" s="83"/>
      <c r="GK164" s="83"/>
      <c r="GL164" s="83"/>
      <c r="GM164" s="83"/>
      <c r="GN164" s="83"/>
      <c r="GO164" s="83"/>
      <c r="GP164" s="83"/>
      <c r="GQ164" s="83"/>
      <c r="GR164" s="83"/>
      <c r="GS164" s="83"/>
      <c r="GT164" s="83"/>
      <c r="GU164" s="83"/>
      <c r="GV164" s="83"/>
      <c r="GW164" s="83"/>
      <c r="GX164" s="83"/>
      <c r="GY164" s="83"/>
      <c r="GZ164" s="83"/>
      <c r="HA164" s="83"/>
      <c r="HB164" s="83"/>
      <c r="HC164" s="83"/>
      <c r="HD164" s="83"/>
      <c r="HE164" s="83"/>
      <c r="HF164" s="83"/>
      <c r="HG164" s="83"/>
      <c r="HH164" s="83"/>
      <c r="HI164" s="83"/>
      <c r="HJ164" s="83"/>
      <c r="HK164" s="83"/>
      <c r="HL164" s="83"/>
      <c r="HM164" s="83"/>
      <c r="HN164" s="83"/>
      <c r="HO164" s="83"/>
      <c r="HP164" s="83"/>
      <c r="HQ164" s="83"/>
      <c r="HR164" s="83"/>
      <c r="HS164" s="83"/>
      <c r="HT164" s="83"/>
      <c r="HU164" s="83"/>
      <c r="HV164" s="83"/>
      <c r="HW164" s="83"/>
      <c r="HX164" s="83"/>
      <c r="HY164" s="83"/>
      <c r="HZ164" s="83"/>
      <c r="IA164" s="83"/>
      <c r="IB164" s="83"/>
      <c r="IC164" s="83"/>
      <c r="ID164" s="83"/>
      <c r="IE164" s="83"/>
      <c r="IF164" s="83"/>
      <c r="IG164" s="83"/>
    </row>
    <row r="165" spans="1:241" x14ac:dyDescent="0.3">
      <c r="A165" s="83"/>
      <c r="B165" s="7"/>
      <c r="C165" s="67" t="s">
        <v>141</v>
      </c>
      <c r="D165" s="8"/>
      <c r="E165" s="9"/>
      <c r="F165" s="13"/>
      <c r="G165" s="13"/>
      <c r="H165" s="13"/>
      <c r="I165" s="13"/>
      <c r="J165" s="13"/>
      <c r="K165" s="1"/>
      <c r="L165" s="1"/>
      <c r="M165" s="13"/>
      <c r="N165" s="31"/>
      <c r="O165" s="1"/>
      <c r="P165" s="1"/>
      <c r="Q165" s="1"/>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c r="DD165" s="83"/>
      <c r="DE165" s="83"/>
      <c r="DF165" s="83"/>
      <c r="DG165" s="83"/>
      <c r="DH165" s="83"/>
      <c r="DI165" s="83"/>
      <c r="DJ165" s="83"/>
      <c r="DK165" s="83"/>
      <c r="DL165" s="83"/>
      <c r="DM165" s="83"/>
      <c r="DN165" s="83"/>
      <c r="DO165" s="83"/>
      <c r="DP165" s="83"/>
      <c r="DQ165" s="83"/>
      <c r="DR165" s="83"/>
      <c r="DS165" s="83"/>
      <c r="DT165" s="83"/>
      <c r="DU165" s="83"/>
      <c r="DV165" s="83"/>
      <c r="DW165" s="83"/>
      <c r="DX165" s="83"/>
      <c r="DY165" s="83"/>
      <c r="DZ165" s="83"/>
      <c r="EA165" s="83"/>
      <c r="EB165" s="83"/>
      <c r="EC165" s="83"/>
      <c r="ED165" s="83"/>
      <c r="EE165" s="83"/>
      <c r="EF165" s="83"/>
      <c r="EG165" s="83"/>
      <c r="EH165" s="83"/>
      <c r="EI165" s="83"/>
      <c r="EJ165" s="83"/>
      <c r="EK165" s="83"/>
      <c r="EL165" s="83"/>
      <c r="EM165" s="83"/>
      <c r="EN165" s="83"/>
      <c r="EO165" s="83"/>
      <c r="EP165" s="83"/>
      <c r="EQ165" s="83"/>
      <c r="ER165" s="83"/>
      <c r="ES165" s="83"/>
      <c r="ET165" s="83"/>
      <c r="EU165" s="83"/>
      <c r="EV165" s="83"/>
      <c r="EW165" s="83"/>
      <c r="EX165" s="83"/>
      <c r="EY165" s="83"/>
      <c r="EZ165" s="83"/>
      <c r="FA165" s="83"/>
      <c r="FB165" s="83"/>
      <c r="FC165" s="83"/>
      <c r="FD165" s="83"/>
      <c r="FE165" s="83"/>
      <c r="FF165" s="83"/>
      <c r="FG165" s="83"/>
      <c r="FH165" s="83"/>
      <c r="FI165" s="83"/>
      <c r="FJ165" s="83"/>
      <c r="FK165" s="83"/>
      <c r="FL165" s="83"/>
      <c r="FM165" s="83"/>
      <c r="FN165" s="83"/>
      <c r="FO165" s="83"/>
      <c r="FP165" s="83"/>
      <c r="FQ165" s="83"/>
      <c r="FR165" s="83"/>
      <c r="FS165" s="83"/>
      <c r="FT165" s="83"/>
      <c r="FU165" s="83"/>
      <c r="FV165" s="83"/>
      <c r="FW165" s="83"/>
      <c r="FX165" s="83"/>
      <c r="FY165" s="83"/>
      <c r="FZ165" s="83"/>
      <c r="GA165" s="83"/>
      <c r="GB165" s="83"/>
      <c r="GC165" s="83"/>
      <c r="GD165" s="83"/>
      <c r="GE165" s="83"/>
      <c r="GF165" s="83"/>
      <c r="GG165" s="83"/>
      <c r="GH165" s="83"/>
      <c r="GI165" s="83"/>
      <c r="GJ165" s="83"/>
      <c r="GK165" s="83"/>
      <c r="GL165" s="83"/>
      <c r="GM165" s="83"/>
      <c r="GN165" s="83"/>
      <c r="GO165" s="83"/>
      <c r="GP165" s="83"/>
      <c r="GQ165" s="83"/>
      <c r="GR165" s="83"/>
      <c r="GS165" s="83"/>
      <c r="GT165" s="83"/>
      <c r="GU165" s="83"/>
      <c r="GV165" s="83"/>
      <c r="GW165" s="83"/>
      <c r="GX165" s="83"/>
      <c r="GY165" s="83"/>
      <c r="GZ165" s="83"/>
      <c r="HA165" s="83"/>
      <c r="HB165" s="83"/>
      <c r="HC165" s="83"/>
      <c r="HD165" s="83"/>
      <c r="HE165" s="83"/>
      <c r="HF165" s="83"/>
      <c r="HG165" s="83"/>
      <c r="HH165" s="83"/>
      <c r="HI165" s="83"/>
      <c r="HJ165" s="83"/>
      <c r="HK165" s="83"/>
      <c r="HL165" s="83"/>
      <c r="HM165" s="83"/>
      <c r="HN165" s="83"/>
      <c r="HO165" s="83"/>
      <c r="HP165" s="83"/>
      <c r="HQ165" s="83"/>
      <c r="HR165" s="83"/>
      <c r="HS165" s="83"/>
      <c r="HT165" s="83"/>
      <c r="HU165" s="83"/>
      <c r="HV165" s="83"/>
      <c r="HW165" s="83"/>
      <c r="HX165" s="83"/>
      <c r="HY165" s="83"/>
      <c r="HZ165" s="83"/>
      <c r="IA165" s="83"/>
      <c r="IB165" s="83"/>
      <c r="IC165" s="83"/>
      <c r="ID165" s="83"/>
      <c r="IE165" s="83"/>
      <c r="IF165" s="83"/>
      <c r="IG165" s="83"/>
    </row>
    <row r="166" spans="1:241" x14ac:dyDescent="0.3">
      <c r="A166" s="83"/>
      <c r="B166" s="66" t="s">
        <v>135</v>
      </c>
      <c r="C166" s="18" t="s">
        <v>85</v>
      </c>
      <c r="D166" s="18" t="s">
        <v>142</v>
      </c>
      <c r="E166" s="21" t="s">
        <v>87</v>
      </c>
      <c r="F166" s="13"/>
      <c r="G166" s="13"/>
      <c r="H166" s="13"/>
      <c r="I166" s="13"/>
      <c r="J166" s="13"/>
      <c r="K166" s="13"/>
      <c r="L166" s="13"/>
      <c r="M166" s="13"/>
      <c r="N166" s="31"/>
      <c r="O166" s="1"/>
      <c r="P166" s="1"/>
      <c r="Q166" s="1"/>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c r="DD166" s="83"/>
      <c r="DE166" s="83"/>
      <c r="DF166" s="83"/>
      <c r="DG166" s="83"/>
      <c r="DH166" s="83"/>
      <c r="DI166" s="83"/>
      <c r="DJ166" s="83"/>
      <c r="DK166" s="83"/>
      <c r="DL166" s="83"/>
      <c r="DM166" s="83"/>
      <c r="DN166" s="83"/>
      <c r="DO166" s="83"/>
      <c r="DP166" s="83"/>
      <c r="DQ166" s="83"/>
      <c r="DR166" s="83"/>
      <c r="DS166" s="83"/>
      <c r="DT166" s="83"/>
      <c r="DU166" s="83"/>
      <c r="DV166" s="83"/>
      <c r="DW166" s="83"/>
      <c r="DX166" s="83"/>
      <c r="DY166" s="83"/>
      <c r="DZ166" s="83"/>
      <c r="EA166" s="83"/>
      <c r="EB166" s="83"/>
      <c r="EC166" s="83"/>
      <c r="ED166" s="83"/>
      <c r="EE166" s="83"/>
      <c r="EF166" s="83"/>
      <c r="EG166" s="83"/>
      <c r="EH166" s="83"/>
      <c r="EI166" s="83"/>
      <c r="EJ166" s="83"/>
      <c r="EK166" s="83"/>
      <c r="EL166" s="83"/>
      <c r="EM166" s="83"/>
      <c r="EN166" s="83"/>
      <c r="EO166" s="83"/>
      <c r="EP166" s="83"/>
      <c r="EQ166" s="83"/>
      <c r="ER166" s="83"/>
      <c r="ES166" s="83"/>
      <c r="ET166" s="83"/>
      <c r="EU166" s="83"/>
      <c r="EV166" s="83"/>
      <c r="EW166" s="83"/>
      <c r="EX166" s="83"/>
      <c r="EY166" s="83"/>
      <c r="EZ166" s="83"/>
      <c r="FA166" s="83"/>
      <c r="FB166" s="83"/>
      <c r="FC166" s="83"/>
      <c r="FD166" s="83"/>
      <c r="FE166" s="83"/>
      <c r="FF166" s="83"/>
      <c r="FG166" s="83"/>
      <c r="FH166" s="83"/>
      <c r="FI166" s="83"/>
      <c r="FJ166" s="83"/>
      <c r="FK166" s="83"/>
      <c r="FL166" s="83"/>
      <c r="FM166" s="83"/>
      <c r="FN166" s="83"/>
      <c r="FO166" s="83"/>
      <c r="FP166" s="83"/>
      <c r="FQ166" s="83"/>
      <c r="FR166" s="83"/>
      <c r="FS166" s="83"/>
      <c r="FT166" s="83"/>
      <c r="FU166" s="83"/>
      <c r="FV166" s="83"/>
      <c r="FW166" s="83"/>
      <c r="FX166" s="83"/>
      <c r="FY166" s="83"/>
      <c r="FZ166" s="83"/>
      <c r="GA166" s="83"/>
      <c r="GB166" s="83"/>
      <c r="GC166" s="83"/>
      <c r="GD166" s="83"/>
      <c r="GE166" s="83"/>
      <c r="GF166" s="83"/>
      <c r="GG166" s="83"/>
      <c r="GH166" s="83"/>
      <c r="GI166" s="83"/>
      <c r="GJ166" s="83"/>
      <c r="GK166" s="83"/>
      <c r="GL166" s="83"/>
      <c r="GM166" s="83"/>
      <c r="GN166" s="83"/>
      <c r="GO166" s="83"/>
      <c r="GP166" s="83"/>
      <c r="GQ166" s="83"/>
      <c r="GR166" s="83"/>
      <c r="GS166" s="83"/>
      <c r="GT166" s="83"/>
      <c r="GU166" s="83"/>
      <c r="GV166" s="83"/>
      <c r="GW166" s="83"/>
      <c r="GX166" s="83"/>
      <c r="GY166" s="83"/>
      <c r="GZ166" s="83"/>
      <c r="HA166" s="83"/>
      <c r="HB166" s="83"/>
      <c r="HC166" s="83"/>
      <c r="HD166" s="83"/>
      <c r="HE166" s="83"/>
      <c r="HF166" s="83"/>
      <c r="HG166" s="83"/>
      <c r="HH166" s="83"/>
      <c r="HI166" s="83"/>
      <c r="HJ166" s="83"/>
      <c r="HK166" s="83"/>
      <c r="HL166" s="83"/>
      <c r="HM166" s="83"/>
      <c r="HN166" s="83"/>
      <c r="HO166" s="83"/>
      <c r="HP166" s="83"/>
      <c r="HQ166" s="83"/>
      <c r="HR166" s="83"/>
      <c r="HS166" s="83"/>
      <c r="HT166" s="83"/>
      <c r="HU166" s="83"/>
      <c r="HV166" s="83"/>
      <c r="HW166" s="83"/>
      <c r="HX166" s="83"/>
      <c r="HY166" s="83"/>
      <c r="HZ166" s="83"/>
      <c r="IA166" s="83"/>
      <c r="IB166" s="83"/>
      <c r="IC166" s="83"/>
      <c r="ID166" s="83"/>
      <c r="IE166" s="83"/>
      <c r="IF166" s="83"/>
      <c r="IG166" s="83"/>
    </row>
    <row r="167" spans="1:241" x14ac:dyDescent="0.3">
      <c r="A167" s="83"/>
      <c r="B167" s="33" t="s">
        <v>125</v>
      </c>
      <c r="C167" s="35">
        <v>1</v>
      </c>
      <c r="D167" s="35">
        <v>1.42</v>
      </c>
      <c r="E167" s="5">
        <v>2.93</v>
      </c>
      <c r="F167" s="13"/>
      <c r="G167" s="13"/>
      <c r="H167" s="13"/>
      <c r="I167" s="13"/>
      <c r="J167" s="13"/>
      <c r="K167" s="13"/>
      <c r="L167" s="13"/>
      <c r="M167" s="13"/>
      <c r="N167" s="31"/>
      <c r="O167" s="1"/>
      <c r="P167" s="1"/>
      <c r="Q167" s="1"/>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c r="DD167" s="83"/>
      <c r="DE167" s="83"/>
      <c r="DF167" s="83"/>
      <c r="DG167" s="83"/>
      <c r="DH167" s="83"/>
      <c r="DI167" s="83"/>
      <c r="DJ167" s="83"/>
      <c r="DK167" s="83"/>
      <c r="DL167" s="83"/>
      <c r="DM167" s="83"/>
      <c r="DN167" s="83"/>
      <c r="DO167" s="83"/>
      <c r="DP167" s="83"/>
      <c r="DQ167" s="83"/>
      <c r="DR167" s="83"/>
      <c r="DS167" s="83"/>
      <c r="DT167" s="83"/>
      <c r="DU167" s="83"/>
      <c r="DV167" s="83"/>
      <c r="DW167" s="83"/>
      <c r="DX167" s="83"/>
      <c r="DY167" s="83"/>
      <c r="DZ167" s="83"/>
      <c r="EA167" s="83"/>
      <c r="EB167" s="83"/>
      <c r="EC167" s="83"/>
      <c r="ED167" s="83"/>
      <c r="EE167" s="83"/>
      <c r="EF167" s="83"/>
      <c r="EG167" s="83"/>
      <c r="EH167" s="83"/>
      <c r="EI167" s="83"/>
      <c r="EJ167" s="83"/>
      <c r="EK167" s="83"/>
      <c r="EL167" s="83"/>
      <c r="EM167" s="83"/>
      <c r="EN167" s="83"/>
      <c r="EO167" s="83"/>
      <c r="EP167" s="83"/>
      <c r="EQ167" s="83"/>
      <c r="ER167" s="83"/>
      <c r="ES167" s="83"/>
      <c r="ET167" s="83"/>
      <c r="EU167" s="83"/>
      <c r="EV167" s="83"/>
      <c r="EW167" s="83"/>
      <c r="EX167" s="83"/>
      <c r="EY167" s="83"/>
      <c r="EZ167" s="83"/>
      <c r="FA167" s="83"/>
      <c r="FB167" s="83"/>
      <c r="FC167" s="83"/>
      <c r="FD167" s="83"/>
      <c r="FE167" s="83"/>
      <c r="FF167" s="83"/>
      <c r="FG167" s="83"/>
      <c r="FH167" s="83"/>
      <c r="FI167" s="83"/>
      <c r="FJ167" s="83"/>
      <c r="FK167" s="83"/>
      <c r="FL167" s="83"/>
      <c r="FM167" s="83"/>
      <c r="FN167" s="83"/>
      <c r="FO167" s="83"/>
      <c r="FP167" s="83"/>
      <c r="FQ167" s="83"/>
      <c r="FR167" s="83"/>
      <c r="FS167" s="83"/>
      <c r="FT167" s="83"/>
      <c r="FU167" s="83"/>
      <c r="FV167" s="83"/>
      <c r="FW167" s="83"/>
      <c r="FX167" s="83"/>
      <c r="FY167" s="83"/>
      <c r="FZ167" s="83"/>
      <c r="GA167" s="83"/>
      <c r="GB167" s="83"/>
      <c r="GC167" s="83"/>
      <c r="GD167" s="83"/>
      <c r="GE167" s="83"/>
      <c r="GF167" s="83"/>
      <c r="GG167" s="83"/>
      <c r="GH167" s="83"/>
      <c r="GI167" s="83"/>
      <c r="GJ167" s="83"/>
      <c r="GK167" s="83"/>
      <c r="GL167" s="83"/>
      <c r="GM167" s="83"/>
      <c r="GN167" s="83"/>
      <c r="GO167" s="83"/>
      <c r="GP167" s="83"/>
      <c r="GQ167" s="83"/>
      <c r="GR167" s="83"/>
      <c r="GS167" s="83"/>
      <c r="GT167" s="83"/>
      <c r="GU167" s="83"/>
      <c r="GV167" s="83"/>
      <c r="GW167" s="83"/>
      <c r="GX167" s="83"/>
      <c r="GY167" s="83"/>
      <c r="GZ167" s="83"/>
      <c r="HA167" s="83"/>
      <c r="HB167" s="83"/>
      <c r="HC167" s="83"/>
      <c r="HD167" s="83"/>
      <c r="HE167" s="83"/>
      <c r="HF167" s="83"/>
      <c r="HG167" s="83"/>
      <c r="HH167" s="83"/>
      <c r="HI167" s="83"/>
      <c r="HJ167" s="83"/>
      <c r="HK167" s="83"/>
      <c r="HL167" s="83"/>
      <c r="HM167" s="83"/>
      <c r="HN167" s="83"/>
      <c r="HO167" s="83"/>
      <c r="HP167" s="83"/>
      <c r="HQ167" s="83"/>
      <c r="HR167" s="83"/>
      <c r="HS167" s="83"/>
      <c r="HT167" s="83"/>
      <c r="HU167" s="83"/>
      <c r="HV167" s="83"/>
      <c r="HW167" s="83"/>
      <c r="HX167" s="83"/>
      <c r="HY167" s="83"/>
      <c r="HZ167" s="83"/>
      <c r="IA167" s="83"/>
      <c r="IB167" s="83"/>
      <c r="IC167" s="83"/>
      <c r="ID167" s="83"/>
      <c r="IE167" s="83"/>
      <c r="IF167" s="83"/>
      <c r="IG167" s="83"/>
    </row>
    <row r="168" spans="1:241" x14ac:dyDescent="0.3">
      <c r="A168" s="83"/>
      <c r="B168" s="1"/>
      <c r="C168" s="15"/>
      <c r="D168" s="15"/>
      <c r="E168" s="15"/>
      <c r="F168" s="13"/>
      <c r="G168" s="13"/>
      <c r="H168" s="13"/>
      <c r="I168" s="13"/>
      <c r="J168" s="13"/>
      <c r="K168" s="13"/>
      <c r="L168" s="13"/>
      <c r="M168" s="13"/>
      <c r="N168" s="31"/>
      <c r="O168" s="1"/>
      <c r="P168" s="1"/>
      <c r="Q168" s="1"/>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c r="DD168" s="83"/>
      <c r="DE168" s="83"/>
      <c r="DF168" s="83"/>
      <c r="DG168" s="83"/>
      <c r="DH168" s="83"/>
      <c r="DI168" s="83"/>
      <c r="DJ168" s="83"/>
      <c r="DK168" s="83"/>
      <c r="DL168" s="83"/>
      <c r="DM168" s="83"/>
      <c r="DN168" s="83"/>
      <c r="DO168" s="83"/>
      <c r="DP168" s="83"/>
      <c r="DQ168" s="83"/>
      <c r="DR168" s="83"/>
      <c r="DS168" s="83"/>
      <c r="DT168" s="83"/>
      <c r="DU168" s="83"/>
      <c r="DV168" s="83"/>
      <c r="DW168" s="83"/>
      <c r="DX168" s="83"/>
      <c r="DY168" s="83"/>
      <c r="DZ168" s="83"/>
      <c r="EA168" s="83"/>
      <c r="EB168" s="83"/>
      <c r="EC168" s="83"/>
      <c r="ED168" s="83"/>
      <c r="EE168" s="83"/>
      <c r="EF168" s="83"/>
      <c r="EG168" s="83"/>
      <c r="EH168" s="83"/>
      <c r="EI168" s="83"/>
      <c r="EJ168" s="83"/>
      <c r="EK168" s="83"/>
      <c r="EL168" s="83"/>
      <c r="EM168" s="83"/>
      <c r="EN168" s="83"/>
      <c r="EO168" s="83"/>
      <c r="EP168" s="83"/>
      <c r="EQ168" s="83"/>
      <c r="ER168" s="83"/>
      <c r="ES168" s="83"/>
      <c r="ET168" s="83"/>
      <c r="EU168" s="83"/>
      <c r="EV168" s="83"/>
      <c r="EW168" s="83"/>
      <c r="EX168" s="83"/>
      <c r="EY168" s="83"/>
      <c r="EZ168" s="83"/>
      <c r="FA168" s="83"/>
      <c r="FB168" s="83"/>
      <c r="FC168" s="83"/>
      <c r="FD168" s="83"/>
      <c r="FE168" s="83"/>
      <c r="FF168" s="83"/>
      <c r="FG168" s="83"/>
      <c r="FH168" s="83"/>
      <c r="FI168" s="83"/>
      <c r="FJ168" s="83"/>
      <c r="FK168" s="83"/>
      <c r="FL168" s="83"/>
      <c r="FM168" s="83"/>
      <c r="FN168" s="83"/>
      <c r="FO168" s="83"/>
      <c r="FP168" s="83"/>
      <c r="FQ168" s="83"/>
      <c r="FR168" s="83"/>
      <c r="FS168" s="83"/>
      <c r="FT168" s="83"/>
      <c r="FU168" s="83"/>
      <c r="FV168" s="83"/>
      <c r="FW168" s="83"/>
      <c r="FX168" s="83"/>
      <c r="FY168" s="83"/>
      <c r="FZ168" s="83"/>
      <c r="GA168" s="83"/>
      <c r="GB168" s="83"/>
      <c r="GC168" s="83"/>
      <c r="GD168" s="83"/>
      <c r="GE168" s="83"/>
      <c r="GF168" s="83"/>
      <c r="GG168" s="83"/>
      <c r="GH168" s="83"/>
      <c r="GI168" s="83"/>
      <c r="GJ168" s="83"/>
      <c r="GK168" s="83"/>
      <c r="GL168" s="83"/>
      <c r="GM168" s="83"/>
      <c r="GN168" s="83"/>
      <c r="GO168" s="83"/>
      <c r="GP168" s="83"/>
      <c r="GQ168" s="83"/>
      <c r="GR168" s="83"/>
      <c r="GS168" s="83"/>
      <c r="GT168" s="83"/>
      <c r="GU168" s="83"/>
      <c r="GV168" s="83"/>
      <c r="GW168" s="83"/>
      <c r="GX168" s="83"/>
      <c r="GY168" s="83"/>
      <c r="GZ168" s="83"/>
      <c r="HA168" s="83"/>
      <c r="HB168" s="83"/>
      <c r="HC168" s="83"/>
      <c r="HD168" s="83"/>
      <c r="HE168" s="83"/>
      <c r="HF168" s="83"/>
      <c r="HG168" s="83"/>
      <c r="HH168" s="83"/>
      <c r="HI168" s="83"/>
      <c r="HJ168" s="83"/>
      <c r="HK168" s="83"/>
      <c r="HL168" s="83"/>
      <c r="HM168" s="83"/>
      <c r="HN168" s="83"/>
      <c r="HO168" s="83"/>
      <c r="HP168" s="83"/>
      <c r="HQ168" s="83"/>
      <c r="HR168" s="83"/>
      <c r="HS168" s="83"/>
      <c r="HT168" s="83"/>
      <c r="HU168" s="83"/>
      <c r="HV168" s="83"/>
      <c r="HW168" s="83"/>
      <c r="HX168" s="83"/>
      <c r="HY168" s="83"/>
      <c r="HZ168" s="83"/>
      <c r="IA168" s="83"/>
      <c r="IB168" s="83"/>
      <c r="IC168" s="83"/>
      <c r="ID168" s="83"/>
      <c r="IE168" s="83"/>
      <c r="IF168" s="83"/>
      <c r="IG168" s="83"/>
    </row>
    <row r="169" spans="1:241" x14ac:dyDescent="0.3">
      <c r="A169" s="83"/>
      <c r="B169" s="1"/>
      <c r="C169" s="15"/>
      <c r="D169" s="15"/>
      <c r="E169" s="15"/>
      <c r="F169" s="13"/>
      <c r="G169" s="13"/>
      <c r="H169" s="13"/>
      <c r="I169" s="13"/>
      <c r="J169" s="13"/>
      <c r="K169" s="13"/>
      <c r="L169" s="13"/>
      <c r="M169" s="13"/>
      <c r="N169" s="31"/>
      <c r="O169" s="1"/>
      <c r="P169" s="1"/>
      <c r="Q169" s="1"/>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c r="DD169" s="83"/>
      <c r="DE169" s="83"/>
      <c r="DF169" s="83"/>
      <c r="DG169" s="83"/>
      <c r="DH169" s="83"/>
      <c r="DI169" s="83"/>
      <c r="DJ169" s="83"/>
      <c r="DK169" s="83"/>
      <c r="DL169" s="83"/>
      <c r="DM169" s="83"/>
      <c r="DN169" s="83"/>
      <c r="DO169" s="83"/>
      <c r="DP169" s="83"/>
      <c r="DQ169" s="83"/>
      <c r="DR169" s="83"/>
      <c r="DS169" s="83"/>
      <c r="DT169" s="83"/>
      <c r="DU169" s="83"/>
      <c r="DV169" s="83"/>
      <c r="DW169" s="83"/>
      <c r="DX169" s="83"/>
      <c r="DY169" s="83"/>
      <c r="DZ169" s="83"/>
      <c r="EA169" s="83"/>
      <c r="EB169" s="83"/>
      <c r="EC169" s="83"/>
      <c r="ED169" s="83"/>
      <c r="EE169" s="83"/>
      <c r="EF169" s="83"/>
      <c r="EG169" s="83"/>
      <c r="EH169" s="83"/>
      <c r="EI169" s="83"/>
      <c r="EJ169" s="83"/>
      <c r="EK169" s="83"/>
      <c r="EL169" s="83"/>
      <c r="EM169" s="83"/>
      <c r="EN169" s="83"/>
      <c r="EO169" s="83"/>
      <c r="EP169" s="83"/>
      <c r="EQ169" s="83"/>
      <c r="ER169" s="83"/>
      <c r="ES169" s="83"/>
      <c r="ET169" s="83"/>
      <c r="EU169" s="83"/>
      <c r="EV169" s="83"/>
      <c r="EW169" s="83"/>
      <c r="EX169" s="83"/>
      <c r="EY169" s="83"/>
      <c r="EZ169" s="83"/>
      <c r="FA169" s="83"/>
      <c r="FB169" s="83"/>
      <c r="FC169" s="83"/>
      <c r="FD169" s="83"/>
      <c r="FE169" s="83"/>
      <c r="FF169" s="83"/>
      <c r="FG169" s="83"/>
      <c r="FH169" s="83"/>
      <c r="FI169" s="83"/>
      <c r="FJ169" s="83"/>
      <c r="FK169" s="83"/>
      <c r="FL169" s="83"/>
      <c r="FM169" s="83"/>
      <c r="FN169" s="83"/>
      <c r="FO169" s="83"/>
      <c r="FP169" s="83"/>
      <c r="FQ169" s="83"/>
      <c r="FR169" s="83"/>
      <c r="FS169" s="83"/>
      <c r="FT169" s="83"/>
      <c r="FU169" s="83"/>
      <c r="FV169" s="83"/>
      <c r="FW169" s="83"/>
      <c r="FX169" s="83"/>
      <c r="FY169" s="83"/>
      <c r="FZ169" s="83"/>
      <c r="GA169" s="83"/>
      <c r="GB169" s="83"/>
      <c r="GC169" s="83"/>
      <c r="GD169" s="83"/>
      <c r="GE169" s="83"/>
      <c r="GF169" s="83"/>
      <c r="GG169" s="83"/>
      <c r="GH169" s="83"/>
      <c r="GI169" s="83"/>
      <c r="GJ169" s="83"/>
      <c r="GK169" s="83"/>
      <c r="GL169" s="83"/>
      <c r="GM169" s="83"/>
      <c r="GN169" s="83"/>
      <c r="GO169" s="83"/>
      <c r="GP169" s="83"/>
      <c r="GQ169" s="83"/>
      <c r="GR169" s="83"/>
      <c r="GS169" s="83"/>
      <c r="GT169" s="83"/>
      <c r="GU169" s="83"/>
      <c r="GV169" s="83"/>
      <c r="GW169" s="83"/>
      <c r="GX169" s="83"/>
      <c r="GY169" s="83"/>
      <c r="GZ169" s="83"/>
      <c r="HA169" s="83"/>
      <c r="HB169" s="83"/>
      <c r="HC169" s="83"/>
      <c r="HD169" s="83"/>
      <c r="HE169" s="83"/>
      <c r="HF169" s="83"/>
      <c r="HG169" s="83"/>
      <c r="HH169" s="83"/>
      <c r="HI169" s="83"/>
      <c r="HJ169" s="83"/>
      <c r="HK169" s="83"/>
      <c r="HL169" s="83"/>
      <c r="HM169" s="83"/>
      <c r="HN169" s="83"/>
      <c r="HO169" s="83"/>
      <c r="HP169" s="83"/>
      <c r="HQ169" s="83"/>
      <c r="HR169" s="83"/>
      <c r="HS169" s="83"/>
      <c r="HT169" s="83"/>
      <c r="HU169" s="83"/>
      <c r="HV169" s="83"/>
      <c r="HW169" s="83"/>
      <c r="HX169" s="83"/>
      <c r="HY169" s="83"/>
      <c r="HZ169" s="83"/>
      <c r="IA169" s="83"/>
      <c r="IB169" s="83"/>
      <c r="IC169" s="83"/>
      <c r="ID169" s="83"/>
      <c r="IE169" s="83"/>
      <c r="IF169" s="83"/>
      <c r="IG169" s="83"/>
    </row>
    <row r="170" spans="1:241" x14ac:dyDescent="0.3">
      <c r="A170" s="83"/>
      <c r="B170" s="2" t="s">
        <v>253</v>
      </c>
      <c r="C170" s="1"/>
      <c r="D170" s="14"/>
      <c r="E170" s="14"/>
      <c r="F170" s="1"/>
      <c r="G170" s="15"/>
      <c r="H170" s="13"/>
      <c r="I170" s="13"/>
      <c r="J170" s="13"/>
      <c r="K170" s="13"/>
      <c r="L170" s="13"/>
      <c r="M170" s="13"/>
      <c r="N170" s="31"/>
      <c r="O170" s="1"/>
      <c r="P170" s="1"/>
      <c r="Q170" s="1"/>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c r="DD170" s="83"/>
      <c r="DE170" s="83"/>
      <c r="DF170" s="83"/>
      <c r="DG170" s="83"/>
      <c r="DH170" s="83"/>
      <c r="DI170" s="83"/>
      <c r="DJ170" s="83"/>
      <c r="DK170" s="83"/>
      <c r="DL170" s="83"/>
      <c r="DM170" s="83"/>
      <c r="DN170" s="83"/>
      <c r="DO170" s="83"/>
      <c r="DP170" s="83"/>
      <c r="DQ170" s="83"/>
      <c r="DR170" s="83"/>
      <c r="DS170" s="83"/>
      <c r="DT170" s="83"/>
      <c r="DU170" s="83"/>
      <c r="DV170" s="83"/>
      <c r="DW170" s="83"/>
      <c r="DX170" s="83"/>
      <c r="DY170" s="83"/>
      <c r="DZ170" s="83"/>
      <c r="EA170" s="83"/>
      <c r="EB170" s="83"/>
      <c r="EC170" s="83"/>
      <c r="ED170" s="83"/>
      <c r="EE170" s="83"/>
      <c r="EF170" s="83"/>
      <c r="EG170" s="83"/>
      <c r="EH170" s="83"/>
      <c r="EI170" s="83"/>
      <c r="EJ170" s="83"/>
      <c r="EK170" s="83"/>
      <c r="EL170" s="83"/>
      <c r="EM170" s="83"/>
      <c r="EN170" s="83"/>
      <c r="EO170" s="83"/>
      <c r="EP170" s="83"/>
      <c r="EQ170" s="83"/>
      <c r="ER170" s="83"/>
      <c r="ES170" s="83"/>
      <c r="ET170" s="83"/>
      <c r="EU170" s="83"/>
      <c r="EV170" s="83"/>
      <c r="EW170" s="83"/>
      <c r="EX170" s="83"/>
      <c r="EY170" s="83"/>
      <c r="EZ170" s="83"/>
      <c r="FA170" s="83"/>
      <c r="FB170" s="83"/>
      <c r="FC170" s="83"/>
      <c r="FD170" s="83"/>
      <c r="FE170" s="83"/>
      <c r="FF170" s="83"/>
      <c r="FG170" s="83"/>
      <c r="FH170" s="83"/>
      <c r="FI170" s="83"/>
      <c r="FJ170" s="83"/>
      <c r="FK170" s="83"/>
      <c r="FL170" s="83"/>
      <c r="FM170" s="83"/>
      <c r="FN170" s="83"/>
      <c r="FO170" s="83"/>
      <c r="FP170" s="83"/>
      <c r="FQ170" s="83"/>
      <c r="FR170" s="83"/>
      <c r="FS170" s="83"/>
      <c r="FT170" s="83"/>
      <c r="FU170" s="83"/>
      <c r="FV170" s="83"/>
      <c r="FW170" s="83"/>
      <c r="FX170" s="83"/>
      <c r="FY170" s="83"/>
      <c r="FZ170" s="83"/>
      <c r="GA170" s="83"/>
      <c r="GB170" s="83"/>
      <c r="GC170" s="83"/>
      <c r="GD170" s="83"/>
      <c r="GE170" s="83"/>
      <c r="GF170" s="83"/>
      <c r="GG170" s="83"/>
      <c r="GH170" s="83"/>
      <c r="GI170" s="83"/>
      <c r="GJ170" s="83"/>
      <c r="GK170" s="83"/>
      <c r="GL170" s="83"/>
      <c r="GM170" s="83"/>
      <c r="GN170" s="83"/>
      <c r="GO170" s="83"/>
      <c r="GP170" s="83"/>
      <c r="GQ170" s="83"/>
      <c r="GR170" s="83"/>
      <c r="GS170" s="83"/>
      <c r="GT170" s="83"/>
      <c r="GU170" s="83"/>
      <c r="GV170" s="83"/>
      <c r="GW170" s="83"/>
      <c r="GX170" s="83"/>
      <c r="GY170" s="83"/>
      <c r="GZ170" s="83"/>
      <c r="HA170" s="83"/>
      <c r="HB170" s="83"/>
      <c r="HC170" s="83"/>
      <c r="HD170" s="83"/>
      <c r="HE170" s="83"/>
      <c r="HF170" s="83"/>
      <c r="HG170" s="83"/>
      <c r="HH170" s="83"/>
      <c r="HI170" s="83"/>
      <c r="HJ170" s="83"/>
      <c r="HK170" s="83"/>
      <c r="HL170" s="83"/>
      <c r="HM170" s="83"/>
      <c r="HN170" s="83"/>
      <c r="HO170" s="83"/>
      <c r="HP170" s="83"/>
      <c r="HQ170" s="83"/>
      <c r="HR170" s="83"/>
      <c r="HS170" s="83"/>
      <c r="HT170" s="83"/>
      <c r="HU170" s="83"/>
      <c r="HV170" s="83"/>
      <c r="HW170" s="83"/>
      <c r="HX170" s="83"/>
      <c r="HY170" s="83"/>
      <c r="HZ170" s="83"/>
      <c r="IA170" s="83"/>
      <c r="IB170" s="83"/>
      <c r="IC170" s="83"/>
      <c r="ID170" s="83"/>
      <c r="IE170" s="83"/>
      <c r="IF170" s="83"/>
      <c r="IG170" s="83"/>
    </row>
    <row r="171" spans="1:241" ht="15.6" x14ac:dyDescent="0.35">
      <c r="A171" s="83"/>
      <c r="B171" s="3" t="s">
        <v>143</v>
      </c>
      <c r="C171" s="4" t="s">
        <v>1</v>
      </c>
      <c r="D171" s="4" t="s">
        <v>2</v>
      </c>
      <c r="E171" s="4" t="s">
        <v>3</v>
      </c>
      <c r="F171" s="4" t="s">
        <v>144</v>
      </c>
      <c r="G171" s="5" t="s">
        <v>145</v>
      </c>
      <c r="H171" s="6" t="s">
        <v>6</v>
      </c>
      <c r="I171" s="13"/>
      <c r="J171" s="13"/>
      <c r="K171" s="13"/>
      <c r="L171" s="13"/>
      <c r="M171" s="13"/>
      <c r="N171" s="31"/>
      <c r="O171" s="1"/>
      <c r="P171" s="1"/>
      <c r="Q171" s="1"/>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c r="DD171" s="83"/>
      <c r="DE171" s="83"/>
      <c r="DF171" s="83"/>
      <c r="DG171" s="83"/>
      <c r="DH171" s="83"/>
      <c r="DI171" s="83"/>
      <c r="DJ171" s="83"/>
      <c r="DK171" s="83"/>
      <c r="DL171" s="83"/>
      <c r="DM171" s="83"/>
      <c r="DN171" s="83"/>
      <c r="DO171" s="83"/>
      <c r="DP171" s="83"/>
      <c r="DQ171" s="83"/>
      <c r="DR171" s="83"/>
      <c r="DS171" s="83"/>
      <c r="DT171" s="83"/>
      <c r="DU171" s="83"/>
      <c r="DV171" s="83"/>
      <c r="DW171" s="83"/>
      <c r="DX171" s="83"/>
      <c r="DY171" s="83"/>
      <c r="DZ171" s="83"/>
      <c r="EA171" s="83"/>
      <c r="EB171" s="83"/>
      <c r="EC171" s="83"/>
      <c r="ED171" s="83"/>
      <c r="EE171" s="83"/>
      <c r="EF171" s="83"/>
      <c r="EG171" s="83"/>
      <c r="EH171" s="83"/>
      <c r="EI171" s="83"/>
      <c r="EJ171" s="83"/>
      <c r="EK171" s="83"/>
      <c r="EL171" s="83"/>
      <c r="EM171" s="83"/>
      <c r="EN171" s="83"/>
      <c r="EO171" s="83"/>
      <c r="EP171" s="83"/>
      <c r="EQ171" s="83"/>
      <c r="ER171" s="83"/>
      <c r="ES171" s="83"/>
      <c r="ET171" s="83"/>
      <c r="EU171" s="83"/>
      <c r="EV171" s="83"/>
      <c r="EW171" s="83"/>
      <c r="EX171" s="83"/>
      <c r="EY171" s="83"/>
      <c r="EZ171" s="83"/>
      <c r="FA171" s="83"/>
      <c r="FB171" s="83"/>
      <c r="FC171" s="83"/>
      <c r="FD171" s="83"/>
      <c r="FE171" s="83"/>
      <c r="FF171" s="83"/>
      <c r="FG171" s="83"/>
      <c r="FH171" s="83"/>
      <c r="FI171" s="83"/>
      <c r="FJ171" s="83"/>
      <c r="FK171" s="83"/>
      <c r="FL171" s="83"/>
      <c r="FM171" s="83"/>
      <c r="FN171" s="83"/>
      <c r="FO171" s="83"/>
      <c r="FP171" s="83"/>
      <c r="FQ171" s="83"/>
      <c r="FR171" s="83"/>
      <c r="FS171" s="83"/>
      <c r="FT171" s="83"/>
      <c r="FU171" s="83"/>
      <c r="FV171" s="83"/>
      <c r="FW171" s="83"/>
      <c r="FX171" s="83"/>
      <c r="FY171" s="83"/>
      <c r="FZ171" s="83"/>
      <c r="GA171" s="83"/>
      <c r="GB171" s="83"/>
      <c r="GC171" s="83"/>
      <c r="GD171" s="83"/>
      <c r="GE171" s="83"/>
      <c r="GF171" s="83"/>
      <c r="GG171" s="83"/>
      <c r="GH171" s="83"/>
      <c r="GI171" s="83"/>
      <c r="GJ171" s="83"/>
      <c r="GK171" s="83"/>
      <c r="GL171" s="83"/>
      <c r="GM171" s="83"/>
      <c r="GN171" s="83"/>
      <c r="GO171" s="83"/>
      <c r="GP171" s="83"/>
      <c r="GQ171" s="83"/>
      <c r="GR171" s="83"/>
      <c r="GS171" s="83"/>
      <c r="GT171" s="83"/>
      <c r="GU171" s="83"/>
      <c r="GV171" s="83"/>
      <c r="GW171" s="83"/>
      <c r="GX171" s="83"/>
      <c r="GY171" s="83"/>
      <c r="GZ171" s="83"/>
      <c r="HA171" s="83"/>
      <c r="HB171" s="83"/>
      <c r="HC171" s="83"/>
      <c r="HD171" s="83"/>
      <c r="HE171" s="83"/>
      <c r="HF171" s="83"/>
      <c r="HG171" s="83"/>
      <c r="HH171" s="83"/>
      <c r="HI171" s="83"/>
      <c r="HJ171" s="83"/>
      <c r="HK171" s="83"/>
      <c r="HL171" s="83"/>
      <c r="HM171" s="83"/>
      <c r="HN171" s="83"/>
      <c r="HO171" s="83"/>
      <c r="HP171" s="83"/>
      <c r="HQ171" s="83"/>
      <c r="HR171" s="83"/>
      <c r="HS171" s="83"/>
      <c r="HT171" s="83"/>
      <c r="HU171" s="83"/>
      <c r="HV171" s="83"/>
      <c r="HW171" s="83"/>
      <c r="HX171" s="83"/>
      <c r="HY171" s="83"/>
      <c r="HZ171" s="83"/>
      <c r="IA171" s="83"/>
      <c r="IB171" s="83"/>
      <c r="IC171" s="83"/>
      <c r="ID171" s="83"/>
      <c r="IE171" s="83"/>
      <c r="IF171" s="83"/>
      <c r="IG171" s="83"/>
    </row>
    <row r="172" spans="1:241" x14ac:dyDescent="0.3">
      <c r="A172" s="83"/>
      <c r="B172" s="7" t="s">
        <v>146</v>
      </c>
      <c r="C172" s="25">
        <v>3.8511000000000002</v>
      </c>
      <c r="D172" s="25">
        <f>1-0.2991</f>
        <v>0.70090000000000008</v>
      </c>
      <c r="E172" s="25">
        <v>-2.9999999999999997E-4</v>
      </c>
      <c r="F172" s="26">
        <v>5</v>
      </c>
      <c r="G172" s="24">
        <v>150</v>
      </c>
      <c r="H172" s="10">
        <v>1.38</v>
      </c>
      <c r="I172" s="13"/>
      <c r="J172" s="13"/>
      <c r="K172" s="13"/>
      <c r="L172" s="13"/>
      <c r="M172" s="13"/>
      <c r="N172" s="31"/>
      <c r="O172" s="1"/>
      <c r="P172" s="1"/>
      <c r="Q172" s="1"/>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c r="DD172" s="83"/>
      <c r="DE172" s="83"/>
      <c r="DF172" s="83"/>
      <c r="DG172" s="83"/>
      <c r="DH172" s="83"/>
      <c r="DI172" s="83"/>
      <c r="DJ172" s="83"/>
      <c r="DK172" s="83"/>
      <c r="DL172" s="83"/>
      <c r="DM172" s="83"/>
      <c r="DN172" s="83"/>
      <c r="DO172" s="83"/>
      <c r="DP172" s="83"/>
      <c r="DQ172" s="83"/>
      <c r="DR172" s="83"/>
      <c r="DS172" s="83"/>
      <c r="DT172" s="83"/>
      <c r="DU172" s="83"/>
      <c r="DV172" s="83"/>
      <c r="DW172" s="83"/>
      <c r="DX172" s="83"/>
      <c r="DY172" s="83"/>
      <c r="DZ172" s="83"/>
      <c r="EA172" s="83"/>
      <c r="EB172" s="83"/>
      <c r="EC172" s="83"/>
      <c r="ED172" s="83"/>
      <c r="EE172" s="83"/>
      <c r="EF172" s="83"/>
      <c r="EG172" s="83"/>
      <c r="EH172" s="83"/>
      <c r="EI172" s="83"/>
      <c r="EJ172" s="83"/>
      <c r="EK172" s="83"/>
      <c r="EL172" s="83"/>
      <c r="EM172" s="83"/>
      <c r="EN172" s="83"/>
      <c r="EO172" s="83"/>
      <c r="EP172" s="83"/>
      <c r="EQ172" s="83"/>
      <c r="ER172" s="83"/>
      <c r="ES172" s="83"/>
      <c r="ET172" s="83"/>
      <c r="EU172" s="83"/>
      <c r="EV172" s="83"/>
      <c r="EW172" s="83"/>
      <c r="EX172" s="83"/>
      <c r="EY172" s="83"/>
      <c r="EZ172" s="83"/>
      <c r="FA172" s="83"/>
      <c r="FB172" s="83"/>
      <c r="FC172" s="83"/>
      <c r="FD172" s="83"/>
      <c r="FE172" s="83"/>
      <c r="FF172" s="83"/>
      <c r="FG172" s="83"/>
      <c r="FH172" s="83"/>
      <c r="FI172" s="83"/>
      <c r="FJ172" s="83"/>
      <c r="FK172" s="83"/>
      <c r="FL172" s="83"/>
      <c r="FM172" s="83"/>
      <c r="FN172" s="83"/>
      <c r="FO172" s="83"/>
      <c r="FP172" s="83"/>
      <c r="FQ172" s="83"/>
      <c r="FR172" s="83"/>
      <c r="FS172" s="83"/>
      <c r="FT172" s="83"/>
      <c r="FU172" s="83"/>
      <c r="FV172" s="83"/>
      <c r="FW172" s="83"/>
      <c r="FX172" s="83"/>
      <c r="FY172" s="83"/>
      <c r="FZ172" s="83"/>
      <c r="GA172" s="83"/>
      <c r="GB172" s="83"/>
      <c r="GC172" s="83"/>
      <c r="GD172" s="83"/>
      <c r="GE172" s="83"/>
      <c r="GF172" s="83"/>
      <c r="GG172" s="83"/>
      <c r="GH172" s="83"/>
      <c r="GI172" s="83"/>
      <c r="GJ172" s="83"/>
      <c r="GK172" s="83"/>
      <c r="GL172" s="83"/>
      <c r="GM172" s="83"/>
      <c r="GN172" s="83"/>
      <c r="GO172" s="83"/>
      <c r="GP172" s="83"/>
      <c r="GQ172" s="83"/>
      <c r="GR172" s="83"/>
      <c r="GS172" s="83"/>
      <c r="GT172" s="83"/>
      <c r="GU172" s="83"/>
      <c r="GV172" s="83"/>
      <c r="GW172" s="83"/>
      <c r="GX172" s="83"/>
      <c r="GY172" s="83"/>
      <c r="GZ172" s="83"/>
      <c r="HA172" s="83"/>
      <c r="HB172" s="83"/>
      <c r="HC172" s="83"/>
      <c r="HD172" s="83"/>
      <c r="HE172" s="83"/>
      <c r="HF172" s="83"/>
      <c r="HG172" s="83"/>
      <c r="HH172" s="83"/>
      <c r="HI172" s="83"/>
      <c r="HJ172" s="83"/>
      <c r="HK172" s="83"/>
      <c r="HL172" s="83"/>
      <c r="HM172" s="83"/>
      <c r="HN172" s="83"/>
      <c r="HO172" s="83"/>
      <c r="HP172" s="83"/>
      <c r="HQ172" s="83"/>
      <c r="HR172" s="83"/>
      <c r="HS172" s="83"/>
      <c r="HT172" s="83"/>
      <c r="HU172" s="83"/>
      <c r="HV172" s="83"/>
      <c r="HW172" s="83"/>
      <c r="HX172" s="83"/>
      <c r="HY172" s="83"/>
      <c r="HZ172" s="83"/>
      <c r="IA172" s="83"/>
      <c r="IB172" s="83"/>
      <c r="IC172" s="83"/>
      <c r="ID172" s="83"/>
      <c r="IE172" s="83"/>
      <c r="IF172" s="83"/>
      <c r="IG172" s="83"/>
    </row>
    <row r="173" spans="1:241" x14ac:dyDescent="0.3">
      <c r="A173" s="83"/>
      <c r="B173" s="12" t="s">
        <v>147</v>
      </c>
      <c r="C173" s="14">
        <v>4.3207000000000004</v>
      </c>
      <c r="D173" s="14">
        <f>1-0.9641</f>
        <v>3.5900000000000043E-2</v>
      </c>
      <c r="E173" s="14">
        <v>0.1346</v>
      </c>
      <c r="F173" s="15">
        <v>5</v>
      </c>
      <c r="G173" s="28">
        <v>500</v>
      </c>
      <c r="H173" s="10">
        <v>1.38</v>
      </c>
      <c r="I173" s="13"/>
      <c r="J173" s="13"/>
      <c r="K173" s="13"/>
      <c r="L173" s="13"/>
      <c r="M173" s="13"/>
      <c r="N173" s="31"/>
      <c r="O173" s="1"/>
      <c r="P173" s="1"/>
      <c r="Q173" s="1"/>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c r="DD173" s="83"/>
      <c r="DE173" s="83"/>
      <c r="DF173" s="83"/>
      <c r="DG173" s="83"/>
      <c r="DH173" s="83"/>
      <c r="DI173" s="83"/>
      <c r="DJ173" s="83"/>
      <c r="DK173" s="83"/>
      <c r="DL173" s="83"/>
      <c r="DM173" s="83"/>
      <c r="DN173" s="83"/>
      <c r="DO173" s="83"/>
      <c r="DP173" s="83"/>
      <c r="DQ173" s="83"/>
      <c r="DR173" s="83"/>
      <c r="DS173" s="83"/>
      <c r="DT173" s="83"/>
      <c r="DU173" s="83"/>
      <c r="DV173" s="83"/>
      <c r="DW173" s="83"/>
      <c r="DX173" s="83"/>
      <c r="DY173" s="83"/>
      <c r="DZ173" s="83"/>
      <c r="EA173" s="83"/>
      <c r="EB173" s="83"/>
      <c r="EC173" s="83"/>
      <c r="ED173" s="83"/>
      <c r="EE173" s="83"/>
      <c r="EF173" s="83"/>
      <c r="EG173" s="83"/>
      <c r="EH173" s="83"/>
      <c r="EI173" s="83"/>
      <c r="EJ173" s="83"/>
      <c r="EK173" s="83"/>
      <c r="EL173" s="83"/>
      <c r="EM173" s="83"/>
      <c r="EN173" s="83"/>
      <c r="EO173" s="83"/>
      <c r="EP173" s="83"/>
      <c r="EQ173" s="83"/>
      <c r="ER173" s="83"/>
      <c r="ES173" s="83"/>
      <c r="ET173" s="83"/>
      <c r="EU173" s="83"/>
      <c r="EV173" s="83"/>
      <c r="EW173" s="83"/>
      <c r="EX173" s="83"/>
      <c r="EY173" s="83"/>
      <c r="EZ173" s="83"/>
      <c r="FA173" s="83"/>
      <c r="FB173" s="83"/>
      <c r="FC173" s="83"/>
      <c r="FD173" s="83"/>
      <c r="FE173" s="83"/>
      <c r="FF173" s="83"/>
      <c r="FG173" s="83"/>
      <c r="FH173" s="83"/>
      <c r="FI173" s="83"/>
      <c r="FJ173" s="83"/>
      <c r="FK173" s="83"/>
      <c r="FL173" s="83"/>
      <c r="FM173" s="83"/>
      <c r="FN173" s="83"/>
      <c r="FO173" s="83"/>
      <c r="FP173" s="83"/>
      <c r="FQ173" s="83"/>
      <c r="FR173" s="83"/>
      <c r="FS173" s="83"/>
      <c r="FT173" s="83"/>
      <c r="FU173" s="83"/>
      <c r="FV173" s="83"/>
      <c r="FW173" s="83"/>
      <c r="FX173" s="83"/>
      <c r="FY173" s="83"/>
      <c r="FZ173" s="83"/>
      <c r="GA173" s="83"/>
      <c r="GB173" s="83"/>
      <c r="GC173" s="83"/>
      <c r="GD173" s="83"/>
      <c r="GE173" s="83"/>
      <c r="GF173" s="83"/>
      <c r="GG173" s="83"/>
      <c r="GH173" s="83"/>
      <c r="GI173" s="83"/>
      <c r="GJ173" s="83"/>
      <c r="GK173" s="83"/>
      <c r="GL173" s="83"/>
      <c r="GM173" s="83"/>
      <c r="GN173" s="83"/>
      <c r="GO173" s="83"/>
      <c r="GP173" s="83"/>
      <c r="GQ173" s="83"/>
      <c r="GR173" s="83"/>
      <c r="GS173" s="83"/>
      <c r="GT173" s="83"/>
      <c r="GU173" s="83"/>
      <c r="GV173" s="83"/>
      <c r="GW173" s="83"/>
      <c r="GX173" s="83"/>
      <c r="GY173" s="83"/>
      <c r="GZ173" s="83"/>
      <c r="HA173" s="83"/>
      <c r="HB173" s="83"/>
      <c r="HC173" s="83"/>
      <c r="HD173" s="83"/>
      <c r="HE173" s="83"/>
      <c r="HF173" s="83"/>
      <c r="HG173" s="83"/>
      <c r="HH173" s="83"/>
      <c r="HI173" s="83"/>
      <c r="HJ173" s="83"/>
      <c r="HK173" s="83"/>
      <c r="HL173" s="83"/>
      <c r="HM173" s="83"/>
      <c r="HN173" s="83"/>
      <c r="HO173" s="83"/>
      <c r="HP173" s="83"/>
      <c r="HQ173" s="83"/>
      <c r="HR173" s="83"/>
      <c r="HS173" s="83"/>
      <c r="HT173" s="83"/>
      <c r="HU173" s="83"/>
      <c r="HV173" s="83"/>
      <c r="HW173" s="83"/>
      <c r="HX173" s="83"/>
      <c r="HY173" s="83"/>
      <c r="HZ173" s="83"/>
      <c r="IA173" s="83"/>
      <c r="IB173" s="83"/>
      <c r="IC173" s="83"/>
      <c r="ID173" s="83"/>
      <c r="IE173" s="83"/>
      <c r="IF173" s="83"/>
      <c r="IG173" s="83"/>
    </row>
    <row r="174" spans="1:241" x14ac:dyDescent="0.3">
      <c r="A174" s="83"/>
      <c r="B174" s="17" t="s">
        <v>148</v>
      </c>
      <c r="C174" s="19">
        <v>3.4091999999999998</v>
      </c>
      <c r="D174" s="19">
        <f>1-0.5104</f>
        <v>0.48960000000000004</v>
      </c>
      <c r="E174" s="19">
        <v>3.0000000000000001E-3</v>
      </c>
      <c r="F174" s="20">
        <v>5</v>
      </c>
      <c r="G174" s="29">
        <v>150</v>
      </c>
      <c r="H174" s="22">
        <v>1.38</v>
      </c>
      <c r="I174" s="13"/>
      <c r="J174" s="13"/>
      <c r="K174" s="13"/>
      <c r="L174" s="13"/>
      <c r="M174" s="13"/>
      <c r="N174" s="31"/>
      <c r="O174" s="1"/>
      <c r="P174" s="1"/>
      <c r="Q174" s="1"/>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c r="DD174" s="83"/>
      <c r="DE174" s="83"/>
      <c r="DF174" s="83"/>
      <c r="DG174" s="83"/>
      <c r="DH174" s="83"/>
      <c r="DI174" s="83"/>
      <c r="DJ174" s="83"/>
      <c r="DK174" s="83"/>
      <c r="DL174" s="83"/>
      <c r="DM174" s="83"/>
      <c r="DN174" s="83"/>
      <c r="DO174" s="83"/>
      <c r="DP174" s="83"/>
      <c r="DQ174" s="83"/>
      <c r="DR174" s="83"/>
      <c r="DS174" s="83"/>
      <c r="DT174" s="83"/>
      <c r="DU174" s="83"/>
      <c r="DV174" s="83"/>
      <c r="DW174" s="83"/>
      <c r="DX174" s="83"/>
      <c r="DY174" s="83"/>
      <c r="DZ174" s="83"/>
      <c r="EA174" s="83"/>
      <c r="EB174" s="83"/>
      <c r="EC174" s="83"/>
      <c r="ED174" s="83"/>
      <c r="EE174" s="83"/>
      <c r="EF174" s="83"/>
      <c r="EG174" s="83"/>
      <c r="EH174" s="83"/>
      <c r="EI174" s="83"/>
      <c r="EJ174" s="83"/>
      <c r="EK174" s="83"/>
      <c r="EL174" s="83"/>
      <c r="EM174" s="83"/>
      <c r="EN174" s="83"/>
      <c r="EO174" s="83"/>
      <c r="EP174" s="83"/>
      <c r="EQ174" s="83"/>
      <c r="ER174" s="83"/>
      <c r="ES174" s="83"/>
      <c r="ET174" s="83"/>
      <c r="EU174" s="83"/>
      <c r="EV174" s="83"/>
      <c r="EW174" s="83"/>
      <c r="EX174" s="83"/>
      <c r="EY174" s="83"/>
      <c r="EZ174" s="83"/>
      <c r="FA174" s="83"/>
      <c r="FB174" s="83"/>
      <c r="FC174" s="83"/>
      <c r="FD174" s="83"/>
      <c r="FE174" s="83"/>
      <c r="FF174" s="83"/>
      <c r="FG174" s="83"/>
      <c r="FH174" s="83"/>
      <c r="FI174" s="83"/>
      <c r="FJ174" s="83"/>
      <c r="FK174" s="83"/>
      <c r="FL174" s="83"/>
      <c r="FM174" s="83"/>
      <c r="FN174" s="83"/>
      <c r="FO174" s="83"/>
      <c r="FP174" s="83"/>
      <c r="FQ174" s="83"/>
      <c r="FR174" s="83"/>
      <c r="FS174" s="83"/>
      <c r="FT174" s="83"/>
      <c r="FU174" s="83"/>
      <c r="FV174" s="83"/>
      <c r="FW174" s="83"/>
      <c r="FX174" s="83"/>
      <c r="FY174" s="83"/>
      <c r="FZ174" s="83"/>
      <c r="GA174" s="83"/>
      <c r="GB174" s="83"/>
      <c r="GC174" s="83"/>
      <c r="GD174" s="83"/>
      <c r="GE174" s="83"/>
      <c r="GF174" s="83"/>
      <c r="GG174" s="83"/>
      <c r="GH174" s="83"/>
      <c r="GI174" s="83"/>
      <c r="GJ174" s="83"/>
      <c r="GK174" s="83"/>
      <c r="GL174" s="83"/>
      <c r="GM174" s="83"/>
      <c r="GN174" s="83"/>
      <c r="GO174" s="83"/>
      <c r="GP174" s="83"/>
      <c r="GQ174" s="83"/>
      <c r="GR174" s="83"/>
      <c r="GS174" s="83"/>
      <c r="GT174" s="83"/>
      <c r="GU174" s="83"/>
      <c r="GV174" s="83"/>
      <c r="GW174" s="83"/>
      <c r="GX174" s="83"/>
      <c r="GY174" s="83"/>
      <c r="GZ174" s="83"/>
      <c r="HA174" s="83"/>
      <c r="HB174" s="83"/>
      <c r="HC174" s="83"/>
      <c r="HD174" s="83"/>
      <c r="HE174" s="83"/>
      <c r="HF174" s="83"/>
      <c r="HG174" s="83"/>
      <c r="HH174" s="83"/>
      <c r="HI174" s="83"/>
      <c r="HJ174" s="83"/>
      <c r="HK174" s="83"/>
      <c r="HL174" s="83"/>
      <c r="HM174" s="83"/>
      <c r="HN174" s="83"/>
      <c r="HO174" s="83"/>
      <c r="HP174" s="83"/>
      <c r="HQ174" s="83"/>
      <c r="HR174" s="83"/>
      <c r="HS174" s="83"/>
      <c r="HT174" s="83"/>
      <c r="HU174" s="83"/>
      <c r="HV174" s="83"/>
      <c r="HW174" s="83"/>
      <c r="HX174" s="83"/>
      <c r="HY174" s="83"/>
      <c r="HZ174" s="83"/>
      <c r="IA174" s="83"/>
      <c r="IB174" s="83"/>
      <c r="IC174" s="83"/>
      <c r="ID174" s="83"/>
      <c r="IE174" s="83"/>
      <c r="IF174" s="83"/>
      <c r="IG174" s="83"/>
    </row>
    <row r="175" spans="1:241" x14ac:dyDescent="0.3">
      <c r="A175" s="83"/>
      <c r="B175" s="1"/>
      <c r="C175" s="15"/>
      <c r="D175" s="15"/>
      <c r="E175" s="15"/>
      <c r="F175" s="13"/>
      <c r="G175" s="13"/>
      <c r="H175" s="13"/>
      <c r="I175" s="13"/>
      <c r="J175" s="13"/>
      <c r="K175" s="13"/>
      <c r="L175" s="13"/>
      <c r="M175" s="13"/>
      <c r="N175" s="31"/>
      <c r="O175" s="1"/>
      <c r="P175" s="1"/>
      <c r="Q175" s="1"/>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c r="DD175" s="83"/>
      <c r="DE175" s="83"/>
      <c r="DF175" s="83"/>
      <c r="DG175" s="83"/>
      <c r="DH175" s="83"/>
      <c r="DI175" s="83"/>
      <c r="DJ175" s="83"/>
      <c r="DK175" s="83"/>
      <c r="DL175" s="83"/>
      <c r="DM175" s="83"/>
      <c r="DN175" s="83"/>
      <c r="DO175" s="83"/>
      <c r="DP175" s="83"/>
      <c r="DQ175" s="83"/>
      <c r="DR175" s="83"/>
      <c r="DS175" s="83"/>
      <c r="DT175" s="83"/>
      <c r="DU175" s="83"/>
      <c r="DV175" s="83"/>
      <c r="DW175" s="83"/>
      <c r="DX175" s="83"/>
      <c r="DY175" s="83"/>
      <c r="DZ175" s="83"/>
      <c r="EA175" s="83"/>
      <c r="EB175" s="83"/>
      <c r="EC175" s="83"/>
      <c r="ED175" s="83"/>
      <c r="EE175" s="83"/>
      <c r="EF175" s="83"/>
      <c r="EG175" s="83"/>
      <c r="EH175" s="83"/>
      <c r="EI175" s="83"/>
      <c r="EJ175" s="83"/>
      <c r="EK175" s="83"/>
      <c r="EL175" s="83"/>
      <c r="EM175" s="83"/>
      <c r="EN175" s="83"/>
      <c r="EO175" s="83"/>
      <c r="EP175" s="83"/>
      <c r="EQ175" s="83"/>
      <c r="ER175" s="83"/>
      <c r="ES175" s="83"/>
      <c r="ET175" s="83"/>
      <c r="EU175" s="83"/>
      <c r="EV175" s="83"/>
      <c r="EW175" s="83"/>
      <c r="EX175" s="83"/>
      <c r="EY175" s="83"/>
      <c r="EZ175" s="83"/>
      <c r="FA175" s="83"/>
      <c r="FB175" s="83"/>
      <c r="FC175" s="83"/>
      <c r="FD175" s="83"/>
      <c r="FE175" s="83"/>
      <c r="FF175" s="83"/>
      <c r="FG175" s="83"/>
      <c r="FH175" s="83"/>
      <c r="FI175" s="83"/>
      <c r="FJ175" s="83"/>
      <c r="FK175" s="83"/>
      <c r="FL175" s="83"/>
      <c r="FM175" s="83"/>
      <c r="FN175" s="83"/>
      <c r="FO175" s="83"/>
      <c r="FP175" s="83"/>
      <c r="FQ175" s="83"/>
      <c r="FR175" s="83"/>
      <c r="FS175" s="83"/>
      <c r="FT175" s="83"/>
      <c r="FU175" s="83"/>
      <c r="FV175" s="83"/>
      <c r="FW175" s="83"/>
      <c r="FX175" s="83"/>
      <c r="FY175" s="83"/>
      <c r="FZ175" s="83"/>
      <c r="GA175" s="83"/>
      <c r="GB175" s="83"/>
      <c r="GC175" s="83"/>
      <c r="GD175" s="83"/>
      <c r="GE175" s="83"/>
      <c r="GF175" s="83"/>
      <c r="GG175" s="83"/>
      <c r="GH175" s="83"/>
      <c r="GI175" s="83"/>
      <c r="GJ175" s="83"/>
      <c r="GK175" s="83"/>
      <c r="GL175" s="83"/>
      <c r="GM175" s="83"/>
      <c r="GN175" s="83"/>
      <c r="GO175" s="83"/>
      <c r="GP175" s="83"/>
      <c r="GQ175" s="83"/>
      <c r="GR175" s="83"/>
      <c r="GS175" s="83"/>
      <c r="GT175" s="83"/>
      <c r="GU175" s="83"/>
      <c r="GV175" s="83"/>
      <c r="GW175" s="83"/>
      <c r="GX175" s="83"/>
      <c r="GY175" s="83"/>
      <c r="GZ175" s="83"/>
      <c r="HA175" s="83"/>
      <c r="HB175" s="83"/>
      <c r="HC175" s="83"/>
      <c r="HD175" s="83"/>
      <c r="HE175" s="83"/>
      <c r="HF175" s="83"/>
      <c r="HG175" s="83"/>
      <c r="HH175" s="83"/>
      <c r="HI175" s="83"/>
      <c r="HJ175" s="83"/>
      <c r="HK175" s="83"/>
      <c r="HL175" s="83"/>
      <c r="HM175" s="83"/>
      <c r="HN175" s="83"/>
      <c r="HO175" s="83"/>
      <c r="HP175" s="83"/>
      <c r="HQ175" s="83"/>
      <c r="HR175" s="83"/>
      <c r="HS175" s="83"/>
      <c r="HT175" s="83"/>
      <c r="HU175" s="83"/>
      <c r="HV175" s="83"/>
      <c r="HW175" s="83"/>
      <c r="HX175" s="83"/>
      <c r="HY175" s="83"/>
      <c r="HZ175" s="83"/>
      <c r="IA175" s="83"/>
      <c r="IB175" s="83"/>
      <c r="IC175" s="83"/>
      <c r="ID175" s="83"/>
      <c r="IE175" s="83"/>
      <c r="IF175" s="83"/>
      <c r="IG175" s="83"/>
    </row>
    <row r="176" spans="1:241" x14ac:dyDescent="0.3">
      <c r="A176" s="83"/>
      <c r="B176" s="1"/>
      <c r="C176" s="15"/>
      <c r="D176" s="15"/>
      <c r="E176" s="15"/>
      <c r="F176" s="13"/>
      <c r="G176" s="13"/>
      <c r="H176" s="13"/>
      <c r="I176" s="13"/>
      <c r="J176" s="13"/>
      <c r="K176" s="13"/>
      <c r="L176" s="13"/>
      <c r="M176" s="13"/>
      <c r="N176" s="31"/>
      <c r="O176" s="1"/>
      <c r="P176" s="1"/>
      <c r="Q176" s="1"/>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c r="DD176" s="83"/>
      <c r="DE176" s="83"/>
      <c r="DF176" s="83"/>
      <c r="DG176" s="83"/>
      <c r="DH176" s="83"/>
      <c r="DI176" s="83"/>
      <c r="DJ176" s="83"/>
      <c r="DK176" s="83"/>
      <c r="DL176" s="83"/>
      <c r="DM176" s="83"/>
      <c r="DN176" s="83"/>
      <c r="DO176" s="83"/>
      <c r="DP176" s="83"/>
      <c r="DQ176" s="83"/>
      <c r="DR176" s="83"/>
      <c r="DS176" s="83"/>
      <c r="DT176" s="83"/>
      <c r="DU176" s="83"/>
      <c r="DV176" s="83"/>
      <c r="DW176" s="83"/>
      <c r="DX176" s="83"/>
      <c r="DY176" s="83"/>
      <c r="DZ176" s="83"/>
      <c r="EA176" s="83"/>
      <c r="EB176" s="83"/>
      <c r="EC176" s="83"/>
      <c r="ED176" s="83"/>
      <c r="EE176" s="83"/>
      <c r="EF176" s="83"/>
      <c r="EG176" s="83"/>
      <c r="EH176" s="83"/>
      <c r="EI176" s="83"/>
      <c r="EJ176" s="83"/>
      <c r="EK176" s="83"/>
      <c r="EL176" s="83"/>
      <c r="EM176" s="83"/>
      <c r="EN176" s="83"/>
      <c r="EO176" s="83"/>
      <c r="EP176" s="83"/>
      <c r="EQ176" s="83"/>
      <c r="ER176" s="83"/>
      <c r="ES176" s="83"/>
      <c r="ET176" s="83"/>
      <c r="EU176" s="83"/>
      <c r="EV176" s="83"/>
      <c r="EW176" s="83"/>
      <c r="EX176" s="83"/>
      <c r="EY176" s="83"/>
      <c r="EZ176" s="83"/>
      <c r="FA176" s="83"/>
      <c r="FB176" s="83"/>
      <c r="FC176" s="83"/>
      <c r="FD176" s="83"/>
      <c r="FE176" s="83"/>
      <c r="FF176" s="83"/>
      <c r="FG176" s="83"/>
      <c r="FH176" s="83"/>
      <c r="FI176" s="83"/>
      <c r="FJ176" s="83"/>
      <c r="FK176" s="83"/>
      <c r="FL176" s="83"/>
      <c r="FM176" s="83"/>
      <c r="FN176" s="83"/>
      <c r="FO176" s="83"/>
      <c r="FP176" s="83"/>
      <c r="FQ176" s="83"/>
      <c r="FR176" s="83"/>
      <c r="FS176" s="83"/>
      <c r="FT176" s="83"/>
      <c r="FU176" s="83"/>
      <c r="FV176" s="83"/>
      <c r="FW176" s="83"/>
      <c r="FX176" s="83"/>
      <c r="FY176" s="83"/>
      <c r="FZ176" s="83"/>
      <c r="GA176" s="83"/>
      <c r="GB176" s="83"/>
      <c r="GC176" s="83"/>
      <c r="GD176" s="83"/>
      <c r="GE176" s="83"/>
      <c r="GF176" s="83"/>
      <c r="GG176" s="83"/>
      <c r="GH176" s="83"/>
      <c r="GI176" s="83"/>
      <c r="GJ176" s="83"/>
      <c r="GK176" s="83"/>
      <c r="GL176" s="83"/>
      <c r="GM176" s="83"/>
      <c r="GN176" s="83"/>
      <c r="GO176" s="83"/>
      <c r="GP176" s="83"/>
      <c r="GQ176" s="83"/>
      <c r="GR176" s="83"/>
      <c r="GS176" s="83"/>
      <c r="GT176" s="83"/>
      <c r="GU176" s="83"/>
      <c r="GV176" s="83"/>
      <c r="GW176" s="83"/>
      <c r="GX176" s="83"/>
      <c r="GY176" s="83"/>
      <c r="GZ176" s="83"/>
      <c r="HA176" s="83"/>
      <c r="HB176" s="83"/>
      <c r="HC176" s="83"/>
      <c r="HD176" s="83"/>
      <c r="HE176" s="83"/>
      <c r="HF176" s="83"/>
      <c r="HG176" s="83"/>
      <c r="HH176" s="83"/>
      <c r="HI176" s="83"/>
      <c r="HJ176" s="83"/>
      <c r="HK176" s="83"/>
      <c r="HL176" s="83"/>
      <c r="HM176" s="83"/>
      <c r="HN176" s="83"/>
      <c r="HO176" s="83"/>
      <c r="HP176" s="83"/>
      <c r="HQ176" s="83"/>
      <c r="HR176" s="83"/>
      <c r="HS176" s="83"/>
      <c r="HT176" s="83"/>
      <c r="HU176" s="83"/>
      <c r="HV176" s="83"/>
      <c r="HW176" s="83"/>
      <c r="HX176" s="83"/>
      <c r="HY176" s="83"/>
      <c r="HZ176" s="83"/>
      <c r="IA176" s="83"/>
      <c r="IB176" s="83"/>
      <c r="IC176" s="83"/>
      <c r="ID176" s="83"/>
      <c r="IE176" s="83"/>
      <c r="IF176" s="83"/>
      <c r="IG176" s="83"/>
    </row>
    <row r="177" spans="1:241" x14ac:dyDescent="0.3">
      <c r="A177" s="83"/>
      <c r="B177" s="2" t="s">
        <v>254</v>
      </c>
      <c r="C177" s="13"/>
      <c r="D177" s="13"/>
      <c r="E177" s="13"/>
      <c r="F177" s="13"/>
      <c r="G177" s="13"/>
      <c r="H177" s="13"/>
      <c r="I177" s="13"/>
      <c r="J177" s="13"/>
      <c r="K177" s="13"/>
      <c r="L177" s="13"/>
      <c r="M177" s="13"/>
      <c r="N177" s="31"/>
      <c r="O177" s="1"/>
      <c r="P177" s="1"/>
      <c r="Q177" s="1"/>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c r="DD177" s="83"/>
      <c r="DE177" s="83"/>
      <c r="DF177" s="83"/>
      <c r="DG177" s="83"/>
      <c r="DH177" s="83"/>
      <c r="DI177" s="83"/>
      <c r="DJ177" s="83"/>
      <c r="DK177" s="83"/>
      <c r="DL177" s="83"/>
      <c r="DM177" s="83"/>
      <c r="DN177" s="83"/>
      <c r="DO177" s="83"/>
      <c r="DP177" s="83"/>
      <c r="DQ177" s="83"/>
      <c r="DR177" s="83"/>
      <c r="DS177" s="83"/>
      <c r="DT177" s="83"/>
      <c r="DU177" s="83"/>
      <c r="DV177" s="83"/>
      <c r="DW177" s="83"/>
      <c r="DX177" s="83"/>
      <c r="DY177" s="83"/>
      <c r="DZ177" s="83"/>
      <c r="EA177" s="83"/>
      <c r="EB177" s="83"/>
      <c r="EC177" s="83"/>
      <c r="ED177" s="83"/>
      <c r="EE177" s="83"/>
      <c r="EF177" s="83"/>
      <c r="EG177" s="83"/>
      <c r="EH177" s="83"/>
      <c r="EI177" s="83"/>
      <c r="EJ177" s="83"/>
      <c r="EK177" s="83"/>
      <c r="EL177" s="83"/>
      <c r="EM177" s="83"/>
      <c r="EN177" s="83"/>
      <c r="EO177" s="83"/>
      <c r="EP177" s="83"/>
      <c r="EQ177" s="83"/>
      <c r="ER177" s="83"/>
      <c r="ES177" s="83"/>
      <c r="ET177" s="83"/>
      <c r="EU177" s="83"/>
      <c r="EV177" s="83"/>
      <c r="EW177" s="83"/>
      <c r="EX177" s="83"/>
      <c r="EY177" s="83"/>
      <c r="EZ177" s="83"/>
      <c r="FA177" s="83"/>
      <c r="FB177" s="83"/>
      <c r="FC177" s="83"/>
      <c r="FD177" s="83"/>
      <c r="FE177" s="83"/>
      <c r="FF177" s="83"/>
      <c r="FG177" s="83"/>
      <c r="FH177" s="83"/>
      <c r="FI177" s="83"/>
      <c r="FJ177" s="83"/>
      <c r="FK177" s="83"/>
      <c r="FL177" s="83"/>
      <c r="FM177" s="83"/>
      <c r="FN177" s="83"/>
      <c r="FO177" s="83"/>
      <c r="FP177" s="83"/>
      <c r="FQ177" s="83"/>
      <c r="FR177" s="83"/>
      <c r="FS177" s="83"/>
      <c r="FT177" s="83"/>
      <c r="FU177" s="83"/>
      <c r="FV177" s="83"/>
      <c r="FW177" s="83"/>
      <c r="FX177" s="83"/>
      <c r="FY177" s="83"/>
      <c r="FZ177" s="83"/>
      <c r="GA177" s="83"/>
      <c r="GB177" s="83"/>
      <c r="GC177" s="83"/>
      <c r="GD177" s="83"/>
      <c r="GE177" s="83"/>
      <c r="GF177" s="83"/>
      <c r="GG177" s="83"/>
      <c r="GH177" s="83"/>
      <c r="GI177" s="83"/>
      <c r="GJ177" s="83"/>
      <c r="GK177" s="83"/>
      <c r="GL177" s="83"/>
      <c r="GM177" s="83"/>
      <c r="GN177" s="83"/>
      <c r="GO177" s="83"/>
      <c r="GP177" s="83"/>
      <c r="GQ177" s="83"/>
      <c r="GR177" s="83"/>
      <c r="GS177" s="83"/>
      <c r="GT177" s="83"/>
      <c r="GU177" s="83"/>
      <c r="GV177" s="83"/>
      <c r="GW177" s="83"/>
      <c r="GX177" s="83"/>
      <c r="GY177" s="83"/>
      <c r="GZ177" s="83"/>
      <c r="HA177" s="83"/>
      <c r="HB177" s="83"/>
      <c r="HC177" s="83"/>
      <c r="HD177" s="83"/>
      <c r="HE177" s="83"/>
      <c r="HF177" s="83"/>
      <c r="HG177" s="83"/>
      <c r="HH177" s="83"/>
      <c r="HI177" s="83"/>
      <c r="HJ177" s="83"/>
      <c r="HK177" s="83"/>
      <c r="HL177" s="83"/>
      <c r="HM177" s="83"/>
      <c r="HN177" s="83"/>
      <c r="HO177" s="83"/>
      <c r="HP177" s="83"/>
      <c r="HQ177" s="83"/>
      <c r="HR177" s="83"/>
      <c r="HS177" s="83"/>
      <c r="HT177" s="83"/>
      <c r="HU177" s="83"/>
      <c r="HV177" s="83"/>
      <c r="HW177" s="83"/>
      <c r="HX177" s="83"/>
      <c r="HY177" s="83"/>
      <c r="HZ177" s="83"/>
      <c r="IA177" s="83"/>
      <c r="IB177" s="83"/>
      <c r="IC177" s="83"/>
      <c r="ID177" s="83"/>
      <c r="IE177" s="83"/>
      <c r="IF177" s="83"/>
      <c r="IG177" s="83"/>
    </row>
    <row r="178" spans="1:241" ht="15.6" x14ac:dyDescent="0.35">
      <c r="A178" s="83"/>
      <c r="B178" s="3" t="s">
        <v>149</v>
      </c>
      <c r="C178" s="4" t="s">
        <v>1</v>
      </c>
      <c r="D178" s="4" t="s">
        <v>2</v>
      </c>
      <c r="E178" s="4" t="s">
        <v>3</v>
      </c>
      <c r="F178" s="4" t="s">
        <v>60</v>
      </c>
      <c r="G178" s="4" t="s">
        <v>61</v>
      </c>
      <c r="H178" s="4" t="s">
        <v>62</v>
      </c>
      <c r="I178" s="4" t="s">
        <v>111</v>
      </c>
      <c r="J178" s="4" t="s">
        <v>112</v>
      </c>
      <c r="K178" s="4" t="s">
        <v>150</v>
      </c>
      <c r="L178" s="4" t="s">
        <v>151</v>
      </c>
      <c r="M178" s="4" t="s">
        <v>152</v>
      </c>
      <c r="N178" s="4" t="s">
        <v>153</v>
      </c>
      <c r="O178" s="4" t="s">
        <v>154</v>
      </c>
      <c r="P178" s="4" t="s">
        <v>155</v>
      </c>
      <c r="Q178" s="4" t="s">
        <v>65</v>
      </c>
      <c r="R178" s="4" t="s">
        <v>21</v>
      </c>
      <c r="S178" s="226" t="s">
        <v>22</v>
      </c>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c r="DD178" s="83"/>
      <c r="DE178" s="83"/>
      <c r="DF178" s="83"/>
      <c r="DG178" s="83"/>
      <c r="DH178" s="83"/>
      <c r="DI178" s="83"/>
      <c r="DJ178" s="83"/>
      <c r="DK178" s="83"/>
      <c r="DL178" s="83"/>
      <c r="DM178" s="83"/>
      <c r="DN178" s="83"/>
      <c r="DO178" s="83"/>
      <c r="DP178" s="83"/>
      <c r="DQ178" s="83"/>
      <c r="DR178" s="83"/>
      <c r="DS178" s="83"/>
      <c r="DT178" s="83"/>
      <c r="DU178" s="83"/>
      <c r="DV178" s="83"/>
      <c r="DW178" s="83"/>
      <c r="DX178" s="83"/>
      <c r="DY178" s="83"/>
      <c r="DZ178" s="83"/>
      <c r="EA178" s="83"/>
      <c r="EB178" s="83"/>
      <c r="EC178" s="83"/>
      <c r="ED178" s="83"/>
      <c r="EE178" s="83"/>
      <c r="EF178" s="83"/>
      <c r="EG178" s="83"/>
      <c r="EH178" s="83"/>
      <c r="EI178" s="83"/>
      <c r="EJ178" s="83"/>
      <c r="EK178" s="83"/>
      <c r="EL178" s="83"/>
      <c r="EM178" s="83"/>
      <c r="EN178" s="83"/>
      <c r="EO178" s="83"/>
      <c r="EP178" s="83"/>
      <c r="EQ178" s="83"/>
      <c r="ER178" s="83"/>
      <c r="ES178" s="83"/>
      <c r="ET178" s="83"/>
      <c r="EU178" s="83"/>
      <c r="EV178" s="83"/>
      <c r="EW178" s="83"/>
      <c r="EX178" s="83"/>
      <c r="EY178" s="83"/>
      <c r="EZ178" s="83"/>
      <c r="FA178" s="83"/>
      <c r="FB178" s="83"/>
      <c r="FC178" s="83"/>
      <c r="FD178" s="83"/>
      <c r="FE178" s="83"/>
      <c r="FF178" s="83"/>
      <c r="FG178" s="83"/>
      <c r="FH178" s="83"/>
      <c r="FI178" s="83"/>
      <c r="FJ178" s="83"/>
      <c r="FK178" s="83"/>
      <c r="FL178" s="83"/>
      <c r="FM178" s="83"/>
      <c r="FN178" s="83"/>
      <c r="FO178" s="83"/>
      <c r="FP178" s="83"/>
      <c r="FQ178" s="83"/>
      <c r="FR178" s="83"/>
      <c r="FS178" s="83"/>
      <c r="FT178" s="83"/>
      <c r="FU178" s="83"/>
      <c r="FV178" s="83"/>
      <c r="FW178" s="83"/>
      <c r="FX178" s="83"/>
      <c r="FY178" s="83"/>
      <c r="FZ178" s="83"/>
      <c r="GA178" s="83"/>
      <c r="GB178" s="83"/>
      <c r="GC178" s="83"/>
      <c r="GD178" s="83"/>
      <c r="GE178" s="83"/>
      <c r="GF178" s="83"/>
      <c r="GG178" s="83"/>
      <c r="GH178" s="83"/>
      <c r="GI178" s="83"/>
      <c r="GJ178" s="83"/>
      <c r="GK178" s="83"/>
      <c r="GL178" s="83"/>
      <c r="GM178" s="83"/>
      <c r="GN178" s="83"/>
      <c r="GO178" s="83"/>
      <c r="GP178" s="83"/>
      <c r="GQ178" s="83"/>
      <c r="GR178" s="83"/>
      <c r="GS178" s="83"/>
      <c r="GT178" s="83"/>
      <c r="GU178" s="83"/>
      <c r="GV178" s="83"/>
      <c r="GW178" s="83"/>
      <c r="GX178" s="83"/>
      <c r="GY178" s="83"/>
      <c r="GZ178" s="83"/>
      <c r="HA178" s="83"/>
      <c r="HB178" s="83"/>
      <c r="HC178" s="83"/>
      <c r="HD178" s="83"/>
      <c r="HE178" s="83"/>
      <c r="HF178" s="83"/>
      <c r="HG178" s="83"/>
      <c r="HH178" s="83"/>
      <c r="HI178" s="83"/>
      <c r="HJ178" s="83"/>
      <c r="HK178" s="83"/>
      <c r="HL178" s="83"/>
      <c r="HM178" s="83"/>
      <c r="HN178" s="83"/>
      <c r="HO178" s="83"/>
      <c r="HP178" s="83"/>
      <c r="HQ178" s="83"/>
      <c r="HR178" s="83"/>
      <c r="HS178" s="83"/>
      <c r="HT178" s="83"/>
      <c r="HU178" s="83"/>
      <c r="HV178" s="83"/>
      <c r="HW178" s="83"/>
      <c r="HX178" s="83"/>
      <c r="HY178" s="83"/>
      <c r="HZ178" s="83"/>
      <c r="IA178" s="83"/>
      <c r="IB178" s="83"/>
      <c r="IC178" s="83"/>
      <c r="ID178" s="83"/>
      <c r="IE178" s="83"/>
      <c r="IF178" s="83"/>
      <c r="IG178" s="83"/>
    </row>
    <row r="179" spans="1:241" x14ac:dyDescent="0.3">
      <c r="A179" s="83"/>
      <c r="B179" s="7" t="s">
        <v>156</v>
      </c>
      <c r="C179" s="8">
        <v>3.3892000000000002</v>
      </c>
      <c r="D179" s="8">
        <v>5.3600000000000002E-2</v>
      </c>
      <c r="E179" s="8">
        <v>0.15379999999999999</v>
      </c>
      <c r="F179" s="8">
        <v>-0.39350000000000002</v>
      </c>
      <c r="G179" s="8">
        <v>0.3957</v>
      </c>
      <c r="H179" s="8">
        <v>-2.2599999999999999E-3</v>
      </c>
      <c r="I179" s="26">
        <v>1.89</v>
      </c>
      <c r="J179" s="8">
        <v>1.35</v>
      </c>
      <c r="K179" s="30">
        <v>1</v>
      </c>
      <c r="L179" s="30">
        <v>1.55</v>
      </c>
      <c r="M179" s="30" t="s">
        <v>157</v>
      </c>
      <c r="N179" s="30">
        <v>2.2799999999999998</v>
      </c>
      <c r="O179" s="30">
        <v>4.3600000000000003</v>
      </c>
      <c r="P179" s="13" t="s">
        <v>157</v>
      </c>
      <c r="Q179" s="13">
        <v>100</v>
      </c>
      <c r="R179" s="13">
        <v>1</v>
      </c>
      <c r="S179" s="227">
        <v>300</v>
      </c>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c r="DD179" s="83"/>
      <c r="DE179" s="83"/>
      <c r="DF179" s="83"/>
      <c r="DG179" s="83"/>
      <c r="DH179" s="83"/>
      <c r="DI179" s="83"/>
      <c r="DJ179" s="83"/>
      <c r="DK179" s="83"/>
      <c r="DL179" s="83"/>
      <c r="DM179" s="83"/>
      <c r="DN179" s="83"/>
      <c r="DO179" s="83"/>
      <c r="DP179" s="83"/>
      <c r="DQ179" s="83"/>
      <c r="DR179" s="83"/>
      <c r="DS179" s="83"/>
      <c r="DT179" s="83"/>
      <c r="DU179" s="83"/>
      <c r="DV179" s="83"/>
      <c r="DW179" s="83"/>
      <c r="DX179" s="83"/>
      <c r="DY179" s="83"/>
      <c r="DZ179" s="83"/>
      <c r="EA179" s="83"/>
      <c r="EB179" s="83"/>
      <c r="EC179" s="83"/>
      <c r="ED179" s="83"/>
      <c r="EE179" s="83"/>
      <c r="EF179" s="83"/>
      <c r="EG179" s="83"/>
      <c r="EH179" s="83"/>
      <c r="EI179" s="83"/>
      <c r="EJ179" s="83"/>
      <c r="EK179" s="83"/>
      <c r="EL179" s="83"/>
      <c r="EM179" s="83"/>
      <c r="EN179" s="83"/>
      <c r="EO179" s="83"/>
      <c r="EP179" s="83"/>
      <c r="EQ179" s="83"/>
      <c r="ER179" s="83"/>
      <c r="ES179" s="83"/>
      <c r="ET179" s="83"/>
      <c r="EU179" s="83"/>
      <c r="EV179" s="83"/>
      <c r="EW179" s="83"/>
      <c r="EX179" s="83"/>
      <c r="EY179" s="83"/>
      <c r="EZ179" s="83"/>
      <c r="FA179" s="83"/>
      <c r="FB179" s="83"/>
      <c r="FC179" s="83"/>
      <c r="FD179" s="83"/>
      <c r="FE179" s="83"/>
      <c r="FF179" s="83"/>
      <c r="FG179" s="83"/>
      <c r="FH179" s="83"/>
      <c r="FI179" s="83"/>
      <c r="FJ179" s="83"/>
      <c r="FK179" s="83"/>
      <c r="FL179" s="83"/>
      <c r="FM179" s="83"/>
      <c r="FN179" s="83"/>
      <c r="FO179" s="83"/>
      <c r="FP179" s="83"/>
      <c r="FQ179" s="83"/>
      <c r="FR179" s="83"/>
      <c r="FS179" s="83"/>
      <c r="FT179" s="83"/>
      <c r="FU179" s="83"/>
      <c r="FV179" s="83"/>
      <c r="FW179" s="83"/>
      <c r="FX179" s="83"/>
      <c r="FY179" s="83"/>
      <c r="FZ179" s="83"/>
      <c r="GA179" s="83"/>
      <c r="GB179" s="83"/>
      <c r="GC179" s="83"/>
      <c r="GD179" s="83"/>
      <c r="GE179" s="83"/>
      <c r="GF179" s="83"/>
      <c r="GG179" s="83"/>
      <c r="GH179" s="83"/>
      <c r="GI179" s="83"/>
      <c r="GJ179" s="83"/>
      <c r="GK179" s="83"/>
      <c r="GL179" s="83"/>
      <c r="GM179" s="83"/>
      <c r="GN179" s="83"/>
      <c r="GO179" s="83"/>
      <c r="GP179" s="83"/>
      <c r="GQ179" s="83"/>
      <c r="GR179" s="83"/>
      <c r="GS179" s="83"/>
      <c r="GT179" s="83"/>
      <c r="GU179" s="83"/>
      <c r="GV179" s="83"/>
      <c r="GW179" s="83"/>
      <c r="GX179" s="83"/>
      <c r="GY179" s="83"/>
      <c r="GZ179" s="83"/>
      <c r="HA179" s="83"/>
      <c r="HB179" s="83"/>
      <c r="HC179" s="83"/>
      <c r="HD179" s="83"/>
      <c r="HE179" s="83"/>
      <c r="HF179" s="83"/>
      <c r="HG179" s="83"/>
      <c r="HH179" s="83"/>
      <c r="HI179" s="83"/>
      <c r="HJ179" s="83"/>
      <c r="HK179" s="83"/>
      <c r="HL179" s="83"/>
      <c r="HM179" s="83"/>
      <c r="HN179" s="83"/>
      <c r="HO179" s="83"/>
      <c r="HP179" s="83"/>
      <c r="HQ179" s="83"/>
      <c r="HR179" s="83"/>
      <c r="HS179" s="83"/>
      <c r="HT179" s="83"/>
      <c r="HU179" s="83"/>
      <c r="HV179" s="83"/>
      <c r="HW179" s="83"/>
      <c r="HX179" s="83"/>
      <c r="HY179" s="83"/>
      <c r="HZ179" s="83"/>
      <c r="IA179" s="83"/>
      <c r="IB179" s="83"/>
      <c r="IC179" s="83"/>
      <c r="ID179" s="83"/>
      <c r="IE179" s="83"/>
      <c r="IF179" s="83"/>
      <c r="IG179" s="83"/>
    </row>
    <row r="180" spans="1:241" x14ac:dyDescent="0.3">
      <c r="A180" s="83"/>
      <c r="B180" s="12" t="s">
        <v>158</v>
      </c>
      <c r="C180" s="14">
        <v>3.4771000000000001</v>
      </c>
      <c r="D180" s="14">
        <v>0.13500000000000001</v>
      </c>
      <c r="E180" s="61">
        <v>0.14380000000000001</v>
      </c>
      <c r="F180" s="13">
        <v>-0.24538199999999999</v>
      </c>
      <c r="G180" s="13">
        <v>0.25901600000000002</v>
      </c>
      <c r="H180" s="13">
        <v>-1.363E-2</v>
      </c>
      <c r="I180" s="15">
        <v>1.89</v>
      </c>
      <c r="J180" s="15">
        <v>1.35</v>
      </c>
      <c r="K180" s="31">
        <v>1</v>
      </c>
      <c r="L180" s="31">
        <v>1.41</v>
      </c>
      <c r="M180" s="31">
        <v>1.28</v>
      </c>
      <c r="N180" s="31">
        <v>2.67</v>
      </c>
      <c r="O180" s="31">
        <v>4.74</v>
      </c>
      <c r="P180" s="31">
        <v>10.66</v>
      </c>
      <c r="Q180" s="13">
        <v>100</v>
      </c>
      <c r="R180" s="13">
        <v>1</v>
      </c>
      <c r="S180" s="227">
        <v>100</v>
      </c>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c r="DD180" s="83"/>
      <c r="DE180" s="83"/>
      <c r="DF180" s="83"/>
      <c r="DG180" s="83"/>
      <c r="DH180" s="83"/>
      <c r="DI180" s="83"/>
      <c r="DJ180" s="83"/>
      <c r="DK180" s="83"/>
      <c r="DL180" s="83"/>
      <c r="DM180" s="83"/>
      <c r="DN180" s="83"/>
      <c r="DO180" s="83"/>
      <c r="DP180" s="83"/>
      <c r="DQ180" s="83"/>
      <c r="DR180" s="83"/>
      <c r="DS180" s="83"/>
      <c r="DT180" s="83"/>
      <c r="DU180" s="83"/>
      <c r="DV180" s="83"/>
      <c r="DW180" s="83"/>
      <c r="DX180" s="83"/>
      <c r="DY180" s="83"/>
      <c r="DZ180" s="83"/>
      <c r="EA180" s="83"/>
      <c r="EB180" s="83"/>
      <c r="EC180" s="83"/>
      <c r="ED180" s="83"/>
      <c r="EE180" s="83"/>
      <c r="EF180" s="83"/>
      <c r="EG180" s="83"/>
      <c r="EH180" s="83"/>
      <c r="EI180" s="83"/>
      <c r="EJ180" s="83"/>
      <c r="EK180" s="83"/>
      <c r="EL180" s="83"/>
      <c r="EM180" s="83"/>
      <c r="EN180" s="83"/>
      <c r="EO180" s="83"/>
      <c r="EP180" s="83"/>
      <c r="EQ180" s="83"/>
      <c r="ER180" s="83"/>
      <c r="ES180" s="83"/>
      <c r="ET180" s="83"/>
      <c r="EU180" s="83"/>
      <c r="EV180" s="83"/>
      <c r="EW180" s="83"/>
      <c r="EX180" s="83"/>
      <c r="EY180" s="83"/>
      <c r="EZ180" s="83"/>
      <c r="FA180" s="83"/>
      <c r="FB180" s="83"/>
      <c r="FC180" s="83"/>
      <c r="FD180" s="83"/>
      <c r="FE180" s="83"/>
      <c r="FF180" s="83"/>
      <c r="FG180" s="83"/>
      <c r="FH180" s="83"/>
      <c r="FI180" s="83"/>
      <c r="FJ180" s="83"/>
      <c r="FK180" s="83"/>
      <c r="FL180" s="83"/>
      <c r="FM180" s="83"/>
      <c r="FN180" s="83"/>
      <c r="FO180" s="83"/>
      <c r="FP180" s="83"/>
      <c r="FQ180" s="83"/>
      <c r="FR180" s="83"/>
      <c r="FS180" s="83"/>
      <c r="FT180" s="83"/>
      <c r="FU180" s="83"/>
      <c r="FV180" s="83"/>
      <c r="FW180" s="83"/>
      <c r="FX180" s="83"/>
      <c r="FY180" s="83"/>
      <c r="FZ180" s="83"/>
      <c r="GA180" s="83"/>
      <c r="GB180" s="83"/>
      <c r="GC180" s="83"/>
      <c r="GD180" s="83"/>
      <c r="GE180" s="83"/>
      <c r="GF180" s="83"/>
      <c r="GG180" s="83"/>
      <c r="GH180" s="83"/>
      <c r="GI180" s="83"/>
      <c r="GJ180" s="83"/>
      <c r="GK180" s="83"/>
      <c r="GL180" s="83"/>
      <c r="GM180" s="83"/>
      <c r="GN180" s="83"/>
      <c r="GO180" s="83"/>
      <c r="GP180" s="83"/>
      <c r="GQ180" s="83"/>
      <c r="GR180" s="83"/>
      <c r="GS180" s="83"/>
      <c r="GT180" s="83"/>
      <c r="GU180" s="83"/>
      <c r="GV180" s="83"/>
      <c r="GW180" s="83"/>
      <c r="GX180" s="83"/>
      <c r="GY180" s="83"/>
      <c r="GZ180" s="83"/>
      <c r="HA180" s="83"/>
      <c r="HB180" s="83"/>
      <c r="HC180" s="83"/>
      <c r="HD180" s="83"/>
      <c r="HE180" s="83"/>
      <c r="HF180" s="83"/>
      <c r="HG180" s="83"/>
      <c r="HH180" s="83"/>
      <c r="HI180" s="83"/>
      <c r="HJ180" s="83"/>
      <c r="HK180" s="83"/>
      <c r="HL180" s="83"/>
      <c r="HM180" s="83"/>
      <c r="HN180" s="83"/>
      <c r="HO180" s="83"/>
      <c r="HP180" s="83"/>
      <c r="HQ180" s="83"/>
      <c r="HR180" s="83"/>
      <c r="HS180" s="83"/>
      <c r="HT180" s="83"/>
      <c r="HU180" s="83"/>
      <c r="HV180" s="83"/>
      <c r="HW180" s="83"/>
      <c r="HX180" s="83"/>
      <c r="HY180" s="83"/>
      <c r="HZ180" s="83"/>
      <c r="IA180" s="83"/>
      <c r="IB180" s="83"/>
      <c r="IC180" s="83"/>
      <c r="ID180" s="83"/>
      <c r="IE180" s="83"/>
      <c r="IF180" s="83"/>
      <c r="IG180" s="83"/>
    </row>
    <row r="181" spans="1:241" x14ac:dyDescent="0.3">
      <c r="A181" s="83"/>
      <c r="B181" s="17" t="s">
        <v>159</v>
      </c>
      <c r="C181" s="19">
        <v>3.8696000000000002</v>
      </c>
      <c r="D181" s="19">
        <v>0.31609999999999999</v>
      </c>
      <c r="E181" s="59">
        <v>0.122</v>
      </c>
      <c r="F181" s="19">
        <v>-0.24538199999999999</v>
      </c>
      <c r="G181" s="19">
        <v>0.25901600000000002</v>
      </c>
      <c r="H181" s="19">
        <v>-1.363E-2</v>
      </c>
      <c r="I181" s="20">
        <v>1.89</v>
      </c>
      <c r="J181" s="20">
        <v>1.35</v>
      </c>
      <c r="K181" s="32">
        <v>1</v>
      </c>
      <c r="L181" s="32">
        <v>1.46</v>
      </c>
      <c r="M181" s="32">
        <v>1.28</v>
      </c>
      <c r="N181" s="32">
        <v>2.35</v>
      </c>
      <c r="O181" s="32">
        <v>3.95</v>
      </c>
      <c r="P181" s="32">
        <v>6.44</v>
      </c>
      <c r="Q181" s="18">
        <v>100</v>
      </c>
      <c r="R181" s="18">
        <v>0.1</v>
      </c>
      <c r="S181" s="228">
        <v>200</v>
      </c>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c r="DD181" s="83"/>
      <c r="DE181" s="83"/>
      <c r="DF181" s="83"/>
      <c r="DG181" s="83"/>
      <c r="DH181" s="83"/>
      <c r="DI181" s="83"/>
      <c r="DJ181" s="83"/>
      <c r="DK181" s="83"/>
      <c r="DL181" s="83"/>
      <c r="DM181" s="83"/>
      <c r="DN181" s="83"/>
      <c r="DO181" s="83"/>
      <c r="DP181" s="83"/>
      <c r="DQ181" s="83"/>
      <c r="DR181" s="83"/>
      <c r="DS181" s="83"/>
      <c r="DT181" s="83"/>
      <c r="DU181" s="83"/>
      <c r="DV181" s="83"/>
      <c r="DW181" s="83"/>
      <c r="DX181" s="83"/>
      <c r="DY181" s="83"/>
      <c r="DZ181" s="83"/>
      <c r="EA181" s="83"/>
      <c r="EB181" s="83"/>
      <c r="EC181" s="83"/>
      <c r="ED181" s="83"/>
      <c r="EE181" s="83"/>
      <c r="EF181" s="83"/>
      <c r="EG181" s="83"/>
      <c r="EH181" s="83"/>
      <c r="EI181" s="83"/>
      <c r="EJ181" s="83"/>
      <c r="EK181" s="83"/>
      <c r="EL181" s="83"/>
      <c r="EM181" s="83"/>
      <c r="EN181" s="83"/>
      <c r="EO181" s="83"/>
      <c r="EP181" s="83"/>
      <c r="EQ181" s="83"/>
      <c r="ER181" s="83"/>
      <c r="ES181" s="83"/>
      <c r="ET181" s="83"/>
      <c r="EU181" s="83"/>
      <c r="EV181" s="83"/>
      <c r="EW181" s="83"/>
      <c r="EX181" s="83"/>
      <c r="EY181" s="83"/>
      <c r="EZ181" s="83"/>
      <c r="FA181" s="83"/>
      <c r="FB181" s="83"/>
      <c r="FC181" s="83"/>
      <c r="FD181" s="83"/>
      <c r="FE181" s="83"/>
      <c r="FF181" s="83"/>
      <c r="FG181" s="83"/>
      <c r="FH181" s="83"/>
      <c r="FI181" s="83"/>
      <c r="FJ181" s="83"/>
      <c r="FK181" s="83"/>
      <c r="FL181" s="83"/>
      <c r="FM181" s="83"/>
      <c r="FN181" s="83"/>
      <c r="FO181" s="83"/>
      <c r="FP181" s="83"/>
      <c r="FQ181" s="83"/>
      <c r="FR181" s="83"/>
      <c r="FS181" s="83"/>
      <c r="FT181" s="83"/>
      <c r="FU181" s="83"/>
      <c r="FV181" s="83"/>
      <c r="FW181" s="83"/>
      <c r="FX181" s="83"/>
      <c r="FY181" s="83"/>
      <c r="FZ181" s="83"/>
      <c r="GA181" s="83"/>
      <c r="GB181" s="83"/>
      <c r="GC181" s="83"/>
      <c r="GD181" s="83"/>
      <c r="GE181" s="83"/>
      <c r="GF181" s="83"/>
      <c r="GG181" s="83"/>
      <c r="GH181" s="83"/>
      <c r="GI181" s="83"/>
      <c r="GJ181" s="83"/>
      <c r="GK181" s="83"/>
      <c r="GL181" s="83"/>
      <c r="GM181" s="83"/>
      <c r="GN181" s="83"/>
      <c r="GO181" s="83"/>
      <c r="GP181" s="83"/>
      <c r="GQ181" s="83"/>
      <c r="GR181" s="83"/>
      <c r="GS181" s="83"/>
      <c r="GT181" s="83"/>
      <c r="GU181" s="83"/>
      <c r="GV181" s="83"/>
      <c r="GW181" s="83"/>
      <c r="GX181" s="83"/>
      <c r="GY181" s="83"/>
      <c r="GZ181" s="83"/>
      <c r="HA181" s="83"/>
      <c r="HB181" s="83"/>
      <c r="HC181" s="83"/>
      <c r="HD181" s="83"/>
      <c r="HE181" s="83"/>
      <c r="HF181" s="83"/>
      <c r="HG181" s="83"/>
      <c r="HH181" s="83"/>
      <c r="HI181" s="83"/>
      <c r="HJ181" s="83"/>
      <c r="HK181" s="83"/>
      <c r="HL181" s="83"/>
      <c r="HM181" s="83"/>
      <c r="HN181" s="83"/>
      <c r="HO181" s="83"/>
      <c r="HP181" s="83"/>
      <c r="HQ181" s="83"/>
      <c r="HR181" s="83"/>
      <c r="HS181" s="83"/>
      <c r="HT181" s="83"/>
      <c r="HU181" s="83"/>
      <c r="HV181" s="83"/>
      <c r="HW181" s="83"/>
      <c r="HX181" s="83"/>
      <c r="HY181" s="83"/>
      <c r="HZ181" s="83"/>
      <c r="IA181" s="83"/>
      <c r="IB181" s="83"/>
      <c r="IC181" s="83"/>
      <c r="ID181" s="83"/>
      <c r="IE181" s="83"/>
      <c r="IF181" s="83"/>
      <c r="IG181" s="83"/>
    </row>
    <row r="182" spans="1:241" x14ac:dyDescent="0.3">
      <c r="A182" s="83"/>
      <c r="B182" s="1"/>
      <c r="C182" s="1"/>
      <c r="D182" s="1"/>
      <c r="E182" s="1"/>
      <c r="F182" s="1"/>
      <c r="G182" s="1"/>
      <c r="H182" s="1"/>
      <c r="I182" s="1"/>
      <c r="J182" s="1"/>
      <c r="K182" s="1"/>
      <c r="L182" s="1"/>
      <c r="M182" s="1"/>
      <c r="N182" s="1"/>
      <c r="O182" s="1"/>
      <c r="P182" s="1"/>
      <c r="Q182" s="1"/>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c r="DD182" s="83"/>
      <c r="DE182" s="83"/>
      <c r="DF182" s="83"/>
      <c r="DG182" s="83"/>
      <c r="DH182" s="83"/>
      <c r="DI182" s="83"/>
      <c r="DJ182" s="83"/>
      <c r="DK182" s="83"/>
      <c r="DL182" s="83"/>
      <c r="DM182" s="83"/>
      <c r="DN182" s="83"/>
      <c r="DO182" s="83"/>
      <c r="DP182" s="83"/>
      <c r="DQ182" s="83"/>
      <c r="DR182" s="83"/>
      <c r="DS182" s="83"/>
      <c r="DT182" s="83"/>
      <c r="DU182" s="83"/>
      <c r="DV182" s="83"/>
      <c r="DW182" s="83"/>
      <c r="DX182" s="83"/>
      <c r="DY182" s="83"/>
      <c r="DZ182" s="83"/>
      <c r="EA182" s="83"/>
      <c r="EB182" s="83"/>
      <c r="EC182" s="83"/>
      <c r="ED182" s="83"/>
      <c r="EE182" s="83"/>
      <c r="EF182" s="83"/>
      <c r="EG182" s="83"/>
      <c r="EH182" s="83"/>
      <c r="EI182" s="83"/>
      <c r="EJ182" s="83"/>
      <c r="EK182" s="83"/>
      <c r="EL182" s="83"/>
      <c r="EM182" s="83"/>
      <c r="EN182" s="83"/>
      <c r="EO182" s="83"/>
      <c r="EP182" s="83"/>
      <c r="EQ182" s="83"/>
      <c r="ER182" s="83"/>
      <c r="ES182" s="83"/>
      <c r="ET182" s="83"/>
      <c r="EU182" s="83"/>
      <c r="EV182" s="83"/>
      <c r="EW182" s="83"/>
      <c r="EX182" s="83"/>
      <c r="EY182" s="83"/>
      <c r="EZ182" s="83"/>
      <c r="FA182" s="83"/>
      <c r="FB182" s="83"/>
      <c r="FC182" s="83"/>
      <c r="FD182" s="83"/>
      <c r="FE182" s="83"/>
      <c r="FF182" s="83"/>
      <c r="FG182" s="83"/>
      <c r="FH182" s="83"/>
      <c r="FI182" s="83"/>
      <c r="FJ182" s="83"/>
      <c r="FK182" s="83"/>
      <c r="FL182" s="83"/>
      <c r="FM182" s="83"/>
      <c r="FN182" s="83"/>
      <c r="FO182" s="83"/>
      <c r="FP182" s="83"/>
      <c r="FQ182" s="83"/>
      <c r="FR182" s="83"/>
      <c r="FS182" s="83"/>
      <c r="FT182" s="83"/>
      <c r="FU182" s="83"/>
      <c r="FV182" s="83"/>
      <c r="FW182" s="83"/>
      <c r="FX182" s="83"/>
      <c r="FY182" s="83"/>
      <c r="FZ182" s="83"/>
      <c r="GA182" s="83"/>
      <c r="GB182" s="83"/>
      <c r="GC182" s="83"/>
      <c r="GD182" s="83"/>
      <c r="GE182" s="83"/>
      <c r="GF182" s="83"/>
      <c r="GG182" s="83"/>
      <c r="GH182" s="83"/>
      <c r="GI182" s="83"/>
      <c r="GJ182" s="83"/>
      <c r="GK182" s="83"/>
      <c r="GL182" s="83"/>
      <c r="GM182" s="83"/>
      <c r="GN182" s="83"/>
      <c r="GO182" s="83"/>
      <c r="GP182" s="83"/>
      <c r="GQ182" s="83"/>
      <c r="GR182" s="83"/>
      <c r="GS182" s="83"/>
      <c r="GT182" s="83"/>
      <c r="GU182" s="83"/>
      <c r="GV182" s="83"/>
      <c r="GW182" s="83"/>
      <c r="GX182" s="83"/>
      <c r="GY182" s="83"/>
      <c r="GZ182" s="83"/>
      <c r="HA182" s="83"/>
      <c r="HB182" s="83"/>
      <c r="HC182" s="83"/>
      <c r="HD182" s="83"/>
      <c r="HE182" s="83"/>
      <c r="HF182" s="83"/>
      <c r="HG182" s="83"/>
      <c r="HH182" s="83"/>
      <c r="HI182" s="83"/>
      <c r="HJ182" s="83"/>
      <c r="HK182" s="83"/>
      <c r="HL182" s="83"/>
      <c r="HM182" s="83"/>
      <c r="HN182" s="83"/>
      <c r="HO182" s="83"/>
      <c r="HP182" s="83"/>
      <c r="HQ182" s="83"/>
      <c r="HR182" s="83"/>
      <c r="HS182" s="83"/>
      <c r="HT182" s="83"/>
      <c r="HU182" s="83"/>
      <c r="HV182" s="83"/>
      <c r="HW182" s="83"/>
      <c r="HX182" s="83"/>
      <c r="HY182" s="83"/>
      <c r="HZ182" s="83"/>
      <c r="IA182" s="83"/>
      <c r="IB182" s="83"/>
      <c r="IC182" s="83"/>
      <c r="ID182" s="83"/>
      <c r="IE182" s="83"/>
      <c r="IF182" s="83"/>
      <c r="IG182" s="83"/>
    </row>
    <row r="183" spans="1:241" x14ac:dyDescent="0.3">
      <c r="A183" s="83"/>
      <c r="B183" s="1"/>
      <c r="C183" s="1"/>
      <c r="D183" s="1"/>
      <c r="E183" s="1"/>
      <c r="F183" s="1"/>
      <c r="G183" s="1"/>
      <c r="H183" s="1"/>
      <c r="I183" s="1"/>
      <c r="J183" s="1"/>
      <c r="K183" s="1"/>
      <c r="L183" s="1"/>
      <c r="M183" s="1"/>
      <c r="N183" s="1"/>
      <c r="O183" s="1"/>
      <c r="P183" s="1"/>
      <c r="Q183" s="1"/>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c r="DD183" s="83"/>
      <c r="DE183" s="83"/>
      <c r="DF183" s="83"/>
      <c r="DG183" s="83"/>
      <c r="DH183" s="83"/>
      <c r="DI183" s="83"/>
      <c r="DJ183" s="83"/>
      <c r="DK183" s="83"/>
      <c r="DL183" s="83"/>
      <c r="DM183" s="83"/>
      <c r="DN183" s="83"/>
      <c r="DO183" s="83"/>
      <c r="DP183" s="83"/>
      <c r="DQ183" s="83"/>
      <c r="DR183" s="83"/>
      <c r="DS183" s="83"/>
      <c r="DT183" s="83"/>
      <c r="DU183" s="83"/>
      <c r="DV183" s="83"/>
      <c r="DW183" s="83"/>
      <c r="DX183" s="83"/>
      <c r="DY183" s="83"/>
      <c r="DZ183" s="83"/>
      <c r="EA183" s="83"/>
      <c r="EB183" s="83"/>
      <c r="EC183" s="83"/>
      <c r="ED183" s="83"/>
      <c r="EE183" s="83"/>
      <c r="EF183" s="83"/>
      <c r="EG183" s="83"/>
      <c r="EH183" s="83"/>
      <c r="EI183" s="83"/>
      <c r="EJ183" s="83"/>
      <c r="EK183" s="83"/>
      <c r="EL183" s="83"/>
      <c r="EM183" s="83"/>
      <c r="EN183" s="83"/>
      <c r="EO183" s="83"/>
      <c r="EP183" s="83"/>
      <c r="EQ183" s="83"/>
      <c r="ER183" s="83"/>
      <c r="ES183" s="83"/>
      <c r="ET183" s="83"/>
      <c r="EU183" s="83"/>
      <c r="EV183" s="83"/>
      <c r="EW183" s="83"/>
      <c r="EX183" s="83"/>
      <c r="EY183" s="83"/>
      <c r="EZ183" s="83"/>
      <c r="FA183" s="83"/>
      <c r="FB183" s="83"/>
      <c r="FC183" s="83"/>
      <c r="FD183" s="83"/>
      <c r="FE183" s="83"/>
      <c r="FF183" s="83"/>
      <c r="FG183" s="83"/>
      <c r="FH183" s="83"/>
      <c r="FI183" s="83"/>
      <c r="FJ183" s="83"/>
      <c r="FK183" s="83"/>
      <c r="FL183" s="83"/>
      <c r="FM183" s="83"/>
      <c r="FN183" s="83"/>
      <c r="FO183" s="83"/>
      <c r="FP183" s="83"/>
      <c r="FQ183" s="83"/>
      <c r="FR183" s="83"/>
      <c r="FS183" s="83"/>
      <c r="FT183" s="83"/>
      <c r="FU183" s="83"/>
      <c r="FV183" s="83"/>
      <c r="FW183" s="83"/>
      <c r="FX183" s="83"/>
      <c r="FY183" s="83"/>
      <c r="FZ183" s="83"/>
      <c r="GA183" s="83"/>
      <c r="GB183" s="83"/>
      <c r="GC183" s="83"/>
      <c r="GD183" s="83"/>
      <c r="GE183" s="83"/>
      <c r="GF183" s="83"/>
      <c r="GG183" s="83"/>
      <c r="GH183" s="83"/>
      <c r="GI183" s="83"/>
      <c r="GJ183" s="83"/>
      <c r="GK183" s="83"/>
      <c r="GL183" s="83"/>
      <c r="GM183" s="83"/>
      <c r="GN183" s="83"/>
      <c r="GO183" s="83"/>
      <c r="GP183" s="83"/>
      <c r="GQ183" s="83"/>
      <c r="GR183" s="83"/>
      <c r="GS183" s="83"/>
      <c r="GT183" s="83"/>
      <c r="GU183" s="83"/>
      <c r="GV183" s="83"/>
      <c r="GW183" s="83"/>
      <c r="GX183" s="83"/>
      <c r="GY183" s="83"/>
      <c r="GZ183" s="83"/>
      <c r="HA183" s="83"/>
      <c r="HB183" s="83"/>
      <c r="HC183" s="83"/>
      <c r="HD183" s="83"/>
      <c r="HE183" s="83"/>
      <c r="HF183" s="83"/>
      <c r="HG183" s="83"/>
      <c r="HH183" s="83"/>
      <c r="HI183" s="83"/>
      <c r="HJ183" s="83"/>
      <c r="HK183" s="83"/>
      <c r="HL183" s="83"/>
      <c r="HM183" s="83"/>
      <c r="HN183" s="83"/>
      <c r="HO183" s="83"/>
      <c r="HP183" s="83"/>
      <c r="HQ183" s="83"/>
      <c r="HR183" s="83"/>
      <c r="HS183" s="83"/>
      <c r="HT183" s="83"/>
      <c r="HU183" s="83"/>
      <c r="HV183" s="83"/>
      <c r="HW183" s="83"/>
      <c r="HX183" s="83"/>
      <c r="HY183" s="83"/>
      <c r="HZ183" s="83"/>
      <c r="IA183" s="83"/>
      <c r="IB183" s="83"/>
      <c r="IC183" s="83"/>
      <c r="ID183" s="83"/>
      <c r="IE183" s="83"/>
      <c r="IF183" s="83"/>
      <c r="IG183" s="83"/>
    </row>
    <row r="184" spans="1:241" x14ac:dyDescent="0.3">
      <c r="A184" s="83"/>
      <c r="B184" s="2" t="s">
        <v>255</v>
      </c>
      <c r="C184" s="1"/>
      <c r="D184" s="14"/>
      <c r="E184" s="14"/>
      <c r="F184" s="1"/>
      <c r="G184" s="15"/>
      <c r="H184" s="1"/>
      <c r="I184" s="1"/>
      <c r="J184" s="1"/>
      <c r="K184" s="1"/>
      <c r="L184" s="1"/>
      <c r="M184" s="1"/>
      <c r="N184" s="1"/>
      <c r="O184" s="1"/>
      <c r="P184" s="1"/>
      <c r="Q184" s="1"/>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c r="DD184" s="83"/>
      <c r="DE184" s="83"/>
      <c r="DF184" s="83"/>
      <c r="DG184" s="83"/>
      <c r="DH184" s="83"/>
      <c r="DI184" s="83"/>
      <c r="DJ184" s="83"/>
      <c r="DK184" s="83"/>
      <c r="DL184" s="83"/>
      <c r="DM184" s="83"/>
      <c r="DN184" s="83"/>
      <c r="DO184" s="83"/>
      <c r="DP184" s="83"/>
      <c r="DQ184" s="83"/>
      <c r="DR184" s="83"/>
      <c r="DS184" s="83"/>
      <c r="DT184" s="83"/>
      <c r="DU184" s="83"/>
      <c r="DV184" s="83"/>
      <c r="DW184" s="83"/>
      <c r="DX184" s="83"/>
      <c r="DY184" s="83"/>
      <c r="DZ184" s="83"/>
      <c r="EA184" s="83"/>
      <c r="EB184" s="83"/>
      <c r="EC184" s="83"/>
      <c r="ED184" s="83"/>
      <c r="EE184" s="83"/>
      <c r="EF184" s="83"/>
      <c r="EG184" s="83"/>
      <c r="EH184" s="83"/>
      <c r="EI184" s="83"/>
      <c r="EJ184" s="83"/>
      <c r="EK184" s="83"/>
      <c r="EL184" s="83"/>
      <c r="EM184" s="83"/>
      <c r="EN184" s="83"/>
      <c r="EO184" s="83"/>
      <c r="EP184" s="83"/>
      <c r="EQ184" s="83"/>
      <c r="ER184" s="83"/>
      <c r="ES184" s="83"/>
      <c r="ET184" s="83"/>
      <c r="EU184" s="83"/>
      <c r="EV184" s="83"/>
      <c r="EW184" s="83"/>
      <c r="EX184" s="83"/>
      <c r="EY184" s="83"/>
      <c r="EZ184" s="83"/>
      <c r="FA184" s="83"/>
      <c r="FB184" s="83"/>
      <c r="FC184" s="83"/>
      <c r="FD184" s="83"/>
      <c r="FE184" s="83"/>
      <c r="FF184" s="83"/>
      <c r="FG184" s="83"/>
      <c r="FH184" s="83"/>
      <c r="FI184" s="83"/>
      <c r="FJ184" s="83"/>
      <c r="FK184" s="83"/>
      <c r="FL184" s="83"/>
      <c r="FM184" s="83"/>
      <c r="FN184" s="83"/>
      <c r="FO184" s="83"/>
      <c r="FP184" s="83"/>
      <c r="FQ184" s="83"/>
      <c r="FR184" s="83"/>
      <c r="FS184" s="83"/>
      <c r="FT184" s="83"/>
      <c r="FU184" s="83"/>
      <c r="FV184" s="83"/>
      <c r="FW184" s="83"/>
      <c r="FX184" s="83"/>
      <c r="FY184" s="83"/>
      <c r="FZ184" s="83"/>
      <c r="GA184" s="83"/>
      <c r="GB184" s="83"/>
      <c r="GC184" s="83"/>
      <c r="GD184" s="83"/>
      <c r="GE184" s="83"/>
      <c r="GF184" s="83"/>
      <c r="GG184" s="83"/>
      <c r="GH184" s="83"/>
      <c r="GI184" s="83"/>
      <c r="GJ184" s="83"/>
      <c r="GK184" s="83"/>
      <c r="GL184" s="83"/>
      <c r="GM184" s="83"/>
      <c r="GN184" s="83"/>
      <c r="GO184" s="83"/>
      <c r="GP184" s="83"/>
      <c r="GQ184" s="83"/>
      <c r="GR184" s="83"/>
      <c r="GS184" s="83"/>
      <c r="GT184" s="83"/>
      <c r="GU184" s="83"/>
      <c r="GV184" s="83"/>
      <c r="GW184" s="83"/>
      <c r="GX184" s="83"/>
      <c r="GY184" s="83"/>
      <c r="GZ184" s="83"/>
      <c r="HA184" s="83"/>
      <c r="HB184" s="83"/>
      <c r="HC184" s="83"/>
      <c r="HD184" s="83"/>
      <c r="HE184" s="83"/>
      <c r="HF184" s="83"/>
      <c r="HG184" s="83"/>
      <c r="HH184" s="83"/>
      <c r="HI184" s="83"/>
      <c r="HJ184" s="83"/>
      <c r="HK184" s="83"/>
      <c r="HL184" s="83"/>
      <c r="HM184" s="83"/>
      <c r="HN184" s="83"/>
      <c r="HO184" s="83"/>
      <c r="HP184" s="83"/>
      <c r="HQ184" s="83"/>
      <c r="HR184" s="83"/>
      <c r="HS184" s="83"/>
      <c r="HT184" s="83"/>
      <c r="HU184" s="83"/>
      <c r="HV184" s="83"/>
      <c r="HW184" s="83"/>
      <c r="HX184" s="83"/>
      <c r="HY184" s="83"/>
      <c r="HZ184" s="83"/>
      <c r="IA184" s="83"/>
      <c r="IB184" s="83"/>
      <c r="IC184" s="83"/>
      <c r="ID184" s="83"/>
      <c r="IE184" s="83"/>
      <c r="IF184" s="83"/>
      <c r="IG184" s="83"/>
    </row>
    <row r="185" spans="1:241" ht="16.8" x14ac:dyDescent="0.35">
      <c r="A185" s="83"/>
      <c r="B185" s="3" t="s">
        <v>160</v>
      </c>
      <c r="C185" s="4" t="s">
        <v>1</v>
      </c>
      <c r="D185" s="4" t="s">
        <v>2</v>
      </c>
      <c r="E185" s="4" t="s">
        <v>3</v>
      </c>
      <c r="F185" s="4" t="s">
        <v>4</v>
      </c>
      <c r="G185" s="5" t="s">
        <v>5</v>
      </c>
      <c r="H185" s="6" t="s">
        <v>6</v>
      </c>
      <c r="I185" s="1"/>
      <c r="J185" s="1"/>
      <c r="K185" s="1"/>
      <c r="L185" s="1"/>
      <c r="M185" s="1"/>
      <c r="N185" s="1"/>
      <c r="O185" s="1"/>
      <c r="P185" s="1"/>
      <c r="Q185" s="1"/>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c r="DD185" s="83"/>
      <c r="DE185" s="83"/>
      <c r="DF185" s="83"/>
      <c r="DG185" s="83"/>
      <c r="DH185" s="83"/>
      <c r="DI185" s="83"/>
      <c r="DJ185" s="83"/>
      <c r="DK185" s="83"/>
      <c r="DL185" s="83"/>
      <c r="DM185" s="83"/>
      <c r="DN185" s="83"/>
      <c r="DO185" s="83"/>
      <c r="DP185" s="83"/>
      <c r="DQ185" s="83"/>
      <c r="DR185" s="83"/>
      <c r="DS185" s="83"/>
      <c r="DT185" s="83"/>
      <c r="DU185" s="83"/>
      <c r="DV185" s="83"/>
      <c r="DW185" s="83"/>
      <c r="DX185" s="83"/>
      <c r="DY185" s="83"/>
      <c r="DZ185" s="83"/>
      <c r="EA185" s="83"/>
      <c r="EB185" s="83"/>
      <c r="EC185" s="83"/>
      <c r="ED185" s="83"/>
      <c r="EE185" s="83"/>
      <c r="EF185" s="83"/>
      <c r="EG185" s="83"/>
      <c r="EH185" s="83"/>
      <c r="EI185" s="83"/>
      <c r="EJ185" s="83"/>
      <c r="EK185" s="83"/>
      <c r="EL185" s="83"/>
      <c r="EM185" s="83"/>
      <c r="EN185" s="83"/>
      <c r="EO185" s="83"/>
      <c r="EP185" s="83"/>
      <c r="EQ185" s="83"/>
      <c r="ER185" s="83"/>
      <c r="ES185" s="83"/>
      <c r="ET185" s="83"/>
      <c r="EU185" s="83"/>
      <c r="EV185" s="83"/>
      <c r="EW185" s="83"/>
      <c r="EX185" s="83"/>
      <c r="EY185" s="83"/>
      <c r="EZ185" s="83"/>
      <c r="FA185" s="83"/>
      <c r="FB185" s="83"/>
      <c r="FC185" s="83"/>
      <c r="FD185" s="83"/>
      <c r="FE185" s="83"/>
      <c r="FF185" s="83"/>
      <c r="FG185" s="83"/>
      <c r="FH185" s="83"/>
      <c r="FI185" s="83"/>
      <c r="FJ185" s="83"/>
      <c r="FK185" s="83"/>
      <c r="FL185" s="83"/>
      <c r="FM185" s="83"/>
      <c r="FN185" s="83"/>
      <c r="FO185" s="83"/>
      <c r="FP185" s="83"/>
      <c r="FQ185" s="83"/>
      <c r="FR185" s="83"/>
      <c r="FS185" s="83"/>
      <c r="FT185" s="83"/>
      <c r="FU185" s="83"/>
      <c r="FV185" s="83"/>
      <c r="FW185" s="83"/>
      <c r="FX185" s="83"/>
      <c r="FY185" s="83"/>
      <c r="FZ185" s="83"/>
      <c r="GA185" s="83"/>
      <c r="GB185" s="83"/>
      <c r="GC185" s="83"/>
      <c r="GD185" s="83"/>
      <c r="GE185" s="83"/>
      <c r="GF185" s="83"/>
      <c r="GG185" s="83"/>
      <c r="GH185" s="83"/>
      <c r="GI185" s="83"/>
      <c r="GJ185" s="83"/>
      <c r="GK185" s="83"/>
      <c r="GL185" s="83"/>
      <c r="GM185" s="83"/>
      <c r="GN185" s="83"/>
      <c r="GO185" s="83"/>
      <c r="GP185" s="83"/>
      <c r="GQ185" s="83"/>
      <c r="GR185" s="83"/>
      <c r="GS185" s="83"/>
      <c r="GT185" s="83"/>
      <c r="GU185" s="83"/>
      <c r="GV185" s="83"/>
      <c r="GW185" s="83"/>
      <c r="GX185" s="83"/>
      <c r="GY185" s="83"/>
      <c r="GZ185" s="83"/>
      <c r="HA185" s="83"/>
      <c r="HB185" s="83"/>
      <c r="HC185" s="83"/>
      <c r="HD185" s="83"/>
      <c r="HE185" s="83"/>
      <c r="HF185" s="83"/>
      <c r="HG185" s="83"/>
      <c r="HH185" s="83"/>
      <c r="HI185" s="83"/>
      <c r="HJ185" s="83"/>
      <c r="HK185" s="83"/>
      <c r="HL185" s="83"/>
      <c r="HM185" s="83"/>
      <c r="HN185" s="83"/>
      <c r="HO185" s="83"/>
      <c r="HP185" s="83"/>
      <c r="HQ185" s="83"/>
      <c r="HR185" s="83"/>
      <c r="HS185" s="83"/>
      <c r="HT185" s="83"/>
      <c r="HU185" s="83"/>
      <c r="HV185" s="83"/>
      <c r="HW185" s="83"/>
      <c r="HX185" s="83"/>
      <c r="HY185" s="83"/>
      <c r="HZ185" s="83"/>
      <c r="IA185" s="83"/>
      <c r="IB185" s="83"/>
      <c r="IC185" s="83"/>
      <c r="ID185" s="83"/>
      <c r="IE185" s="83"/>
      <c r="IF185" s="83"/>
      <c r="IG185" s="83"/>
    </row>
    <row r="186" spans="1:241" x14ac:dyDescent="0.3">
      <c r="A186" s="83"/>
      <c r="B186" s="7" t="s">
        <v>161</v>
      </c>
      <c r="C186" s="25">
        <v>4.5587</v>
      </c>
      <c r="D186" s="25">
        <v>0.29859999999999998</v>
      </c>
      <c r="E186" s="25">
        <v>2E-3</v>
      </c>
      <c r="F186" s="26">
        <v>1</v>
      </c>
      <c r="G186" s="24">
        <v>15</v>
      </c>
      <c r="H186" s="68">
        <v>4</v>
      </c>
      <c r="I186" s="38"/>
      <c r="J186" s="1"/>
      <c r="K186" s="1"/>
      <c r="L186" s="1"/>
      <c r="M186" s="1"/>
      <c r="N186" s="1"/>
      <c r="O186" s="1"/>
      <c r="P186" s="1"/>
      <c r="Q186" s="1"/>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c r="DD186" s="83"/>
      <c r="DE186" s="83"/>
      <c r="DF186" s="83"/>
      <c r="DG186" s="83"/>
      <c r="DH186" s="83"/>
      <c r="DI186" s="83"/>
      <c r="DJ186" s="83"/>
      <c r="DK186" s="83"/>
      <c r="DL186" s="83"/>
      <c r="DM186" s="83"/>
      <c r="DN186" s="83"/>
      <c r="DO186" s="83"/>
      <c r="DP186" s="83"/>
      <c r="DQ186" s="83"/>
      <c r="DR186" s="83"/>
      <c r="DS186" s="83"/>
      <c r="DT186" s="83"/>
      <c r="DU186" s="83"/>
      <c r="DV186" s="83"/>
      <c r="DW186" s="83"/>
      <c r="DX186" s="83"/>
      <c r="DY186" s="83"/>
      <c r="DZ186" s="83"/>
      <c r="EA186" s="83"/>
      <c r="EB186" s="83"/>
      <c r="EC186" s="83"/>
      <c r="ED186" s="83"/>
      <c r="EE186" s="83"/>
      <c r="EF186" s="83"/>
      <c r="EG186" s="83"/>
      <c r="EH186" s="83"/>
      <c r="EI186" s="83"/>
      <c r="EJ186" s="83"/>
      <c r="EK186" s="83"/>
      <c r="EL186" s="83"/>
      <c r="EM186" s="83"/>
      <c r="EN186" s="83"/>
      <c r="EO186" s="83"/>
      <c r="EP186" s="83"/>
      <c r="EQ186" s="83"/>
      <c r="ER186" s="83"/>
      <c r="ES186" s="83"/>
      <c r="ET186" s="83"/>
      <c r="EU186" s="83"/>
      <c r="EV186" s="83"/>
      <c r="EW186" s="83"/>
      <c r="EX186" s="83"/>
      <c r="EY186" s="83"/>
      <c r="EZ186" s="83"/>
      <c r="FA186" s="83"/>
      <c r="FB186" s="83"/>
      <c r="FC186" s="83"/>
      <c r="FD186" s="83"/>
      <c r="FE186" s="83"/>
      <c r="FF186" s="83"/>
      <c r="FG186" s="83"/>
      <c r="FH186" s="83"/>
      <c r="FI186" s="83"/>
      <c r="FJ186" s="83"/>
      <c r="FK186" s="83"/>
      <c r="FL186" s="83"/>
      <c r="FM186" s="83"/>
      <c r="FN186" s="83"/>
      <c r="FO186" s="83"/>
      <c r="FP186" s="83"/>
      <c r="FQ186" s="83"/>
      <c r="FR186" s="83"/>
      <c r="FS186" s="83"/>
      <c r="FT186" s="83"/>
      <c r="FU186" s="83"/>
      <c r="FV186" s="83"/>
      <c r="FW186" s="83"/>
      <c r="FX186" s="83"/>
      <c r="FY186" s="83"/>
      <c r="FZ186" s="83"/>
      <c r="GA186" s="83"/>
      <c r="GB186" s="83"/>
      <c r="GC186" s="83"/>
      <c r="GD186" s="83"/>
      <c r="GE186" s="83"/>
      <c r="GF186" s="83"/>
      <c r="GG186" s="83"/>
      <c r="GH186" s="83"/>
      <c r="GI186" s="83"/>
      <c r="GJ186" s="83"/>
      <c r="GK186" s="83"/>
      <c r="GL186" s="83"/>
      <c r="GM186" s="83"/>
      <c r="GN186" s="83"/>
      <c r="GO186" s="83"/>
      <c r="GP186" s="83"/>
      <c r="GQ186" s="83"/>
      <c r="GR186" s="83"/>
      <c r="GS186" s="83"/>
      <c r="GT186" s="83"/>
      <c r="GU186" s="83"/>
      <c r="GV186" s="83"/>
      <c r="GW186" s="83"/>
      <c r="GX186" s="83"/>
      <c r="GY186" s="83"/>
      <c r="GZ186" s="83"/>
      <c r="HA186" s="83"/>
      <c r="HB186" s="83"/>
      <c r="HC186" s="83"/>
      <c r="HD186" s="83"/>
      <c r="HE186" s="83"/>
      <c r="HF186" s="83"/>
      <c r="HG186" s="83"/>
      <c r="HH186" s="83"/>
      <c r="HI186" s="83"/>
      <c r="HJ186" s="83"/>
      <c r="HK186" s="83"/>
      <c r="HL186" s="83"/>
      <c r="HM186" s="83"/>
      <c r="HN186" s="83"/>
      <c r="HO186" s="83"/>
      <c r="HP186" s="83"/>
      <c r="HQ186" s="83"/>
      <c r="HR186" s="83"/>
      <c r="HS186" s="83"/>
      <c r="HT186" s="83"/>
      <c r="HU186" s="83"/>
      <c r="HV186" s="83"/>
      <c r="HW186" s="83"/>
      <c r="HX186" s="83"/>
      <c r="HY186" s="83"/>
      <c r="HZ186" s="83"/>
      <c r="IA186" s="83"/>
      <c r="IB186" s="83"/>
      <c r="IC186" s="83"/>
      <c r="ID186" s="83"/>
      <c r="IE186" s="83"/>
      <c r="IF186" s="83"/>
      <c r="IG186" s="83"/>
    </row>
    <row r="187" spans="1:241" x14ac:dyDescent="0.3">
      <c r="A187" s="83"/>
      <c r="B187" s="12" t="s">
        <v>162</v>
      </c>
      <c r="C187" s="14">
        <v>4.1052</v>
      </c>
      <c r="D187" s="14">
        <v>0.53200000000000003</v>
      </c>
      <c r="E187" s="14">
        <v>-5.0000000000000001E-4</v>
      </c>
      <c r="F187" s="15">
        <v>0.1</v>
      </c>
      <c r="G187" s="28">
        <v>35</v>
      </c>
      <c r="H187" s="68">
        <v>4</v>
      </c>
      <c r="I187" s="38"/>
      <c r="J187" s="1"/>
      <c r="K187" s="1"/>
      <c r="L187" s="1"/>
      <c r="M187" s="1"/>
      <c r="N187" s="1"/>
      <c r="O187" s="1"/>
      <c r="P187" s="1"/>
      <c r="Q187" s="1"/>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c r="DD187" s="83"/>
      <c r="DE187" s="83"/>
      <c r="DF187" s="83"/>
      <c r="DG187" s="83"/>
      <c r="DH187" s="83"/>
      <c r="DI187" s="83"/>
      <c r="DJ187" s="83"/>
      <c r="DK187" s="83"/>
      <c r="DL187" s="83"/>
      <c r="DM187" s="83"/>
      <c r="DN187" s="83"/>
      <c r="DO187" s="83"/>
      <c r="DP187" s="83"/>
      <c r="DQ187" s="83"/>
      <c r="DR187" s="83"/>
      <c r="DS187" s="83"/>
      <c r="DT187" s="83"/>
      <c r="DU187" s="83"/>
      <c r="DV187" s="83"/>
      <c r="DW187" s="83"/>
      <c r="DX187" s="83"/>
      <c r="DY187" s="83"/>
      <c r="DZ187" s="83"/>
      <c r="EA187" s="83"/>
      <c r="EB187" s="83"/>
      <c r="EC187" s="83"/>
      <c r="ED187" s="83"/>
      <c r="EE187" s="83"/>
      <c r="EF187" s="83"/>
      <c r="EG187" s="83"/>
      <c r="EH187" s="83"/>
      <c r="EI187" s="83"/>
      <c r="EJ187" s="83"/>
      <c r="EK187" s="83"/>
      <c r="EL187" s="83"/>
      <c r="EM187" s="83"/>
      <c r="EN187" s="83"/>
      <c r="EO187" s="83"/>
      <c r="EP187" s="83"/>
      <c r="EQ187" s="83"/>
      <c r="ER187" s="83"/>
      <c r="ES187" s="83"/>
      <c r="ET187" s="83"/>
      <c r="EU187" s="83"/>
      <c r="EV187" s="83"/>
      <c r="EW187" s="83"/>
      <c r="EX187" s="83"/>
      <c r="EY187" s="83"/>
      <c r="EZ187" s="83"/>
      <c r="FA187" s="83"/>
      <c r="FB187" s="83"/>
      <c r="FC187" s="83"/>
      <c r="FD187" s="83"/>
      <c r="FE187" s="83"/>
      <c r="FF187" s="83"/>
      <c r="FG187" s="83"/>
      <c r="FH187" s="83"/>
      <c r="FI187" s="83"/>
      <c r="FJ187" s="83"/>
      <c r="FK187" s="83"/>
      <c r="FL187" s="83"/>
      <c r="FM187" s="83"/>
      <c r="FN187" s="83"/>
      <c r="FO187" s="83"/>
      <c r="FP187" s="83"/>
      <c r="FQ187" s="83"/>
      <c r="FR187" s="83"/>
      <c r="FS187" s="83"/>
      <c r="FT187" s="83"/>
      <c r="FU187" s="83"/>
      <c r="FV187" s="83"/>
      <c r="FW187" s="83"/>
      <c r="FX187" s="83"/>
      <c r="FY187" s="83"/>
      <c r="FZ187" s="83"/>
      <c r="GA187" s="83"/>
      <c r="GB187" s="83"/>
      <c r="GC187" s="83"/>
      <c r="GD187" s="83"/>
      <c r="GE187" s="83"/>
      <c r="GF187" s="83"/>
      <c r="GG187" s="83"/>
      <c r="GH187" s="83"/>
      <c r="GI187" s="83"/>
      <c r="GJ187" s="83"/>
      <c r="GK187" s="83"/>
      <c r="GL187" s="83"/>
      <c r="GM187" s="83"/>
      <c r="GN187" s="83"/>
      <c r="GO187" s="83"/>
      <c r="GP187" s="83"/>
      <c r="GQ187" s="83"/>
      <c r="GR187" s="83"/>
      <c r="GS187" s="83"/>
      <c r="GT187" s="83"/>
      <c r="GU187" s="83"/>
      <c r="GV187" s="83"/>
      <c r="GW187" s="83"/>
      <c r="GX187" s="83"/>
      <c r="GY187" s="83"/>
      <c r="GZ187" s="83"/>
      <c r="HA187" s="83"/>
      <c r="HB187" s="83"/>
      <c r="HC187" s="83"/>
      <c r="HD187" s="83"/>
      <c r="HE187" s="83"/>
      <c r="HF187" s="83"/>
      <c r="HG187" s="83"/>
      <c r="HH187" s="83"/>
      <c r="HI187" s="83"/>
      <c r="HJ187" s="83"/>
      <c r="HK187" s="83"/>
      <c r="HL187" s="83"/>
      <c r="HM187" s="83"/>
      <c r="HN187" s="83"/>
      <c r="HO187" s="83"/>
      <c r="HP187" s="83"/>
      <c r="HQ187" s="83"/>
      <c r="HR187" s="83"/>
      <c r="HS187" s="83"/>
      <c r="HT187" s="83"/>
      <c r="HU187" s="83"/>
      <c r="HV187" s="83"/>
      <c r="HW187" s="83"/>
      <c r="HX187" s="83"/>
      <c r="HY187" s="83"/>
      <c r="HZ187" s="83"/>
      <c r="IA187" s="83"/>
      <c r="IB187" s="83"/>
      <c r="IC187" s="83"/>
      <c r="ID187" s="83"/>
      <c r="IE187" s="83"/>
      <c r="IF187" s="83"/>
      <c r="IG187" s="83"/>
    </row>
    <row r="188" spans="1:241" x14ac:dyDescent="0.3">
      <c r="A188" s="83"/>
      <c r="B188" s="12" t="s">
        <v>163</v>
      </c>
      <c r="C188" s="14">
        <v>3.7957000000000001</v>
      </c>
      <c r="D188" s="14">
        <v>0.45929999999999999</v>
      </c>
      <c r="E188" s="14">
        <v>1.6E-2</v>
      </c>
      <c r="F188" s="15">
        <v>7.0000000000000007E-2</v>
      </c>
      <c r="G188" s="28">
        <v>1</v>
      </c>
      <c r="H188" s="68">
        <v>4</v>
      </c>
      <c r="I188" s="38"/>
      <c r="J188" s="1"/>
      <c r="K188" s="1"/>
      <c r="L188" s="1"/>
      <c r="M188" s="1"/>
      <c r="N188" s="1"/>
      <c r="O188" s="1"/>
      <c r="P188" s="1"/>
      <c r="Q188" s="1"/>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c r="DD188" s="83"/>
      <c r="DE188" s="83"/>
      <c r="DF188" s="83"/>
      <c r="DG188" s="83"/>
      <c r="DH188" s="83"/>
      <c r="DI188" s="83"/>
      <c r="DJ188" s="83"/>
      <c r="DK188" s="83"/>
      <c r="DL188" s="83"/>
      <c r="DM188" s="83"/>
      <c r="DN188" s="83"/>
      <c r="DO188" s="83"/>
      <c r="DP188" s="83"/>
      <c r="DQ188" s="83"/>
      <c r="DR188" s="83"/>
      <c r="DS188" s="83"/>
      <c r="DT188" s="83"/>
      <c r="DU188" s="83"/>
      <c r="DV188" s="83"/>
      <c r="DW188" s="83"/>
      <c r="DX188" s="83"/>
      <c r="DY188" s="83"/>
      <c r="DZ188" s="83"/>
      <c r="EA188" s="83"/>
      <c r="EB188" s="83"/>
      <c r="EC188" s="83"/>
      <c r="ED188" s="83"/>
      <c r="EE188" s="83"/>
      <c r="EF188" s="83"/>
      <c r="EG188" s="83"/>
      <c r="EH188" s="83"/>
      <c r="EI188" s="83"/>
      <c r="EJ188" s="83"/>
      <c r="EK188" s="83"/>
      <c r="EL188" s="83"/>
      <c r="EM188" s="83"/>
      <c r="EN188" s="83"/>
      <c r="EO188" s="83"/>
      <c r="EP188" s="83"/>
      <c r="EQ188" s="83"/>
      <c r="ER188" s="83"/>
      <c r="ES188" s="83"/>
      <c r="ET188" s="83"/>
      <c r="EU188" s="83"/>
      <c r="EV188" s="83"/>
      <c r="EW188" s="83"/>
      <c r="EX188" s="83"/>
      <c r="EY188" s="83"/>
      <c r="EZ188" s="83"/>
      <c r="FA188" s="83"/>
      <c r="FB188" s="83"/>
      <c r="FC188" s="83"/>
      <c r="FD188" s="83"/>
      <c r="FE188" s="83"/>
      <c r="FF188" s="83"/>
      <c r="FG188" s="83"/>
      <c r="FH188" s="83"/>
      <c r="FI188" s="83"/>
      <c r="FJ188" s="83"/>
      <c r="FK188" s="83"/>
      <c r="FL188" s="83"/>
      <c r="FM188" s="83"/>
      <c r="FN188" s="83"/>
      <c r="FO188" s="83"/>
      <c r="FP188" s="83"/>
      <c r="FQ188" s="83"/>
      <c r="FR188" s="83"/>
      <c r="FS188" s="83"/>
      <c r="FT188" s="83"/>
      <c r="FU188" s="83"/>
      <c r="FV188" s="83"/>
      <c r="FW188" s="83"/>
      <c r="FX188" s="83"/>
      <c r="FY188" s="83"/>
      <c r="FZ188" s="83"/>
      <c r="GA188" s="83"/>
      <c r="GB188" s="83"/>
      <c r="GC188" s="83"/>
      <c r="GD188" s="83"/>
      <c r="GE188" s="83"/>
      <c r="GF188" s="83"/>
      <c r="GG188" s="83"/>
      <c r="GH188" s="83"/>
      <c r="GI188" s="83"/>
      <c r="GJ188" s="83"/>
      <c r="GK188" s="83"/>
      <c r="GL188" s="83"/>
      <c r="GM188" s="83"/>
      <c r="GN188" s="83"/>
      <c r="GO188" s="83"/>
      <c r="GP188" s="83"/>
      <c r="GQ188" s="83"/>
      <c r="GR188" s="83"/>
      <c r="GS188" s="83"/>
      <c r="GT188" s="83"/>
      <c r="GU188" s="83"/>
      <c r="GV188" s="83"/>
      <c r="GW188" s="83"/>
      <c r="GX188" s="83"/>
      <c r="GY188" s="83"/>
      <c r="GZ188" s="83"/>
      <c r="HA188" s="83"/>
      <c r="HB188" s="83"/>
      <c r="HC188" s="83"/>
      <c r="HD188" s="83"/>
      <c r="HE188" s="83"/>
      <c r="HF188" s="83"/>
      <c r="HG188" s="83"/>
      <c r="HH188" s="83"/>
      <c r="HI188" s="83"/>
      <c r="HJ188" s="83"/>
      <c r="HK188" s="83"/>
      <c r="HL188" s="83"/>
      <c r="HM188" s="83"/>
      <c r="HN188" s="83"/>
      <c r="HO188" s="83"/>
      <c r="HP188" s="83"/>
      <c r="HQ188" s="83"/>
      <c r="HR188" s="83"/>
      <c r="HS188" s="83"/>
      <c r="HT188" s="83"/>
      <c r="HU188" s="83"/>
      <c r="HV188" s="83"/>
      <c r="HW188" s="83"/>
      <c r="HX188" s="83"/>
      <c r="HY188" s="83"/>
      <c r="HZ188" s="83"/>
      <c r="IA188" s="83"/>
      <c r="IB188" s="83"/>
      <c r="IC188" s="83"/>
      <c r="ID188" s="83"/>
      <c r="IE188" s="83"/>
      <c r="IF188" s="83"/>
      <c r="IG188" s="83"/>
    </row>
    <row r="189" spans="1:241" x14ac:dyDescent="0.3">
      <c r="A189" s="83"/>
      <c r="B189" s="12" t="s">
        <v>164</v>
      </c>
      <c r="C189" s="14">
        <v>4.1052</v>
      </c>
      <c r="D189" s="14">
        <v>0.53200000000000003</v>
      </c>
      <c r="E189" s="14">
        <v>-5.0000000000000001E-4</v>
      </c>
      <c r="F189" s="15">
        <v>0.1</v>
      </c>
      <c r="G189" s="28">
        <v>35</v>
      </c>
      <c r="H189" s="68">
        <v>4</v>
      </c>
      <c r="I189" s="38"/>
      <c r="J189" s="1"/>
      <c r="K189" s="1"/>
      <c r="L189" s="1"/>
      <c r="M189" s="1"/>
      <c r="N189" s="1"/>
      <c r="O189" s="1"/>
      <c r="P189" s="1"/>
      <c r="Q189" s="1"/>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c r="DD189" s="83"/>
      <c r="DE189" s="83"/>
      <c r="DF189" s="83"/>
      <c r="DG189" s="83"/>
      <c r="DH189" s="83"/>
      <c r="DI189" s="83"/>
      <c r="DJ189" s="83"/>
      <c r="DK189" s="83"/>
      <c r="DL189" s="83"/>
      <c r="DM189" s="83"/>
      <c r="DN189" s="83"/>
      <c r="DO189" s="83"/>
      <c r="DP189" s="83"/>
      <c r="DQ189" s="83"/>
      <c r="DR189" s="83"/>
      <c r="DS189" s="83"/>
      <c r="DT189" s="83"/>
      <c r="DU189" s="83"/>
      <c r="DV189" s="83"/>
      <c r="DW189" s="83"/>
      <c r="DX189" s="83"/>
      <c r="DY189" s="83"/>
      <c r="DZ189" s="83"/>
      <c r="EA189" s="83"/>
      <c r="EB189" s="83"/>
      <c r="EC189" s="83"/>
      <c r="ED189" s="83"/>
      <c r="EE189" s="83"/>
      <c r="EF189" s="83"/>
      <c r="EG189" s="83"/>
      <c r="EH189" s="83"/>
      <c r="EI189" s="83"/>
      <c r="EJ189" s="83"/>
      <c r="EK189" s="83"/>
      <c r="EL189" s="83"/>
      <c r="EM189" s="83"/>
      <c r="EN189" s="83"/>
      <c r="EO189" s="83"/>
      <c r="EP189" s="83"/>
      <c r="EQ189" s="83"/>
      <c r="ER189" s="83"/>
      <c r="ES189" s="83"/>
      <c r="ET189" s="83"/>
      <c r="EU189" s="83"/>
      <c r="EV189" s="83"/>
      <c r="EW189" s="83"/>
      <c r="EX189" s="83"/>
      <c r="EY189" s="83"/>
      <c r="EZ189" s="83"/>
      <c r="FA189" s="83"/>
      <c r="FB189" s="83"/>
      <c r="FC189" s="83"/>
      <c r="FD189" s="83"/>
      <c r="FE189" s="83"/>
      <c r="FF189" s="83"/>
      <c r="FG189" s="83"/>
      <c r="FH189" s="83"/>
      <c r="FI189" s="83"/>
      <c r="FJ189" s="83"/>
      <c r="FK189" s="83"/>
      <c r="FL189" s="83"/>
      <c r="FM189" s="83"/>
      <c r="FN189" s="83"/>
      <c r="FO189" s="83"/>
      <c r="FP189" s="83"/>
      <c r="FQ189" s="83"/>
      <c r="FR189" s="83"/>
      <c r="FS189" s="83"/>
      <c r="FT189" s="83"/>
      <c r="FU189" s="83"/>
      <c r="FV189" s="83"/>
      <c r="FW189" s="83"/>
      <c r="FX189" s="83"/>
      <c r="FY189" s="83"/>
      <c r="FZ189" s="83"/>
      <c r="GA189" s="83"/>
      <c r="GB189" s="83"/>
      <c r="GC189" s="83"/>
      <c r="GD189" s="83"/>
      <c r="GE189" s="83"/>
      <c r="GF189" s="83"/>
      <c r="GG189" s="83"/>
      <c r="GH189" s="83"/>
      <c r="GI189" s="83"/>
      <c r="GJ189" s="83"/>
      <c r="GK189" s="83"/>
      <c r="GL189" s="83"/>
      <c r="GM189" s="83"/>
      <c r="GN189" s="83"/>
      <c r="GO189" s="83"/>
      <c r="GP189" s="83"/>
      <c r="GQ189" s="83"/>
      <c r="GR189" s="83"/>
      <c r="GS189" s="83"/>
      <c r="GT189" s="83"/>
      <c r="GU189" s="83"/>
      <c r="GV189" s="83"/>
      <c r="GW189" s="83"/>
      <c r="GX189" s="83"/>
      <c r="GY189" s="83"/>
      <c r="GZ189" s="83"/>
      <c r="HA189" s="83"/>
      <c r="HB189" s="83"/>
      <c r="HC189" s="83"/>
      <c r="HD189" s="83"/>
      <c r="HE189" s="83"/>
      <c r="HF189" s="83"/>
      <c r="HG189" s="83"/>
      <c r="HH189" s="83"/>
      <c r="HI189" s="83"/>
      <c r="HJ189" s="83"/>
      <c r="HK189" s="83"/>
      <c r="HL189" s="83"/>
      <c r="HM189" s="83"/>
      <c r="HN189" s="83"/>
      <c r="HO189" s="83"/>
      <c r="HP189" s="83"/>
      <c r="HQ189" s="83"/>
      <c r="HR189" s="83"/>
      <c r="HS189" s="83"/>
      <c r="HT189" s="83"/>
      <c r="HU189" s="83"/>
      <c r="HV189" s="83"/>
      <c r="HW189" s="83"/>
      <c r="HX189" s="83"/>
      <c r="HY189" s="83"/>
      <c r="HZ189" s="83"/>
      <c r="IA189" s="83"/>
      <c r="IB189" s="83"/>
      <c r="IC189" s="83"/>
      <c r="ID189" s="83"/>
      <c r="IE189" s="83"/>
      <c r="IF189" s="83"/>
      <c r="IG189" s="83"/>
    </row>
    <row r="190" spans="1:241" x14ac:dyDescent="0.3">
      <c r="A190" s="83"/>
      <c r="B190" s="12" t="s">
        <v>165</v>
      </c>
      <c r="C190" s="14">
        <v>3.3496000000000001</v>
      </c>
      <c r="D190" s="14">
        <v>0.72350000000000003</v>
      </c>
      <c r="E190" s="14">
        <v>2.5000000000000001E-3</v>
      </c>
      <c r="F190" s="15">
        <v>5</v>
      </c>
      <c r="G190" s="28">
        <v>45</v>
      </c>
      <c r="H190" s="68">
        <v>4</v>
      </c>
      <c r="I190" s="38"/>
      <c r="J190" s="1"/>
      <c r="K190" s="1"/>
      <c r="L190" s="1"/>
      <c r="M190" s="1"/>
      <c r="N190" s="1"/>
      <c r="O190" s="1"/>
      <c r="P190" s="1"/>
      <c r="Q190" s="1"/>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c r="DD190" s="83"/>
      <c r="DE190" s="83"/>
      <c r="DF190" s="83"/>
      <c r="DG190" s="83"/>
      <c r="DH190" s="83"/>
      <c r="DI190" s="83"/>
      <c r="DJ190" s="83"/>
      <c r="DK190" s="83"/>
      <c r="DL190" s="83"/>
      <c r="DM190" s="83"/>
      <c r="DN190" s="83"/>
      <c r="DO190" s="83"/>
      <c r="DP190" s="83"/>
      <c r="DQ190" s="83"/>
      <c r="DR190" s="83"/>
      <c r="DS190" s="83"/>
      <c r="DT190" s="83"/>
      <c r="DU190" s="83"/>
      <c r="DV190" s="83"/>
      <c r="DW190" s="83"/>
      <c r="DX190" s="83"/>
      <c r="DY190" s="83"/>
      <c r="DZ190" s="83"/>
      <c r="EA190" s="83"/>
      <c r="EB190" s="83"/>
      <c r="EC190" s="83"/>
      <c r="ED190" s="83"/>
      <c r="EE190" s="83"/>
      <c r="EF190" s="83"/>
      <c r="EG190" s="83"/>
      <c r="EH190" s="83"/>
      <c r="EI190" s="83"/>
      <c r="EJ190" s="83"/>
      <c r="EK190" s="83"/>
      <c r="EL190" s="83"/>
      <c r="EM190" s="83"/>
      <c r="EN190" s="83"/>
      <c r="EO190" s="83"/>
      <c r="EP190" s="83"/>
      <c r="EQ190" s="83"/>
      <c r="ER190" s="83"/>
      <c r="ES190" s="83"/>
      <c r="ET190" s="83"/>
      <c r="EU190" s="83"/>
      <c r="EV190" s="83"/>
      <c r="EW190" s="83"/>
      <c r="EX190" s="83"/>
      <c r="EY190" s="83"/>
      <c r="EZ190" s="83"/>
      <c r="FA190" s="83"/>
      <c r="FB190" s="83"/>
      <c r="FC190" s="83"/>
      <c r="FD190" s="83"/>
      <c r="FE190" s="83"/>
      <c r="FF190" s="83"/>
      <c r="FG190" s="83"/>
      <c r="FH190" s="83"/>
      <c r="FI190" s="83"/>
      <c r="FJ190" s="83"/>
      <c r="FK190" s="83"/>
      <c r="FL190" s="83"/>
      <c r="FM190" s="83"/>
      <c r="FN190" s="83"/>
      <c r="FO190" s="83"/>
      <c r="FP190" s="83"/>
      <c r="FQ190" s="83"/>
      <c r="FR190" s="83"/>
      <c r="FS190" s="83"/>
      <c r="FT190" s="83"/>
      <c r="FU190" s="83"/>
      <c r="FV190" s="83"/>
      <c r="FW190" s="83"/>
      <c r="FX190" s="83"/>
      <c r="FY190" s="83"/>
      <c r="FZ190" s="83"/>
      <c r="GA190" s="83"/>
      <c r="GB190" s="83"/>
      <c r="GC190" s="83"/>
      <c r="GD190" s="83"/>
      <c r="GE190" s="83"/>
      <c r="GF190" s="83"/>
      <c r="GG190" s="83"/>
      <c r="GH190" s="83"/>
      <c r="GI190" s="83"/>
      <c r="GJ190" s="83"/>
      <c r="GK190" s="83"/>
      <c r="GL190" s="83"/>
      <c r="GM190" s="83"/>
      <c r="GN190" s="83"/>
      <c r="GO190" s="83"/>
      <c r="GP190" s="83"/>
      <c r="GQ190" s="83"/>
      <c r="GR190" s="83"/>
      <c r="GS190" s="83"/>
      <c r="GT190" s="83"/>
      <c r="GU190" s="83"/>
      <c r="GV190" s="83"/>
      <c r="GW190" s="83"/>
      <c r="GX190" s="83"/>
      <c r="GY190" s="83"/>
      <c r="GZ190" s="83"/>
      <c r="HA190" s="83"/>
      <c r="HB190" s="83"/>
      <c r="HC190" s="83"/>
      <c r="HD190" s="83"/>
      <c r="HE190" s="83"/>
      <c r="HF190" s="83"/>
      <c r="HG190" s="83"/>
      <c r="HH190" s="83"/>
      <c r="HI190" s="83"/>
      <c r="HJ190" s="83"/>
      <c r="HK190" s="83"/>
      <c r="HL190" s="83"/>
      <c r="HM190" s="83"/>
      <c r="HN190" s="83"/>
      <c r="HO190" s="83"/>
      <c r="HP190" s="83"/>
      <c r="HQ190" s="83"/>
      <c r="HR190" s="83"/>
      <c r="HS190" s="83"/>
      <c r="HT190" s="83"/>
      <c r="HU190" s="83"/>
      <c r="HV190" s="83"/>
      <c r="HW190" s="83"/>
      <c r="HX190" s="83"/>
      <c r="HY190" s="83"/>
      <c r="HZ190" s="83"/>
      <c r="IA190" s="83"/>
      <c r="IB190" s="83"/>
      <c r="IC190" s="83"/>
      <c r="ID190" s="83"/>
      <c r="IE190" s="83"/>
      <c r="IF190" s="83"/>
      <c r="IG190" s="83"/>
    </row>
    <row r="191" spans="1:241" x14ac:dyDescent="0.3">
      <c r="A191" s="83"/>
      <c r="B191" s="17" t="s">
        <v>166</v>
      </c>
      <c r="C191" s="19">
        <v>4.7115999999999998</v>
      </c>
      <c r="D191" s="19">
        <v>0.44790000000000002</v>
      </c>
      <c r="E191" s="19">
        <v>4.0000000000000002E-4</v>
      </c>
      <c r="F191" s="20">
        <v>0.04</v>
      </c>
      <c r="G191" s="29">
        <v>6</v>
      </c>
      <c r="H191" s="69">
        <v>4</v>
      </c>
      <c r="I191" s="38"/>
      <c r="J191" s="1"/>
      <c r="K191" s="55"/>
      <c r="L191" s="1"/>
      <c r="M191" s="1"/>
      <c r="N191" s="1"/>
      <c r="O191" s="1"/>
      <c r="P191" s="1"/>
      <c r="Q191" s="1"/>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c r="DD191" s="83"/>
      <c r="DE191" s="83"/>
      <c r="DF191" s="83"/>
      <c r="DG191" s="83"/>
      <c r="DH191" s="83"/>
      <c r="DI191" s="83"/>
      <c r="DJ191" s="83"/>
      <c r="DK191" s="83"/>
      <c r="DL191" s="83"/>
      <c r="DM191" s="83"/>
      <c r="DN191" s="83"/>
      <c r="DO191" s="83"/>
      <c r="DP191" s="83"/>
      <c r="DQ191" s="83"/>
      <c r="DR191" s="83"/>
      <c r="DS191" s="83"/>
      <c r="DT191" s="83"/>
      <c r="DU191" s="83"/>
      <c r="DV191" s="83"/>
      <c r="DW191" s="83"/>
      <c r="DX191" s="83"/>
      <c r="DY191" s="83"/>
      <c r="DZ191" s="83"/>
      <c r="EA191" s="83"/>
      <c r="EB191" s="83"/>
      <c r="EC191" s="83"/>
      <c r="ED191" s="83"/>
      <c r="EE191" s="83"/>
      <c r="EF191" s="83"/>
      <c r="EG191" s="83"/>
      <c r="EH191" s="83"/>
      <c r="EI191" s="83"/>
      <c r="EJ191" s="83"/>
      <c r="EK191" s="83"/>
      <c r="EL191" s="83"/>
      <c r="EM191" s="83"/>
      <c r="EN191" s="83"/>
      <c r="EO191" s="83"/>
      <c r="EP191" s="83"/>
      <c r="EQ191" s="83"/>
      <c r="ER191" s="83"/>
      <c r="ES191" s="83"/>
      <c r="ET191" s="83"/>
      <c r="EU191" s="83"/>
      <c r="EV191" s="83"/>
      <c r="EW191" s="83"/>
      <c r="EX191" s="83"/>
      <c r="EY191" s="83"/>
      <c r="EZ191" s="83"/>
      <c r="FA191" s="83"/>
      <c r="FB191" s="83"/>
      <c r="FC191" s="83"/>
      <c r="FD191" s="83"/>
      <c r="FE191" s="83"/>
      <c r="FF191" s="83"/>
      <c r="FG191" s="83"/>
      <c r="FH191" s="83"/>
      <c r="FI191" s="83"/>
      <c r="FJ191" s="83"/>
      <c r="FK191" s="83"/>
      <c r="FL191" s="83"/>
      <c r="FM191" s="83"/>
      <c r="FN191" s="83"/>
      <c r="FO191" s="83"/>
      <c r="FP191" s="83"/>
      <c r="FQ191" s="83"/>
      <c r="FR191" s="83"/>
      <c r="FS191" s="83"/>
      <c r="FT191" s="83"/>
      <c r="FU191" s="83"/>
      <c r="FV191" s="83"/>
      <c r="FW191" s="83"/>
      <c r="FX191" s="83"/>
      <c r="FY191" s="83"/>
      <c r="FZ191" s="83"/>
      <c r="GA191" s="83"/>
      <c r="GB191" s="83"/>
      <c r="GC191" s="83"/>
      <c r="GD191" s="83"/>
      <c r="GE191" s="83"/>
      <c r="GF191" s="83"/>
      <c r="GG191" s="83"/>
      <c r="GH191" s="83"/>
      <c r="GI191" s="83"/>
      <c r="GJ191" s="83"/>
      <c r="GK191" s="83"/>
      <c r="GL191" s="83"/>
      <c r="GM191" s="83"/>
      <c r="GN191" s="83"/>
      <c r="GO191" s="83"/>
      <c r="GP191" s="83"/>
      <c r="GQ191" s="83"/>
      <c r="GR191" s="83"/>
      <c r="GS191" s="83"/>
      <c r="GT191" s="83"/>
      <c r="GU191" s="83"/>
      <c r="GV191" s="83"/>
      <c r="GW191" s="83"/>
      <c r="GX191" s="83"/>
      <c r="GY191" s="83"/>
      <c r="GZ191" s="83"/>
      <c r="HA191" s="83"/>
      <c r="HB191" s="83"/>
      <c r="HC191" s="83"/>
      <c r="HD191" s="83"/>
      <c r="HE191" s="83"/>
      <c r="HF191" s="83"/>
      <c r="HG191" s="83"/>
      <c r="HH191" s="83"/>
      <c r="HI191" s="83"/>
      <c r="HJ191" s="83"/>
      <c r="HK191" s="83"/>
      <c r="HL191" s="83"/>
      <c r="HM191" s="83"/>
      <c r="HN191" s="83"/>
      <c r="HO191" s="83"/>
      <c r="HP191" s="83"/>
      <c r="HQ191" s="83"/>
      <c r="HR191" s="83"/>
      <c r="HS191" s="83"/>
      <c r="HT191" s="83"/>
      <c r="HU191" s="83"/>
      <c r="HV191" s="83"/>
      <c r="HW191" s="83"/>
      <c r="HX191" s="83"/>
      <c r="HY191" s="83"/>
      <c r="HZ191" s="83"/>
      <c r="IA191" s="83"/>
      <c r="IB191" s="83"/>
      <c r="IC191" s="83"/>
      <c r="ID191" s="83"/>
      <c r="IE191" s="83"/>
      <c r="IF191" s="83"/>
      <c r="IG191" s="83"/>
    </row>
    <row r="192" spans="1:241" x14ac:dyDescent="0.3">
      <c r="A192" s="83"/>
      <c r="B192" s="1"/>
      <c r="C192" s="14"/>
      <c r="D192" s="14"/>
      <c r="E192" s="14"/>
      <c r="F192" s="15"/>
      <c r="G192" s="15"/>
      <c r="H192" s="1"/>
      <c r="I192" s="1"/>
      <c r="J192" s="1"/>
      <c r="K192" s="1"/>
      <c r="L192" s="1"/>
      <c r="M192" s="1"/>
      <c r="N192" s="1"/>
      <c r="O192" s="1"/>
      <c r="P192" s="1"/>
      <c r="Q192" s="1"/>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c r="DD192" s="83"/>
      <c r="DE192" s="83"/>
      <c r="DF192" s="83"/>
      <c r="DG192" s="83"/>
      <c r="DH192" s="83"/>
      <c r="DI192" s="83"/>
      <c r="DJ192" s="83"/>
      <c r="DK192" s="83"/>
      <c r="DL192" s="83"/>
      <c r="DM192" s="83"/>
      <c r="DN192" s="83"/>
      <c r="DO192" s="83"/>
      <c r="DP192" s="83"/>
      <c r="DQ192" s="83"/>
      <c r="DR192" s="83"/>
      <c r="DS192" s="83"/>
      <c r="DT192" s="83"/>
      <c r="DU192" s="83"/>
      <c r="DV192" s="83"/>
      <c r="DW192" s="83"/>
      <c r="DX192" s="83"/>
      <c r="DY192" s="83"/>
      <c r="DZ192" s="83"/>
      <c r="EA192" s="83"/>
      <c r="EB192" s="83"/>
      <c r="EC192" s="83"/>
      <c r="ED192" s="83"/>
      <c r="EE192" s="83"/>
      <c r="EF192" s="83"/>
      <c r="EG192" s="83"/>
      <c r="EH192" s="83"/>
      <c r="EI192" s="83"/>
      <c r="EJ192" s="83"/>
      <c r="EK192" s="83"/>
      <c r="EL192" s="83"/>
      <c r="EM192" s="83"/>
      <c r="EN192" s="83"/>
      <c r="EO192" s="83"/>
      <c r="EP192" s="83"/>
      <c r="EQ192" s="83"/>
      <c r="ER192" s="83"/>
      <c r="ES192" s="83"/>
      <c r="ET192" s="83"/>
      <c r="EU192" s="83"/>
      <c r="EV192" s="83"/>
      <c r="EW192" s="83"/>
      <c r="EX192" s="83"/>
      <c r="EY192" s="83"/>
      <c r="EZ192" s="83"/>
      <c r="FA192" s="83"/>
      <c r="FB192" s="83"/>
      <c r="FC192" s="83"/>
      <c r="FD192" s="83"/>
      <c r="FE192" s="83"/>
      <c r="FF192" s="83"/>
      <c r="FG192" s="83"/>
      <c r="FH192" s="83"/>
      <c r="FI192" s="83"/>
      <c r="FJ192" s="83"/>
      <c r="FK192" s="83"/>
      <c r="FL192" s="83"/>
      <c r="FM192" s="83"/>
      <c r="FN192" s="83"/>
      <c r="FO192" s="83"/>
      <c r="FP192" s="83"/>
      <c r="FQ192" s="83"/>
      <c r="FR192" s="83"/>
      <c r="FS192" s="83"/>
      <c r="FT192" s="83"/>
      <c r="FU192" s="83"/>
      <c r="FV192" s="83"/>
      <c r="FW192" s="83"/>
      <c r="FX192" s="83"/>
      <c r="FY192" s="83"/>
      <c r="FZ192" s="83"/>
      <c r="GA192" s="83"/>
      <c r="GB192" s="83"/>
      <c r="GC192" s="83"/>
      <c r="GD192" s="83"/>
      <c r="GE192" s="83"/>
      <c r="GF192" s="83"/>
      <c r="GG192" s="83"/>
      <c r="GH192" s="83"/>
      <c r="GI192" s="83"/>
      <c r="GJ192" s="83"/>
      <c r="GK192" s="83"/>
      <c r="GL192" s="83"/>
      <c r="GM192" s="83"/>
      <c r="GN192" s="83"/>
      <c r="GO192" s="83"/>
      <c r="GP192" s="83"/>
      <c r="GQ192" s="83"/>
      <c r="GR192" s="83"/>
      <c r="GS192" s="83"/>
      <c r="GT192" s="83"/>
      <c r="GU192" s="83"/>
      <c r="GV192" s="83"/>
      <c r="GW192" s="83"/>
      <c r="GX192" s="83"/>
      <c r="GY192" s="83"/>
      <c r="GZ192" s="83"/>
      <c r="HA192" s="83"/>
      <c r="HB192" s="83"/>
      <c r="HC192" s="83"/>
      <c r="HD192" s="83"/>
      <c r="HE192" s="83"/>
      <c r="HF192" s="83"/>
      <c r="HG192" s="83"/>
      <c r="HH192" s="83"/>
      <c r="HI192" s="83"/>
      <c r="HJ192" s="83"/>
      <c r="HK192" s="83"/>
      <c r="HL192" s="83"/>
      <c r="HM192" s="83"/>
      <c r="HN192" s="83"/>
      <c r="HO192" s="83"/>
      <c r="HP192" s="83"/>
      <c r="HQ192" s="83"/>
      <c r="HR192" s="83"/>
      <c r="HS192" s="83"/>
      <c r="HT192" s="83"/>
      <c r="HU192" s="83"/>
      <c r="HV192" s="83"/>
      <c r="HW192" s="83"/>
      <c r="HX192" s="83"/>
      <c r="HY192" s="83"/>
      <c r="HZ192" s="83"/>
      <c r="IA192" s="83"/>
      <c r="IB192" s="83"/>
      <c r="IC192" s="83"/>
      <c r="ID192" s="83"/>
      <c r="IE192" s="83"/>
      <c r="IF192" s="83"/>
      <c r="IG192" s="83"/>
    </row>
    <row r="193" spans="1:241" x14ac:dyDescent="0.3">
      <c r="A193" s="83"/>
      <c r="B193" s="1"/>
      <c r="C193" s="1"/>
      <c r="D193" s="14"/>
      <c r="E193" s="14"/>
      <c r="F193" s="1"/>
      <c r="G193" s="15"/>
      <c r="H193" s="1"/>
      <c r="I193" s="1"/>
      <c r="J193" s="1"/>
      <c r="K193" s="1"/>
      <c r="L193" s="1"/>
      <c r="M193" s="1"/>
      <c r="N193" s="1"/>
      <c r="O193" s="1"/>
      <c r="P193" s="1"/>
      <c r="Q193" s="1"/>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c r="DD193" s="83"/>
      <c r="DE193" s="83"/>
      <c r="DF193" s="83"/>
      <c r="DG193" s="83"/>
      <c r="DH193" s="83"/>
      <c r="DI193" s="83"/>
      <c r="DJ193" s="83"/>
      <c r="DK193" s="83"/>
      <c r="DL193" s="83"/>
      <c r="DM193" s="83"/>
      <c r="DN193" s="83"/>
      <c r="DO193" s="83"/>
      <c r="DP193" s="83"/>
      <c r="DQ193" s="83"/>
      <c r="DR193" s="83"/>
      <c r="DS193" s="83"/>
      <c r="DT193" s="83"/>
      <c r="DU193" s="83"/>
      <c r="DV193" s="83"/>
      <c r="DW193" s="83"/>
      <c r="DX193" s="83"/>
      <c r="DY193" s="83"/>
      <c r="DZ193" s="83"/>
      <c r="EA193" s="83"/>
      <c r="EB193" s="83"/>
      <c r="EC193" s="83"/>
      <c r="ED193" s="83"/>
      <c r="EE193" s="83"/>
      <c r="EF193" s="83"/>
      <c r="EG193" s="83"/>
      <c r="EH193" s="83"/>
      <c r="EI193" s="83"/>
      <c r="EJ193" s="83"/>
      <c r="EK193" s="83"/>
      <c r="EL193" s="83"/>
      <c r="EM193" s="83"/>
      <c r="EN193" s="83"/>
      <c r="EO193" s="83"/>
      <c r="EP193" s="83"/>
      <c r="EQ193" s="83"/>
      <c r="ER193" s="83"/>
      <c r="ES193" s="83"/>
      <c r="ET193" s="83"/>
      <c r="EU193" s="83"/>
      <c r="EV193" s="83"/>
      <c r="EW193" s="83"/>
      <c r="EX193" s="83"/>
      <c r="EY193" s="83"/>
      <c r="EZ193" s="83"/>
      <c r="FA193" s="83"/>
      <c r="FB193" s="83"/>
      <c r="FC193" s="83"/>
      <c r="FD193" s="83"/>
      <c r="FE193" s="83"/>
      <c r="FF193" s="83"/>
      <c r="FG193" s="83"/>
      <c r="FH193" s="83"/>
      <c r="FI193" s="83"/>
      <c r="FJ193" s="83"/>
      <c r="FK193" s="83"/>
      <c r="FL193" s="83"/>
      <c r="FM193" s="83"/>
      <c r="FN193" s="83"/>
      <c r="FO193" s="83"/>
      <c r="FP193" s="83"/>
      <c r="FQ193" s="83"/>
      <c r="FR193" s="83"/>
      <c r="FS193" s="83"/>
      <c r="FT193" s="83"/>
      <c r="FU193" s="83"/>
      <c r="FV193" s="83"/>
      <c r="FW193" s="83"/>
      <c r="FX193" s="83"/>
      <c r="FY193" s="83"/>
      <c r="FZ193" s="83"/>
      <c r="GA193" s="83"/>
      <c r="GB193" s="83"/>
      <c r="GC193" s="83"/>
      <c r="GD193" s="83"/>
      <c r="GE193" s="83"/>
      <c r="GF193" s="83"/>
      <c r="GG193" s="83"/>
      <c r="GH193" s="83"/>
      <c r="GI193" s="83"/>
      <c r="GJ193" s="83"/>
      <c r="GK193" s="83"/>
      <c r="GL193" s="83"/>
      <c r="GM193" s="83"/>
      <c r="GN193" s="83"/>
      <c r="GO193" s="83"/>
      <c r="GP193" s="83"/>
      <c r="GQ193" s="83"/>
      <c r="GR193" s="83"/>
      <c r="GS193" s="83"/>
      <c r="GT193" s="83"/>
      <c r="GU193" s="83"/>
      <c r="GV193" s="83"/>
      <c r="GW193" s="83"/>
      <c r="GX193" s="83"/>
      <c r="GY193" s="83"/>
      <c r="GZ193" s="83"/>
      <c r="HA193" s="83"/>
      <c r="HB193" s="83"/>
      <c r="HC193" s="83"/>
      <c r="HD193" s="83"/>
      <c r="HE193" s="83"/>
      <c r="HF193" s="83"/>
      <c r="HG193" s="83"/>
      <c r="HH193" s="83"/>
      <c r="HI193" s="83"/>
      <c r="HJ193" s="83"/>
      <c r="HK193" s="83"/>
      <c r="HL193" s="83"/>
      <c r="HM193" s="83"/>
      <c r="HN193" s="83"/>
      <c r="HO193" s="83"/>
      <c r="HP193" s="83"/>
      <c r="HQ193" s="83"/>
      <c r="HR193" s="83"/>
      <c r="HS193" s="83"/>
      <c r="HT193" s="83"/>
      <c r="HU193" s="83"/>
      <c r="HV193" s="83"/>
      <c r="HW193" s="83"/>
      <c r="HX193" s="83"/>
      <c r="HY193" s="83"/>
      <c r="HZ193" s="83"/>
      <c r="IA193" s="83"/>
      <c r="IB193" s="83"/>
      <c r="IC193" s="83"/>
      <c r="ID193" s="83"/>
      <c r="IE193" s="83"/>
      <c r="IF193" s="83"/>
      <c r="IG193" s="83"/>
    </row>
    <row r="194" spans="1:241" x14ac:dyDescent="0.3">
      <c r="A194" s="83"/>
      <c r="B194" s="2" t="s">
        <v>256</v>
      </c>
      <c r="C194" s="1"/>
      <c r="D194" s="14"/>
      <c r="E194" s="14"/>
      <c r="F194" s="1"/>
      <c r="G194" s="15"/>
      <c r="H194" s="1"/>
      <c r="I194" s="1"/>
      <c r="J194" s="1"/>
      <c r="K194" s="1"/>
      <c r="L194" s="1"/>
      <c r="M194" s="1"/>
      <c r="N194" s="1"/>
      <c r="O194" s="1"/>
      <c r="P194" s="1"/>
      <c r="Q194" s="1"/>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c r="DD194" s="83"/>
      <c r="DE194" s="83"/>
      <c r="DF194" s="83"/>
      <c r="DG194" s="83"/>
      <c r="DH194" s="83"/>
      <c r="DI194" s="83"/>
      <c r="DJ194" s="83"/>
      <c r="DK194" s="83"/>
      <c r="DL194" s="83"/>
      <c r="DM194" s="83"/>
      <c r="DN194" s="83"/>
      <c r="DO194" s="83"/>
      <c r="DP194" s="83"/>
      <c r="DQ194" s="83"/>
      <c r="DR194" s="83"/>
      <c r="DS194" s="83"/>
      <c r="DT194" s="83"/>
      <c r="DU194" s="83"/>
      <c r="DV194" s="83"/>
      <c r="DW194" s="83"/>
      <c r="DX194" s="83"/>
      <c r="DY194" s="83"/>
      <c r="DZ194" s="83"/>
      <c r="EA194" s="83"/>
      <c r="EB194" s="83"/>
      <c r="EC194" s="83"/>
      <c r="ED194" s="83"/>
      <c r="EE194" s="83"/>
      <c r="EF194" s="83"/>
      <c r="EG194" s="83"/>
      <c r="EH194" s="83"/>
      <c r="EI194" s="83"/>
      <c r="EJ194" s="83"/>
      <c r="EK194" s="83"/>
      <c r="EL194" s="83"/>
      <c r="EM194" s="83"/>
      <c r="EN194" s="83"/>
      <c r="EO194" s="83"/>
      <c r="EP194" s="83"/>
      <c r="EQ194" s="83"/>
      <c r="ER194" s="83"/>
      <c r="ES194" s="83"/>
      <c r="ET194" s="83"/>
      <c r="EU194" s="83"/>
      <c r="EV194" s="83"/>
      <c r="EW194" s="83"/>
      <c r="EX194" s="83"/>
      <c r="EY194" s="83"/>
      <c r="EZ194" s="83"/>
      <c r="FA194" s="83"/>
      <c r="FB194" s="83"/>
      <c r="FC194" s="83"/>
      <c r="FD194" s="83"/>
      <c r="FE194" s="83"/>
      <c r="FF194" s="83"/>
      <c r="FG194" s="83"/>
      <c r="FH194" s="83"/>
      <c r="FI194" s="83"/>
      <c r="FJ194" s="83"/>
      <c r="FK194" s="83"/>
      <c r="FL194" s="83"/>
      <c r="FM194" s="83"/>
      <c r="FN194" s="83"/>
      <c r="FO194" s="83"/>
      <c r="FP194" s="83"/>
      <c r="FQ194" s="83"/>
      <c r="FR194" s="83"/>
      <c r="FS194" s="83"/>
      <c r="FT194" s="83"/>
      <c r="FU194" s="83"/>
      <c r="FV194" s="83"/>
      <c r="FW194" s="83"/>
      <c r="FX194" s="83"/>
      <c r="FY194" s="83"/>
      <c r="FZ194" s="83"/>
      <c r="GA194" s="83"/>
      <c r="GB194" s="83"/>
      <c r="GC194" s="83"/>
      <c r="GD194" s="83"/>
      <c r="GE194" s="83"/>
      <c r="GF194" s="83"/>
      <c r="GG194" s="83"/>
      <c r="GH194" s="83"/>
      <c r="GI194" s="83"/>
      <c r="GJ194" s="83"/>
      <c r="GK194" s="83"/>
      <c r="GL194" s="83"/>
      <c r="GM194" s="83"/>
      <c r="GN194" s="83"/>
      <c r="GO194" s="83"/>
      <c r="GP194" s="83"/>
      <c r="GQ194" s="83"/>
      <c r="GR194" s="83"/>
      <c r="GS194" s="83"/>
      <c r="GT194" s="83"/>
      <c r="GU194" s="83"/>
      <c r="GV194" s="83"/>
      <c r="GW194" s="83"/>
      <c r="GX194" s="83"/>
      <c r="GY194" s="83"/>
      <c r="GZ194" s="83"/>
      <c r="HA194" s="83"/>
      <c r="HB194" s="83"/>
      <c r="HC194" s="83"/>
      <c r="HD194" s="83"/>
      <c r="HE194" s="83"/>
      <c r="HF194" s="83"/>
      <c r="HG194" s="83"/>
      <c r="HH194" s="83"/>
      <c r="HI194" s="83"/>
      <c r="HJ194" s="83"/>
      <c r="HK194" s="83"/>
      <c r="HL194" s="83"/>
      <c r="HM194" s="83"/>
      <c r="HN194" s="83"/>
      <c r="HO194" s="83"/>
      <c r="HP194" s="83"/>
      <c r="HQ194" s="83"/>
      <c r="HR194" s="83"/>
      <c r="HS194" s="83"/>
      <c r="HT194" s="83"/>
      <c r="HU194" s="83"/>
      <c r="HV194" s="83"/>
      <c r="HW194" s="83"/>
      <c r="HX194" s="83"/>
      <c r="HY194" s="83"/>
      <c r="HZ194" s="83"/>
      <c r="IA194" s="83"/>
      <c r="IB194" s="83"/>
      <c r="IC194" s="83"/>
      <c r="ID194" s="83"/>
      <c r="IE194" s="83"/>
      <c r="IF194" s="83"/>
      <c r="IG194" s="83"/>
    </row>
    <row r="195" spans="1:241" ht="16.8" x14ac:dyDescent="0.35">
      <c r="A195" s="83"/>
      <c r="B195" s="3" t="s">
        <v>167</v>
      </c>
      <c r="C195" s="4" t="s">
        <v>1</v>
      </c>
      <c r="D195" s="4" t="s">
        <v>2</v>
      </c>
      <c r="E195" s="4" t="s">
        <v>3</v>
      </c>
      <c r="F195" s="4" t="s">
        <v>27</v>
      </c>
      <c r="G195" s="5" t="s">
        <v>28</v>
      </c>
      <c r="H195" s="6" t="s">
        <v>6</v>
      </c>
      <c r="I195" s="1"/>
      <c r="J195" s="1"/>
      <c r="K195" s="1"/>
      <c r="L195" s="1"/>
      <c r="M195" s="1"/>
      <c r="N195" s="1"/>
      <c r="O195" s="1"/>
      <c r="P195" s="1"/>
      <c r="Q195" s="1"/>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c r="DD195" s="83"/>
      <c r="DE195" s="83"/>
      <c r="DF195" s="83"/>
      <c r="DG195" s="83"/>
      <c r="DH195" s="83"/>
      <c r="DI195" s="83"/>
      <c r="DJ195" s="83"/>
      <c r="DK195" s="83"/>
      <c r="DL195" s="83"/>
      <c r="DM195" s="83"/>
      <c r="DN195" s="83"/>
      <c r="DO195" s="83"/>
      <c r="DP195" s="83"/>
      <c r="DQ195" s="83"/>
      <c r="DR195" s="83"/>
      <c r="DS195" s="83"/>
      <c r="DT195" s="83"/>
      <c r="DU195" s="83"/>
      <c r="DV195" s="83"/>
      <c r="DW195" s="83"/>
      <c r="DX195" s="83"/>
      <c r="DY195" s="83"/>
      <c r="DZ195" s="83"/>
      <c r="EA195" s="83"/>
      <c r="EB195" s="83"/>
      <c r="EC195" s="83"/>
      <c r="ED195" s="83"/>
      <c r="EE195" s="83"/>
      <c r="EF195" s="83"/>
      <c r="EG195" s="83"/>
      <c r="EH195" s="83"/>
      <c r="EI195" s="83"/>
      <c r="EJ195" s="83"/>
      <c r="EK195" s="83"/>
      <c r="EL195" s="83"/>
      <c r="EM195" s="83"/>
      <c r="EN195" s="83"/>
      <c r="EO195" s="83"/>
      <c r="EP195" s="83"/>
      <c r="EQ195" s="83"/>
      <c r="ER195" s="83"/>
      <c r="ES195" s="83"/>
      <c r="ET195" s="83"/>
      <c r="EU195" s="83"/>
      <c r="EV195" s="83"/>
      <c r="EW195" s="83"/>
      <c r="EX195" s="83"/>
      <c r="EY195" s="83"/>
      <c r="EZ195" s="83"/>
      <c r="FA195" s="83"/>
      <c r="FB195" s="83"/>
      <c r="FC195" s="83"/>
      <c r="FD195" s="83"/>
      <c r="FE195" s="83"/>
      <c r="FF195" s="83"/>
      <c r="FG195" s="83"/>
      <c r="FH195" s="83"/>
      <c r="FI195" s="83"/>
      <c r="FJ195" s="83"/>
      <c r="FK195" s="83"/>
      <c r="FL195" s="83"/>
      <c r="FM195" s="83"/>
      <c r="FN195" s="83"/>
      <c r="FO195" s="83"/>
      <c r="FP195" s="83"/>
      <c r="FQ195" s="83"/>
      <c r="FR195" s="83"/>
      <c r="FS195" s="83"/>
      <c r="FT195" s="83"/>
      <c r="FU195" s="83"/>
      <c r="FV195" s="83"/>
      <c r="FW195" s="83"/>
      <c r="FX195" s="83"/>
      <c r="FY195" s="83"/>
      <c r="FZ195" s="83"/>
      <c r="GA195" s="83"/>
      <c r="GB195" s="83"/>
      <c r="GC195" s="83"/>
      <c r="GD195" s="83"/>
      <c r="GE195" s="83"/>
      <c r="GF195" s="83"/>
      <c r="GG195" s="83"/>
      <c r="GH195" s="83"/>
      <c r="GI195" s="83"/>
      <c r="GJ195" s="83"/>
      <c r="GK195" s="83"/>
      <c r="GL195" s="83"/>
      <c r="GM195" s="83"/>
      <c r="GN195" s="83"/>
      <c r="GO195" s="83"/>
      <c r="GP195" s="83"/>
      <c r="GQ195" s="83"/>
      <c r="GR195" s="83"/>
      <c r="GS195" s="83"/>
      <c r="GT195" s="83"/>
      <c r="GU195" s="83"/>
      <c r="GV195" s="83"/>
      <c r="GW195" s="83"/>
      <c r="GX195" s="83"/>
      <c r="GY195" s="83"/>
      <c r="GZ195" s="83"/>
      <c r="HA195" s="83"/>
      <c r="HB195" s="83"/>
      <c r="HC195" s="83"/>
      <c r="HD195" s="83"/>
      <c r="HE195" s="83"/>
      <c r="HF195" s="83"/>
      <c r="HG195" s="83"/>
      <c r="HH195" s="83"/>
      <c r="HI195" s="83"/>
      <c r="HJ195" s="83"/>
      <c r="HK195" s="83"/>
      <c r="HL195" s="83"/>
      <c r="HM195" s="83"/>
      <c r="HN195" s="83"/>
      <c r="HO195" s="83"/>
      <c r="HP195" s="83"/>
      <c r="HQ195" s="83"/>
      <c r="HR195" s="83"/>
      <c r="HS195" s="83"/>
      <c r="HT195" s="83"/>
      <c r="HU195" s="83"/>
      <c r="HV195" s="83"/>
      <c r="HW195" s="83"/>
      <c r="HX195" s="83"/>
      <c r="HY195" s="83"/>
      <c r="HZ195" s="83"/>
      <c r="IA195" s="83"/>
      <c r="IB195" s="83"/>
      <c r="IC195" s="83"/>
      <c r="ID195" s="83"/>
      <c r="IE195" s="83"/>
      <c r="IF195" s="83"/>
      <c r="IG195" s="83"/>
    </row>
    <row r="196" spans="1:241" x14ac:dyDescent="0.3">
      <c r="A196" s="83"/>
      <c r="B196" s="7" t="s">
        <v>168</v>
      </c>
      <c r="C196" s="25">
        <v>3.8050000000000002</v>
      </c>
      <c r="D196" s="25">
        <f>1-0.4144</f>
        <v>0.58560000000000001</v>
      </c>
      <c r="E196" s="25">
        <v>0.21199999999999999</v>
      </c>
      <c r="F196" s="26">
        <v>0.3</v>
      </c>
      <c r="G196" s="24">
        <v>6</v>
      </c>
      <c r="H196" s="10">
        <v>1.34</v>
      </c>
      <c r="I196" s="38"/>
      <c r="J196" s="1"/>
      <c r="K196" s="1"/>
      <c r="L196" s="1"/>
      <c r="M196" s="1"/>
      <c r="N196" s="1"/>
      <c r="O196" s="1"/>
      <c r="P196" s="1"/>
      <c r="Q196" s="1"/>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c r="DD196" s="83"/>
      <c r="DE196" s="83"/>
      <c r="DF196" s="83"/>
      <c r="DG196" s="83"/>
      <c r="DH196" s="83"/>
      <c r="DI196" s="83"/>
      <c r="DJ196" s="83"/>
      <c r="DK196" s="83"/>
      <c r="DL196" s="83"/>
      <c r="DM196" s="83"/>
      <c r="DN196" s="83"/>
      <c r="DO196" s="83"/>
      <c r="DP196" s="83"/>
      <c r="DQ196" s="83"/>
      <c r="DR196" s="83"/>
      <c r="DS196" s="83"/>
      <c r="DT196" s="83"/>
      <c r="DU196" s="83"/>
      <c r="DV196" s="83"/>
      <c r="DW196" s="83"/>
      <c r="DX196" s="83"/>
      <c r="DY196" s="83"/>
      <c r="DZ196" s="83"/>
      <c r="EA196" s="83"/>
      <c r="EB196" s="83"/>
      <c r="EC196" s="83"/>
      <c r="ED196" s="83"/>
      <c r="EE196" s="83"/>
      <c r="EF196" s="83"/>
      <c r="EG196" s="83"/>
      <c r="EH196" s="83"/>
      <c r="EI196" s="83"/>
      <c r="EJ196" s="83"/>
      <c r="EK196" s="83"/>
      <c r="EL196" s="83"/>
      <c r="EM196" s="83"/>
      <c r="EN196" s="83"/>
      <c r="EO196" s="83"/>
      <c r="EP196" s="83"/>
      <c r="EQ196" s="83"/>
      <c r="ER196" s="83"/>
      <c r="ES196" s="83"/>
      <c r="ET196" s="83"/>
      <c r="EU196" s="83"/>
      <c r="EV196" s="83"/>
      <c r="EW196" s="83"/>
      <c r="EX196" s="83"/>
      <c r="EY196" s="83"/>
      <c r="EZ196" s="83"/>
      <c r="FA196" s="83"/>
      <c r="FB196" s="83"/>
      <c r="FC196" s="83"/>
      <c r="FD196" s="83"/>
      <c r="FE196" s="83"/>
      <c r="FF196" s="83"/>
      <c r="FG196" s="83"/>
      <c r="FH196" s="83"/>
      <c r="FI196" s="83"/>
      <c r="FJ196" s="83"/>
      <c r="FK196" s="83"/>
      <c r="FL196" s="83"/>
      <c r="FM196" s="83"/>
      <c r="FN196" s="83"/>
      <c r="FO196" s="83"/>
      <c r="FP196" s="83"/>
      <c r="FQ196" s="83"/>
      <c r="FR196" s="83"/>
      <c r="FS196" s="83"/>
      <c r="FT196" s="83"/>
      <c r="FU196" s="83"/>
      <c r="FV196" s="83"/>
      <c r="FW196" s="83"/>
      <c r="FX196" s="83"/>
      <c r="FY196" s="83"/>
      <c r="FZ196" s="83"/>
      <c r="GA196" s="83"/>
      <c r="GB196" s="83"/>
      <c r="GC196" s="83"/>
      <c r="GD196" s="83"/>
      <c r="GE196" s="83"/>
      <c r="GF196" s="83"/>
      <c r="GG196" s="83"/>
      <c r="GH196" s="83"/>
      <c r="GI196" s="83"/>
      <c r="GJ196" s="83"/>
      <c r="GK196" s="83"/>
      <c r="GL196" s="83"/>
      <c r="GM196" s="83"/>
      <c r="GN196" s="83"/>
      <c r="GO196" s="83"/>
      <c r="GP196" s="83"/>
      <c r="GQ196" s="83"/>
      <c r="GR196" s="83"/>
      <c r="GS196" s="83"/>
      <c r="GT196" s="83"/>
      <c r="GU196" s="83"/>
      <c r="GV196" s="83"/>
      <c r="GW196" s="83"/>
      <c r="GX196" s="83"/>
      <c r="GY196" s="83"/>
      <c r="GZ196" s="83"/>
      <c r="HA196" s="83"/>
      <c r="HB196" s="83"/>
      <c r="HC196" s="83"/>
      <c r="HD196" s="83"/>
      <c r="HE196" s="83"/>
      <c r="HF196" s="83"/>
      <c r="HG196" s="83"/>
      <c r="HH196" s="83"/>
      <c r="HI196" s="83"/>
      <c r="HJ196" s="83"/>
      <c r="HK196" s="83"/>
      <c r="HL196" s="83"/>
      <c r="HM196" s="83"/>
      <c r="HN196" s="83"/>
      <c r="HO196" s="83"/>
      <c r="HP196" s="83"/>
      <c r="HQ196" s="83"/>
      <c r="HR196" s="83"/>
      <c r="HS196" s="83"/>
      <c r="HT196" s="83"/>
      <c r="HU196" s="83"/>
      <c r="HV196" s="83"/>
      <c r="HW196" s="83"/>
      <c r="HX196" s="83"/>
      <c r="HY196" s="83"/>
      <c r="HZ196" s="83"/>
      <c r="IA196" s="83"/>
      <c r="IB196" s="83"/>
      <c r="IC196" s="83"/>
      <c r="ID196" s="83"/>
      <c r="IE196" s="83"/>
      <c r="IF196" s="83"/>
      <c r="IG196" s="83"/>
    </row>
    <row r="197" spans="1:241" x14ac:dyDescent="0.3">
      <c r="A197" s="83"/>
      <c r="B197" s="12" t="s">
        <v>9</v>
      </c>
      <c r="C197" s="14">
        <v>4.0484999999999998</v>
      </c>
      <c r="D197" s="14">
        <f>1-0.8882</f>
        <v>0.11180000000000001</v>
      </c>
      <c r="E197" s="14">
        <v>0.32600000000000001</v>
      </c>
      <c r="F197" s="15">
        <v>0.3</v>
      </c>
      <c r="G197" s="28">
        <v>15</v>
      </c>
      <c r="H197" s="10">
        <v>1.34</v>
      </c>
      <c r="I197" s="38"/>
      <c r="J197" s="1"/>
      <c r="K197" s="1"/>
      <c r="L197" s="1"/>
      <c r="M197" s="1"/>
      <c r="N197" s="1"/>
      <c r="O197" s="1"/>
      <c r="P197" s="1"/>
      <c r="Q197" s="1"/>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c r="DD197" s="83"/>
      <c r="DE197" s="83"/>
      <c r="DF197" s="83"/>
      <c r="DG197" s="83"/>
      <c r="DH197" s="83"/>
      <c r="DI197" s="83"/>
      <c r="DJ197" s="83"/>
      <c r="DK197" s="83"/>
      <c r="DL197" s="83"/>
      <c r="DM197" s="83"/>
      <c r="DN197" s="83"/>
      <c r="DO197" s="83"/>
      <c r="DP197" s="83"/>
      <c r="DQ197" s="83"/>
      <c r="DR197" s="83"/>
      <c r="DS197" s="83"/>
      <c r="DT197" s="83"/>
      <c r="DU197" s="83"/>
      <c r="DV197" s="83"/>
      <c r="DW197" s="83"/>
      <c r="DX197" s="83"/>
      <c r="DY197" s="83"/>
      <c r="DZ197" s="83"/>
      <c r="EA197" s="83"/>
      <c r="EB197" s="83"/>
      <c r="EC197" s="83"/>
      <c r="ED197" s="83"/>
      <c r="EE197" s="83"/>
      <c r="EF197" s="83"/>
      <c r="EG197" s="83"/>
      <c r="EH197" s="83"/>
      <c r="EI197" s="83"/>
      <c r="EJ197" s="83"/>
      <c r="EK197" s="83"/>
      <c r="EL197" s="83"/>
      <c r="EM197" s="83"/>
      <c r="EN197" s="83"/>
      <c r="EO197" s="83"/>
      <c r="EP197" s="83"/>
      <c r="EQ197" s="83"/>
      <c r="ER197" s="83"/>
      <c r="ES197" s="83"/>
      <c r="ET197" s="83"/>
      <c r="EU197" s="83"/>
      <c r="EV197" s="83"/>
      <c r="EW197" s="83"/>
      <c r="EX197" s="83"/>
      <c r="EY197" s="83"/>
      <c r="EZ197" s="83"/>
      <c r="FA197" s="83"/>
      <c r="FB197" s="83"/>
      <c r="FC197" s="83"/>
      <c r="FD197" s="83"/>
      <c r="FE197" s="83"/>
      <c r="FF197" s="83"/>
      <c r="FG197" s="83"/>
      <c r="FH197" s="83"/>
      <c r="FI197" s="83"/>
      <c r="FJ197" s="83"/>
      <c r="FK197" s="83"/>
      <c r="FL197" s="83"/>
      <c r="FM197" s="83"/>
      <c r="FN197" s="83"/>
      <c r="FO197" s="83"/>
      <c r="FP197" s="83"/>
      <c r="FQ197" s="83"/>
      <c r="FR197" s="83"/>
      <c r="FS197" s="83"/>
      <c r="FT197" s="83"/>
      <c r="FU197" s="83"/>
      <c r="FV197" s="83"/>
      <c r="FW197" s="83"/>
      <c r="FX197" s="83"/>
      <c r="FY197" s="83"/>
      <c r="FZ197" s="83"/>
      <c r="GA197" s="83"/>
      <c r="GB197" s="83"/>
      <c r="GC197" s="83"/>
      <c r="GD197" s="83"/>
      <c r="GE197" s="83"/>
      <c r="GF197" s="83"/>
      <c r="GG197" s="83"/>
      <c r="GH197" s="83"/>
      <c r="GI197" s="83"/>
      <c r="GJ197" s="83"/>
      <c r="GK197" s="83"/>
      <c r="GL197" s="83"/>
      <c r="GM197" s="83"/>
      <c r="GN197" s="83"/>
      <c r="GO197" s="83"/>
      <c r="GP197" s="83"/>
      <c r="GQ197" s="83"/>
      <c r="GR197" s="83"/>
      <c r="GS197" s="83"/>
      <c r="GT197" s="83"/>
      <c r="GU197" s="83"/>
      <c r="GV197" s="83"/>
      <c r="GW197" s="83"/>
      <c r="GX197" s="83"/>
      <c r="GY197" s="83"/>
      <c r="GZ197" s="83"/>
      <c r="HA197" s="83"/>
      <c r="HB197" s="83"/>
      <c r="HC197" s="83"/>
      <c r="HD197" s="83"/>
      <c r="HE197" s="83"/>
      <c r="HF197" s="83"/>
      <c r="HG197" s="83"/>
      <c r="HH197" s="83"/>
      <c r="HI197" s="83"/>
      <c r="HJ197" s="83"/>
      <c r="HK197" s="83"/>
      <c r="HL197" s="83"/>
      <c r="HM197" s="83"/>
      <c r="HN197" s="83"/>
      <c r="HO197" s="83"/>
      <c r="HP197" s="83"/>
      <c r="HQ197" s="83"/>
      <c r="HR197" s="83"/>
      <c r="HS197" s="83"/>
      <c r="HT197" s="83"/>
      <c r="HU197" s="83"/>
      <c r="HV197" s="83"/>
      <c r="HW197" s="83"/>
      <c r="HX197" s="83"/>
      <c r="HY197" s="83"/>
      <c r="HZ197" s="83"/>
      <c r="IA197" s="83"/>
      <c r="IB197" s="83"/>
      <c r="IC197" s="83"/>
      <c r="ID197" s="83"/>
      <c r="IE197" s="83"/>
      <c r="IF197" s="83"/>
      <c r="IG197" s="83"/>
    </row>
    <row r="198" spans="1:241" x14ac:dyDescent="0.3">
      <c r="A198" s="83"/>
      <c r="B198" s="12" t="s">
        <v>169</v>
      </c>
      <c r="C198" s="14">
        <v>3.8218999999999999</v>
      </c>
      <c r="D198" s="14">
        <v>1.0367999999999999</v>
      </c>
      <c r="E198" s="14">
        <v>-0.60499999999999998</v>
      </c>
      <c r="F198" s="15">
        <v>2</v>
      </c>
      <c r="G198" s="28">
        <v>11</v>
      </c>
      <c r="H198" s="10">
        <v>1.34</v>
      </c>
      <c r="I198" s="38"/>
      <c r="J198" s="1"/>
      <c r="K198" s="1"/>
      <c r="L198" s="1"/>
      <c r="M198" s="1"/>
      <c r="N198" s="1"/>
      <c r="O198" s="1"/>
      <c r="P198" s="1"/>
      <c r="Q198" s="1"/>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c r="DD198" s="83"/>
      <c r="DE198" s="83"/>
      <c r="DF198" s="83"/>
      <c r="DG198" s="83"/>
      <c r="DH198" s="83"/>
      <c r="DI198" s="83"/>
      <c r="DJ198" s="83"/>
      <c r="DK198" s="83"/>
      <c r="DL198" s="83"/>
      <c r="DM198" s="83"/>
      <c r="DN198" s="83"/>
      <c r="DO198" s="83"/>
      <c r="DP198" s="83"/>
      <c r="DQ198" s="83"/>
      <c r="DR198" s="83"/>
      <c r="DS198" s="83"/>
      <c r="DT198" s="83"/>
      <c r="DU198" s="83"/>
      <c r="DV198" s="83"/>
      <c r="DW198" s="83"/>
      <c r="DX198" s="83"/>
      <c r="DY198" s="83"/>
      <c r="DZ198" s="83"/>
      <c r="EA198" s="83"/>
      <c r="EB198" s="83"/>
      <c r="EC198" s="83"/>
      <c r="ED198" s="83"/>
      <c r="EE198" s="83"/>
      <c r="EF198" s="83"/>
      <c r="EG198" s="83"/>
      <c r="EH198" s="83"/>
      <c r="EI198" s="83"/>
      <c r="EJ198" s="83"/>
      <c r="EK198" s="83"/>
      <c r="EL198" s="83"/>
      <c r="EM198" s="83"/>
      <c r="EN198" s="83"/>
      <c r="EO198" s="83"/>
      <c r="EP198" s="83"/>
      <c r="EQ198" s="83"/>
      <c r="ER198" s="83"/>
      <c r="ES198" s="83"/>
      <c r="ET198" s="83"/>
      <c r="EU198" s="83"/>
      <c r="EV198" s="83"/>
      <c r="EW198" s="83"/>
      <c r="EX198" s="83"/>
      <c r="EY198" s="83"/>
      <c r="EZ198" s="83"/>
      <c r="FA198" s="83"/>
      <c r="FB198" s="83"/>
      <c r="FC198" s="83"/>
      <c r="FD198" s="83"/>
      <c r="FE198" s="83"/>
      <c r="FF198" s="83"/>
      <c r="FG198" s="83"/>
      <c r="FH198" s="83"/>
      <c r="FI198" s="83"/>
      <c r="FJ198" s="83"/>
      <c r="FK198" s="83"/>
      <c r="FL198" s="83"/>
      <c r="FM198" s="83"/>
      <c r="FN198" s="83"/>
      <c r="FO198" s="83"/>
      <c r="FP198" s="83"/>
      <c r="FQ198" s="83"/>
      <c r="FR198" s="83"/>
      <c r="FS198" s="83"/>
      <c r="FT198" s="83"/>
      <c r="FU198" s="83"/>
      <c r="FV198" s="83"/>
      <c r="FW198" s="83"/>
      <c r="FX198" s="83"/>
      <c r="FY198" s="83"/>
      <c r="FZ198" s="83"/>
      <c r="GA198" s="83"/>
      <c r="GB198" s="83"/>
      <c r="GC198" s="83"/>
      <c r="GD198" s="83"/>
      <c r="GE198" s="83"/>
      <c r="GF198" s="83"/>
      <c r="GG198" s="83"/>
      <c r="GH198" s="83"/>
      <c r="GI198" s="83"/>
      <c r="GJ198" s="83"/>
      <c r="GK198" s="83"/>
      <c r="GL198" s="83"/>
      <c r="GM198" s="83"/>
      <c r="GN198" s="83"/>
      <c r="GO198" s="83"/>
      <c r="GP198" s="83"/>
      <c r="GQ198" s="83"/>
      <c r="GR198" s="83"/>
      <c r="GS198" s="83"/>
      <c r="GT198" s="83"/>
      <c r="GU198" s="83"/>
      <c r="GV198" s="83"/>
      <c r="GW198" s="83"/>
      <c r="GX198" s="83"/>
      <c r="GY198" s="83"/>
      <c r="GZ198" s="83"/>
      <c r="HA198" s="83"/>
      <c r="HB198" s="83"/>
      <c r="HC198" s="83"/>
      <c r="HD198" s="83"/>
      <c r="HE198" s="83"/>
      <c r="HF198" s="83"/>
      <c r="HG198" s="83"/>
      <c r="HH198" s="83"/>
      <c r="HI198" s="83"/>
      <c r="HJ198" s="83"/>
      <c r="HK198" s="83"/>
      <c r="HL198" s="83"/>
      <c r="HM198" s="83"/>
      <c r="HN198" s="83"/>
      <c r="HO198" s="83"/>
      <c r="HP198" s="83"/>
      <c r="HQ198" s="83"/>
      <c r="HR198" s="83"/>
      <c r="HS198" s="83"/>
      <c r="HT198" s="83"/>
      <c r="HU198" s="83"/>
      <c r="HV198" s="83"/>
      <c r="HW198" s="83"/>
      <c r="HX198" s="83"/>
      <c r="HY198" s="83"/>
      <c r="HZ198" s="83"/>
      <c r="IA198" s="83"/>
      <c r="IB198" s="83"/>
      <c r="IC198" s="83"/>
      <c r="ID198" s="83"/>
      <c r="IE198" s="83"/>
      <c r="IF198" s="83"/>
      <c r="IG198" s="83"/>
    </row>
    <row r="199" spans="1:241" x14ac:dyDescent="0.3">
      <c r="A199" s="83"/>
      <c r="B199" s="17" t="s">
        <v>170</v>
      </c>
      <c r="C199" s="19">
        <v>4.0484999999999998</v>
      </c>
      <c r="D199" s="19">
        <f>1-0.8882</f>
        <v>0.11180000000000001</v>
      </c>
      <c r="E199" s="19">
        <v>0.32600000000000001</v>
      </c>
      <c r="F199" s="20">
        <v>0.3</v>
      </c>
      <c r="G199" s="29">
        <v>15</v>
      </c>
      <c r="H199" s="22">
        <v>1.34</v>
      </c>
      <c r="I199" s="38"/>
      <c r="J199" s="1"/>
      <c r="K199" s="1"/>
      <c r="L199" s="1"/>
      <c r="M199" s="1"/>
      <c r="N199" s="1"/>
      <c r="O199" s="1"/>
      <c r="P199" s="1"/>
      <c r="Q199" s="1"/>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c r="DD199" s="83"/>
      <c r="DE199" s="83"/>
      <c r="DF199" s="83"/>
      <c r="DG199" s="83"/>
      <c r="DH199" s="83"/>
      <c r="DI199" s="83"/>
      <c r="DJ199" s="83"/>
      <c r="DK199" s="83"/>
      <c r="DL199" s="83"/>
      <c r="DM199" s="83"/>
      <c r="DN199" s="83"/>
      <c r="DO199" s="83"/>
      <c r="DP199" s="83"/>
      <c r="DQ199" s="83"/>
      <c r="DR199" s="83"/>
      <c r="DS199" s="83"/>
      <c r="DT199" s="83"/>
      <c r="DU199" s="83"/>
      <c r="DV199" s="83"/>
      <c r="DW199" s="83"/>
      <c r="DX199" s="83"/>
      <c r="DY199" s="83"/>
      <c r="DZ199" s="83"/>
      <c r="EA199" s="83"/>
      <c r="EB199" s="83"/>
      <c r="EC199" s="83"/>
      <c r="ED199" s="83"/>
      <c r="EE199" s="83"/>
      <c r="EF199" s="83"/>
      <c r="EG199" s="83"/>
      <c r="EH199" s="83"/>
      <c r="EI199" s="83"/>
      <c r="EJ199" s="83"/>
      <c r="EK199" s="83"/>
      <c r="EL199" s="83"/>
      <c r="EM199" s="83"/>
      <c r="EN199" s="83"/>
      <c r="EO199" s="83"/>
      <c r="EP199" s="83"/>
      <c r="EQ199" s="83"/>
      <c r="ER199" s="83"/>
      <c r="ES199" s="83"/>
      <c r="ET199" s="83"/>
      <c r="EU199" s="83"/>
      <c r="EV199" s="83"/>
      <c r="EW199" s="83"/>
      <c r="EX199" s="83"/>
      <c r="EY199" s="83"/>
      <c r="EZ199" s="83"/>
      <c r="FA199" s="83"/>
      <c r="FB199" s="83"/>
      <c r="FC199" s="83"/>
      <c r="FD199" s="83"/>
      <c r="FE199" s="83"/>
      <c r="FF199" s="83"/>
      <c r="FG199" s="83"/>
      <c r="FH199" s="83"/>
      <c r="FI199" s="83"/>
      <c r="FJ199" s="83"/>
      <c r="FK199" s="83"/>
      <c r="FL199" s="83"/>
      <c r="FM199" s="83"/>
      <c r="FN199" s="83"/>
      <c r="FO199" s="83"/>
      <c r="FP199" s="83"/>
      <c r="FQ199" s="83"/>
      <c r="FR199" s="83"/>
      <c r="FS199" s="83"/>
      <c r="FT199" s="83"/>
      <c r="FU199" s="83"/>
      <c r="FV199" s="83"/>
      <c r="FW199" s="83"/>
      <c r="FX199" s="83"/>
      <c r="FY199" s="83"/>
      <c r="FZ199" s="83"/>
      <c r="GA199" s="83"/>
      <c r="GB199" s="83"/>
      <c r="GC199" s="83"/>
      <c r="GD199" s="83"/>
      <c r="GE199" s="83"/>
      <c r="GF199" s="83"/>
      <c r="GG199" s="83"/>
      <c r="GH199" s="83"/>
      <c r="GI199" s="83"/>
      <c r="GJ199" s="83"/>
      <c r="GK199" s="83"/>
      <c r="GL199" s="83"/>
      <c r="GM199" s="83"/>
      <c r="GN199" s="83"/>
      <c r="GO199" s="83"/>
      <c r="GP199" s="83"/>
      <c r="GQ199" s="83"/>
      <c r="GR199" s="83"/>
      <c r="GS199" s="83"/>
      <c r="GT199" s="83"/>
      <c r="GU199" s="83"/>
      <c r="GV199" s="83"/>
      <c r="GW199" s="83"/>
      <c r="GX199" s="83"/>
      <c r="GY199" s="83"/>
      <c r="GZ199" s="83"/>
      <c r="HA199" s="83"/>
      <c r="HB199" s="83"/>
      <c r="HC199" s="83"/>
      <c r="HD199" s="83"/>
      <c r="HE199" s="83"/>
      <c r="HF199" s="83"/>
      <c r="HG199" s="83"/>
      <c r="HH199" s="83"/>
      <c r="HI199" s="83"/>
      <c r="HJ199" s="83"/>
      <c r="HK199" s="83"/>
      <c r="HL199" s="83"/>
      <c r="HM199" s="83"/>
      <c r="HN199" s="83"/>
      <c r="HO199" s="83"/>
      <c r="HP199" s="83"/>
      <c r="HQ199" s="83"/>
      <c r="HR199" s="83"/>
      <c r="HS199" s="83"/>
      <c r="HT199" s="83"/>
      <c r="HU199" s="83"/>
      <c r="HV199" s="83"/>
      <c r="HW199" s="83"/>
      <c r="HX199" s="83"/>
      <c r="HY199" s="83"/>
      <c r="HZ199" s="83"/>
      <c r="IA199" s="83"/>
      <c r="IB199" s="83"/>
      <c r="IC199" s="83"/>
      <c r="ID199" s="83"/>
      <c r="IE199" s="83"/>
      <c r="IF199" s="83"/>
      <c r="IG199" s="83"/>
    </row>
    <row r="200" spans="1:241" x14ac:dyDescent="0.3">
      <c r="A200" s="83"/>
      <c r="B200" s="1"/>
      <c r="C200" s="1"/>
      <c r="D200" s="1"/>
      <c r="E200" s="1"/>
      <c r="F200" s="1"/>
      <c r="G200" s="1"/>
      <c r="H200" s="1"/>
      <c r="I200" s="1"/>
      <c r="J200" s="1"/>
      <c r="K200" s="1"/>
      <c r="L200" s="1"/>
      <c r="M200" s="1"/>
      <c r="N200" s="1"/>
      <c r="O200" s="1"/>
      <c r="P200" s="1"/>
      <c r="Q200" s="1"/>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c r="DD200" s="83"/>
      <c r="DE200" s="83"/>
      <c r="DF200" s="83"/>
      <c r="DG200" s="83"/>
      <c r="DH200" s="83"/>
      <c r="DI200" s="83"/>
      <c r="DJ200" s="83"/>
      <c r="DK200" s="83"/>
      <c r="DL200" s="83"/>
      <c r="DM200" s="83"/>
      <c r="DN200" s="83"/>
      <c r="DO200" s="83"/>
      <c r="DP200" s="83"/>
      <c r="DQ200" s="83"/>
      <c r="DR200" s="83"/>
      <c r="DS200" s="83"/>
      <c r="DT200" s="83"/>
      <c r="DU200" s="83"/>
      <c r="DV200" s="83"/>
      <c r="DW200" s="83"/>
      <c r="DX200" s="83"/>
      <c r="DY200" s="83"/>
      <c r="DZ200" s="83"/>
      <c r="EA200" s="83"/>
      <c r="EB200" s="83"/>
      <c r="EC200" s="83"/>
      <c r="ED200" s="83"/>
      <c r="EE200" s="83"/>
      <c r="EF200" s="83"/>
      <c r="EG200" s="83"/>
      <c r="EH200" s="83"/>
      <c r="EI200" s="83"/>
      <c r="EJ200" s="83"/>
      <c r="EK200" s="83"/>
      <c r="EL200" s="83"/>
      <c r="EM200" s="83"/>
      <c r="EN200" s="83"/>
      <c r="EO200" s="83"/>
      <c r="EP200" s="83"/>
      <c r="EQ200" s="83"/>
      <c r="ER200" s="83"/>
      <c r="ES200" s="83"/>
      <c r="ET200" s="83"/>
      <c r="EU200" s="83"/>
      <c r="EV200" s="83"/>
      <c r="EW200" s="83"/>
      <c r="EX200" s="83"/>
      <c r="EY200" s="83"/>
      <c r="EZ200" s="83"/>
      <c r="FA200" s="83"/>
      <c r="FB200" s="83"/>
      <c r="FC200" s="83"/>
      <c r="FD200" s="83"/>
      <c r="FE200" s="83"/>
      <c r="FF200" s="83"/>
      <c r="FG200" s="83"/>
      <c r="FH200" s="83"/>
      <c r="FI200" s="83"/>
      <c r="FJ200" s="83"/>
      <c r="FK200" s="83"/>
      <c r="FL200" s="83"/>
      <c r="FM200" s="83"/>
      <c r="FN200" s="83"/>
      <c r="FO200" s="83"/>
      <c r="FP200" s="83"/>
      <c r="FQ200" s="83"/>
      <c r="FR200" s="83"/>
      <c r="FS200" s="83"/>
      <c r="FT200" s="83"/>
      <c r="FU200" s="83"/>
      <c r="FV200" s="83"/>
      <c r="FW200" s="83"/>
      <c r="FX200" s="83"/>
      <c r="FY200" s="83"/>
      <c r="FZ200" s="83"/>
      <c r="GA200" s="83"/>
      <c r="GB200" s="83"/>
      <c r="GC200" s="83"/>
      <c r="GD200" s="83"/>
      <c r="GE200" s="83"/>
      <c r="GF200" s="83"/>
      <c r="GG200" s="83"/>
      <c r="GH200" s="83"/>
      <c r="GI200" s="83"/>
      <c r="GJ200" s="83"/>
      <c r="GK200" s="83"/>
      <c r="GL200" s="83"/>
      <c r="GM200" s="83"/>
      <c r="GN200" s="83"/>
      <c r="GO200" s="83"/>
      <c r="GP200" s="83"/>
      <c r="GQ200" s="83"/>
      <c r="GR200" s="83"/>
      <c r="GS200" s="83"/>
      <c r="GT200" s="83"/>
      <c r="GU200" s="83"/>
      <c r="GV200" s="83"/>
      <c r="GW200" s="83"/>
      <c r="GX200" s="83"/>
      <c r="GY200" s="83"/>
      <c r="GZ200" s="83"/>
      <c r="HA200" s="83"/>
      <c r="HB200" s="83"/>
      <c r="HC200" s="83"/>
      <c r="HD200" s="83"/>
      <c r="HE200" s="83"/>
      <c r="HF200" s="83"/>
      <c r="HG200" s="83"/>
      <c r="HH200" s="83"/>
      <c r="HI200" s="83"/>
      <c r="HJ200" s="83"/>
      <c r="HK200" s="83"/>
      <c r="HL200" s="83"/>
      <c r="HM200" s="83"/>
      <c r="HN200" s="83"/>
      <c r="HO200" s="83"/>
      <c r="HP200" s="83"/>
      <c r="HQ200" s="83"/>
      <c r="HR200" s="83"/>
      <c r="HS200" s="83"/>
      <c r="HT200" s="83"/>
      <c r="HU200" s="83"/>
      <c r="HV200" s="83"/>
      <c r="HW200" s="83"/>
      <c r="HX200" s="83"/>
      <c r="HY200" s="83"/>
      <c r="HZ200" s="83"/>
      <c r="IA200" s="83"/>
      <c r="IB200" s="83"/>
      <c r="IC200" s="83"/>
      <c r="ID200" s="83"/>
      <c r="IE200" s="83"/>
      <c r="IF200" s="83"/>
      <c r="IG200" s="83"/>
    </row>
    <row r="201" spans="1:241" x14ac:dyDescent="0.3">
      <c r="A201" s="83"/>
      <c r="B201" s="1"/>
      <c r="C201" s="1"/>
      <c r="D201" s="1"/>
      <c r="E201" s="1"/>
      <c r="F201" s="1"/>
      <c r="G201" s="1"/>
      <c r="H201" s="1"/>
      <c r="I201" s="1"/>
      <c r="J201" s="1"/>
      <c r="K201" s="1"/>
      <c r="L201" s="1"/>
      <c r="M201" s="1"/>
      <c r="N201" s="1"/>
      <c r="O201" s="1"/>
      <c r="P201" s="1"/>
      <c r="Q201" s="1"/>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c r="DD201" s="83"/>
      <c r="DE201" s="83"/>
      <c r="DF201" s="83"/>
      <c r="DG201" s="83"/>
      <c r="DH201" s="83"/>
      <c r="DI201" s="83"/>
      <c r="DJ201" s="83"/>
      <c r="DK201" s="83"/>
      <c r="DL201" s="83"/>
      <c r="DM201" s="83"/>
      <c r="DN201" s="83"/>
      <c r="DO201" s="83"/>
      <c r="DP201" s="83"/>
      <c r="DQ201" s="83"/>
      <c r="DR201" s="83"/>
      <c r="DS201" s="83"/>
      <c r="DT201" s="83"/>
      <c r="DU201" s="83"/>
      <c r="DV201" s="83"/>
      <c r="DW201" s="83"/>
      <c r="DX201" s="83"/>
      <c r="DY201" s="83"/>
      <c r="DZ201" s="83"/>
      <c r="EA201" s="83"/>
      <c r="EB201" s="83"/>
      <c r="EC201" s="83"/>
      <c r="ED201" s="83"/>
      <c r="EE201" s="83"/>
      <c r="EF201" s="83"/>
      <c r="EG201" s="83"/>
      <c r="EH201" s="83"/>
      <c r="EI201" s="83"/>
      <c r="EJ201" s="83"/>
      <c r="EK201" s="83"/>
      <c r="EL201" s="83"/>
      <c r="EM201" s="83"/>
      <c r="EN201" s="83"/>
      <c r="EO201" s="83"/>
      <c r="EP201" s="83"/>
      <c r="EQ201" s="83"/>
      <c r="ER201" s="83"/>
      <c r="ES201" s="83"/>
      <c r="ET201" s="83"/>
      <c r="EU201" s="83"/>
      <c r="EV201" s="83"/>
      <c r="EW201" s="83"/>
      <c r="EX201" s="83"/>
      <c r="EY201" s="83"/>
      <c r="EZ201" s="83"/>
      <c r="FA201" s="83"/>
      <c r="FB201" s="83"/>
      <c r="FC201" s="83"/>
      <c r="FD201" s="83"/>
      <c r="FE201" s="83"/>
      <c r="FF201" s="83"/>
      <c r="FG201" s="83"/>
      <c r="FH201" s="83"/>
      <c r="FI201" s="83"/>
      <c r="FJ201" s="83"/>
      <c r="FK201" s="83"/>
      <c r="FL201" s="83"/>
      <c r="FM201" s="83"/>
      <c r="FN201" s="83"/>
      <c r="FO201" s="83"/>
      <c r="FP201" s="83"/>
      <c r="FQ201" s="83"/>
      <c r="FR201" s="83"/>
      <c r="FS201" s="83"/>
      <c r="FT201" s="83"/>
      <c r="FU201" s="83"/>
      <c r="FV201" s="83"/>
      <c r="FW201" s="83"/>
      <c r="FX201" s="83"/>
      <c r="FY201" s="83"/>
      <c r="FZ201" s="83"/>
      <c r="GA201" s="83"/>
      <c r="GB201" s="83"/>
      <c r="GC201" s="83"/>
      <c r="GD201" s="83"/>
      <c r="GE201" s="83"/>
      <c r="GF201" s="83"/>
      <c r="GG201" s="83"/>
      <c r="GH201" s="83"/>
      <c r="GI201" s="83"/>
      <c r="GJ201" s="83"/>
      <c r="GK201" s="83"/>
      <c r="GL201" s="83"/>
      <c r="GM201" s="83"/>
      <c r="GN201" s="83"/>
      <c r="GO201" s="83"/>
      <c r="GP201" s="83"/>
      <c r="GQ201" s="83"/>
      <c r="GR201" s="83"/>
      <c r="GS201" s="83"/>
      <c r="GT201" s="83"/>
      <c r="GU201" s="83"/>
      <c r="GV201" s="83"/>
      <c r="GW201" s="83"/>
      <c r="GX201" s="83"/>
      <c r="GY201" s="83"/>
      <c r="GZ201" s="83"/>
      <c r="HA201" s="83"/>
      <c r="HB201" s="83"/>
      <c r="HC201" s="83"/>
      <c r="HD201" s="83"/>
      <c r="HE201" s="83"/>
      <c r="HF201" s="83"/>
      <c r="HG201" s="83"/>
      <c r="HH201" s="83"/>
      <c r="HI201" s="83"/>
      <c r="HJ201" s="83"/>
      <c r="HK201" s="83"/>
      <c r="HL201" s="83"/>
      <c r="HM201" s="83"/>
      <c r="HN201" s="83"/>
      <c r="HO201" s="83"/>
      <c r="HP201" s="83"/>
      <c r="HQ201" s="83"/>
      <c r="HR201" s="83"/>
      <c r="HS201" s="83"/>
      <c r="HT201" s="83"/>
      <c r="HU201" s="83"/>
      <c r="HV201" s="83"/>
      <c r="HW201" s="83"/>
      <c r="HX201" s="83"/>
      <c r="HY201" s="83"/>
      <c r="HZ201" s="83"/>
      <c r="IA201" s="83"/>
      <c r="IB201" s="83"/>
      <c r="IC201" s="83"/>
      <c r="ID201" s="83"/>
      <c r="IE201" s="83"/>
      <c r="IF201" s="83"/>
      <c r="IG201" s="83"/>
    </row>
    <row r="202" spans="1:241" x14ac:dyDescent="0.3">
      <c r="A202" s="83"/>
      <c r="B202" s="2" t="s">
        <v>257</v>
      </c>
      <c r="C202" s="1"/>
      <c r="D202" s="1"/>
      <c r="E202" s="1"/>
      <c r="F202" s="1"/>
      <c r="G202" s="1"/>
      <c r="H202" s="1"/>
      <c r="I202" s="1"/>
      <c r="J202" s="1"/>
      <c r="K202" s="1"/>
      <c r="L202" s="1"/>
      <c r="M202" s="1"/>
      <c r="N202" s="1"/>
      <c r="O202" s="1"/>
      <c r="P202" s="1"/>
      <c r="Q202" s="1"/>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c r="DD202" s="83"/>
      <c r="DE202" s="83"/>
      <c r="DF202" s="83"/>
      <c r="DG202" s="83"/>
      <c r="DH202" s="83"/>
      <c r="DI202" s="83"/>
      <c r="DJ202" s="83"/>
      <c r="DK202" s="83"/>
      <c r="DL202" s="83"/>
      <c r="DM202" s="83"/>
      <c r="DN202" s="83"/>
      <c r="DO202" s="83"/>
      <c r="DP202" s="83"/>
      <c r="DQ202" s="83"/>
      <c r="DR202" s="83"/>
      <c r="DS202" s="83"/>
      <c r="DT202" s="83"/>
      <c r="DU202" s="83"/>
      <c r="DV202" s="83"/>
      <c r="DW202" s="83"/>
      <c r="DX202" s="83"/>
      <c r="DY202" s="83"/>
      <c r="DZ202" s="83"/>
      <c r="EA202" s="83"/>
      <c r="EB202" s="83"/>
      <c r="EC202" s="83"/>
      <c r="ED202" s="83"/>
      <c r="EE202" s="83"/>
      <c r="EF202" s="83"/>
      <c r="EG202" s="83"/>
      <c r="EH202" s="83"/>
      <c r="EI202" s="83"/>
      <c r="EJ202" s="83"/>
      <c r="EK202" s="83"/>
      <c r="EL202" s="83"/>
      <c r="EM202" s="83"/>
      <c r="EN202" s="83"/>
      <c r="EO202" s="83"/>
      <c r="EP202" s="83"/>
      <c r="EQ202" s="83"/>
      <c r="ER202" s="83"/>
      <c r="ES202" s="83"/>
      <c r="ET202" s="83"/>
      <c r="EU202" s="83"/>
      <c r="EV202" s="83"/>
      <c r="EW202" s="83"/>
      <c r="EX202" s="83"/>
      <c r="EY202" s="83"/>
      <c r="EZ202" s="83"/>
      <c r="FA202" s="83"/>
      <c r="FB202" s="83"/>
      <c r="FC202" s="83"/>
      <c r="FD202" s="83"/>
      <c r="FE202" s="83"/>
      <c r="FF202" s="83"/>
      <c r="FG202" s="83"/>
      <c r="FH202" s="83"/>
      <c r="FI202" s="83"/>
      <c r="FJ202" s="83"/>
      <c r="FK202" s="83"/>
      <c r="FL202" s="83"/>
      <c r="FM202" s="83"/>
      <c r="FN202" s="83"/>
      <c r="FO202" s="83"/>
      <c r="FP202" s="83"/>
      <c r="FQ202" s="83"/>
      <c r="FR202" s="83"/>
      <c r="FS202" s="83"/>
      <c r="FT202" s="83"/>
      <c r="FU202" s="83"/>
      <c r="FV202" s="83"/>
      <c r="FW202" s="83"/>
      <c r="FX202" s="83"/>
      <c r="FY202" s="83"/>
      <c r="FZ202" s="83"/>
      <c r="GA202" s="83"/>
      <c r="GB202" s="83"/>
      <c r="GC202" s="83"/>
      <c r="GD202" s="83"/>
      <c r="GE202" s="83"/>
      <c r="GF202" s="83"/>
      <c r="GG202" s="83"/>
      <c r="GH202" s="83"/>
      <c r="GI202" s="83"/>
      <c r="GJ202" s="83"/>
      <c r="GK202" s="83"/>
      <c r="GL202" s="83"/>
      <c r="GM202" s="83"/>
      <c r="GN202" s="83"/>
      <c r="GO202" s="83"/>
      <c r="GP202" s="83"/>
      <c r="GQ202" s="83"/>
      <c r="GR202" s="83"/>
      <c r="GS202" s="83"/>
      <c r="GT202" s="83"/>
      <c r="GU202" s="83"/>
      <c r="GV202" s="83"/>
      <c r="GW202" s="83"/>
      <c r="GX202" s="83"/>
      <c r="GY202" s="83"/>
      <c r="GZ202" s="83"/>
      <c r="HA202" s="83"/>
      <c r="HB202" s="83"/>
      <c r="HC202" s="83"/>
      <c r="HD202" s="83"/>
      <c r="HE202" s="83"/>
      <c r="HF202" s="83"/>
      <c r="HG202" s="83"/>
      <c r="HH202" s="83"/>
      <c r="HI202" s="83"/>
      <c r="HJ202" s="83"/>
      <c r="HK202" s="83"/>
      <c r="HL202" s="83"/>
      <c r="HM202" s="83"/>
      <c r="HN202" s="83"/>
      <c r="HO202" s="83"/>
      <c r="HP202" s="83"/>
      <c r="HQ202" s="83"/>
      <c r="HR202" s="83"/>
      <c r="HS202" s="83"/>
      <c r="HT202" s="83"/>
      <c r="HU202" s="83"/>
      <c r="HV202" s="83"/>
      <c r="HW202" s="83"/>
      <c r="HX202" s="83"/>
      <c r="HY202" s="83"/>
      <c r="HZ202" s="83"/>
      <c r="IA202" s="83"/>
      <c r="IB202" s="83"/>
      <c r="IC202" s="83"/>
      <c r="ID202" s="83"/>
      <c r="IE202" s="83"/>
      <c r="IF202" s="83"/>
      <c r="IG202" s="83"/>
    </row>
    <row r="203" spans="1:241" ht="15.6" x14ac:dyDescent="0.35">
      <c r="A203" s="83"/>
      <c r="B203" s="3" t="s">
        <v>171</v>
      </c>
      <c r="C203" s="4" t="s">
        <v>1</v>
      </c>
      <c r="D203" s="4" t="s">
        <v>2</v>
      </c>
      <c r="E203" s="4" t="s">
        <v>3</v>
      </c>
      <c r="F203" s="4" t="s">
        <v>111</v>
      </c>
      <c r="G203" s="4" t="s">
        <v>112</v>
      </c>
      <c r="H203" s="4" t="s">
        <v>63</v>
      </c>
      <c r="I203" s="37" t="s">
        <v>64</v>
      </c>
      <c r="J203" s="1"/>
      <c r="K203" s="1"/>
      <c r="L203" s="1"/>
      <c r="M203" s="1"/>
      <c r="N203" s="1"/>
      <c r="O203" s="1"/>
      <c r="P203" s="1"/>
      <c r="Q203" s="1"/>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c r="DD203" s="83"/>
      <c r="DE203" s="83"/>
      <c r="DF203" s="83"/>
      <c r="DG203" s="83"/>
      <c r="DH203" s="83"/>
      <c r="DI203" s="83"/>
      <c r="DJ203" s="83"/>
      <c r="DK203" s="83"/>
      <c r="DL203" s="83"/>
      <c r="DM203" s="83"/>
      <c r="DN203" s="83"/>
      <c r="DO203" s="83"/>
      <c r="DP203" s="83"/>
      <c r="DQ203" s="83"/>
      <c r="DR203" s="83"/>
      <c r="DS203" s="83"/>
      <c r="DT203" s="83"/>
      <c r="DU203" s="83"/>
      <c r="DV203" s="83"/>
      <c r="DW203" s="83"/>
      <c r="DX203" s="83"/>
      <c r="DY203" s="83"/>
      <c r="DZ203" s="83"/>
      <c r="EA203" s="83"/>
      <c r="EB203" s="83"/>
      <c r="EC203" s="83"/>
      <c r="ED203" s="83"/>
      <c r="EE203" s="83"/>
      <c r="EF203" s="83"/>
      <c r="EG203" s="83"/>
      <c r="EH203" s="83"/>
      <c r="EI203" s="83"/>
      <c r="EJ203" s="83"/>
      <c r="EK203" s="83"/>
      <c r="EL203" s="83"/>
      <c r="EM203" s="83"/>
      <c r="EN203" s="83"/>
      <c r="EO203" s="83"/>
      <c r="EP203" s="83"/>
      <c r="EQ203" s="83"/>
      <c r="ER203" s="83"/>
      <c r="ES203" s="83"/>
      <c r="ET203" s="83"/>
      <c r="EU203" s="83"/>
      <c r="EV203" s="83"/>
      <c r="EW203" s="83"/>
      <c r="EX203" s="83"/>
      <c r="EY203" s="83"/>
      <c r="EZ203" s="83"/>
      <c r="FA203" s="83"/>
      <c r="FB203" s="83"/>
      <c r="FC203" s="83"/>
      <c r="FD203" s="83"/>
      <c r="FE203" s="83"/>
      <c r="FF203" s="83"/>
      <c r="FG203" s="83"/>
      <c r="FH203" s="83"/>
      <c r="FI203" s="83"/>
      <c r="FJ203" s="83"/>
      <c r="FK203" s="83"/>
      <c r="FL203" s="83"/>
      <c r="FM203" s="83"/>
      <c r="FN203" s="83"/>
      <c r="FO203" s="83"/>
      <c r="FP203" s="83"/>
      <c r="FQ203" s="83"/>
      <c r="FR203" s="83"/>
      <c r="FS203" s="83"/>
      <c r="FT203" s="83"/>
      <c r="FU203" s="83"/>
      <c r="FV203" s="83"/>
      <c r="FW203" s="83"/>
      <c r="FX203" s="83"/>
      <c r="FY203" s="83"/>
      <c r="FZ203" s="83"/>
      <c r="GA203" s="83"/>
      <c r="GB203" s="83"/>
      <c r="GC203" s="83"/>
      <c r="GD203" s="83"/>
      <c r="GE203" s="83"/>
      <c r="GF203" s="83"/>
      <c r="GG203" s="83"/>
      <c r="GH203" s="83"/>
      <c r="GI203" s="83"/>
      <c r="GJ203" s="83"/>
      <c r="GK203" s="83"/>
      <c r="GL203" s="83"/>
      <c r="GM203" s="83"/>
      <c r="GN203" s="83"/>
      <c r="GO203" s="83"/>
      <c r="GP203" s="83"/>
      <c r="GQ203" s="83"/>
      <c r="GR203" s="83"/>
      <c r="GS203" s="83"/>
      <c r="GT203" s="83"/>
      <c r="GU203" s="83"/>
      <c r="GV203" s="83"/>
      <c r="GW203" s="83"/>
      <c r="GX203" s="83"/>
      <c r="GY203" s="83"/>
      <c r="GZ203" s="83"/>
      <c r="HA203" s="83"/>
      <c r="HB203" s="83"/>
      <c r="HC203" s="83"/>
      <c r="HD203" s="83"/>
      <c r="HE203" s="83"/>
      <c r="HF203" s="83"/>
      <c r="HG203" s="83"/>
      <c r="HH203" s="83"/>
      <c r="HI203" s="83"/>
      <c r="HJ203" s="83"/>
      <c r="HK203" s="83"/>
      <c r="HL203" s="83"/>
      <c r="HM203" s="83"/>
      <c r="HN203" s="83"/>
      <c r="HO203" s="83"/>
      <c r="HP203" s="83"/>
      <c r="HQ203" s="83"/>
      <c r="HR203" s="83"/>
      <c r="HS203" s="83"/>
      <c r="HT203" s="83"/>
      <c r="HU203" s="83"/>
      <c r="HV203" s="83"/>
      <c r="HW203" s="83"/>
      <c r="HX203" s="83"/>
      <c r="HY203" s="83"/>
      <c r="HZ203" s="83"/>
      <c r="IA203" s="83"/>
      <c r="IB203" s="83"/>
      <c r="IC203" s="83"/>
      <c r="ID203" s="83"/>
      <c r="IE203" s="83"/>
      <c r="IF203" s="83"/>
      <c r="IG203" s="83"/>
    </row>
    <row r="204" spans="1:241" x14ac:dyDescent="0.3">
      <c r="A204" s="83"/>
      <c r="B204" s="7" t="s">
        <v>172</v>
      </c>
      <c r="C204" s="8">
        <v>4.8509000000000002</v>
      </c>
      <c r="D204" s="8">
        <v>-0.39729999999999999</v>
      </c>
      <c r="E204" s="8">
        <v>0.14449999999999999</v>
      </c>
      <c r="F204" s="26">
        <v>1.1000000000000001</v>
      </c>
      <c r="G204" s="229">
        <v>0</v>
      </c>
      <c r="H204" s="8">
        <v>90</v>
      </c>
      <c r="I204" s="9">
        <v>30000</v>
      </c>
      <c r="J204" s="1"/>
      <c r="K204" s="1"/>
      <c r="L204" s="1"/>
      <c r="M204" s="1"/>
      <c r="N204" s="1"/>
      <c r="O204" s="1"/>
      <c r="P204" s="1"/>
      <c r="Q204" s="1"/>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c r="DD204" s="83"/>
      <c r="DE204" s="83"/>
      <c r="DF204" s="83"/>
      <c r="DG204" s="83"/>
      <c r="DH204" s="83"/>
      <c r="DI204" s="83"/>
      <c r="DJ204" s="83"/>
      <c r="DK204" s="83"/>
      <c r="DL204" s="83"/>
      <c r="DM204" s="83"/>
      <c r="DN204" s="83"/>
      <c r="DO204" s="83"/>
      <c r="DP204" s="83"/>
      <c r="DQ204" s="83"/>
      <c r="DR204" s="83"/>
      <c r="DS204" s="83"/>
      <c r="DT204" s="83"/>
      <c r="DU204" s="83"/>
      <c r="DV204" s="83"/>
      <c r="DW204" s="83"/>
      <c r="DX204" s="83"/>
      <c r="DY204" s="83"/>
      <c r="DZ204" s="83"/>
      <c r="EA204" s="83"/>
      <c r="EB204" s="83"/>
      <c r="EC204" s="83"/>
      <c r="ED204" s="83"/>
      <c r="EE204" s="83"/>
      <c r="EF204" s="83"/>
      <c r="EG204" s="83"/>
      <c r="EH204" s="83"/>
      <c r="EI204" s="83"/>
      <c r="EJ204" s="83"/>
      <c r="EK204" s="83"/>
      <c r="EL204" s="83"/>
      <c r="EM204" s="83"/>
      <c r="EN204" s="83"/>
      <c r="EO204" s="83"/>
      <c r="EP204" s="83"/>
      <c r="EQ204" s="83"/>
      <c r="ER204" s="83"/>
      <c r="ES204" s="83"/>
      <c r="ET204" s="83"/>
      <c r="EU204" s="83"/>
      <c r="EV204" s="83"/>
      <c r="EW204" s="83"/>
      <c r="EX204" s="83"/>
      <c r="EY204" s="83"/>
      <c r="EZ204" s="83"/>
      <c r="FA204" s="83"/>
      <c r="FB204" s="83"/>
      <c r="FC204" s="83"/>
      <c r="FD204" s="83"/>
      <c r="FE204" s="83"/>
      <c r="FF204" s="83"/>
      <c r="FG204" s="83"/>
      <c r="FH204" s="83"/>
      <c r="FI204" s="83"/>
      <c r="FJ204" s="83"/>
      <c r="FK204" s="83"/>
      <c r="FL204" s="83"/>
      <c r="FM204" s="83"/>
      <c r="FN204" s="83"/>
      <c r="FO204" s="83"/>
      <c r="FP204" s="83"/>
      <c r="FQ204" s="83"/>
      <c r="FR204" s="83"/>
      <c r="FS204" s="83"/>
      <c r="FT204" s="83"/>
      <c r="FU204" s="83"/>
      <c r="FV204" s="83"/>
      <c r="FW204" s="83"/>
      <c r="FX204" s="83"/>
      <c r="FY204" s="83"/>
      <c r="FZ204" s="83"/>
      <c r="GA204" s="83"/>
      <c r="GB204" s="83"/>
      <c r="GC204" s="83"/>
      <c r="GD204" s="83"/>
      <c r="GE204" s="83"/>
      <c r="GF204" s="83"/>
      <c r="GG204" s="83"/>
      <c r="GH204" s="83"/>
      <c r="GI204" s="83"/>
      <c r="GJ204" s="83"/>
      <c r="GK204" s="83"/>
      <c r="GL204" s="83"/>
      <c r="GM204" s="83"/>
      <c r="GN204" s="83"/>
      <c r="GO204" s="83"/>
      <c r="GP204" s="83"/>
      <c r="GQ204" s="83"/>
      <c r="GR204" s="83"/>
      <c r="GS204" s="83"/>
      <c r="GT204" s="83"/>
      <c r="GU204" s="83"/>
      <c r="GV204" s="83"/>
      <c r="GW204" s="83"/>
      <c r="GX204" s="83"/>
      <c r="GY204" s="83"/>
      <c r="GZ204" s="83"/>
      <c r="HA204" s="83"/>
      <c r="HB204" s="83"/>
      <c r="HC204" s="83"/>
      <c r="HD204" s="83"/>
      <c r="HE204" s="83"/>
      <c r="HF204" s="83"/>
      <c r="HG204" s="83"/>
      <c r="HH204" s="83"/>
      <c r="HI204" s="83"/>
      <c r="HJ204" s="83"/>
      <c r="HK204" s="83"/>
      <c r="HL204" s="83"/>
      <c r="HM204" s="83"/>
      <c r="HN204" s="83"/>
      <c r="HO204" s="83"/>
      <c r="HP204" s="83"/>
      <c r="HQ204" s="83"/>
      <c r="HR204" s="83"/>
      <c r="HS204" s="83"/>
      <c r="HT204" s="83"/>
      <c r="HU204" s="83"/>
      <c r="HV204" s="83"/>
      <c r="HW204" s="83"/>
      <c r="HX204" s="83"/>
      <c r="HY204" s="83"/>
      <c r="HZ204" s="83"/>
      <c r="IA204" s="83"/>
      <c r="IB204" s="83"/>
      <c r="IC204" s="83"/>
      <c r="ID204" s="83"/>
      <c r="IE204" s="83"/>
      <c r="IF204" s="83"/>
      <c r="IG204" s="83"/>
    </row>
    <row r="205" spans="1:241" x14ac:dyDescent="0.3">
      <c r="A205" s="83"/>
      <c r="B205" s="17" t="s">
        <v>173</v>
      </c>
      <c r="C205" s="18">
        <v>5.9566999999999997</v>
      </c>
      <c r="D205" s="18">
        <v>-0.75849999999999995</v>
      </c>
      <c r="E205" s="18">
        <v>0.1749</v>
      </c>
      <c r="F205" s="20">
        <v>1.1000000000000001</v>
      </c>
      <c r="G205" s="230">
        <v>0</v>
      </c>
      <c r="H205" s="18">
        <v>1000</v>
      </c>
      <c r="I205" s="21">
        <v>40000</v>
      </c>
      <c r="J205" s="1"/>
      <c r="K205" s="1"/>
      <c r="L205" s="1"/>
      <c r="M205" s="1"/>
      <c r="N205" s="1"/>
      <c r="O205" s="1"/>
      <c r="P205" s="1"/>
      <c r="Q205" s="1"/>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c r="DD205" s="83"/>
      <c r="DE205" s="83"/>
      <c r="DF205" s="83"/>
      <c r="DG205" s="83"/>
      <c r="DH205" s="83"/>
      <c r="DI205" s="83"/>
      <c r="DJ205" s="83"/>
      <c r="DK205" s="83"/>
      <c r="DL205" s="83"/>
      <c r="DM205" s="83"/>
      <c r="DN205" s="83"/>
      <c r="DO205" s="83"/>
      <c r="DP205" s="83"/>
      <c r="DQ205" s="83"/>
      <c r="DR205" s="83"/>
      <c r="DS205" s="83"/>
      <c r="DT205" s="83"/>
      <c r="DU205" s="83"/>
      <c r="DV205" s="83"/>
      <c r="DW205" s="83"/>
      <c r="DX205" s="83"/>
      <c r="DY205" s="83"/>
      <c r="DZ205" s="83"/>
      <c r="EA205" s="83"/>
      <c r="EB205" s="83"/>
      <c r="EC205" s="83"/>
      <c r="ED205" s="83"/>
      <c r="EE205" s="83"/>
      <c r="EF205" s="83"/>
      <c r="EG205" s="83"/>
      <c r="EH205" s="83"/>
      <c r="EI205" s="83"/>
      <c r="EJ205" s="83"/>
      <c r="EK205" s="83"/>
      <c r="EL205" s="83"/>
      <c r="EM205" s="83"/>
      <c r="EN205" s="83"/>
      <c r="EO205" s="83"/>
      <c r="EP205" s="83"/>
      <c r="EQ205" s="83"/>
      <c r="ER205" s="83"/>
      <c r="ES205" s="83"/>
      <c r="ET205" s="83"/>
      <c r="EU205" s="83"/>
      <c r="EV205" s="83"/>
      <c r="EW205" s="83"/>
      <c r="EX205" s="83"/>
      <c r="EY205" s="83"/>
      <c r="EZ205" s="83"/>
      <c r="FA205" s="83"/>
      <c r="FB205" s="83"/>
      <c r="FC205" s="83"/>
      <c r="FD205" s="83"/>
      <c r="FE205" s="83"/>
      <c r="FF205" s="83"/>
      <c r="FG205" s="83"/>
      <c r="FH205" s="83"/>
      <c r="FI205" s="83"/>
      <c r="FJ205" s="83"/>
      <c r="FK205" s="83"/>
      <c r="FL205" s="83"/>
      <c r="FM205" s="83"/>
      <c r="FN205" s="83"/>
      <c r="FO205" s="83"/>
      <c r="FP205" s="83"/>
      <c r="FQ205" s="83"/>
      <c r="FR205" s="83"/>
      <c r="FS205" s="83"/>
      <c r="FT205" s="83"/>
      <c r="FU205" s="83"/>
      <c r="FV205" s="83"/>
      <c r="FW205" s="83"/>
      <c r="FX205" s="83"/>
      <c r="FY205" s="83"/>
      <c r="FZ205" s="83"/>
      <c r="GA205" s="83"/>
      <c r="GB205" s="83"/>
      <c r="GC205" s="83"/>
      <c r="GD205" s="83"/>
      <c r="GE205" s="83"/>
      <c r="GF205" s="83"/>
      <c r="GG205" s="83"/>
      <c r="GH205" s="83"/>
      <c r="GI205" s="83"/>
      <c r="GJ205" s="83"/>
      <c r="GK205" s="83"/>
      <c r="GL205" s="83"/>
      <c r="GM205" s="83"/>
      <c r="GN205" s="83"/>
      <c r="GO205" s="83"/>
      <c r="GP205" s="83"/>
      <c r="GQ205" s="83"/>
      <c r="GR205" s="83"/>
      <c r="GS205" s="83"/>
      <c r="GT205" s="83"/>
      <c r="GU205" s="83"/>
      <c r="GV205" s="83"/>
      <c r="GW205" s="83"/>
      <c r="GX205" s="83"/>
      <c r="GY205" s="83"/>
      <c r="GZ205" s="83"/>
      <c r="HA205" s="83"/>
      <c r="HB205" s="83"/>
      <c r="HC205" s="83"/>
      <c r="HD205" s="83"/>
      <c r="HE205" s="83"/>
      <c r="HF205" s="83"/>
      <c r="HG205" s="83"/>
      <c r="HH205" s="83"/>
      <c r="HI205" s="83"/>
      <c r="HJ205" s="83"/>
      <c r="HK205" s="83"/>
      <c r="HL205" s="83"/>
      <c r="HM205" s="83"/>
      <c r="HN205" s="83"/>
      <c r="HO205" s="83"/>
      <c r="HP205" s="83"/>
      <c r="HQ205" s="83"/>
      <c r="HR205" s="83"/>
      <c r="HS205" s="83"/>
      <c r="HT205" s="83"/>
      <c r="HU205" s="83"/>
      <c r="HV205" s="83"/>
      <c r="HW205" s="83"/>
      <c r="HX205" s="83"/>
      <c r="HY205" s="83"/>
      <c r="HZ205" s="83"/>
      <c r="IA205" s="83"/>
      <c r="IB205" s="83"/>
      <c r="IC205" s="83"/>
      <c r="ID205" s="83"/>
      <c r="IE205" s="83"/>
      <c r="IF205" s="83"/>
      <c r="IG205" s="83"/>
    </row>
    <row r="206" spans="1:241" x14ac:dyDescent="0.3">
      <c r="A206" s="83"/>
      <c r="B206" s="1"/>
      <c r="C206" s="1"/>
      <c r="D206" s="1"/>
      <c r="E206" s="1"/>
      <c r="F206" s="1"/>
      <c r="G206" s="1"/>
      <c r="H206" s="1"/>
      <c r="I206" s="1"/>
      <c r="J206" s="1"/>
      <c r="K206" s="1"/>
      <c r="L206" s="1"/>
      <c r="M206" s="1"/>
      <c r="N206" s="1"/>
      <c r="O206" s="1"/>
      <c r="P206" s="1"/>
      <c r="Q206" s="1"/>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c r="DD206" s="83"/>
      <c r="DE206" s="83"/>
      <c r="DF206" s="83"/>
      <c r="DG206" s="83"/>
      <c r="DH206" s="83"/>
      <c r="DI206" s="83"/>
      <c r="DJ206" s="83"/>
      <c r="DK206" s="83"/>
      <c r="DL206" s="83"/>
      <c r="DM206" s="83"/>
      <c r="DN206" s="83"/>
      <c r="DO206" s="83"/>
      <c r="DP206" s="83"/>
      <c r="DQ206" s="83"/>
      <c r="DR206" s="83"/>
      <c r="DS206" s="83"/>
      <c r="DT206" s="83"/>
      <c r="DU206" s="83"/>
      <c r="DV206" s="83"/>
      <c r="DW206" s="83"/>
      <c r="DX206" s="83"/>
      <c r="DY206" s="83"/>
      <c r="DZ206" s="83"/>
      <c r="EA206" s="83"/>
      <c r="EB206" s="83"/>
      <c r="EC206" s="83"/>
      <c r="ED206" s="83"/>
      <c r="EE206" s="83"/>
      <c r="EF206" s="83"/>
      <c r="EG206" s="83"/>
      <c r="EH206" s="83"/>
      <c r="EI206" s="83"/>
      <c r="EJ206" s="83"/>
      <c r="EK206" s="83"/>
      <c r="EL206" s="83"/>
      <c r="EM206" s="83"/>
      <c r="EN206" s="83"/>
      <c r="EO206" s="83"/>
      <c r="EP206" s="83"/>
      <c r="EQ206" s="83"/>
      <c r="ER206" s="83"/>
      <c r="ES206" s="83"/>
      <c r="ET206" s="83"/>
      <c r="EU206" s="83"/>
      <c r="EV206" s="83"/>
      <c r="EW206" s="83"/>
      <c r="EX206" s="83"/>
      <c r="EY206" s="83"/>
      <c r="EZ206" s="83"/>
      <c r="FA206" s="83"/>
      <c r="FB206" s="83"/>
      <c r="FC206" s="83"/>
      <c r="FD206" s="83"/>
      <c r="FE206" s="83"/>
      <c r="FF206" s="83"/>
      <c r="FG206" s="83"/>
      <c r="FH206" s="83"/>
      <c r="FI206" s="83"/>
      <c r="FJ206" s="83"/>
      <c r="FK206" s="83"/>
      <c r="FL206" s="83"/>
      <c r="FM206" s="83"/>
      <c r="FN206" s="83"/>
      <c r="FO206" s="83"/>
      <c r="FP206" s="83"/>
      <c r="FQ206" s="83"/>
      <c r="FR206" s="83"/>
      <c r="FS206" s="83"/>
      <c r="FT206" s="83"/>
      <c r="FU206" s="83"/>
      <c r="FV206" s="83"/>
      <c r="FW206" s="83"/>
      <c r="FX206" s="83"/>
      <c r="FY206" s="83"/>
      <c r="FZ206" s="83"/>
      <c r="GA206" s="83"/>
      <c r="GB206" s="83"/>
      <c r="GC206" s="83"/>
      <c r="GD206" s="83"/>
      <c r="GE206" s="83"/>
      <c r="GF206" s="83"/>
      <c r="GG206" s="83"/>
      <c r="GH206" s="83"/>
      <c r="GI206" s="83"/>
      <c r="GJ206" s="83"/>
      <c r="GK206" s="83"/>
      <c r="GL206" s="83"/>
      <c r="GM206" s="83"/>
      <c r="GN206" s="83"/>
      <c r="GO206" s="83"/>
      <c r="GP206" s="83"/>
      <c r="GQ206" s="83"/>
      <c r="GR206" s="83"/>
      <c r="GS206" s="83"/>
      <c r="GT206" s="83"/>
      <c r="GU206" s="83"/>
      <c r="GV206" s="83"/>
      <c r="GW206" s="83"/>
      <c r="GX206" s="83"/>
      <c r="GY206" s="83"/>
      <c r="GZ206" s="83"/>
      <c r="HA206" s="83"/>
      <c r="HB206" s="83"/>
      <c r="HC206" s="83"/>
      <c r="HD206" s="83"/>
      <c r="HE206" s="83"/>
      <c r="HF206" s="83"/>
      <c r="HG206" s="83"/>
      <c r="HH206" s="83"/>
      <c r="HI206" s="83"/>
      <c r="HJ206" s="83"/>
      <c r="HK206" s="83"/>
      <c r="HL206" s="83"/>
      <c r="HM206" s="83"/>
      <c r="HN206" s="83"/>
      <c r="HO206" s="83"/>
      <c r="HP206" s="83"/>
      <c r="HQ206" s="83"/>
      <c r="HR206" s="83"/>
      <c r="HS206" s="83"/>
      <c r="HT206" s="83"/>
      <c r="HU206" s="83"/>
      <c r="HV206" s="83"/>
      <c r="HW206" s="83"/>
      <c r="HX206" s="83"/>
      <c r="HY206" s="83"/>
      <c r="HZ206" s="83"/>
      <c r="IA206" s="83"/>
      <c r="IB206" s="83"/>
      <c r="IC206" s="83"/>
      <c r="ID206" s="83"/>
      <c r="IE206" s="83"/>
      <c r="IF206" s="83"/>
      <c r="IG206" s="83"/>
    </row>
    <row r="207" spans="1:241" x14ac:dyDescent="0.3">
      <c r="A207" s="83"/>
      <c r="B207" s="1"/>
      <c r="C207" s="1"/>
      <c r="D207" s="1"/>
      <c r="E207" s="1"/>
      <c r="F207" s="1"/>
      <c r="G207" s="1"/>
      <c r="H207" s="1"/>
      <c r="I207" s="1"/>
      <c r="J207" s="1"/>
      <c r="K207" s="1"/>
      <c r="L207" s="1"/>
      <c r="M207" s="1"/>
      <c r="N207" s="1"/>
      <c r="O207" s="1"/>
      <c r="P207" s="1"/>
      <c r="Q207" s="1"/>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c r="DD207" s="83"/>
      <c r="DE207" s="83"/>
      <c r="DF207" s="83"/>
      <c r="DG207" s="83"/>
      <c r="DH207" s="83"/>
      <c r="DI207" s="83"/>
      <c r="DJ207" s="83"/>
      <c r="DK207" s="83"/>
      <c r="DL207" s="83"/>
      <c r="DM207" s="83"/>
      <c r="DN207" s="83"/>
      <c r="DO207" s="83"/>
      <c r="DP207" s="83"/>
      <c r="DQ207" s="83"/>
      <c r="DR207" s="83"/>
      <c r="DS207" s="83"/>
      <c r="DT207" s="83"/>
      <c r="DU207" s="83"/>
      <c r="DV207" s="83"/>
      <c r="DW207" s="83"/>
      <c r="DX207" s="83"/>
      <c r="DY207" s="83"/>
      <c r="DZ207" s="83"/>
      <c r="EA207" s="83"/>
      <c r="EB207" s="83"/>
      <c r="EC207" s="83"/>
      <c r="ED207" s="83"/>
      <c r="EE207" s="83"/>
      <c r="EF207" s="83"/>
      <c r="EG207" s="83"/>
      <c r="EH207" s="83"/>
      <c r="EI207" s="83"/>
      <c r="EJ207" s="83"/>
      <c r="EK207" s="83"/>
      <c r="EL207" s="83"/>
      <c r="EM207" s="83"/>
      <c r="EN207" s="83"/>
      <c r="EO207" s="83"/>
      <c r="EP207" s="83"/>
      <c r="EQ207" s="83"/>
      <c r="ER207" s="83"/>
      <c r="ES207" s="83"/>
      <c r="ET207" s="83"/>
      <c r="EU207" s="83"/>
      <c r="EV207" s="83"/>
      <c r="EW207" s="83"/>
      <c r="EX207" s="83"/>
      <c r="EY207" s="83"/>
      <c r="EZ207" s="83"/>
      <c r="FA207" s="83"/>
      <c r="FB207" s="83"/>
      <c r="FC207" s="83"/>
      <c r="FD207" s="83"/>
      <c r="FE207" s="83"/>
      <c r="FF207" s="83"/>
      <c r="FG207" s="83"/>
      <c r="FH207" s="83"/>
      <c r="FI207" s="83"/>
      <c r="FJ207" s="83"/>
      <c r="FK207" s="83"/>
      <c r="FL207" s="83"/>
      <c r="FM207" s="83"/>
      <c r="FN207" s="83"/>
      <c r="FO207" s="83"/>
      <c r="FP207" s="83"/>
      <c r="FQ207" s="83"/>
      <c r="FR207" s="83"/>
      <c r="FS207" s="83"/>
      <c r="FT207" s="83"/>
      <c r="FU207" s="83"/>
      <c r="FV207" s="83"/>
      <c r="FW207" s="83"/>
      <c r="FX207" s="83"/>
      <c r="FY207" s="83"/>
      <c r="FZ207" s="83"/>
      <c r="GA207" s="83"/>
      <c r="GB207" s="83"/>
      <c r="GC207" s="83"/>
      <c r="GD207" s="83"/>
      <c r="GE207" s="83"/>
      <c r="GF207" s="83"/>
      <c r="GG207" s="83"/>
      <c r="GH207" s="83"/>
      <c r="GI207" s="83"/>
      <c r="GJ207" s="83"/>
      <c r="GK207" s="83"/>
      <c r="GL207" s="83"/>
      <c r="GM207" s="83"/>
      <c r="GN207" s="83"/>
      <c r="GO207" s="83"/>
      <c r="GP207" s="83"/>
      <c r="GQ207" s="83"/>
      <c r="GR207" s="83"/>
      <c r="GS207" s="83"/>
      <c r="GT207" s="83"/>
      <c r="GU207" s="83"/>
      <c r="GV207" s="83"/>
      <c r="GW207" s="83"/>
      <c r="GX207" s="83"/>
      <c r="GY207" s="83"/>
      <c r="GZ207" s="83"/>
      <c r="HA207" s="83"/>
      <c r="HB207" s="83"/>
      <c r="HC207" s="83"/>
      <c r="HD207" s="83"/>
      <c r="HE207" s="83"/>
      <c r="HF207" s="83"/>
      <c r="HG207" s="83"/>
      <c r="HH207" s="83"/>
      <c r="HI207" s="83"/>
      <c r="HJ207" s="83"/>
      <c r="HK207" s="83"/>
      <c r="HL207" s="83"/>
      <c r="HM207" s="83"/>
      <c r="HN207" s="83"/>
      <c r="HO207" s="83"/>
      <c r="HP207" s="83"/>
      <c r="HQ207" s="83"/>
      <c r="HR207" s="83"/>
      <c r="HS207" s="83"/>
      <c r="HT207" s="83"/>
      <c r="HU207" s="83"/>
      <c r="HV207" s="83"/>
      <c r="HW207" s="83"/>
      <c r="HX207" s="83"/>
      <c r="HY207" s="83"/>
      <c r="HZ207" s="83"/>
      <c r="IA207" s="83"/>
      <c r="IB207" s="83"/>
      <c r="IC207" s="83"/>
      <c r="ID207" s="83"/>
      <c r="IE207" s="83"/>
      <c r="IF207" s="83"/>
      <c r="IG207" s="83"/>
    </row>
    <row r="208" spans="1:241" x14ac:dyDescent="0.3">
      <c r="A208" s="83"/>
      <c r="B208" s="2" t="s">
        <v>258</v>
      </c>
      <c r="C208" s="1"/>
      <c r="D208" s="1"/>
      <c r="E208" s="1"/>
      <c r="F208" s="1"/>
      <c r="G208" s="1"/>
      <c r="H208" s="1"/>
      <c r="I208" s="1"/>
      <c r="J208" s="1"/>
      <c r="K208" s="1"/>
      <c r="L208" s="1"/>
      <c r="M208" s="1"/>
      <c r="N208" s="1"/>
      <c r="O208" s="1"/>
      <c r="P208" s="1"/>
      <c r="Q208" s="1"/>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c r="DD208" s="83"/>
      <c r="DE208" s="83"/>
      <c r="DF208" s="83"/>
      <c r="DG208" s="83"/>
      <c r="DH208" s="83"/>
      <c r="DI208" s="83"/>
      <c r="DJ208" s="83"/>
      <c r="DK208" s="83"/>
      <c r="DL208" s="83"/>
      <c r="DM208" s="83"/>
      <c r="DN208" s="83"/>
      <c r="DO208" s="83"/>
      <c r="DP208" s="83"/>
      <c r="DQ208" s="83"/>
      <c r="DR208" s="83"/>
      <c r="DS208" s="83"/>
      <c r="DT208" s="83"/>
      <c r="DU208" s="83"/>
      <c r="DV208" s="83"/>
      <c r="DW208" s="83"/>
      <c r="DX208" s="83"/>
      <c r="DY208" s="83"/>
      <c r="DZ208" s="83"/>
      <c r="EA208" s="83"/>
      <c r="EB208" s="83"/>
      <c r="EC208" s="83"/>
      <c r="ED208" s="83"/>
      <c r="EE208" s="83"/>
      <c r="EF208" s="83"/>
      <c r="EG208" s="83"/>
      <c r="EH208" s="83"/>
      <c r="EI208" s="83"/>
      <c r="EJ208" s="83"/>
      <c r="EK208" s="83"/>
      <c r="EL208" s="83"/>
      <c r="EM208" s="83"/>
      <c r="EN208" s="83"/>
      <c r="EO208" s="83"/>
      <c r="EP208" s="83"/>
      <c r="EQ208" s="83"/>
      <c r="ER208" s="83"/>
      <c r="ES208" s="83"/>
      <c r="ET208" s="83"/>
      <c r="EU208" s="83"/>
      <c r="EV208" s="83"/>
      <c r="EW208" s="83"/>
      <c r="EX208" s="83"/>
      <c r="EY208" s="83"/>
      <c r="EZ208" s="83"/>
      <c r="FA208" s="83"/>
      <c r="FB208" s="83"/>
      <c r="FC208" s="83"/>
      <c r="FD208" s="83"/>
      <c r="FE208" s="83"/>
      <c r="FF208" s="83"/>
      <c r="FG208" s="83"/>
      <c r="FH208" s="83"/>
      <c r="FI208" s="83"/>
      <c r="FJ208" s="83"/>
      <c r="FK208" s="83"/>
      <c r="FL208" s="83"/>
      <c r="FM208" s="83"/>
      <c r="FN208" s="83"/>
      <c r="FO208" s="83"/>
      <c r="FP208" s="83"/>
      <c r="FQ208" s="83"/>
      <c r="FR208" s="83"/>
      <c r="FS208" s="83"/>
      <c r="FT208" s="83"/>
      <c r="FU208" s="83"/>
      <c r="FV208" s="83"/>
      <c r="FW208" s="83"/>
      <c r="FX208" s="83"/>
      <c r="FY208" s="83"/>
      <c r="FZ208" s="83"/>
      <c r="GA208" s="83"/>
      <c r="GB208" s="83"/>
      <c r="GC208" s="83"/>
      <c r="GD208" s="83"/>
      <c r="GE208" s="83"/>
      <c r="GF208" s="83"/>
      <c r="GG208" s="83"/>
      <c r="GH208" s="83"/>
      <c r="GI208" s="83"/>
      <c r="GJ208" s="83"/>
      <c r="GK208" s="83"/>
      <c r="GL208" s="83"/>
      <c r="GM208" s="83"/>
      <c r="GN208" s="83"/>
      <c r="GO208" s="83"/>
      <c r="GP208" s="83"/>
      <c r="GQ208" s="83"/>
      <c r="GR208" s="83"/>
      <c r="GS208" s="83"/>
      <c r="GT208" s="83"/>
      <c r="GU208" s="83"/>
      <c r="GV208" s="83"/>
      <c r="GW208" s="83"/>
      <c r="GX208" s="83"/>
      <c r="GY208" s="83"/>
      <c r="GZ208" s="83"/>
      <c r="HA208" s="83"/>
      <c r="HB208" s="83"/>
      <c r="HC208" s="83"/>
      <c r="HD208" s="83"/>
      <c r="HE208" s="83"/>
      <c r="HF208" s="83"/>
      <c r="HG208" s="83"/>
      <c r="HH208" s="83"/>
      <c r="HI208" s="83"/>
      <c r="HJ208" s="83"/>
      <c r="HK208" s="83"/>
      <c r="HL208" s="83"/>
      <c r="HM208" s="83"/>
      <c r="HN208" s="83"/>
      <c r="HO208" s="83"/>
      <c r="HP208" s="83"/>
      <c r="HQ208" s="83"/>
      <c r="HR208" s="83"/>
      <c r="HS208" s="83"/>
      <c r="HT208" s="83"/>
      <c r="HU208" s="83"/>
      <c r="HV208" s="83"/>
      <c r="HW208" s="83"/>
      <c r="HX208" s="83"/>
      <c r="HY208" s="83"/>
      <c r="HZ208" s="83"/>
      <c r="IA208" s="83"/>
      <c r="IB208" s="83"/>
      <c r="IC208" s="83"/>
      <c r="ID208" s="83"/>
      <c r="IE208" s="83"/>
      <c r="IF208" s="83"/>
      <c r="IG208" s="83"/>
    </row>
    <row r="209" spans="1:241" ht="15.6" x14ac:dyDescent="0.35">
      <c r="A209" s="83"/>
      <c r="B209" s="3" t="s">
        <v>174</v>
      </c>
      <c r="C209" s="4" t="s">
        <v>1</v>
      </c>
      <c r="D209" s="4" t="s">
        <v>2</v>
      </c>
      <c r="E209" s="4" t="s">
        <v>3</v>
      </c>
      <c r="F209" s="4" t="s">
        <v>175</v>
      </c>
      <c r="G209" s="4" t="s">
        <v>18</v>
      </c>
      <c r="H209" s="4" t="s">
        <v>176</v>
      </c>
      <c r="I209" s="4" t="s">
        <v>19</v>
      </c>
      <c r="J209" s="4" t="s">
        <v>20</v>
      </c>
      <c r="K209" s="4" t="s">
        <v>177</v>
      </c>
      <c r="L209" s="4" t="s">
        <v>21</v>
      </c>
      <c r="M209" s="37" t="s">
        <v>22</v>
      </c>
      <c r="N209" s="1"/>
      <c r="O209" s="1"/>
      <c r="P209" s="1"/>
      <c r="Q209" s="1"/>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c r="DD209" s="83"/>
      <c r="DE209" s="83"/>
      <c r="DF209" s="83"/>
      <c r="DG209" s="83"/>
      <c r="DH209" s="83"/>
      <c r="DI209" s="83"/>
      <c r="DJ209" s="83"/>
      <c r="DK209" s="83"/>
      <c r="DL209" s="83"/>
      <c r="DM209" s="83"/>
      <c r="DN209" s="83"/>
      <c r="DO209" s="83"/>
      <c r="DP209" s="83"/>
      <c r="DQ209" s="83"/>
      <c r="DR209" s="83"/>
      <c r="DS209" s="83"/>
      <c r="DT209" s="83"/>
      <c r="DU209" s="83"/>
      <c r="DV209" s="83"/>
      <c r="DW209" s="83"/>
      <c r="DX209" s="83"/>
      <c r="DY209" s="83"/>
      <c r="DZ209" s="83"/>
      <c r="EA209" s="83"/>
      <c r="EB209" s="83"/>
      <c r="EC209" s="83"/>
      <c r="ED209" s="83"/>
      <c r="EE209" s="83"/>
      <c r="EF209" s="83"/>
      <c r="EG209" s="83"/>
      <c r="EH209" s="83"/>
      <c r="EI209" s="83"/>
      <c r="EJ209" s="83"/>
      <c r="EK209" s="83"/>
      <c r="EL209" s="83"/>
      <c r="EM209" s="83"/>
      <c r="EN209" s="83"/>
      <c r="EO209" s="83"/>
      <c r="EP209" s="83"/>
      <c r="EQ209" s="83"/>
      <c r="ER209" s="83"/>
      <c r="ES209" s="83"/>
      <c r="ET209" s="83"/>
      <c r="EU209" s="83"/>
      <c r="EV209" s="83"/>
      <c r="EW209" s="83"/>
      <c r="EX209" s="83"/>
      <c r="EY209" s="83"/>
      <c r="EZ209" s="83"/>
      <c r="FA209" s="83"/>
      <c r="FB209" s="83"/>
      <c r="FC209" s="83"/>
      <c r="FD209" s="83"/>
      <c r="FE209" s="83"/>
      <c r="FF209" s="83"/>
      <c r="FG209" s="83"/>
      <c r="FH209" s="83"/>
      <c r="FI209" s="83"/>
      <c r="FJ209" s="83"/>
      <c r="FK209" s="83"/>
      <c r="FL209" s="83"/>
      <c r="FM209" s="83"/>
      <c r="FN209" s="83"/>
      <c r="FO209" s="83"/>
      <c r="FP209" s="83"/>
      <c r="FQ209" s="83"/>
      <c r="FR209" s="83"/>
      <c r="FS209" s="83"/>
      <c r="FT209" s="83"/>
      <c r="FU209" s="83"/>
      <c r="FV209" s="83"/>
      <c r="FW209" s="83"/>
      <c r="FX209" s="83"/>
      <c r="FY209" s="83"/>
      <c r="FZ209" s="83"/>
      <c r="GA209" s="83"/>
      <c r="GB209" s="83"/>
      <c r="GC209" s="83"/>
      <c r="GD209" s="83"/>
      <c r="GE209" s="83"/>
      <c r="GF209" s="83"/>
      <c r="GG209" s="83"/>
      <c r="GH209" s="83"/>
      <c r="GI209" s="83"/>
      <c r="GJ209" s="83"/>
      <c r="GK209" s="83"/>
      <c r="GL209" s="83"/>
      <c r="GM209" s="83"/>
      <c r="GN209" s="83"/>
      <c r="GO209" s="83"/>
      <c r="GP209" s="83"/>
      <c r="GQ209" s="83"/>
      <c r="GR209" s="83"/>
      <c r="GS209" s="83"/>
      <c r="GT209" s="83"/>
      <c r="GU209" s="83"/>
      <c r="GV209" s="83"/>
      <c r="GW209" s="83"/>
      <c r="GX209" s="83"/>
      <c r="GY209" s="83"/>
      <c r="GZ209" s="83"/>
      <c r="HA209" s="83"/>
      <c r="HB209" s="83"/>
      <c r="HC209" s="83"/>
      <c r="HD209" s="83"/>
      <c r="HE209" s="83"/>
      <c r="HF209" s="83"/>
      <c r="HG209" s="83"/>
      <c r="HH209" s="83"/>
      <c r="HI209" s="83"/>
      <c r="HJ209" s="83"/>
      <c r="HK209" s="83"/>
      <c r="HL209" s="83"/>
      <c r="HM209" s="83"/>
      <c r="HN209" s="83"/>
      <c r="HO209" s="83"/>
      <c r="HP209" s="83"/>
      <c r="HQ209" s="83"/>
      <c r="HR209" s="83"/>
      <c r="HS209" s="83"/>
      <c r="HT209" s="83"/>
      <c r="HU209" s="83"/>
      <c r="HV209" s="83"/>
      <c r="HW209" s="83"/>
      <c r="HX209" s="83"/>
      <c r="HY209" s="83"/>
      <c r="HZ209" s="83"/>
      <c r="IA209" s="83"/>
      <c r="IB209" s="83"/>
      <c r="IC209" s="83"/>
      <c r="ID209" s="83"/>
      <c r="IE209" s="83"/>
      <c r="IF209" s="83"/>
      <c r="IG209" s="83"/>
    </row>
    <row r="210" spans="1:241" x14ac:dyDescent="0.3">
      <c r="A210" s="83"/>
      <c r="B210" s="12" t="s">
        <v>24</v>
      </c>
      <c r="C210" s="13">
        <v>2.7050999999999998</v>
      </c>
      <c r="D210" s="13">
        <v>1.4398</v>
      </c>
      <c r="E210" s="14">
        <v>-0.17760000000000001</v>
      </c>
      <c r="F210" s="13" t="s">
        <v>157</v>
      </c>
      <c r="G210" s="13">
        <v>3.5</v>
      </c>
      <c r="H210" s="13" t="s">
        <v>157</v>
      </c>
      <c r="I210" s="31">
        <v>6.13</v>
      </c>
      <c r="J210" s="31">
        <v>11.66</v>
      </c>
      <c r="K210" s="13" t="s">
        <v>157</v>
      </c>
      <c r="L210" s="13">
        <v>100</v>
      </c>
      <c r="M210" s="16">
        <v>4000</v>
      </c>
      <c r="N210" s="1"/>
      <c r="O210" s="1"/>
      <c r="P210" s="1"/>
      <c r="Q210" s="1"/>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c r="DD210" s="83"/>
      <c r="DE210" s="83"/>
      <c r="DF210" s="83"/>
      <c r="DG210" s="83"/>
      <c r="DH210" s="83"/>
      <c r="DI210" s="83"/>
      <c r="DJ210" s="83"/>
      <c r="DK210" s="83"/>
      <c r="DL210" s="83"/>
      <c r="DM210" s="83"/>
      <c r="DN210" s="83"/>
      <c r="DO210" s="83"/>
      <c r="DP210" s="83"/>
      <c r="DQ210" s="83"/>
      <c r="DR210" s="83"/>
      <c r="DS210" s="83"/>
      <c r="DT210" s="83"/>
      <c r="DU210" s="83"/>
      <c r="DV210" s="83"/>
      <c r="DW210" s="83"/>
      <c r="DX210" s="83"/>
      <c r="DY210" s="83"/>
      <c r="DZ210" s="83"/>
      <c r="EA210" s="83"/>
      <c r="EB210" s="83"/>
      <c r="EC210" s="83"/>
      <c r="ED210" s="83"/>
      <c r="EE210" s="83"/>
      <c r="EF210" s="83"/>
      <c r="EG210" s="83"/>
      <c r="EH210" s="83"/>
      <c r="EI210" s="83"/>
      <c r="EJ210" s="83"/>
      <c r="EK210" s="83"/>
      <c r="EL210" s="83"/>
      <c r="EM210" s="83"/>
      <c r="EN210" s="83"/>
      <c r="EO210" s="83"/>
      <c r="EP210" s="83"/>
      <c r="EQ210" s="83"/>
      <c r="ER210" s="83"/>
      <c r="ES210" s="83"/>
      <c r="ET210" s="83"/>
      <c r="EU210" s="83"/>
      <c r="EV210" s="83"/>
      <c r="EW210" s="83"/>
      <c r="EX210" s="83"/>
      <c r="EY210" s="83"/>
      <c r="EZ210" s="83"/>
      <c r="FA210" s="83"/>
      <c r="FB210" s="83"/>
      <c r="FC210" s="83"/>
      <c r="FD210" s="83"/>
      <c r="FE210" s="83"/>
      <c r="FF210" s="83"/>
      <c r="FG210" s="83"/>
      <c r="FH210" s="83"/>
      <c r="FI210" s="83"/>
      <c r="FJ210" s="83"/>
      <c r="FK210" s="83"/>
      <c r="FL210" s="83"/>
      <c r="FM210" s="83"/>
      <c r="FN210" s="83"/>
      <c r="FO210" s="83"/>
      <c r="FP210" s="83"/>
      <c r="FQ210" s="83"/>
      <c r="FR210" s="83"/>
      <c r="FS210" s="83"/>
      <c r="FT210" s="83"/>
      <c r="FU210" s="83"/>
      <c r="FV210" s="83"/>
      <c r="FW210" s="83"/>
      <c r="FX210" s="83"/>
      <c r="FY210" s="83"/>
      <c r="FZ210" s="83"/>
      <c r="GA210" s="83"/>
      <c r="GB210" s="83"/>
      <c r="GC210" s="83"/>
      <c r="GD210" s="83"/>
      <c r="GE210" s="83"/>
      <c r="GF210" s="83"/>
      <c r="GG210" s="83"/>
      <c r="GH210" s="83"/>
      <c r="GI210" s="83"/>
      <c r="GJ210" s="83"/>
      <c r="GK210" s="83"/>
      <c r="GL210" s="83"/>
      <c r="GM210" s="83"/>
      <c r="GN210" s="83"/>
      <c r="GO210" s="83"/>
      <c r="GP210" s="83"/>
      <c r="GQ210" s="83"/>
      <c r="GR210" s="83"/>
      <c r="GS210" s="83"/>
      <c r="GT210" s="83"/>
      <c r="GU210" s="83"/>
      <c r="GV210" s="83"/>
      <c r="GW210" s="83"/>
      <c r="GX210" s="83"/>
      <c r="GY210" s="83"/>
      <c r="GZ210" s="83"/>
      <c r="HA210" s="83"/>
      <c r="HB210" s="83"/>
      <c r="HC210" s="83"/>
      <c r="HD210" s="83"/>
      <c r="HE210" s="83"/>
      <c r="HF210" s="83"/>
      <c r="HG210" s="83"/>
      <c r="HH210" s="83"/>
      <c r="HI210" s="83"/>
      <c r="HJ210" s="83"/>
      <c r="HK210" s="83"/>
      <c r="HL210" s="83"/>
      <c r="HM210" s="83"/>
      <c r="HN210" s="83"/>
      <c r="HO210" s="83"/>
      <c r="HP210" s="83"/>
      <c r="HQ210" s="83"/>
      <c r="HR210" s="83"/>
      <c r="HS210" s="83"/>
      <c r="HT210" s="83"/>
      <c r="HU210" s="83"/>
      <c r="HV210" s="83"/>
      <c r="HW210" s="83"/>
      <c r="HX210" s="83"/>
      <c r="HY210" s="83"/>
      <c r="HZ210" s="83"/>
      <c r="IA210" s="83"/>
      <c r="IB210" s="83"/>
      <c r="IC210" s="83"/>
      <c r="ID210" s="83"/>
      <c r="IE210" s="83"/>
      <c r="IF210" s="83"/>
      <c r="IG210" s="83"/>
    </row>
    <row r="211" spans="1:241" x14ac:dyDescent="0.3">
      <c r="A211" s="83"/>
      <c r="B211" s="17" t="s">
        <v>178</v>
      </c>
      <c r="C211" s="18">
        <v>2.2475999999999998</v>
      </c>
      <c r="D211" s="18">
        <v>1.4964999999999999</v>
      </c>
      <c r="E211" s="19">
        <v>-0.1618</v>
      </c>
      <c r="F211" s="18" t="s">
        <v>157</v>
      </c>
      <c r="G211" s="32">
        <v>3.5</v>
      </c>
      <c r="H211" s="18" t="s">
        <v>157</v>
      </c>
      <c r="I211" s="32">
        <v>6.13</v>
      </c>
      <c r="J211" s="32">
        <v>11.66</v>
      </c>
      <c r="K211" s="18" t="s">
        <v>157</v>
      </c>
      <c r="L211" s="18">
        <v>100</v>
      </c>
      <c r="M211" s="21">
        <v>1500</v>
      </c>
      <c r="N211" s="1"/>
      <c r="O211" s="1"/>
      <c r="P211" s="1"/>
      <c r="Q211" s="1"/>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c r="DD211" s="83"/>
      <c r="DE211" s="83"/>
      <c r="DF211" s="83"/>
      <c r="DG211" s="83"/>
      <c r="DH211" s="83"/>
      <c r="DI211" s="83"/>
      <c r="DJ211" s="83"/>
      <c r="DK211" s="83"/>
      <c r="DL211" s="83"/>
      <c r="DM211" s="83"/>
      <c r="DN211" s="83"/>
      <c r="DO211" s="83"/>
      <c r="DP211" s="83"/>
      <c r="DQ211" s="83"/>
      <c r="DR211" s="83"/>
      <c r="DS211" s="83"/>
      <c r="DT211" s="83"/>
      <c r="DU211" s="83"/>
      <c r="DV211" s="83"/>
      <c r="DW211" s="83"/>
      <c r="DX211" s="83"/>
      <c r="DY211" s="83"/>
      <c r="DZ211" s="83"/>
      <c r="EA211" s="83"/>
      <c r="EB211" s="83"/>
      <c r="EC211" s="83"/>
      <c r="ED211" s="83"/>
      <c r="EE211" s="83"/>
      <c r="EF211" s="83"/>
      <c r="EG211" s="83"/>
      <c r="EH211" s="83"/>
      <c r="EI211" s="83"/>
      <c r="EJ211" s="83"/>
      <c r="EK211" s="83"/>
      <c r="EL211" s="83"/>
      <c r="EM211" s="83"/>
      <c r="EN211" s="83"/>
      <c r="EO211" s="83"/>
      <c r="EP211" s="83"/>
      <c r="EQ211" s="83"/>
      <c r="ER211" s="83"/>
      <c r="ES211" s="83"/>
      <c r="ET211" s="83"/>
      <c r="EU211" s="83"/>
      <c r="EV211" s="83"/>
      <c r="EW211" s="83"/>
      <c r="EX211" s="83"/>
      <c r="EY211" s="83"/>
      <c r="EZ211" s="83"/>
      <c r="FA211" s="83"/>
      <c r="FB211" s="83"/>
      <c r="FC211" s="83"/>
      <c r="FD211" s="83"/>
      <c r="FE211" s="83"/>
      <c r="FF211" s="83"/>
      <c r="FG211" s="83"/>
      <c r="FH211" s="83"/>
      <c r="FI211" s="83"/>
      <c r="FJ211" s="83"/>
      <c r="FK211" s="83"/>
      <c r="FL211" s="83"/>
      <c r="FM211" s="83"/>
      <c r="FN211" s="83"/>
      <c r="FO211" s="83"/>
      <c r="FP211" s="83"/>
      <c r="FQ211" s="83"/>
      <c r="FR211" s="83"/>
      <c r="FS211" s="83"/>
      <c r="FT211" s="83"/>
      <c r="FU211" s="83"/>
      <c r="FV211" s="83"/>
      <c r="FW211" s="83"/>
      <c r="FX211" s="83"/>
      <c r="FY211" s="83"/>
      <c r="FZ211" s="83"/>
      <c r="GA211" s="83"/>
      <c r="GB211" s="83"/>
      <c r="GC211" s="83"/>
      <c r="GD211" s="83"/>
      <c r="GE211" s="83"/>
      <c r="GF211" s="83"/>
      <c r="GG211" s="83"/>
      <c r="GH211" s="83"/>
      <c r="GI211" s="83"/>
      <c r="GJ211" s="83"/>
      <c r="GK211" s="83"/>
      <c r="GL211" s="83"/>
      <c r="GM211" s="83"/>
      <c r="GN211" s="83"/>
      <c r="GO211" s="83"/>
      <c r="GP211" s="83"/>
      <c r="GQ211" s="83"/>
      <c r="GR211" s="83"/>
      <c r="GS211" s="83"/>
      <c r="GT211" s="83"/>
      <c r="GU211" s="83"/>
      <c r="GV211" s="83"/>
      <c r="GW211" s="83"/>
      <c r="GX211" s="83"/>
      <c r="GY211" s="83"/>
      <c r="GZ211" s="83"/>
      <c r="HA211" s="83"/>
      <c r="HB211" s="83"/>
      <c r="HC211" s="83"/>
      <c r="HD211" s="83"/>
      <c r="HE211" s="83"/>
      <c r="HF211" s="83"/>
      <c r="HG211" s="83"/>
      <c r="HH211" s="83"/>
      <c r="HI211" s="83"/>
      <c r="HJ211" s="83"/>
      <c r="HK211" s="83"/>
      <c r="HL211" s="83"/>
      <c r="HM211" s="83"/>
      <c r="HN211" s="83"/>
      <c r="HO211" s="83"/>
      <c r="HP211" s="83"/>
      <c r="HQ211" s="83"/>
      <c r="HR211" s="83"/>
      <c r="HS211" s="83"/>
      <c r="HT211" s="83"/>
      <c r="HU211" s="83"/>
      <c r="HV211" s="83"/>
      <c r="HW211" s="83"/>
      <c r="HX211" s="83"/>
      <c r="HY211" s="83"/>
      <c r="HZ211" s="83"/>
      <c r="IA211" s="83"/>
      <c r="IB211" s="83"/>
      <c r="IC211" s="83"/>
      <c r="ID211" s="83"/>
      <c r="IE211" s="83"/>
      <c r="IF211" s="83"/>
      <c r="IG211" s="83"/>
    </row>
    <row r="212" spans="1:241" x14ac:dyDescent="0.3">
      <c r="A212" s="83"/>
      <c r="B212" s="1"/>
      <c r="C212" s="1"/>
      <c r="D212" s="1"/>
      <c r="E212" s="1"/>
      <c r="F212" s="1"/>
      <c r="G212" s="1"/>
      <c r="H212" s="1"/>
      <c r="I212" s="1"/>
      <c r="J212" s="1"/>
      <c r="K212" s="1"/>
      <c r="L212" s="1"/>
      <c r="M212" s="1"/>
      <c r="N212" s="1"/>
      <c r="O212" s="1"/>
      <c r="P212" s="1"/>
      <c r="Q212" s="1"/>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c r="DD212" s="83"/>
      <c r="DE212" s="83"/>
      <c r="DF212" s="83"/>
      <c r="DG212" s="83"/>
      <c r="DH212" s="83"/>
      <c r="DI212" s="83"/>
      <c r="DJ212" s="83"/>
      <c r="DK212" s="83"/>
      <c r="DL212" s="83"/>
      <c r="DM212" s="83"/>
      <c r="DN212" s="83"/>
      <c r="DO212" s="83"/>
      <c r="DP212" s="83"/>
      <c r="DQ212" s="83"/>
      <c r="DR212" s="83"/>
      <c r="DS212" s="83"/>
      <c r="DT212" s="83"/>
      <c r="DU212" s="83"/>
      <c r="DV212" s="83"/>
      <c r="DW212" s="83"/>
      <c r="DX212" s="83"/>
      <c r="DY212" s="83"/>
      <c r="DZ212" s="83"/>
      <c r="EA212" s="83"/>
      <c r="EB212" s="83"/>
      <c r="EC212" s="83"/>
      <c r="ED212" s="83"/>
      <c r="EE212" s="83"/>
      <c r="EF212" s="83"/>
      <c r="EG212" s="83"/>
      <c r="EH212" s="83"/>
      <c r="EI212" s="83"/>
      <c r="EJ212" s="83"/>
      <c r="EK212" s="83"/>
      <c r="EL212" s="83"/>
      <c r="EM212" s="83"/>
      <c r="EN212" s="83"/>
      <c r="EO212" s="83"/>
      <c r="EP212" s="83"/>
      <c r="EQ212" s="83"/>
      <c r="ER212" s="83"/>
      <c r="ES212" s="83"/>
      <c r="ET212" s="83"/>
      <c r="EU212" s="83"/>
      <c r="EV212" s="83"/>
      <c r="EW212" s="83"/>
      <c r="EX212" s="83"/>
      <c r="EY212" s="83"/>
      <c r="EZ212" s="83"/>
      <c r="FA212" s="83"/>
      <c r="FB212" s="83"/>
      <c r="FC212" s="83"/>
      <c r="FD212" s="83"/>
      <c r="FE212" s="83"/>
      <c r="FF212" s="83"/>
      <c r="FG212" s="83"/>
      <c r="FH212" s="83"/>
      <c r="FI212" s="83"/>
      <c r="FJ212" s="83"/>
      <c r="FK212" s="83"/>
      <c r="FL212" s="83"/>
      <c r="FM212" s="83"/>
      <c r="FN212" s="83"/>
      <c r="FO212" s="83"/>
      <c r="FP212" s="83"/>
      <c r="FQ212" s="83"/>
      <c r="FR212" s="83"/>
      <c r="FS212" s="83"/>
      <c r="FT212" s="83"/>
      <c r="FU212" s="83"/>
      <c r="FV212" s="83"/>
      <c r="FW212" s="83"/>
      <c r="FX212" s="83"/>
      <c r="FY212" s="83"/>
      <c r="FZ212" s="83"/>
      <c r="GA212" s="83"/>
      <c r="GB212" s="83"/>
      <c r="GC212" s="83"/>
      <c r="GD212" s="83"/>
      <c r="GE212" s="83"/>
      <c r="GF212" s="83"/>
      <c r="GG212" s="83"/>
      <c r="GH212" s="83"/>
      <c r="GI212" s="83"/>
      <c r="GJ212" s="83"/>
      <c r="GK212" s="83"/>
      <c r="GL212" s="83"/>
      <c r="GM212" s="83"/>
      <c r="GN212" s="83"/>
      <c r="GO212" s="83"/>
      <c r="GP212" s="83"/>
      <c r="GQ212" s="83"/>
      <c r="GR212" s="83"/>
      <c r="GS212" s="83"/>
      <c r="GT212" s="83"/>
      <c r="GU212" s="83"/>
      <c r="GV212" s="83"/>
      <c r="GW212" s="83"/>
      <c r="GX212" s="83"/>
      <c r="GY212" s="83"/>
      <c r="GZ212" s="83"/>
      <c r="HA212" s="83"/>
      <c r="HB212" s="83"/>
      <c r="HC212" s="83"/>
      <c r="HD212" s="83"/>
      <c r="HE212" s="83"/>
      <c r="HF212" s="83"/>
      <c r="HG212" s="83"/>
      <c r="HH212" s="83"/>
      <c r="HI212" s="83"/>
      <c r="HJ212" s="83"/>
      <c r="HK212" s="83"/>
      <c r="HL212" s="83"/>
      <c r="HM212" s="83"/>
      <c r="HN212" s="83"/>
      <c r="HO212" s="83"/>
      <c r="HP212" s="83"/>
      <c r="HQ212" s="83"/>
      <c r="HR212" s="83"/>
      <c r="HS212" s="83"/>
      <c r="HT212" s="83"/>
      <c r="HU212" s="83"/>
      <c r="HV212" s="83"/>
      <c r="HW212" s="83"/>
      <c r="HX212" s="83"/>
      <c r="HY212" s="83"/>
      <c r="HZ212" s="83"/>
      <c r="IA212" s="83"/>
      <c r="IB212" s="83"/>
      <c r="IC212" s="83"/>
      <c r="ID212" s="83"/>
      <c r="IE212" s="83"/>
      <c r="IF212" s="83"/>
      <c r="IG212" s="83"/>
    </row>
    <row r="213" spans="1:241" x14ac:dyDescent="0.3">
      <c r="A213" s="83"/>
      <c r="B213" s="2" t="s">
        <v>259</v>
      </c>
      <c r="C213" s="1"/>
      <c r="D213" s="1"/>
      <c r="E213" s="1"/>
      <c r="F213" s="1"/>
      <c r="G213" s="1"/>
      <c r="H213" s="1"/>
      <c r="I213" s="1"/>
      <c r="J213" s="1"/>
      <c r="K213" s="1"/>
      <c r="L213" s="52"/>
      <c r="M213" s="52"/>
      <c r="N213" s="1"/>
      <c r="O213" s="1"/>
      <c r="P213" s="1"/>
      <c r="Q213" s="1"/>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c r="DD213" s="83"/>
      <c r="DE213" s="83"/>
      <c r="DF213" s="83"/>
      <c r="DG213" s="83"/>
      <c r="DH213" s="83"/>
      <c r="DI213" s="83"/>
      <c r="DJ213" s="83"/>
      <c r="DK213" s="83"/>
      <c r="DL213" s="83"/>
      <c r="DM213" s="83"/>
      <c r="DN213" s="83"/>
      <c r="DO213" s="83"/>
      <c r="DP213" s="83"/>
      <c r="DQ213" s="83"/>
      <c r="DR213" s="83"/>
      <c r="DS213" s="83"/>
      <c r="DT213" s="83"/>
      <c r="DU213" s="83"/>
      <c r="DV213" s="83"/>
      <c r="DW213" s="83"/>
      <c r="DX213" s="83"/>
      <c r="DY213" s="83"/>
      <c r="DZ213" s="83"/>
      <c r="EA213" s="83"/>
      <c r="EB213" s="83"/>
      <c r="EC213" s="83"/>
      <c r="ED213" s="83"/>
      <c r="EE213" s="83"/>
      <c r="EF213" s="83"/>
      <c r="EG213" s="83"/>
      <c r="EH213" s="83"/>
      <c r="EI213" s="83"/>
      <c r="EJ213" s="83"/>
      <c r="EK213" s="83"/>
      <c r="EL213" s="83"/>
      <c r="EM213" s="83"/>
      <c r="EN213" s="83"/>
      <c r="EO213" s="83"/>
      <c r="EP213" s="83"/>
      <c r="EQ213" s="83"/>
      <c r="ER213" s="83"/>
      <c r="ES213" s="83"/>
      <c r="ET213" s="83"/>
      <c r="EU213" s="83"/>
      <c r="EV213" s="83"/>
      <c r="EW213" s="83"/>
      <c r="EX213" s="83"/>
      <c r="EY213" s="83"/>
      <c r="EZ213" s="83"/>
      <c r="FA213" s="83"/>
      <c r="FB213" s="83"/>
      <c r="FC213" s="83"/>
      <c r="FD213" s="83"/>
      <c r="FE213" s="83"/>
      <c r="FF213" s="83"/>
      <c r="FG213" s="83"/>
      <c r="FH213" s="83"/>
      <c r="FI213" s="83"/>
      <c r="FJ213" s="83"/>
      <c r="FK213" s="83"/>
      <c r="FL213" s="83"/>
      <c r="FM213" s="83"/>
      <c r="FN213" s="83"/>
      <c r="FO213" s="83"/>
      <c r="FP213" s="83"/>
      <c r="FQ213" s="83"/>
      <c r="FR213" s="83"/>
      <c r="FS213" s="83"/>
      <c r="FT213" s="83"/>
      <c r="FU213" s="83"/>
      <c r="FV213" s="83"/>
      <c r="FW213" s="83"/>
      <c r="FX213" s="83"/>
      <c r="FY213" s="83"/>
      <c r="FZ213" s="83"/>
      <c r="GA213" s="83"/>
      <c r="GB213" s="83"/>
      <c r="GC213" s="83"/>
      <c r="GD213" s="83"/>
      <c r="GE213" s="83"/>
      <c r="GF213" s="83"/>
      <c r="GG213" s="83"/>
      <c r="GH213" s="83"/>
      <c r="GI213" s="83"/>
      <c r="GJ213" s="83"/>
      <c r="GK213" s="83"/>
      <c r="GL213" s="83"/>
      <c r="GM213" s="83"/>
      <c r="GN213" s="83"/>
      <c r="GO213" s="83"/>
      <c r="GP213" s="83"/>
      <c r="GQ213" s="83"/>
      <c r="GR213" s="83"/>
      <c r="GS213" s="83"/>
      <c r="GT213" s="83"/>
      <c r="GU213" s="83"/>
      <c r="GV213" s="83"/>
      <c r="GW213" s="83"/>
      <c r="GX213" s="83"/>
      <c r="GY213" s="83"/>
      <c r="GZ213" s="83"/>
      <c r="HA213" s="83"/>
      <c r="HB213" s="83"/>
      <c r="HC213" s="83"/>
      <c r="HD213" s="83"/>
      <c r="HE213" s="83"/>
      <c r="HF213" s="83"/>
      <c r="HG213" s="83"/>
      <c r="HH213" s="83"/>
      <c r="HI213" s="83"/>
      <c r="HJ213" s="83"/>
      <c r="HK213" s="83"/>
      <c r="HL213" s="83"/>
      <c r="HM213" s="83"/>
      <c r="HN213" s="83"/>
      <c r="HO213" s="83"/>
      <c r="HP213" s="83"/>
      <c r="HQ213" s="83"/>
      <c r="HR213" s="83"/>
      <c r="HS213" s="83"/>
      <c r="HT213" s="83"/>
      <c r="HU213" s="83"/>
      <c r="HV213" s="83"/>
      <c r="HW213" s="83"/>
      <c r="HX213" s="83"/>
      <c r="HY213" s="83"/>
      <c r="HZ213" s="83"/>
      <c r="IA213" s="83"/>
      <c r="IB213" s="83"/>
      <c r="IC213" s="83"/>
      <c r="ID213" s="83"/>
      <c r="IE213" s="83"/>
      <c r="IF213" s="83"/>
      <c r="IG213" s="83"/>
    </row>
    <row r="214" spans="1:241" x14ac:dyDescent="0.3">
      <c r="A214" s="83"/>
      <c r="B214" s="7"/>
      <c r="C214" s="49"/>
      <c r="D214" s="49"/>
      <c r="E214" s="49"/>
      <c r="F214" s="49"/>
      <c r="G214" s="49"/>
      <c r="H214" s="49"/>
      <c r="I214" s="49"/>
      <c r="J214" s="49"/>
      <c r="K214" s="51"/>
      <c r="L214" s="52"/>
      <c r="M214" s="52"/>
      <c r="N214" s="1"/>
      <c r="O214" s="1"/>
      <c r="P214" s="1"/>
      <c r="Q214" s="1"/>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c r="DD214" s="83"/>
      <c r="DE214" s="83"/>
      <c r="DF214" s="83"/>
      <c r="DG214" s="83"/>
      <c r="DH214" s="83"/>
      <c r="DI214" s="83"/>
      <c r="DJ214" s="83"/>
      <c r="DK214" s="83"/>
      <c r="DL214" s="83"/>
      <c r="DM214" s="83"/>
      <c r="DN214" s="83"/>
      <c r="DO214" s="83"/>
      <c r="DP214" s="83"/>
      <c r="DQ214" s="83"/>
      <c r="DR214" s="83"/>
      <c r="DS214" s="83"/>
      <c r="DT214" s="83"/>
      <c r="DU214" s="83"/>
      <c r="DV214" s="83"/>
      <c r="DW214" s="83"/>
      <c r="DX214" s="83"/>
      <c r="DY214" s="83"/>
      <c r="DZ214" s="83"/>
      <c r="EA214" s="83"/>
      <c r="EB214" s="83"/>
      <c r="EC214" s="83"/>
      <c r="ED214" s="83"/>
      <c r="EE214" s="83"/>
      <c r="EF214" s="83"/>
      <c r="EG214" s="83"/>
      <c r="EH214" s="83"/>
      <c r="EI214" s="83"/>
      <c r="EJ214" s="83"/>
      <c r="EK214" s="83"/>
      <c r="EL214" s="83"/>
      <c r="EM214" s="83"/>
      <c r="EN214" s="83"/>
      <c r="EO214" s="83"/>
      <c r="EP214" s="83"/>
      <c r="EQ214" s="83"/>
      <c r="ER214" s="83"/>
      <c r="ES214" s="83"/>
      <c r="ET214" s="83"/>
      <c r="EU214" s="83"/>
      <c r="EV214" s="83"/>
      <c r="EW214" s="83"/>
      <c r="EX214" s="83"/>
      <c r="EY214" s="83"/>
      <c r="EZ214" s="83"/>
      <c r="FA214" s="83"/>
      <c r="FB214" s="83"/>
      <c r="FC214" s="83"/>
      <c r="FD214" s="83"/>
      <c r="FE214" s="83"/>
      <c r="FF214" s="83"/>
      <c r="FG214" s="83"/>
      <c r="FH214" s="83"/>
      <c r="FI214" s="83"/>
      <c r="FJ214" s="83"/>
      <c r="FK214" s="83"/>
      <c r="FL214" s="83"/>
      <c r="FM214" s="83"/>
      <c r="FN214" s="83"/>
      <c r="FO214" s="83"/>
      <c r="FP214" s="83"/>
      <c r="FQ214" s="83"/>
      <c r="FR214" s="83"/>
      <c r="FS214" s="83"/>
      <c r="FT214" s="83"/>
      <c r="FU214" s="83"/>
      <c r="FV214" s="83"/>
      <c r="FW214" s="83"/>
      <c r="FX214" s="83"/>
      <c r="FY214" s="83"/>
      <c r="FZ214" s="83"/>
      <c r="GA214" s="83"/>
      <c r="GB214" s="83"/>
      <c r="GC214" s="83"/>
      <c r="GD214" s="83"/>
      <c r="GE214" s="83"/>
      <c r="GF214" s="83"/>
      <c r="GG214" s="83"/>
      <c r="GH214" s="83"/>
      <c r="GI214" s="83"/>
      <c r="GJ214" s="83"/>
      <c r="GK214" s="83"/>
      <c r="GL214" s="83"/>
      <c r="GM214" s="83"/>
      <c r="GN214" s="83"/>
      <c r="GO214" s="83"/>
      <c r="GP214" s="83"/>
      <c r="GQ214" s="83"/>
      <c r="GR214" s="83"/>
      <c r="GS214" s="83"/>
      <c r="GT214" s="83"/>
      <c r="GU214" s="83"/>
      <c r="GV214" s="83"/>
      <c r="GW214" s="83"/>
      <c r="GX214" s="83"/>
      <c r="GY214" s="83"/>
      <c r="GZ214" s="83"/>
      <c r="HA214" s="83"/>
      <c r="HB214" s="83"/>
      <c r="HC214" s="83"/>
      <c r="HD214" s="83"/>
      <c r="HE214" s="83"/>
      <c r="HF214" s="83"/>
      <c r="HG214" s="83"/>
      <c r="HH214" s="83"/>
      <c r="HI214" s="83"/>
      <c r="HJ214" s="83"/>
      <c r="HK214" s="83"/>
      <c r="HL214" s="83"/>
      <c r="HM214" s="83"/>
      <c r="HN214" s="83"/>
      <c r="HO214" s="83"/>
      <c r="HP214" s="83"/>
      <c r="HQ214" s="83"/>
      <c r="HR214" s="83"/>
      <c r="HS214" s="83"/>
      <c r="HT214" s="83"/>
      <c r="HU214" s="83"/>
      <c r="HV214" s="83"/>
      <c r="HW214" s="83"/>
      <c r="HX214" s="83"/>
      <c r="HY214" s="83"/>
      <c r="HZ214" s="83"/>
      <c r="IA214" s="83"/>
      <c r="IB214" s="83"/>
      <c r="IC214" s="83"/>
      <c r="ID214" s="83"/>
      <c r="IE214" s="83"/>
      <c r="IF214" s="83"/>
      <c r="IG214" s="83"/>
    </row>
    <row r="215" spans="1:241" ht="15.6" x14ac:dyDescent="0.35">
      <c r="A215" s="83"/>
      <c r="B215" s="53" t="s">
        <v>179</v>
      </c>
      <c r="C215" s="18" t="s">
        <v>1</v>
      </c>
      <c r="D215" s="18" t="s">
        <v>2</v>
      </c>
      <c r="E215" s="18" t="s">
        <v>3</v>
      </c>
      <c r="F215" s="18" t="s">
        <v>180</v>
      </c>
      <c r="G215" s="18" t="s">
        <v>181</v>
      </c>
      <c r="H215" s="18" t="s">
        <v>65</v>
      </c>
      <c r="I215" s="18" t="s">
        <v>60</v>
      </c>
      <c r="J215" s="18" t="s">
        <v>61</v>
      </c>
      <c r="K215" s="21" t="s">
        <v>62</v>
      </c>
      <c r="L215" s="1"/>
      <c r="M215" s="1"/>
      <c r="N215" s="1"/>
      <c r="O215" s="1"/>
      <c r="P215" s="1"/>
      <c r="Q215" s="1"/>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c r="DD215" s="83"/>
      <c r="DE215" s="83"/>
      <c r="DF215" s="83"/>
      <c r="DG215" s="83"/>
      <c r="DH215" s="83"/>
      <c r="DI215" s="83"/>
      <c r="DJ215" s="83"/>
      <c r="DK215" s="83"/>
      <c r="DL215" s="83"/>
      <c r="DM215" s="83"/>
      <c r="DN215" s="83"/>
      <c r="DO215" s="83"/>
      <c r="DP215" s="83"/>
      <c r="DQ215" s="83"/>
      <c r="DR215" s="83"/>
      <c r="DS215" s="83"/>
      <c r="DT215" s="83"/>
      <c r="DU215" s="83"/>
      <c r="DV215" s="83"/>
      <c r="DW215" s="83"/>
      <c r="DX215" s="83"/>
      <c r="DY215" s="83"/>
      <c r="DZ215" s="83"/>
      <c r="EA215" s="83"/>
      <c r="EB215" s="83"/>
      <c r="EC215" s="83"/>
      <c r="ED215" s="83"/>
      <c r="EE215" s="83"/>
      <c r="EF215" s="83"/>
      <c r="EG215" s="83"/>
      <c r="EH215" s="83"/>
      <c r="EI215" s="83"/>
      <c r="EJ215" s="83"/>
      <c r="EK215" s="83"/>
      <c r="EL215" s="83"/>
      <c r="EM215" s="83"/>
      <c r="EN215" s="83"/>
      <c r="EO215" s="83"/>
      <c r="EP215" s="83"/>
      <c r="EQ215" s="83"/>
      <c r="ER215" s="83"/>
      <c r="ES215" s="83"/>
      <c r="ET215" s="83"/>
      <c r="EU215" s="83"/>
      <c r="EV215" s="83"/>
      <c r="EW215" s="83"/>
      <c r="EX215" s="83"/>
      <c r="EY215" s="83"/>
      <c r="EZ215" s="83"/>
      <c r="FA215" s="83"/>
      <c r="FB215" s="83"/>
      <c r="FC215" s="83"/>
      <c r="FD215" s="83"/>
      <c r="FE215" s="83"/>
      <c r="FF215" s="83"/>
      <c r="FG215" s="83"/>
      <c r="FH215" s="83"/>
      <c r="FI215" s="83"/>
      <c r="FJ215" s="83"/>
      <c r="FK215" s="83"/>
      <c r="FL215" s="83"/>
      <c r="FM215" s="83"/>
      <c r="FN215" s="83"/>
      <c r="FO215" s="83"/>
      <c r="FP215" s="83"/>
      <c r="FQ215" s="83"/>
      <c r="FR215" s="83"/>
      <c r="FS215" s="83"/>
      <c r="FT215" s="83"/>
      <c r="FU215" s="83"/>
      <c r="FV215" s="83"/>
      <c r="FW215" s="83"/>
      <c r="FX215" s="83"/>
      <c r="FY215" s="83"/>
      <c r="FZ215" s="83"/>
      <c r="GA215" s="83"/>
      <c r="GB215" s="83"/>
      <c r="GC215" s="83"/>
      <c r="GD215" s="83"/>
      <c r="GE215" s="83"/>
      <c r="GF215" s="83"/>
      <c r="GG215" s="83"/>
      <c r="GH215" s="83"/>
      <c r="GI215" s="83"/>
      <c r="GJ215" s="83"/>
      <c r="GK215" s="83"/>
      <c r="GL215" s="83"/>
      <c r="GM215" s="83"/>
      <c r="GN215" s="83"/>
      <c r="GO215" s="83"/>
      <c r="GP215" s="83"/>
      <c r="GQ215" s="83"/>
      <c r="GR215" s="83"/>
      <c r="GS215" s="83"/>
      <c r="GT215" s="83"/>
      <c r="GU215" s="83"/>
      <c r="GV215" s="83"/>
      <c r="GW215" s="83"/>
      <c r="GX215" s="83"/>
      <c r="GY215" s="83"/>
      <c r="GZ215" s="83"/>
      <c r="HA215" s="83"/>
      <c r="HB215" s="83"/>
      <c r="HC215" s="83"/>
      <c r="HD215" s="83"/>
      <c r="HE215" s="83"/>
      <c r="HF215" s="83"/>
      <c r="HG215" s="83"/>
      <c r="HH215" s="83"/>
      <c r="HI215" s="83"/>
      <c r="HJ215" s="83"/>
      <c r="HK215" s="83"/>
      <c r="HL215" s="83"/>
      <c r="HM215" s="83"/>
      <c r="HN215" s="83"/>
      <c r="HO215" s="83"/>
      <c r="HP215" s="83"/>
      <c r="HQ215" s="83"/>
      <c r="HR215" s="83"/>
      <c r="HS215" s="83"/>
      <c r="HT215" s="83"/>
      <c r="HU215" s="83"/>
      <c r="HV215" s="83"/>
      <c r="HW215" s="83"/>
      <c r="HX215" s="83"/>
      <c r="HY215" s="83"/>
      <c r="HZ215" s="83"/>
      <c r="IA215" s="83"/>
      <c r="IB215" s="83"/>
      <c r="IC215" s="83"/>
      <c r="ID215" s="83"/>
      <c r="IE215" s="83"/>
      <c r="IF215" s="83"/>
      <c r="IG215" s="83"/>
    </row>
    <row r="216" spans="1:241" x14ac:dyDescent="0.3">
      <c r="A216" s="83"/>
      <c r="B216" s="7" t="s">
        <v>182</v>
      </c>
      <c r="C216" s="8">
        <v>3.8751000000000002</v>
      </c>
      <c r="D216" s="8">
        <v>0.33279999999999998</v>
      </c>
      <c r="E216" s="8">
        <v>0.19009999999999999</v>
      </c>
      <c r="F216" s="8">
        <v>1</v>
      </c>
      <c r="G216" s="8">
        <v>100</v>
      </c>
      <c r="H216" s="8">
        <v>320</v>
      </c>
      <c r="I216" s="8">
        <v>0.1578</v>
      </c>
      <c r="J216" s="8">
        <v>-0.29920000000000002</v>
      </c>
      <c r="K216" s="9">
        <v>0.14130000000000001</v>
      </c>
      <c r="L216" s="1"/>
      <c r="M216" s="1"/>
      <c r="N216" s="1"/>
      <c r="O216" s="1"/>
      <c r="P216" s="1"/>
      <c r="Q216" s="1"/>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c r="DD216" s="83"/>
      <c r="DE216" s="83"/>
      <c r="DF216" s="83"/>
      <c r="DG216" s="83"/>
      <c r="DH216" s="83"/>
      <c r="DI216" s="83"/>
      <c r="DJ216" s="83"/>
      <c r="DK216" s="83"/>
      <c r="DL216" s="83"/>
      <c r="DM216" s="83"/>
      <c r="DN216" s="83"/>
      <c r="DO216" s="83"/>
      <c r="DP216" s="83"/>
      <c r="DQ216" s="83"/>
      <c r="DR216" s="83"/>
      <c r="DS216" s="83"/>
      <c r="DT216" s="83"/>
      <c r="DU216" s="83"/>
      <c r="DV216" s="83"/>
      <c r="DW216" s="83"/>
      <c r="DX216" s="83"/>
      <c r="DY216" s="83"/>
      <c r="DZ216" s="83"/>
      <c r="EA216" s="83"/>
      <c r="EB216" s="83"/>
      <c r="EC216" s="83"/>
      <c r="ED216" s="83"/>
      <c r="EE216" s="83"/>
      <c r="EF216" s="83"/>
      <c r="EG216" s="83"/>
      <c r="EH216" s="83"/>
      <c r="EI216" s="83"/>
      <c r="EJ216" s="83"/>
      <c r="EK216" s="83"/>
      <c r="EL216" s="83"/>
      <c r="EM216" s="83"/>
      <c r="EN216" s="83"/>
      <c r="EO216" s="83"/>
      <c r="EP216" s="83"/>
      <c r="EQ216" s="83"/>
      <c r="ER216" s="83"/>
      <c r="ES216" s="83"/>
      <c r="ET216" s="83"/>
      <c r="EU216" s="83"/>
      <c r="EV216" s="83"/>
      <c r="EW216" s="83"/>
      <c r="EX216" s="83"/>
      <c r="EY216" s="83"/>
      <c r="EZ216" s="83"/>
      <c r="FA216" s="83"/>
      <c r="FB216" s="83"/>
      <c r="FC216" s="83"/>
      <c r="FD216" s="83"/>
      <c r="FE216" s="83"/>
      <c r="FF216" s="83"/>
      <c r="FG216" s="83"/>
      <c r="FH216" s="83"/>
      <c r="FI216" s="83"/>
      <c r="FJ216" s="83"/>
      <c r="FK216" s="83"/>
      <c r="FL216" s="83"/>
      <c r="FM216" s="83"/>
      <c r="FN216" s="83"/>
      <c r="FO216" s="83"/>
      <c r="FP216" s="83"/>
      <c r="FQ216" s="83"/>
      <c r="FR216" s="83"/>
      <c r="FS216" s="83"/>
      <c r="FT216" s="83"/>
      <c r="FU216" s="83"/>
      <c r="FV216" s="83"/>
      <c r="FW216" s="83"/>
      <c r="FX216" s="83"/>
      <c r="FY216" s="83"/>
      <c r="FZ216" s="83"/>
      <c r="GA216" s="83"/>
      <c r="GB216" s="83"/>
      <c r="GC216" s="83"/>
      <c r="GD216" s="83"/>
      <c r="GE216" s="83"/>
      <c r="GF216" s="83"/>
      <c r="GG216" s="83"/>
      <c r="GH216" s="83"/>
      <c r="GI216" s="83"/>
      <c r="GJ216" s="83"/>
      <c r="GK216" s="83"/>
      <c r="GL216" s="83"/>
      <c r="GM216" s="83"/>
      <c r="GN216" s="83"/>
      <c r="GO216" s="83"/>
      <c r="GP216" s="83"/>
      <c r="GQ216" s="83"/>
      <c r="GR216" s="83"/>
      <c r="GS216" s="83"/>
      <c r="GT216" s="83"/>
      <c r="GU216" s="83"/>
      <c r="GV216" s="83"/>
      <c r="GW216" s="83"/>
      <c r="GX216" s="83"/>
      <c r="GY216" s="83"/>
      <c r="GZ216" s="83"/>
      <c r="HA216" s="83"/>
      <c r="HB216" s="83"/>
      <c r="HC216" s="83"/>
      <c r="HD216" s="83"/>
      <c r="HE216" s="83"/>
      <c r="HF216" s="83"/>
      <c r="HG216" s="83"/>
      <c r="HH216" s="83"/>
      <c r="HI216" s="83"/>
      <c r="HJ216" s="83"/>
      <c r="HK216" s="83"/>
      <c r="HL216" s="83"/>
      <c r="HM216" s="83"/>
      <c r="HN216" s="83"/>
      <c r="HO216" s="83"/>
      <c r="HP216" s="83"/>
      <c r="HQ216" s="83"/>
      <c r="HR216" s="83"/>
      <c r="HS216" s="83"/>
      <c r="HT216" s="83"/>
      <c r="HU216" s="83"/>
      <c r="HV216" s="83"/>
      <c r="HW216" s="83"/>
      <c r="HX216" s="83"/>
      <c r="HY216" s="83"/>
      <c r="HZ216" s="83"/>
      <c r="IA216" s="83"/>
      <c r="IB216" s="83"/>
      <c r="IC216" s="83"/>
      <c r="ID216" s="83"/>
      <c r="IE216" s="83"/>
      <c r="IF216" s="83"/>
      <c r="IG216" s="83"/>
    </row>
    <row r="217" spans="1:241" x14ac:dyDescent="0.3">
      <c r="A217" s="83"/>
      <c r="B217" s="12" t="s">
        <v>183</v>
      </c>
      <c r="C217" s="13">
        <v>4.0380000000000003</v>
      </c>
      <c r="D217" s="13">
        <v>9.1420000000000001E-2</v>
      </c>
      <c r="E217" s="13">
        <v>0.27660000000000001</v>
      </c>
      <c r="F217" s="13">
        <v>1</v>
      </c>
      <c r="G217" s="13">
        <v>100</v>
      </c>
      <c r="H217" s="13">
        <v>320</v>
      </c>
      <c r="I217" s="13">
        <v>0.1578</v>
      </c>
      <c r="J217" s="13">
        <v>-0.29920000000000002</v>
      </c>
      <c r="K217" s="16">
        <v>0.14130000000000001</v>
      </c>
      <c r="L217" s="1"/>
      <c r="M217" s="1"/>
      <c r="N217" s="1"/>
      <c r="O217" s="1"/>
      <c r="P217" s="1"/>
      <c r="Q217" s="1"/>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c r="DD217" s="83"/>
      <c r="DE217" s="83"/>
      <c r="DF217" s="83"/>
      <c r="DG217" s="83"/>
      <c r="DH217" s="83"/>
      <c r="DI217" s="83"/>
      <c r="DJ217" s="83"/>
      <c r="DK217" s="83"/>
      <c r="DL217" s="83"/>
      <c r="DM217" s="83"/>
      <c r="DN217" s="83"/>
      <c r="DO217" s="83"/>
      <c r="DP217" s="83"/>
      <c r="DQ217" s="83"/>
      <c r="DR217" s="83"/>
      <c r="DS217" s="83"/>
      <c r="DT217" s="83"/>
      <c r="DU217" s="83"/>
      <c r="DV217" s="83"/>
      <c r="DW217" s="83"/>
      <c r="DX217" s="83"/>
      <c r="DY217" s="83"/>
      <c r="DZ217" s="83"/>
      <c r="EA217" s="83"/>
      <c r="EB217" s="83"/>
      <c r="EC217" s="83"/>
      <c r="ED217" s="83"/>
      <c r="EE217" s="83"/>
      <c r="EF217" s="83"/>
      <c r="EG217" s="83"/>
      <c r="EH217" s="83"/>
      <c r="EI217" s="83"/>
      <c r="EJ217" s="83"/>
      <c r="EK217" s="83"/>
      <c r="EL217" s="83"/>
      <c r="EM217" s="83"/>
      <c r="EN217" s="83"/>
      <c r="EO217" s="83"/>
      <c r="EP217" s="83"/>
      <c r="EQ217" s="83"/>
      <c r="ER217" s="83"/>
      <c r="ES217" s="83"/>
      <c r="ET217" s="83"/>
      <c r="EU217" s="83"/>
      <c r="EV217" s="83"/>
      <c r="EW217" s="83"/>
      <c r="EX217" s="83"/>
      <c r="EY217" s="83"/>
      <c r="EZ217" s="83"/>
      <c r="FA217" s="83"/>
      <c r="FB217" s="83"/>
      <c r="FC217" s="83"/>
      <c r="FD217" s="83"/>
      <c r="FE217" s="83"/>
      <c r="FF217" s="83"/>
      <c r="FG217" s="83"/>
      <c r="FH217" s="83"/>
      <c r="FI217" s="83"/>
      <c r="FJ217" s="83"/>
      <c r="FK217" s="83"/>
      <c r="FL217" s="83"/>
      <c r="FM217" s="83"/>
      <c r="FN217" s="83"/>
      <c r="FO217" s="83"/>
      <c r="FP217" s="83"/>
      <c r="FQ217" s="83"/>
      <c r="FR217" s="83"/>
      <c r="FS217" s="83"/>
      <c r="FT217" s="83"/>
      <c r="FU217" s="83"/>
      <c r="FV217" s="83"/>
      <c r="FW217" s="83"/>
      <c r="FX217" s="83"/>
      <c r="FY217" s="83"/>
      <c r="FZ217" s="83"/>
      <c r="GA217" s="83"/>
      <c r="GB217" s="83"/>
      <c r="GC217" s="83"/>
      <c r="GD217" s="83"/>
      <c r="GE217" s="83"/>
      <c r="GF217" s="83"/>
      <c r="GG217" s="83"/>
      <c r="GH217" s="83"/>
      <c r="GI217" s="83"/>
      <c r="GJ217" s="83"/>
      <c r="GK217" s="83"/>
      <c r="GL217" s="83"/>
      <c r="GM217" s="83"/>
      <c r="GN217" s="83"/>
      <c r="GO217" s="83"/>
      <c r="GP217" s="83"/>
      <c r="GQ217" s="83"/>
      <c r="GR217" s="83"/>
      <c r="GS217" s="83"/>
      <c r="GT217" s="83"/>
      <c r="GU217" s="83"/>
      <c r="GV217" s="83"/>
      <c r="GW217" s="83"/>
      <c r="GX217" s="83"/>
      <c r="GY217" s="83"/>
      <c r="GZ217" s="83"/>
      <c r="HA217" s="83"/>
      <c r="HB217" s="83"/>
      <c r="HC217" s="83"/>
      <c r="HD217" s="83"/>
      <c r="HE217" s="83"/>
      <c r="HF217" s="83"/>
      <c r="HG217" s="83"/>
      <c r="HH217" s="83"/>
      <c r="HI217" s="83"/>
      <c r="HJ217" s="83"/>
      <c r="HK217" s="83"/>
      <c r="HL217" s="83"/>
      <c r="HM217" s="83"/>
      <c r="HN217" s="83"/>
      <c r="HO217" s="83"/>
      <c r="HP217" s="83"/>
      <c r="HQ217" s="83"/>
      <c r="HR217" s="83"/>
      <c r="HS217" s="83"/>
      <c r="HT217" s="83"/>
      <c r="HU217" s="83"/>
      <c r="HV217" s="83"/>
      <c r="HW217" s="83"/>
      <c r="HX217" s="83"/>
      <c r="HY217" s="83"/>
      <c r="HZ217" s="83"/>
      <c r="IA217" s="83"/>
      <c r="IB217" s="83"/>
      <c r="IC217" s="83"/>
      <c r="ID217" s="83"/>
      <c r="IE217" s="83"/>
      <c r="IF217" s="83"/>
      <c r="IG217" s="83"/>
    </row>
    <row r="218" spans="1:241" x14ac:dyDescent="0.3">
      <c r="A218" s="83"/>
      <c r="B218" s="17" t="s">
        <v>184</v>
      </c>
      <c r="C218" s="18">
        <v>4.0380000000000003</v>
      </c>
      <c r="D218" s="18">
        <v>9.1420000000000001E-2</v>
      </c>
      <c r="E218" s="18">
        <v>0.27660000000000001</v>
      </c>
      <c r="F218" s="18">
        <v>1</v>
      </c>
      <c r="G218" s="18">
        <v>100</v>
      </c>
      <c r="H218" s="18">
        <v>320</v>
      </c>
      <c r="I218" s="18">
        <v>0.1578</v>
      </c>
      <c r="J218" s="18">
        <v>-0.29920000000000002</v>
      </c>
      <c r="K218" s="21">
        <v>0.14130000000000001</v>
      </c>
      <c r="L218" s="13"/>
      <c r="M218" s="1"/>
      <c r="N218" s="1"/>
      <c r="O218" s="1"/>
      <c r="P218" s="1"/>
      <c r="Q218" s="1"/>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c r="DD218" s="83"/>
      <c r="DE218" s="83"/>
      <c r="DF218" s="83"/>
      <c r="DG218" s="83"/>
      <c r="DH218" s="83"/>
      <c r="DI218" s="83"/>
      <c r="DJ218" s="83"/>
      <c r="DK218" s="83"/>
      <c r="DL218" s="83"/>
      <c r="DM218" s="83"/>
      <c r="DN218" s="83"/>
      <c r="DO218" s="83"/>
      <c r="DP218" s="83"/>
      <c r="DQ218" s="83"/>
      <c r="DR218" s="83"/>
      <c r="DS218" s="83"/>
      <c r="DT218" s="83"/>
      <c r="DU218" s="83"/>
      <c r="DV218" s="83"/>
      <c r="DW218" s="83"/>
      <c r="DX218" s="83"/>
      <c r="DY218" s="83"/>
      <c r="DZ218" s="83"/>
      <c r="EA218" s="83"/>
      <c r="EB218" s="83"/>
      <c r="EC218" s="83"/>
      <c r="ED218" s="83"/>
      <c r="EE218" s="83"/>
      <c r="EF218" s="83"/>
      <c r="EG218" s="83"/>
      <c r="EH218" s="83"/>
      <c r="EI218" s="83"/>
      <c r="EJ218" s="83"/>
      <c r="EK218" s="83"/>
      <c r="EL218" s="83"/>
      <c r="EM218" s="83"/>
      <c r="EN218" s="83"/>
      <c r="EO218" s="83"/>
      <c r="EP218" s="83"/>
      <c r="EQ218" s="83"/>
      <c r="ER218" s="83"/>
      <c r="ES218" s="83"/>
      <c r="ET218" s="83"/>
      <c r="EU218" s="83"/>
      <c r="EV218" s="83"/>
      <c r="EW218" s="83"/>
      <c r="EX218" s="83"/>
      <c r="EY218" s="83"/>
      <c r="EZ218" s="83"/>
      <c r="FA218" s="83"/>
      <c r="FB218" s="83"/>
      <c r="FC218" s="83"/>
      <c r="FD218" s="83"/>
      <c r="FE218" s="83"/>
      <c r="FF218" s="83"/>
      <c r="FG218" s="83"/>
      <c r="FH218" s="83"/>
      <c r="FI218" s="83"/>
      <c r="FJ218" s="83"/>
      <c r="FK218" s="83"/>
      <c r="FL218" s="83"/>
      <c r="FM218" s="83"/>
      <c r="FN218" s="83"/>
      <c r="FO218" s="83"/>
      <c r="FP218" s="83"/>
      <c r="FQ218" s="83"/>
      <c r="FR218" s="83"/>
      <c r="FS218" s="83"/>
      <c r="FT218" s="83"/>
      <c r="FU218" s="83"/>
      <c r="FV218" s="83"/>
      <c r="FW218" s="83"/>
      <c r="FX218" s="83"/>
      <c r="FY218" s="83"/>
      <c r="FZ218" s="83"/>
      <c r="GA218" s="83"/>
      <c r="GB218" s="83"/>
      <c r="GC218" s="83"/>
      <c r="GD218" s="83"/>
      <c r="GE218" s="83"/>
      <c r="GF218" s="83"/>
      <c r="GG218" s="83"/>
      <c r="GH218" s="83"/>
      <c r="GI218" s="83"/>
      <c r="GJ218" s="83"/>
      <c r="GK218" s="83"/>
      <c r="GL218" s="83"/>
      <c r="GM218" s="83"/>
      <c r="GN218" s="83"/>
      <c r="GO218" s="83"/>
      <c r="GP218" s="83"/>
      <c r="GQ218" s="83"/>
      <c r="GR218" s="83"/>
      <c r="GS218" s="83"/>
      <c r="GT218" s="83"/>
      <c r="GU218" s="83"/>
      <c r="GV218" s="83"/>
      <c r="GW218" s="83"/>
      <c r="GX218" s="83"/>
      <c r="GY218" s="83"/>
      <c r="GZ218" s="83"/>
      <c r="HA218" s="83"/>
      <c r="HB218" s="83"/>
      <c r="HC218" s="83"/>
      <c r="HD218" s="83"/>
      <c r="HE218" s="83"/>
      <c r="HF218" s="83"/>
      <c r="HG218" s="83"/>
      <c r="HH218" s="83"/>
      <c r="HI218" s="83"/>
      <c r="HJ218" s="83"/>
      <c r="HK218" s="83"/>
      <c r="HL218" s="83"/>
      <c r="HM218" s="83"/>
      <c r="HN218" s="83"/>
      <c r="HO218" s="83"/>
      <c r="HP218" s="83"/>
      <c r="HQ218" s="83"/>
      <c r="HR218" s="83"/>
      <c r="HS218" s="83"/>
      <c r="HT218" s="83"/>
      <c r="HU218" s="83"/>
      <c r="HV218" s="83"/>
      <c r="HW218" s="83"/>
      <c r="HX218" s="83"/>
      <c r="HY218" s="83"/>
      <c r="HZ218" s="83"/>
      <c r="IA218" s="83"/>
      <c r="IB218" s="83"/>
      <c r="IC218" s="83"/>
      <c r="ID218" s="83"/>
      <c r="IE218" s="83"/>
      <c r="IF218" s="83"/>
      <c r="IG218" s="83"/>
    </row>
    <row r="219" spans="1:241" x14ac:dyDescent="0.3">
      <c r="A219" s="83"/>
      <c r="B219" s="1"/>
      <c r="C219" s="1"/>
      <c r="D219" s="1"/>
      <c r="E219" s="1"/>
      <c r="F219" s="1"/>
      <c r="G219" s="1"/>
      <c r="H219" s="1"/>
      <c r="I219" s="1"/>
      <c r="J219" s="1"/>
      <c r="K219" s="1"/>
      <c r="L219" s="1"/>
      <c r="M219" s="1"/>
      <c r="N219" s="1"/>
      <c r="O219" s="1"/>
      <c r="P219" s="1"/>
      <c r="Q219" s="1"/>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c r="DD219" s="83"/>
      <c r="DE219" s="83"/>
      <c r="DF219" s="83"/>
      <c r="DG219" s="83"/>
      <c r="DH219" s="83"/>
      <c r="DI219" s="83"/>
      <c r="DJ219" s="83"/>
      <c r="DK219" s="83"/>
      <c r="DL219" s="83"/>
      <c r="DM219" s="83"/>
      <c r="DN219" s="83"/>
      <c r="DO219" s="83"/>
      <c r="DP219" s="83"/>
      <c r="DQ219" s="83"/>
      <c r="DR219" s="83"/>
      <c r="DS219" s="83"/>
      <c r="DT219" s="83"/>
      <c r="DU219" s="83"/>
      <c r="DV219" s="83"/>
      <c r="DW219" s="83"/>
      <c r="DX219" s="83"/>
      <c r="DY219" s="83"/>
      <c r="DZ219" s="83"/>
      <c r="EA219" s="83"/>
      <c r="EB219" s="83"/>
      <c r="EC219" s="83"/>
      <c r="ED219" s="83"/>
      <c r="EE219" s="83"/>
      <c r="EF219" s="83"/>
      <c r="EG219" s="83"/>
      <c r="EH219" s="83"/>
      <c r="EI219" s="83"/>
      <c r="EJ219" s="83"/>
      <c r="EK219" s="83"/>
      <c r="EL219" s="83"/>
      <c r="EM219" s="83"/>
      <c r="EN219" s="83"/>
      <c r="EO219" s="83"/>
      <c r="EP219" s="83"/>
      <c r="EQ219" s="83"/>
      <c r="ER219" s="83"/>
      <c r="ES219" s="83"/>
      <c r="ET219" s="83"/>
      <c r="EU219" s="83"/>
      <c r="EV219" s="83"/>
      <c r="EW219" s="83"/>
      <c r="EX219" s="83"/>
      <c r="EY219" s="83"/>
      <c r="EZ219" s="83"/>
      <c r="FA219" s="83"/>
      <c r="FB219" s="83"/>
      <c r="FC219" s="83"/>
      <c r="FD219" s="83"/>
      <c r="FE219" s="83"/>
      <c r="FF219" s="83"/>
      <c r="FG219" s="83"/>
      <c r="FH219" s="83"/>
      <c r="FI219" s="83"/>
      <c r="FJ219" s="83"/>
      <c r="FK219" s="83"/>
      <c r="FL219" s="83"/>
      <c r="FM219" s="83"/>
      <c r="FN219" s="83"/>
      <c r="FO219" s="83"/>
      <c r="FP219" s="83"/>
      <c r="FQ219" s="83"/>
      <c r="FR219" s="83"/>
      <c r="FS219" s="83"/>
      <c r="FT219" s="83"/>
      <c r="FU219" s="83"/>
      <c r="FV219" s="83"/>
      <c r="FW219" s="83"/>
      <c r="FX219" s="83"/>
      <c r="FY219" s="83"/>
      <c r="FZ219" s="83"/>
      <c r="GA219" s="83"/>
      <c r="GB219" s="83"/>
      <c r="GC219" s="83"/>
      <c r="GD219" s="83"/>
      <c r="GE219" s="83"/>
      <c r="GF219" s="83"/>
      <c r="GG219" s="83"/>
      <c r="GH219" s="83"/>
      <c r="GI219" s="83"/>
      <c r="GJ219" s="83"/>
      <c r="GK219" s="83"/>
      <c r="GL219" s="83"/>
      <c r="GM219" s="83"/>
      <c r="GN219" s="83"/>
      <c r="GO219" s="83"/>
      <c r="GP219" s="83"/>
      <c r="GQ219" s="83"/>
      <c r="GR219" s="83"/>
      <c r="GS219" s="83"/>
      <c r="GT219" s="83"/>
      <c r="GU219" s="83"/>
      <c r="GV219" s="83"/>
      <c r="GW219" s="83"/>
      <c r="GX219" s="83"/>
      <c r="GY219" s="83"/>
      <c r="GZ219" s="83"/>
      <c r="HA219" s="83"/>
      <c r="HB219" s="83"/>
      <c r="HC219" s="83"/>
      <c r="HD219" s="83"/>
      <c r="HE219" s="83"/>
      <c r="HF219" s="83"/>
      <c r="HG219" s="83"/>
      <c r="HH219" s="83"/>
      <c r="HI219" s="83"/>
      <c r="HJ219" s="83"/>
      <c r="HK219" s="83"/>
      <c r="HL219" s="83"/>
      <c r="HM219" s="83"/>
      <c r="HN219" s="83"/>
      <c r="HO219" s="83"/>
      <c r="HP219" s="83"/>
      <c r="HQ219" s="83"/>
      <c r="HR219" s="83"/>
      <c r="HS219" s="83"/>
      <c r="HT219" s="83"/>
      <c r="HU219" s="83"/>
      <c r="HV219" s="83"/>
      <c r="HW219" s="83"/>
      <c r="HX219" s="83"/>
      <c r="HY219" s="83"/>
      <c r="HZ219" s="83"/>
      <c r="IA219" s="83"/>
      <c r="IB219" s="83"/>
      <c r="IC219" s="83"/>
      <c r="ID219" s="83"/>
      <c r="IE219" s="83"/>
      <c r="IF219" s="83"/>
      <c r="IG219" s="83"/>
    </row>
    <row r="220" spans="1:241" ht="15.6" x14ac:dyDescent="0.35">
      <c r="A220" s="83"/>
      <c r="B220" s="7"/>
      <c r="C220" s="49"/>
      <c r="D220" s="49" t="s">
        <v>185</v>
      </c>
      <c r="E220" s="49"/>
      <c r="F220" s="49"/>
      <c r="G220" s="49"/>
      <c r="H220" s="49"/>
      <c r="I220" s="49"/>
      <c r="J220" s="49"/>
      <c r="K220" s="49"/>
      <c r="L220" s="51"/>
      <c r="M220" s="1"/>
      <c r="N220" s="1"/>
      <c r="O220" s="1"/>
      <c r="P220" s="1"/>
      <c r="Q220" s="1"/>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c r="DD220" s="83"/>
      <c r="DE220" s="83"/>
      <c r="DF220" s="83"/>
      <c r="DG220" s="83"/>
      <c r="DH220" s="83"/>
      <c r="DI220" s="83"/>
      <c r="DJ220" s="83"/>
      <c r="DK220" s="83"/>
      <c r="DL220" s="83"/>
      <c r="DM220" s="83"/>
      <c r="DN220" s="83"/>
      <c r="DO220" s="83"/>
      <c r="DP220" s="83"/>
      <c r="DQ220" s="83"/>
      <c r="DR220" s="83"/>
      <c r="DS220" s="83"/>
      <c r="DT220" s="83"/>
      <c r="DU220" s="83"/>
      <c r="DV220" s="83"/>
      <c r="DW220" s="83"/>
      <c r="DX220" s="83"/>
      <c r="DY220" s="83"/>
      <c r="DZ220" s="83"/>
      <c r="EA220" s="83"/>
      <c r="EB220" s="83"/>
      <c r="EC220" s="83"/>
      <c r="ED220" s="83"/>
      <c r="EE220" s="83"/>
      <c r="EF220" s="83"/>
      <c r="EG220" s="83"/>
      <c r="EH220" s="83"/>
      <c r="EI220" s="83"/>
      <c r="EJ220" s="83"/>
      <c r="EK220" s="83"/>
      <c r="EL220" s="83"/>
      <c r="EM220" s="83"/>
      <c r="EN220" s="83"/>
      <c r="EO220" s="83"/>
      <c r="EP220" s="83"/>
      <c r="EQ220" s="83"/>
      <c r="ER220" s="83"/>
      <c r="ES220" s="83"/>
      <c r="ET220" s="83"/>
      <c r="EU220" s="83"/>
      <c r="EV220" s="83"/>
      <c r="EW220" s="83"/>
      <c r="EX220" s="83"/>
      <c r="EY220" s="83"/>
      <c r="EZ220" s="83"/>
      <c r="FA220" s="83"/>
      <c r="FB220" s="83"/>
      <c r="FC220" s="83"/>
      <c r="FD220" s="83"/>
      <c r="FE220" s="83"/>
      <c r="FF220" s="83"/>
      <c r="FG220" s="83"/>
      <c r="FH220" s="83"/>
      <c r="FI220" s="83"/>
      <c r="FJ220" s="83"/>
      <c r="FK220" s="83"/>
      <c r="FL220" s="83"/>
      <c r="FM220" s="83"/>
      <c r="FN220" s="83"/>
      <c r="FO220" s="83"/>
      <c r="FP220" s="83"/>
      <c r="FQ220" s="83"/>
      <c r="FR220" s="83"/>
      <c r="FS220" s="83"/>
      <c r="FT220" s="83"/>
      <c r="FU220" s="83"/>
      <c r="FV220" s="83"/>
      <c r="FW220" s="83"/>
      <c r="FX220" s="83"/>
      <c r="FY220" s="83"/>
      <c r="FZ220" s="83"/>
      <c r="GA220" s="83"/>
      <c r="GB220" s="83"/>
      <c r="GC220" s="83"/>
      <c r="GD220" s="83"/>
      <c r="GE220" s="83"/>
      <c r="GF220" s="83"/>
      <c r="GG220" s="83"/>
      <c r="GH220" s="83"/>
      <c r="GI220" s="83"/>
      <c r="GJ220" s="83"/>
      <c r="GK220" s="83"/>
      <c r="GL220" s="83"/>
      <c r="GM220" s="83"/>
      <c r="GN220" s="83"/>
      <c r="GO220" s="83"/>
      <c r="GP220" s="83"/>
      <c r="GQ220" s="83"/>
      <c r="GR220" s="83"/>
      <c r="GS220" s="83"/>
      <c r="GT220" s="83"/>
      <c r="GU220" s="83"/>
      <c r="GV220" s="83"/>
      <c r="GW220" s="83"/>
      <c r="GX220" s="83"/>
      <c r="GY220" s="83"/>
      <c r="GZ220" s="83"/>
      <c r="HA220" s="83"/>
      <c r="HB220" s="83"/>
      <c r="HC220" s="83"/>
      <c r="HD220" s="83"/>
      <c r="HE220" s="83"/>
      <c r="HF220" s="83"/>
      <c r="HG220" s="83"/>
      <c r="HH220" s="83"/>
      <c r="HI220" s="83"/>
      <c r="HJ220" s="83"/>
      <c r="HK220" s="83"/>
      <c r="HL220" s="83"/>
      <c r="HM220" s="83"/>
      <c r="HN220" s="83"/>
      <c r="HO220" s="83"/>
      <c r="HP220" s="83"/>
      <c r="HQ220" s="83"/>
      <c r="HR220" s="83"/>
      <c r="HS220" s="83"/>
      <c r="HT220" s="83"/>
      <c r="HU220" s="83"/>
      <c r="HV220" s="83"/>
      <c r="HW220" s="83"/>
      <c r="HX220" s="83"/>
      <c r="HY220" s="83"/>
      <c r="HZ220" s="83"/>
      <c r="IA220" s="83"/>
      <c r="IB220" s="83"/>
      <c r="IC220" s="83"/>
      <c r="ID220" s="83"/>
      <c r="IE220" s="83"/>
      <c r="IF220" s="83"/>
      <c r="IG220" s="83"/>
    </row>
    <row r="221" spans="1:241" x14ac:dyDescent="0.3">
      <c r="A221" s="83"/>
      <c r="B221" s="53" t="s">
        <v>179</v>
      </c>
      <c r="C221" s="18" t="s">
        <v>85</v>
      </c>
      <c r="D221" s="18" t="s">
        <v>132</v>
      </c>
      <c r="E221" s="18" t="s">
        <v>186</v>
      </c>
      <c r="F221" s="18" t="s">
        <v>187</v>
      </c>
      <c r="G221" s="18" t="s">
        <v>87</v>
      </c>
      <c r="H221" s="18" t="s">
        <v>188</v>
      </c>
      <c r="I221" s="18" t="s">
        <v>189</v>
      </c>
      <c r="J221" s="18" t="s">
        <v>190</v>
      </c>
      <c r="K221" s="18" t="s">
        <v>134</v>
      </c>
      <c r="L221" s="21" t="s">
        <v>191</v>
      </c>
      <c r="M221" s="1"/>
      <c r="N221" s="1"/>
      <c r="O221" s="1"/>
      <c r="P221" s="1"/>
      <c r="Q221" s="1"/>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c r="DD221" s="83"/>
      <c r="DE221" s="83"/>
      <c r="DF221" s="83"/>
      <c r="DG221" s="83"/>
      <c r="DH221" s="83"/>
      <c r="DI221" s="83"/>
      <c r="DJ221" s="83"/>
      <c r="DK221" s="83"/>
      <c r="DL221" s="83"/>
      <c r="DM221" s="83"/>
      <c r="DN221" s="83"/>
      <c r="DO221" s="83"/>
      <c r="DP221" s="83"/>
      <c r="DQ221" s="83"/>
      <c r="DR221" s="83"/>
      <c r="DS221" s="83"/>
      <c r="DT221" s="83"/>
      <c r="DU221" s="83"/>
      <c r="DV221" s="83"/>
      <c r="DW221" s="83"/>
      <c r="DX221" s="83"/>
      <c r="DY221" s="83"/>
      <c r="DZ221" s="83"/>
      <c r="EA221" s="83"/>
      <c r="EB221" s="83"/>
      <c r="EC221" s="83"/>
      <c r="ED221" s="83"/>
      <c r="EE221" s="83"/>
      <c r="EF221" s="83"/>
      <c r="EG221" s="83"/>
      <c r="EH221" s="83"/>
      <c r="EI221" s="83"/>
      <c r="EJ221" s="83"/>
      <c r="EK221" s="83"/>
      <c r="EL221" s="83"/>
      <c r="EM221" s="83"/>
      <c r="EN221" s="83"/>
      <c r="EO221" s="83"/>
      <c r="EP221" s="83"/>
      <c r="EQ221" s="83"/>
      <c r="ER221" s="83"/>
      <c r="ES221" s="83"/>
      <c r="ET221" s="83"/>
      <c r="EU221" s="83"/>
      <c r="EV221" s="83"/>
      <c r="EW221" s="83"/>
      <c r="EX221" s="83"/>
      <c r="EY221" s="83"/>
      <c r="EZ221" s="83"/>
      <c r="FA221" s="83"/>
      <c r="FB221" s="83"/>
      <c r="FC221" s="83"/>
      <c r="FD221" s="83"/>
      <c r="FE221" s="83"/>
      <c r="FF221" s="83"/>
      <c r="FG221" s="83"/>
      <c r="FH221" s="83"/>
      <c r="FI221" s="83"/>
      <c r="FJ221" s="83"/>
      <c r="FK221" s="83"/>
      <c r="FL221" s="83"/>
      <c r="FM221" s="83"/>
      <c r="FN221" s="83"/>
      <c r="FO221" s="83"/>
      <c r="FP221" s="83"/>
      <c r="FQ221" s="83"/>
      <c r="FR221" s="83"/>
      <c r="FS221" s="83"/>
      <c r="FT221" s="83"/>
      <c r="FU221" s="83"/>
      <c r="FV221" s="83"/>
      <c r="FW221" s="83"/>
      <c r="FX221" s="83"/>
      <c r="FY221" s="83"/>
      <c r="FZ221" s="83"/>
      <c r="GA221" s="83"/>
      <c r="GB221" s="83"/>
      <c r="GC221" s="83"/>
      <c r="GD221" s="83"/>
      <c r="GE221" s="83"/>
      <c r="GF221" s="83"/>
      <c r="GG221" s="83"/>
      <c r="GH221" s="83"/>
      <c r="GI221" s="83"/>
      <c r="GJ221" s="83"/>
      <c r="GK221" s="83"/>
      <c r="GL221" s="83"/>
      <c r="GM221" s="83"/>
      <c r="GN221" s="83"/>
      <c r="GO221" s="83"/>
      <c r="GP221" s="83"/>
      <c r="GQ221" s="83"/>
      <c r="GR221" s="83"/>
      <c r="GS221" s="83"/>
      <c r="GT221" s="83"/>
      <c r="GU221" s="83"/>
      <c r="GV221" s="83"/>
      <c r="GW221" s="83"/>
      <c r="GX221" s="83"/>
      <c r="GY221" s="83"/>
      <c r="GZ221" s="83"/>
      <c r="HA221" s="83"/>
      <c r="HB221" s="83"/>
      <c r="HC221" s="83"/>
      <c r="HD221" s="83"/>
      <c r="HE221" s="83"/>
      <c r="HF221" s="83"/>
      <c r="HG221" s="83"/>
      <c r="HH221" s="83"/>
      <c r="HI221" s="83"/>
      <c r="HJ221" s="83"/>
      <c r="HK221" s="83"/>
      <c r="HL221" s="83"/>
      <c r="HM221" s="83"/>
      <c r="HN221" s="83"/>
      <c r="HO221" s="83"/>
      <c r="HP221" s="83"/>
      <c r="HQ221" s="83"/>
      <c r="HR221" s="83"/>
      <c r="HS221" s="83"/>
      <c r="HT221" s="83"/>
      <c r="HU221" s="83"/>
      <c r="HV221" s="83"/>
      <c r="HW221" s="83"/>
      <c r="HX221" s="83"/>
      <c r="HY221" s="83"/>
      <c r="HZ221" s="83"/>
      <c r="IA221" s="83"/>
      <c r="IB221" s="83"/>
      <c r="IC221" s="83"/>
      <c r="ID221" s="83"/>
      <c r="IE221" s="83"/>
      <c r="IF221" s="83"/>
      <c r="IG221" s="83"/>
    </row>
    <row r="222" spans="1:241" x14ac:dyDescent="0.3">
      <c r="A222" s="83"/>
      <c r="B222" s="12" t="s">
        <v>182</v>
      </c>
      <c r="C222" s="31">
        <v>2.74</v>
      </c>
      <c r="D222" s="31">
        <v>3.43</v>
      </c>
      <c r="E222" s="31">
        <v>4.66</v>
      </c>
      <c r="F222" s="31">
        <v>4.93</v>
      </c>
      <c r="G222" s="31">
        <v>4.8</v>
      </c>
      <c r="H222" s="31">
        <v>3.77</v>
      </c>
      <c r="I222" s="31">
        <v>9.1199999999999992</v>
      </c>
      <c r="J222" s="31">
        <v>5.93</v>
      </c>
      <c r="K222" s="31">
        <v>13.7</v>
      </c>
      <c r="L222" s="70">
        <v>9.5299999999999994</v>
      </c>
      <c r="M222" s="1"/>
      <c r="N222" s="1"/>
      <c r="O222" s="1"/>
      <c r="P222" s="1"/>
      <c r="Q222" s="1"/>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c r="DD222" s="83"/>
      <c r="DE222" s="83"/>
      <c r="DF222" s="83"/>
      <c r="DG222" s="83"/>
      <c r="DH222" s="83"/>
      <c r="DI222" s="83"/>
      <c r="DJ222" s="83"/>
      <c r="DK222" s="83"/>
      <c r="DL222" s="83"/>
      <c r="DM222" s="83"/>
      <c r="DN222" s="83"/>
      <c r="DO222" s="83"/>
      <c r="DP222" s="83"/>
      <c r="DQ222" s="83"/>
      <c r="DR222" s="83"/>
      <c r="DS222" s="83"/>
      <c r="DT222" s="83"/>
      <c r="DU222" s="83"/>
      <c r="DV222" s="83"/>
      <c r="DW222" s="83"/>
      <c r="DX222" s="83"/>
      <c r="DY222" s="83"/>
      <c r="DZ222" s="83"/>
      <c r="EA222" s="83"/>
      <c r="EB222" s="83"/>
      <c r="EC222" s="83"/>
      <c r="ED222" s="83"/>
      <c r="EE222" s="83"/>
      <c r="EF222" s="83"/>
      <c r="EG222" s="83"/>
      <c r="EH222" s="83"/>
      <c r="EI222" s="83"/>
      <c r="EJ222" s="83"/>
      <c r="EK222" s="83"/>
      <c r="EL222" s="83"/>
      <c r="EM222" s="83"/>
      <c r="EN222" s="83"/>
      <c r="EO222" s="83"/>
      <c r="EP222" s="83"/>
      <c r="EQ222" s="83"/>
      <c r="ER222" s="83"/>
      <c r="ES222" s="83"/>
      <c r="ET222" s="83"/>
      <c r="EU222" s="83"/>
      <c r="EV222" s="83"/>
      <c r="EW222" s="83"/>
      <c r="EX222" s="83"/>
      <c r="EY222" s="83"/>
      <c r="EZ222" s="83"/>
      <c r="FA222" s="83"/>
      <c r="FB222" s="83"/>
      <c r="FC222" s="83"/>
      <c r="FD222" s="83"/>
      <c r="FE222" s="83"/>
      <c r="FF222" s="83"/>
      <c r="FG222" s="83"/>
      <c r="FH222" s="83"/>
      <c r="FI222" s="83"/>
      <c r="FJ222" s="83"/>
      <c r="FK222" s="83"/>
      <c r="FL222" s="83"/>
      <c r="FM222" s="83"/>
      <c r="FN222" s="83"/>
      <c r="FO222" s="83"/>
      <c r="FP222" s="83"/>
      <c r="FQ222" s="83"/>
      <c r="FR222" s="83"/>
      <c r="FS222" s="83"/>
      <c r="FT222" s="83"/>
      <c r="FU222" s="83"/>
      <c r="FV222" s="83"/>
      <c r="FW222" s="83"/>
      <c r="FX222" s="83"/>
      <c r="FY222" s="83"/>
      <c r="FZ222" s="83"/>
      <c r="GA222" s="83"/>
      <c r="GB222" s="83"/>
      <c r="GC222" s="83"/>
      <c r="GD222" s="83"/>
      <c r="GE222" s="83"/>
      <c r="GF222" s="83"/>
      <c r="GG222" s="83"/>
      <c r="GH222" s="83"/>
      <c r="GI222" s="83"/>
      <c r="GJ222" s="83"/>
      <c r="GK222" s="83"/>
      <c r="GL222" s="83"/>
      <c r="GM222" s="83"/>
      <c r="GN222" s="83"/>
      <c r="GO222" s="83"/>
      <c r="GP222" s="83"/>
      <c r="GQ222" s="83"/>
      <c r="GR222" s="83"/>
      <c r="GS222" s="83"/>
      <c r="GT222" s="83"/>
      <c r="GU222" s="83"/>
      <c r="GV222" s="83"/>
      <c r="GW222" s="83"/>
      <c r="GX222" s="83"/>
      <c r="GY222" s="83"/>
      <c r="GZ222" s="83"/>
      <c r="HA222" s="83"/>
      <c r="HB222" s="83"/>
      <c r="HC222" s="83"/>
      <c r="HD222" s="83"/>
      <c r="HE222" s="83"/>
      <c r="HF222" s="83"/>
      <c r="HG222" s="83"/>
      <c r="HH222" s="83"/>
      <c r="HI222" s="83"/>
      <c r="HJ222" s="83"/>
      <c r="HK222" s="83"/>
      <c r="HL222" s="83"/>
      <c r="HM222" s="83"/>
      <c r="HN222" s="83"/>
      <c r="HO222" s="83"/>
      <c r="HP222" s="83"/>
      <c r="HQ222" s="83"/>
      <c r="HR222" s="83"/>
      <c r="HS222" s="83"/>
      <c r="HT222" s="83"/>
      <c r="HU222" s="83"/>
      <c r="HV222" s="83"/>
      <c r="HW222" s="83"/>
      <c r="HX222" s="83"/>
      <c r="HY222" s="83"/>
      <c r="HZ222" s="83"/>
      <c r="IA222" s="83"/>
      <c r="IB222" s="83"/>
      <c r="IC222" s="83"/>
      <c r="ID222" s="83"/>
      <c r="IE222" s="83"/>
      <c r="IF222" s="83"/>
      <c r="IG222" s="83"/>
    </row>
    <row r="223" spans="1:241" x14ac:dyDescent="0.3">
      <c r="A223" s="83"/>
      <c r="B223" s="12" t="s">
        <v>183</v>
      </c>
      <c r="C223" s="31">
        <v>3.03</v>
      </c>
      <c r="D223" s="31">
        <v>3.79</v>
      </c>
      <c r="E223" s="31">
        <v>5.15</v>
      </c>
      <c r="F223" s="31">
        <v>5.45</v>
      </c>
      <c r="G223" s="31">
        <v>5.15</v>
      </c>
      <c r="H223" s="31">
        <v>4.09</v>
      </c>
      <c r="I223" s="31">
        <v>10.09</v>
      </c>
      <c r="J223" s="31">
        <v>6.56</v>
      </c>
      <c r="K223" s="31">
        <v>15.15</v>
      </c>
      <c r="L223" s="70">
        <v>10.61</v>
      </c>
      <c r="M223" s="1"/>
      <c r="N223" s="1"/>
      <c r="O223" s="1"/>
      <c r="P223" s="1"/>
      <c r="Q223" s="1"/>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c r="DD223" s="83"/>
      <c r="DE223" s="83"/>
      <c r="DF223" s="83"/>
      <c r="DG223" s="83"/>
      <c r="DH223" s="83"/>
      <c r="DI223" s="83"/>
      <c r="DJ223" s="83"/>
      <c r="DK223" s="83"/>
      <c r="DL223" s="83"/>
      <c r="DM223" s="83"/>
      <c r="DN223" s="83"/>
      <c r="DO223" s="83"/>
      <c r="DP223" s="83"/>
      <c r="DQ223" s="83"/>
      <c r="DR223" s="83"/>
      <c r="DS223" s="83"/>
      <c r="DT223" s="83"/>
      <c r="DU223" s="83"/>
      <c r="DV223" s="83"/>
      <c r="DW223" s="83"/>
      <c r="DX223" s="83"/>
      <c r="DY223" s="83"/>
      <c r="DZ223" s="83"/>
      <c r="EA223" s="83"/>
      <c r="EB223" s="83"/>
      <c r="EC223" s="83"/>
      <c r="ED223" s="83"/>
      <c r="EE223" s="83"/>
      <c r="EF223" s="83"/>
      <c r="EG223" s="83"/>
      <c r="EH223" s="83"/>
      <c r="EI223" s="83"/>
      <c r="EJ223" s="83"/>
      <c r="EK223" s="83"/>
      <c r="EL223" s="83"/>
      <c r="EM223" s="83"/>
      <c r="EN223" s="83"/>
      <c r="EO223" s="83"/>
      <c r="EP223" s="83"/>
      <c r="EQ223" s="83"/>
      <c r="ER223" s="83"/>
      <c r="ES223" s="83"/>
      <c r="ET223" s="83"/>
      <c r="EU223" s="83"/>
      <c r="EV223" s="83"/>
      <c r="EW223" s="83"/>
      <c r="EX223" s="83"/>
      <c r="EY223" s="83"/>
      <c r="EZ223" s="83"/>
      <c r="FA223" s="83"/>
      <c r="FB223" s="83"/>
      <c r="FC223" s="83"/>
      <c r="FD223" s="83"/>
      <c r="FE223" s="83"/>
      <c r="FF223" s="83"/>
      <c r="FG223" s="83"/>
      <c r="FH223" s="83"/>
      <c r="FI223" s="83"/>
      <c r="FJ223" s="83"/>
      <c r="FK223" s="83"/>
      <c r="FL223" s="83"/>
      <c r="FM223" s="83"/>
      <c r="FN223" s="83"/>
      <c r="FO223" s="83"/>
      <c r="FP223" s="83"/>
      <c r="FQ223" s="83"/>
      <c r="FR223" s="83"/>
      <c r="FS223" s="83"/>
      <c r="FT223" s="83"/>
      <c r="FU223" s="83"/>
      <c r="FV223" s="83"/>
      <c r="FW223" s="83"/>
      <c r="FX223" s="83"/>
      <c r="FY223" s="83"/>
      <c r="FZ223" s="83"/>
      <c r="GA223" s="83"/>
      <c r="GB223" s="83"/>
      <c r="GC223" s="83"/>
      <c r="GD223" s="83"/>
      <c r="GE223" s="83"/>
      <c r="GF223" s="83"/>
      <c r="GG223" s="83"/>
      <c r="GH223" s="83"/>
      <c r="GI223" s="83"/>
      <c r="GJ223" s="83"/>
      <c r="GK223" s="83"/>
      <c r="GL223" s="83"/>
      <c r="GM223" s="83"/>
      <c r="GN223" s="83"/>
      <c r="GO223" s="83"/>
      <c r="GP223" s="83"/>
      <c r="GQ223" s="83"/>
      <c r="GR223" s="83"/>
      <c r="GS223" s="83"/>
      <c r="GT223" s="83"/>
      <c r="GU223" s="83"/>
      <c r="GV223" s="83"/>
      <c r="GW223" s="83"/>
      <c r="GX223" s="83"/>
      <c r="GY223" s="83"/>
      <c r="GZ223" s="83"/>
      <c r="HA223" s="83"/>
      <c r="HB223" s="83"/>
      <c r="HC223" s="83"/>
      <c r="HD223" s="83"/>
      <c r="HE223" s="83"/>
      <c r="HF223" s="83"/>
      <c r="HG223" s="83"/>
      <c r="HH223" s="83"/>
      <c r="HI223" s="83"/>
      <c r="HJ223" s="83"/>
      <c r="HK223" s="83"/>
      <c r="HL223" s="83"/>
      <c r="HM223" s="83"/>
      <c r="HN223" s="83"/>
      <c r="HO223" s="83"/>
      <c r="HP223" s="83"/>
      <c r="HQ223" s="83"/>
      <c r="HR223" s="83"/>
      <c r="HS223" s="83"/>
      <c r="HT223" s="83"/>
      <c r="HU223" s="83"/>
      <c r="HV223" s="83"/>
      <c r="HW223" s="83"/>
      <c r="HX223" s="83"/>
      <c r="HY223" s="83"/>
      <c r="HZ223" s="83"/>
      <c r="IA223" s="83"/>
      <c r="IB223" s="83"/>
      <c r="IC223" s="83"/>
      <c r="ID223" s="83"/>
      <c r="IE223" s="83"/>
      <c r="IF223" s="83"/>
      <c r="IG223" s="83"/>
    </row>
    <row r="224" spans="1:241" x14ac:dyDescent="0.3">
      <c r="A224" s="83"/>
      <c r="B224" s="17" t="s">
        <v>184</v>
      </c>
      <c r="C224" s="32">
        <v>3.03</v>
      </c>
      <c r="D224" s="32">
        <v>3.79</v>
      </c>
      <c r="E224" s="32">
        <v>5.15</v>
      </c>
      <c r="F224" s="32">
        <v>5.45</v>
      </c>
      <c r="G224" s="32">
        <v>5.15</v>
      </c>
      <c r="H224" s="32">
        <v>4.09</v>
      </c>
      <c r="I224" s="32">
        <v>10.09</v>
      </c>
      <c r="J224" s="32">
        <v>6.56</v>
      </c>
      <c r="K224" s="32">
        <v>15.15</v>
      </c>
      <c r="L224" s="71">
        <v>10.61</v>
      </c>
      <c r="M224" s="1"/>
      <c r="N224" s="1"/>
      <c r="O224" s="1"/>
      <c r="P224" s="1"/>
      <c r="Q224" s="1"/>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c r="DD224" s="83"/>
      <c r="DE224" s="83"/>
      <c r="DF224" s="83"/>
      <c r="DG224" s="83"/>
      <c r="DH224" s="83"/>
      <c r="DI224" s="83"/>
      <c r="DJ224" s="83"/>
      <c r="DK224" s="83"/>
      <c r="DL224" s="83"/>
      <c r="DM224" s="83"/>
      <c r="DN224" s="83"/>
      <c r="DO224" s="83"/>
      <c r="DP224" s="83"/>
      <c r="DQ224" s="83"/>
      <c r="DR224" s="83"/>
      <c r="DS224" s="83"/>
      <c r="DT224" s="83"/>
      <c r="DU224" s="83"/>
      <c r="DV224" s="83"/>
      <c r="DW224" s="83"/>
      <c r="DX224" s="83"/>
      <c r="DY224" s="83"/>
      <c r="DZ224" s="83"/>
      <c r="EA224" s="83"/>
      <c r="EB224" s="83"/>
      <c r="EC224" s="83"/>
      <c r="ED224" s="83"/>
      <c r="EE224" s="83"/>
      <c r="EF224" s="83"/>
      <c r="EG224" s="83"/>
      <c r="EH224" s="83"/>
      <c r="EI224" s="83"/>
      <c r="EJ224" s="83"/>
      <c r="EK224" s="83"/>
      <c r="EL224" s="83"/>
      <c r="EM224" s="83"/>
      <c r="EN224" s="83"/>
      <c r="EO224" s="83"/>
      <c r="EP224" s="83"/>
      <c r="EQ224" s="83"/>
      <c r="ER224" s="83"/>
      <c r="ES224" s="83"/>
      <c r="ET224" s="83"/>
      <c r="EU224" s="83"/>
      <c r="EV224" s="83"/>
      <c r="EW224" s="83"/>
      <c r="EX224" s="83"/>
      <c r="EY224" s="83"/>
      <c r="EZ224" s="83"/>
      <c r="FA224" s="83"/>
      <c r="FB224" s="83"/>
      <c r="FC224" s="83"/>
      <c r="FD224" s="83"/>
      <c r="FE224" s="83"/>
      <c r="FF224" s="83"/>
      <c r="FG224" s="83"/>
      <c r="FH224" s="83"/>
      <c r="FI224" s="83"/>
      <c r="FJ224" s="83"/>
      <c r="FK224" s="83"/>
      <c r="FL224" s="83"/>
      <c r="FM224" s="83"/>
      <c r="FN224" s="83"/>
      <c r="FO224" s="83"/>
      <c r="FP224" s="83"/>
      <c r="FQ224" s="83"/>
      <c r="FR224" s="83"/>
      <c r="FS224" s="83"/>
      <c r="FT224" s="83"/>
      <c r="FU224" s="83"/>
      <c r="FV224" s="83"/>
      <c r="FW224" s="83"/>
      <c r="FX224" s="83"/>
      <c r="FY224" s="83"/>
      <c r="FZ224" s="83"/>
      <c r="GA224" s="83"/>
      <c r="GB224" s="83"/>
      <c r="GC224" s="83"/>
      <c r="GD224" s="83"/>
      <c r="GE224" s="83"/>
      <c r="GF224" s="83"/>
      <c r="GG224" s="83"/>
      <c r="GH224" s="83"/>
      <c r="GI224" s="83"/>
      <c r="GJ224" s="83"/>
      <c r="GK224" s="83"/>
      <c r="GL224" s="83"/>
      <c r="GM224" s="83"/>
      <c r="GN224" s="83"/>
      <c r="GO224" s="83"/>
      <c r="GP224" s="83"/>
      <c r="GQ224" s="83"/>
      <c r="GR224" s="83"/>
      <c r="GS224" s="83"/>
      <c r="GT224" s="83"/>
      <c r="GU224" s="83"/>
      <c r="GV224" s="83"/>
      <c r="GW224" s="83"/>
      <c r="GX224" s="83"/>
      <c r="GY224" s="83"/>
      <c r="GZ224" s="83"/>
      <c r="HA224" s="83"/>
      <c r="HB224" s="83"/>
      <c r="HC224" s="83"/>
      <c r="HD224" s="83"/>
      <c r="HE224" s="83"/>
      <c r="HF224" s="83"/>
      <c r="HG224" s="83"/>
      <c r="HH224" s="83"/>
      <c r="HI224" s="83"/>
      <c r="HJ224" s="83"/>
      <c r="HK224" s="83"/>
      <c r="HL224" s="83"/>
      <c r="HM224" s="83"/>
      <c r="HN224" s="83"/>
      <c r="HO224" s="83"/>
      <c r="HP224" s="83"/>
      <c r="HQ224" s="83"/>
      <c r="HR224" s="83"/>
      <c r="HS224" s="83"/>
      <c r="HT224" s="83"/>
      <c r="HU224" s="83"/>
      <c r="HV224" s="83"/>
      <c r="HW224" s="83"/>
      <c r="HX224" s="83"/>
      <c r="HY224" s="83"/>
      <c r="HZ224" s="83"/>
      <c r="IA224" s="83"/>
      <c r="IB224" s="83"/>
      <c r="IC224" s="83"/>
      <c r="ID224" s="83"/>
      <c r="IE224" s="83"/>
      <c r="IF224" s="83"/>
      <c r="IG224" s="83"/>
    </row>
    <row r="225" spans="1:241" x14ac:dyDescent="0.3">
      <c r="A225" s="83"/>
      <c r="B225" s="1"/>
      <c r="C225" s="1"/>
      <c r="D225" s="1"/>
      <c r="E225" s="1"/>
      <c r="F225" s="1"/>
      <c r="G225" s="1"/>
      <c r="H225" s="1"/>
      <c r="I225" s="1"/>
      <c r="J225" s="1"/>
      <c r="K225" s="1"/>
      <c r="L225" s="1"/>
      <c r="M225" s="1"/>
      <c r="N225" s="1"/>
      <c r="O225" s="1"/>
      <c r="P225" s="1"/>
      <c r="Q225" s="1"/>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c r="DD225" s="83"/>
      <c r="DE225" s="83"/>
      <c r="DF225" s="83"/>
      <c r="DG225" s="83"/>
      <c r="DH225" s="83"/>
      <c r="DI225" s="83"/>
      <c r="DJ225" s="83"/>
      <c r="DK225" s="83"/>
      <c r="DL225" s="83"/>
      <c r="DM225" s="83"/>
      <c r="DN225" s="83"/>
      <c r="DO225" s="83"/>
      <c r="DP225" s="83"/>
      <c r="DQ225" s="83"/>
      <c r="DR225" s="83"/>
      <c r="DS225" s="83"/>
      <c r="DT225" s="83"/>
      <c r="DU225" s="83"/>
      <c r="DV225" s="83"/>
      <c r="DW225" s="83"/>
      <c r="DX225" s="83"/>
      <c r="DY225" s="83"/>
      <c r="DZ225" s="83"/>
      <c r="EA225" s="83"/>
      <c r="EB225" s="83"/>
      <c r="EC225" s="83"/>
      <c r="ED225" s="83"/>
      <c r="EE225" s="83"/>
      <c r="EF225" s="83"/>
      <c r="EG225" s="83"/>
      <c r="EH225" s="83"/>
      <c r="EI225" s="83"/>
      <c r="EJ225" s="83"/>
      <c r="EK225" s="83"/>
      <c r="EL225" s="83"/>
      <c r="EM225" s="83"/>
      <c r="EN225" s="83"/>
      <c r="EO225" s="83"/>
      <c r="EP225" s="83"/>
      <c r="EQ225" s="83"/>
      <c r="ER225" s="83"/>
      <c r="ES225" s="83"/>
      <c r="ET225" s="83"/>
      <c r="EU225" s="83"/>
      <c r="EV225" s="83"/>
      <c r="EW225" s="83"/>
      <c r="EX225" s="83"/>
      <c r="EY225" s="83"/>
      <c r="EZ225" s="83"/>
      <c r="FA225" s="83"/>
      <c r="FB225" s="83"/>
      <c r="FC225" s="83"/>
      <c r="FD225" s="83"/>
      <c r="FE225" s="83"/>
      <c r="FF225" s="83"/>
      <c r="FG225" s="83"/>
      <c r="FH225" s="83"/>
      <c r="FI225" s="83"/>
      <c r="FJ225" s="83"/>
      <c r="FK225" s="83"/>
      <c r="FL225" s="83"/>
      <c r="FM225" s="83"/>
      <c r="FN225" s="83"/>
      <c r="FO225" s="83"/>
      <c r="FP225" s="83"/>
      <c r="FQ225" s="83"/>
      <c r="FR225" s="83"/>
      <c r="FS225" s="83"/>
      <c r="FT225" s="83"/>
      <c r="FU225" s="83"/>
      <c r="FV225" s="83"/>
      <c r="FW225" s="83"/>
      <c r="FX225" s="83"/>
      <c r="FY225" s="83"/>
      <c r="FZ225" s="83"/>
      <c r="GA225" s="83"/>
      <c r="GB225" s="83"/>
      <c r="GC225" s="83"/>
      <c r="GD225" s="83"/>
      <c r="GE225" s="83"/>
      <c r="GF225" s="83"/>
      <c r="GG225" s="83"/>
      <c r="GH225" s="83"/>
      <c r="GI225" s="83"/>
      <c r="GJ225" s="83"/>
      <c r="GK225" s="83"/>
      <c r="GL225" s="83"/>
      <c r="GM225" s="83"/>
      <c r="GN225" s="83"/>
      <c r="GO225" s="83"/>
      <c r="GP225" s="83"/>
      <c r="GQ225" s="83"/>
      <c r="GR225" s="83"/>
      <c r="GS225" s="83"/>
      <c r="GT225" s="83"/>
      <c r="GU225" s="83"/>
      <c r="GV225" s="83"/>
      <c r="GW225" s="83"/>
      <c r="GX225" s="83"/>
      <c r="GY225" s="83"/>
      <c r="GZ225" s="83"/>
      <c r="HA225" s="83"/>
      <c r="HB225" s="83"/>
      <c r="HC225" s="83"/>
      <c r="HD225" s="83"/>
      <c r="HE225" s="83"/>
      <c r="HF225" s="83"/>
      <c r="HG225" s="83"/>
      <c r="HH225" s="83"/>
      <c r="HI225" s="83"/>
      <c r="HJ225" s="83"/>
      <c r="HK225" s="83"/>
      <c r="HL225" s="83"/>
      <c r="HM225" s="83"/>
      <c r="HN225" s="83"/>
      <c r="HO225" s="83"/>
      <c r="HP225" s="83"/>
      <c r="HQ225" s="83"/>
      <c r="HR225" s="83"/>
      <c r="HS225" s="83"/>
      <c r="HT225" s="83"/>
      <c r="HU225" s="83"/>
      <c r="HV225" s="83"/>
      <c r="HW225" s="83"/>
      <c r="HX225" s="83"/>
      <c r="HY225" s="83"/>
      <c r="HZ225" s="83"/>
      <c r="IA225" s="83"/>
      <c r="IB225" s="83"/>
      <c r="IC225" s="83"/>
      <c r="ID225" s="83"/>
      <c r="IE225" s="83"/>
      <c r="IF225" s="83"/>
      <c r="IG225" s="83"/>
    </row>
    <row r="226" spans="1:241" x14ac:dyDescent="0.3">
      <c r="A226" s="83"/>
      <c r="B226" s="2" t="s">
        <v>251</v>
      </c>
      <c r="C226" s="1"/>
      <c r="D226" s="1"/>
      <c r="E226" s="1"/>
      <c r="F226" s="1"/>
      <c r="G226" s="1"/>
      <c r="H226" s="1"/>
      <c r="I226" s="1"/>
      <c r="J226" s="1"/>
      <c r="K226" s="1"/>
      <c r="L226" s="1"/>
      <c r="M226" s="1"/>
      <c r="N226" s="1"/>
      <c r="O226" s="1"/>
      <c r="P226" s="1"/>
      <c r="Q226" s="1"/>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c r="DD226" s="83"/>
      <c r="DE226" s="83"/>
      <c r="DF226" s="83"/>
      <c r="DG226" s="83"/>
      <c r="DH226" s="83"/>
      <c r="DI226" s="83"/>
      <c r="DJ226" s="83"/>
      <c r="DK226" s="83"/>
      <c r="DL226" s="83"/>
      <c r="DM226" s="83"/>
      <c r="DN226" s="83"/>
      <c r="DO226" s="83"/>
      <c r="DP226" s="83"/>
      <c r="DQ226" s="83"/>
      <c r="DR226" s="83"/>
      <c r="DS226" s="83"/>
      <c r="DT226" s="83"/>
      <c r="DU226" s="83"/>
      <c r="DV226" s="83"/>
      <c r="DW226" s="83"/>
      <c r="DX226" s="83"/>
      <c r="DY226" s="83"/>
      <c r="DZ226" s="83"/>
      <c r="EA226" s="83"/>
      <c r="EB226" s="83"/>
      <c r="EC226" s="83"/>
      <c r="ED226" s="83"/>
      <c r="EE226" s="83"/>
      <c r="EF226" s="83"/>
      <c r="EG226" s="83"/>
      <c r="EH226" s="83"/>
      <c r="EI226" s="83"/>
      <c r="EJ226" s="83"/>
      <c r="EK226" s="83"/>
      <c r="EL226" s="83"/>
      <c r="EM226" s="83"/>
      <c r="EN226" s="83"/>
      <c r="EO226" s="83"/>
      <c r="EP226" s="83"/>
      <c r="EQ226" s="83"/>
      <c r="ER226" s="83"/>
      <c r="ES226" s="83"/>
      <c r="ET226" s="83"/>
      <c r="EU226" s="83"/>
      <c r="EV226" s="83"/>
      <c r="EW226" s="83"/>
      <c r="EX226" s="83"/>
      <c r="EY226" s="83"/>
      <c r="EZ226" s="83"/>
      <c r="FA226" s="83"/>
      <c r="FB226" s="83"/>
      <c r="FC226" s="83"/>
      <c r="FD226" s="83"/>
      <c r="FE226" s="83"/>
      <c r="FF226" s="83"/>
      <c r="FG226" s="83"/>
      <c r="FH226" s="83"/>
      <c r="FI226" s="83"/>
      <c r="FJ226" s="83"/>
      <c r="FK226" s="83"/>
      <c r="FL226" s="83"/>
      <c r="FM226" s="83"/>
      <c r="FN226" s="83"/>
      <c r="FO226" s="83"/>
      <c r="FP226" s="83"/>
      <c r="FQ226" s="83"/>
      <c r="FR226" s="83"/>
      <c r="FS226" s="83"/>
      <c r="FT226" s="83"/>
      <c r="FU226" s="83"/>
      <c r="FV226" s="83"/>
      <c r="FW226" s="83"/>
      <c r="FX226" s="83"/>
      <c r="FY226" s="83"/>
      <c r="FZ226" s="83"/>
      <c r="GA226" s="83"/>
      <c r="GB226" s="83"/>
      <c r="GC226" s="83"/>
      <c r="GD226" s="83"/>
      <c r="GE226" s="83"/>
      <c r="GF226" s="83"/>
      <c r="GG226" s="83"/>
      <c r="GH226" s="83"/>
      <c r="GI226" s="83"/>
      <c r="GJ226" s="83"/>
      <c r="GK226" s="83"/>
      <c r="GL226" s="83"/>
      <c r="GM226" s="83"/>
      <c r="GN226" s="83"/>
      <c r="GO226" s="83"/>
      <c r="GP226" s="83"/>
      <c r="GQ226" s="83"/>
      <c r="GR226" s="83"/>
      <c r="GS226" s="83"/>
      <c r="GT226" s="83"/>
      <c r="GU226" s="83"/>
      <c r="GV226" s="83"/>
      <c r="GW226" s="83"/>
      <c r="GX226" s="83"/>
      <c r="GY226" s="83"/>
      <c r="GZ226" s="83"/>
      <c r="HA226" s="83"/>
      <c r="HB226" s="83"/>
      <c r="HC226" s="83"/>
      <c r="HD226" s="83"/>
      <c r="HE226" s="83"/>
      <c r="HF226" s="83"/>
      <c r="HG226" s="83"/>
      <c r="HH226" s="83"/>
      <c r="HI226" s="83"/>
      <c r="HJ226" s="83"/>
      <c r="HK226" s="83"/>
      <c r="HL226" s="83"/>
      <c r="HM226" s="83"/>
      <c r="HN226" s="83"/>
      <c r="HO226" s="83"/>
      <c r="HP226" s="83"/>
      <c r="HQ226" s="83"/>
      <c r="HR226" s="83"/>
      <c r="HS226" s="83"/>
      <c r="HT226" s="83"/>
      <c r="HU226" s="83"/>
      <c r="HV226" s="83"/>
      <c r="HW226" s="83"/>
      <c r="HX226" s="83"/>
      <c r="HY226" s="83"/>
      <c r="HZ226" s="83"/>
      <c r="IA226" s="83"/>
      <c r="IB226" s="83"/>
      <c r="IC226" s="83"/>
      <c r="ID226" s="83"/>
      <c r="IE226" s="83"/>
      <c r="IF226" s="83"/>
      <c r="IG226" s="83"/>
    </row>
    <row r="227" spans="1:241" ht="15.6" x14ac:dyDescent="0.35">
      <c r="A227" s="83"/>
      <c r="B227" s="7"/>
      <c r="C227" s="49"/>
      <c r="D227" s="49" t="s">
        <v>185</v>
      </c>
      <c r="E227" s="49"/>
      <c r="F227" s="49"/>
      <c r="G227" s="51"/>
      <c r="H227" s="1"/>
      <c r="I227" s="1"/>
      <c r="J227" s="1"/>
      <c r="K227" s="1"/>
      <c r="L227" s="1"/>
      <c r="M227" s="1"/>
      <c r="N227" s="1"/>
      <c r="O227" s="1"/>
      <c r="P227" s="1"/>
      <c r="Q227" s="1"/>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c r="DD227" s="83"/>
      <c r="DE227" s="83"/>
      <c r="DF227" s="83"/>
      <c r="DG227" s="83"/>
      <c r="DH227" s="83"/>
      <c r="DI227" s="83"/>
      <c r="DJ227" s="83"/>
      <c r="DK227" s="83"/>
      <c r="DL227" s="83"/>
      <c r="DM227" s="83"/>
      <c r="DN227" s="83"/>
      <c r="DO227" s="83"/>
      <c r="DP227" s="83"/>
      <c r="DQ227" s="83"/>
      <c r="DR227" s="83"/>
      <c r="DS227" s="83"/>
      <c r="DT227" s="83"/>
      <c r="DU227" s="83"/>
      <c r="DV227" s="83"/>
      <c r="DW227" s="83"/>
      <c r="DX227" s="83"/>
      <c r="DY227" s="83"/>
      <c r="DZ227" s="83"/>
      <c r="EA227" s="83"/>
      <c r="EB227" s="83"/>
      <c r="EC227" s="83"/>
      <c r="ED227" s="83"/>
      <c r="EE227" s="83"/>
      <c r="EF227" s="83"/>
      <c r="EG227" s="83"/>
      <c r="EH227" s="83"/>
      <c r="EI227" s="83"/>
      <c r="EJ227" s="83"/>
      <c r="EK227" s="83"/>
      <c r="EL227" s="83"/>
      <c r="EM227" s="83"/>
      <c r="EN227" s="83"/>
      <c r="EO227" s="83"/>
      <c r="EP227" s="83"/>
      <c r="EQ227" s="83"/>
      <c r="ER227" s="83"/>
      <c r="ES227" s="83"/>
      <c r="ET227" s="83"/>
      <c r="EU227" s="83"/>
      <c r="EV227" s="83"/>
      <c r="EW227" s="83"/>
      <c r="EX227" s="83"/>
      <c r="EY227" s="83"/>
      <c r="EZ227" s="83"/>
      <c r="FA227" s="83"/>
      <c r="FB227" s="83"/>
      <c r="FC227" s="83"/>
      <c r="FD227" s="83"/>
      <c r="FE227" s="83"/>
      <c r="FF227" s="83"/>
      <c r="FG227" s="83"/>
      <c r="FH227" s="83"/>
      <c r="FI227" s="83"/>
      <c r="FJ227" s="83"/>
      <c r="FK227" s="83"/>
      <c r="FL227" s="83"/>
      <c r="FM227" s="83"/>
      <c r="FN227" s="83"/>
      <c r="FO227" s="83"/>
      <c r="FP227" s="83"/>
      <c r="FQ227" s="83"/>
      <c r="FR227" s="83"/>
      <c r="FS227" s="83"/>
      <c r="FT227" s="83"/>
      <c r="FU227" s="83"/>
      <c r="FV227" s="83"/>
      <c r="FW227" s="83"/>
      <c r="FX227" s="83"/>
      <c r="FY227" s="83"/>
      <c r="FZ227" s="83"/>
      <c r="GA227" s="83"/>
      <c r="GB227" s="83"/>
      <c r="GC227" s="83"/>
      <c r="GD227" s="83"/>
      <c r="GE227" s="83"/>
      <c r="GF227" s="83"/>
      <c r="GG227" s="83"/>
      <c r="GH227" s="83"/>
      <c r="GI227" s="83"/>
      <c r="GJ227" s="83"/>
      <c r="GK227" s="83"/>
      <c r="GL227" s="83"/>
      <c r="GM227" s="83"/>
      <c r="GN227" s="83"/>
      <c r="GO227" s="83"/>
      <c r="GP227" s="83"/>
      <c r="GQ227" s="83"/>
      <c r="GR227" s="83"/>
      <c r="GS227" s="83"/>
      <c r="GT227" s="83"/>
      <c r="GU227" s="83"/>
      <c r="GV227" s="83"/>
      <c r="GW227" s="83"/>
      <c r="GX227" s="83"/>
      <c r="GY227" s="83"/>
      <c r="GZ227" s="83"/>
      <c r="HA227" s="83"/>
      <c r="HB227" s="83"/>
      <c r="HC227" s="83"/>
      <c r="HD227" s="83"/>
      <c r="HE227" s="83"/>
      <c r="HF227" s="83"/>
      <c r="HG227" s="83"/>
      <c r="HH227" s="83"/>
      <c r="HI227" s="83"/>
      <c r="HJ227" s="83"/>
      <c r="HK227" s="83"/>
      <c r="HL227" s="83"/>
      <c r="HM227" s="83"/>
      <c r="HN227" s="83"/>
      <c r="HO227" s="83"/>
      <c r="HP227" s="83"/>
      <c r="HQ227" s="83"/>
      <c r="HR227" s="83"/>
      <c r="HS227" s="83"/>
      <c r="HT227" s="83"/>
      <c r="HU227" s="83"/>
      <c r="HV227" s="83"/>
      <c r="HW227" s="83"/>
      <c r="HX227" s="83"/>
      <c r="HY227" s="83"/>
      <c r="HZ227" s="83"/>
      <c r="IA227" s="83"/>
      <c r="IB227" s="83"/>
      <c r="IC227" s="83"/>
      <c r="ID227" s="83"/>
      <c r="IE227" s="83"/>
      <c r="IF227" s="83"/>
      <c r="IG227" s="83"/>
    </row>
    <row r="228" spans="1:241" x14ac:dyDescent="0.3">
      <c r="A228" s="83"/>
      <c r="B228" s="53" t="s">
        <v>102</v>
      </c>
      <c r="C228" s="18" t="s">
        <v>85</v>
      </c>
      <c r="D228" s="18" t="s">
        <v>192</v>
      </c>
      <c r="E228" s="18" t="s">
        <v>87</v>
      </c>
      <c r="F228" s="18" t="s">
        <v>189</v>
      </c>
      <c r="G228" s="21" t="s">
        <v>134</v>
      </c>
      <c r="H228" s="1"/>
      <c r="I228" s="1"/>
      <c r="J228" s="1"/>
      <c r="K228" s="1"/>
      <c r="L228" s="1"/>
      <c r="M228" s="1"/>
      <c r="N228" s="1"/>
      <c r="O228" s="1"/>
      <c r="P228" s="1"/>
      <c r="Q228" s="1"/>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c r="DD228" s="83"/>
      <c r="DE228" s="83"/>
      <c r="DF228" s="83"/>
      <c r="DG228" s="83"/>
      <c r="DH228" s="83"/>
      <c r="DI228" s="83"/>
      <c r="DJ228" s="83"/>
      <c r="DK228" s="83"/>
      <c r="DL228" s="83"/>
      <c r="DM228" s="83"/>
      <c r="DN228" s="83"/>
      <c r="DO228" s="83"/>
      <c r="DP228" s="83"/>
      <c r="DQ228" s="83"/>
      <c r="DR228" s="83"/>
      <c r="DS228" s="83"/>
      <c r="DT228" s="83"/>
      <c r="DU228" s="83"/>
      <c r="DV228" s="83"/>
      <c r="DW228" s="83"/>
      <c r="DX228" s="83"/>
      <c r="DY228" s="83"/>
      <c r="DZ228" s="83"/>
      <c r="EA228" s="83"/>
      <c r="EB228" s="83"/>
      <c r="EC228" s="83"/>
      <c r="ED228" s="83"/>
      <c r="EE228" s="83"/>
      <c r="EF228" s="83"/>
      <c r="EG228" s="83"/>
      <c r="EH228" s="83"/>
      <c r="EI228" s="83"/>
      <c r="EJ228" s="83"/>
      <c r="EK228" s="83"/>
      <c r="EL228" s="83"/>
      <c r="EM228" s="83"/>
      <c r="EN228" s="83"/>
      <c r="EO228" s="83"/>
      <c r="EP228" s="83"/>
      <c r="EQ228" s="83"/>
      <c r="ER228" s="83"/>
      <c r="ES228" s="83"/>
      <c r="ET228" s="83"/>
      <c r="EU228" s="83"/>
      <c r="EV228" s="83"/>
      <c r="EW228" s="83"/>
      <c r="EX228" s="83"/>
      <c r="EY228" s="83"/>
      <c r="EZ228" s="83"/>
      <c r="FA228" s="83"/>
      <c r="FB228" s="83"/>
      <c r="FC228" s="83"/>
      <c r="FD228" s="83"/>
      <c r="FE228" s="83"/>
      <c r="FF228" s="83"/>
      <c r="FG228" s="83"/>
      <c r="FH228" s="83"/>
      <c r="FI228" s="83"/>
      <c r="FJ228" s="83"/>
      <c r="FK228" s="83"/>
      <c r="FL228" s="83"/>
      <c r="FM228" s="83"/>
      <c r="FN228" s="83"/>
      <c r="FO228" s="83"/>
      <c r="FP228" s="83"/>
      <c r="FQ228" s="83"/>
      <c r="FR228" s="83"/>
      <c r="FS228" s="83"/>
      <c r="FT228" s="83"/>
      <c r="FU228" s="83"/>
      <c r="FV228" s="83"/>
      <c r="FW228" s="83"/>
      <c r="FX228" s="83"/>
      <c r="FY228" s="83"/>
      <c r="FZ228" s="83"/>
      <c r="GA228" s="83"/>
      <c r="GB228" s="83"/>
      <c r="GC228" s="83"/>
      <c r="GD228" s="83"/>
      <c r="GE228" s="83"/>
      <c r="GF228" s="83"/>
      <c r="GG228" s="83"/>
      <c r="GH228" s="83"/>
      <c r="GI228" s="83"/>
      <c r="GJ228" s="83"/>
      <c r="GK228" s="83"/>
      <c r="GL228" s="83"/>
      <c r="GM228" s="83"/>
      <c r="GN228" s="83"/>
      <c r="GO228" s="83"/>
      <c r="GP228" s="83"/>
      <c r="GQ228" s="83"/>
      <c r="GR228" s="83"/>
      <c r="GS228" s="83"/>
      <c r="GT228" s="83"/>
      <c r="GU228" s="83"/>
      <c r="GV228" s="83"/>
      <c r="GW228" s="83"/>
      <c r="GX228" s="83"/>
      <c r="GY228" s="83"/>
      <c r="GZ228" s="83"/>
      <c r="HA228" s="83"/>
      <c r="HB228" s="83"/>
      <c r="HC228" s="83"/>
      <c r="HD228" s="83"/>
      <c r="HE228" s="83"/>
      <c r="HF228" s="83"/>
      <c r="HG228" s="83"/>
      <c r="HH228" s="83"/>
      <c r="HI228" s="83"/>
      <c r="HJ228" s="83"/>
      <c r="HK228" s="83"/>
      <c r="HL228" s="83"/>
      <c r="HM228" s="83"/>
      <c r="HN228" s="83"/>
      <c r="HO228" s="83"/>
      <c r="HP228" s="83"/>
      <c r="HQ228" s="83"/>
      <c r="HR228" s="83"/>
      <c r="HS228" s="83"/>
      <c r="HT228" s="83"/>
      <c r="HU228" s="83"/>
      <c r="HV228" s="83"/>
      <c r="HW228" s="83"/>
      <c r="HX228" s="83"/>
      <c r="HY228" s="83"/>
      <c r="HZ228" s="83"/>
      <c r="IA228" s="83"/>
      <c r="IB228" s="83"/>
      <c r="IC228" s="83"/>
      <c r="ID228" s="83"/>
      <c r="IE228" s="83"/>
      <c r="IF228" s="83"/>
      <c r="IG228" s="83"/>
    </row>
    <row r="229" spans="1:241" x14ac:dyDescent="0.3">
      <c r="A229" s="83"/>
      <c r="B229" s="7" t="s">
        <v>105</v>
      </c>
      <c r="C229" s="8">
        <v>2.9</v>
      </c>
      <c r="D229" s="8">
        <v>3.63</v>
      </c>
      <c r="E229" s="8">
        <v>5.08</v>
      </c>
      <c r="F229" s="8">
        <v>9.66</v>
      </c>
      <c r="G229" s="9">
        <v>14.5</v>
      </c>
      <c r="H229" s="1"/>
      <c r="I229" s="1"/>
      <c r="J229" s="1"/>
      <c r="K229" s="1"/>
      <c r="L229" s="1"/>
      <c r="M229" s="1"/>
      <c r="N229" s="1"/>
      <c r="O229" s="1"/>
      <c r="P229" s="1"/>
      <c r="Q229" s="1"/>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c r="DD229" s="83"/>
      <c r="DE229" s="83"/>
      <c r="DF229" s="83"/>
      <c r="DG229" s="83"/>
      <c r="DH229" s="83"/>
      <c r="DI229" s="83"/>
      <c r="DJ229" s="83"/>
      <c r="DK229" s="83"/>
      <c r="DL229" s="83"/>
      <c r="DM229" s="83"/>
      <c r="DN229" s="83"/>
      <c r="DO229" s="83"/>
      <c r="DP229" s="83"/>
      <c r="DQ229" s="83"/>
      <c r="DR229" s="83"/>
      <c r="DS229" s="83"/>
      <c r="DT229" s="83"/>
      <c r="DU229" s="83"/>
      <c r="DV229" s="83"/>
      <c r="DW229" s="83"/>
      <c r="DX229" s="83"/>
      <c r="DY229" s="83"/>
      <c r="DZ229" s="83"/>
      <c r="EA229" s="83"/>
      <c r="EB229" s="83"/>
      <c r="EC229" s="83"/>
      <c r="ED229" s="83"/>
      <c r="EE229" s="83"/>
      <c r="EF229" s="83"/>
      <c r="EG229" s="83"/>
      <c r="EH229" s="83"/>
      <c r="EI229" s="83"/>
      <c r="EJ229" s="83"/>
      <c r="EK229" s="83"/>
      <c r="EL229" s="83"/>
      <c r="EM229" s="83"/>
      <c r="EN229" s="83"/>
      <c r="EO229" s="83"/>
      <c r="EP229" s="83"/>
      <c r="EQ229" s="83"/>
      <c r="ER229" s="83"/>
      <c r="ES229" s="83"/>
      <c r="ET229" s="83"/>
      <c r="EU229" s="83"/>
      <c r="EV229" s="83"/>
      <c r="EW229" s="83"/>
      <c r="EX229" s="83"/>
      <c r="EY229" s="83"/>
      <c r="EZ229" s="83"/>
      <c r="FA229" s="83"/>
      <c r="FB229" s="83"/>
      <c r="FC229" s="83"/>
      <c r="FD229" s="83"/>
      <c r="FE229" s="83"/>
      <c r="FF229" s="83"/>
      <c r="FG229" s="83"/>
      <c r="FH229" s="83"/>
      <c r="FI229" s="83"/>
      <c r="FJ229" s="83"/>
      <c r="FK229" s="83"/>
      <c r="FL229" s="83"/>
      <c r="FM229" s="83"/>
      <c r="FN229" s="83"/>
      <c r="FO229" s="83"/>
      <c r="FP229" s="83"/>
      <c r="FQ229" s="83"/>
      <c r="FR229" s="83"/>
      <c r="FS229" s="83"/>
      <c r="FT229" s="83"/>
      <c r="FU229" s="83"/>
      <c r="FV229" s="83"/>
      <c r="FW229" s="83"/>
      <c r="FX229" s="83"/>
      <c r="FY229" s="83"/>
      <c r="FZ229" s="83"/>
      <c r="GA229" s="83"/>
      <c r="GB229" s="83"/>
      <c r="GC229" s="83"/>
      <c r="GD229" s="83"/>
      <c r="GE229" s="83"/>
      <c r="GF229" s="83"/>
      <c r="GG229" s="83"/>
      <c r="GH229" s="83"/>
      <c r="GI229" s="83"/>
      <c r="GJ229" s="83"/>
      <c r="GK229" s="83"/>
      <c r="GL229" s="83"/>
      <c r="GM229" s="83"/>
      <c r="GN229" s="83"/>
      <c r="GO229" s="83"/>
      <c r="GP229" s="83"/>
      <c r="GQ229" s="83"/>
      <c r="GR229" s="83"/>
      <c r="GS229" s="83"/>
      <c r="GT229" s="83"/>
      <c r="GU229" s="83"/>
      <c r="GV229" s="83"/>
      <c r="GW229" s="83"/>
      <c r="GX229" s="83"/>
      <c r="GY229" s="83"/>
      <c r="GZ229" s="83"/>
      <c r="HA229" s="83"/>
      <c r="HB229" s="83"/>
      <c r="HC229" s="83"/>
      <c r="HD229" s="83"/>
      <c r="HE229" s="83"/>
      <c r="HF229" s="83"/>
      <c r="HG229" s="83"/>
      <c r="HH229" s="83"/>
      <c r="HI229" s="83"/>
      <c r="HJ229" s="83"/>
      <c r="HK229" s="83"/>
      <c r="HL229" s="83"/>
      <c r="HM229" s="83"/>
      <c r="HN229" s="83"/>
      <c r="HO229" s="83"/>
      <c r="HP229" s="83"/>
      <c r="HQ229" s="83"/>
      <c r="HR229" s="83"/>
      <c r="HS229" s="83"/>
      <c r="HT229" s="83"/>
      <c r="HU229" s="83"/>
      <c r="HV229" s="83"/>
      <c r="HW229" s="83"/>
      <c r="HX229" s="83"/>
      <c r="HY229" s="83"/>
      <c r="HZ229" s="83"/>
      <c r="IA229" s="83"/>
      <c r="IB229" s="83"/>
      <c r="IC229" s="83"/>
      <c r="ID229" s="83"/>
      <c r="IE229" s="83"/>
      <c r="IF229" s="83"/>
      <c r="IG229" s="83"/>
    </row>
    <row r="230" spans="1:241" x14ac:dyDescent="0.3">
      <c r="A230" s="83"/>
      <c r="B230" s="12" t="s">
        <v>106</v>
      </c>
      <c r="C230" s="13">
        <v>2.25</v>
      </c>
      <c r="D230" s="13">
        <v>2.81</v>
      </c>
      <c r="E230" s="13">
        <v>3.94</v>
      </c>
      <c r="F230" s="13">
        <v>7.49</v>
      </c>
      <c r="G230" s="16">
        <v>11.25</v>
      </c>
      <c r="H230" s="1"/>
      <c r="I230" s="1"/>
      <c r="J230" s="1"/>
      <c r="K230" s="1"/>
      <c r="L230" s="1"/>
      <c r="M230" s="1"/>
      <c r="N230" s="1"/>
      <c r="O230" s="1"/>
      <c r="P230" s="1"/>
      <c r="Q230" s="1"/>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c r="DD230" s="83"/>
      <c r="DE230" s="83"/>
      <c r="DF230" s="83"/>
      <c r="DG230" s="83"/>
      <c r="DH230" s="83"/>
      <c r="DI230" s="83"/>
      <c r="DJ230" s="83"/>
      <c r="DK230" s="83"/>
      <c r="DL230" s="83"/>
      <c r="DM230" s="83"/>
      <c r="DN230" s="83"/>
      <c r="DO230" s="83"/>
      <c r="DP230" s="83"/>
      <c r="DQ230" s="83"/>
      <c r="DR230" s="83"/>
      <c r="DS230" s="83"/>
      <c r="DT230" s="83"/>
      <c r="DU230" s="83"/>
      <c r="DV230" s="83"/>
      <c r="DW230" s="83"/>
      <c r="DX230" s="83"/>
      <c r="DY230" s="83"/>
      <c r="DZ230" s="83"/>
      <c r="EA230" s="83"/>
      <c r="EB230" s="83"/>
      <c r="EC230" s="83"/>
      <c r="ED230" s="83"/>
      <c r="EE230" s="83"/>
      <c r="EF230" s="83"/>
      <c r="EG230" s="83"/>
      <c r="EH230" s="83"/>
      <c r="EI230" s="83"/>
      <c r="EJ230" s="83"/>
      <c r="EK230" s="83"/>
      <c r="EL230" s="83"/>
      <c r="EM230" s="83"/>
      <c r="EN230" s="83"/>
      <c r="EO230" s="83"/>
      <c r="EP230" s="83"/>
      <c r="EQ230" s="83"/>
      <c r="ER230" s="83"/>
      <c r="ES230" s="83"/>
      <c r="ET230" s="83"/>
      <c r="EU230" s="83"/>
      <c r="EV230" s="83"/>
      <c r="EW230" s="83"/>
      <c r="EX230" s="83"/>
      <c r="EY230" s="83"/>
      <c r="EZ230" s="83"/>
      <c r="FA230" s="83"/>
      <c r="FB230" s="83"/>
      <c r="FC230" s="83"/>
      <c r="FD230" s="83"/>
      <c r="FE230" s="83"/>
      <c r="FF230" s="83"/>
      <c r="FG230" s="83"/>
      <c r="FH230" s="83"/>
      <c r="FI230" s="83"/>
      <c r="FJ230" s="83"/>
      <c r="FK230" s="83"/>
      <c r="FL230" s="83"/>
      <c r="FM230" s="83"/>
      <c r="FN230" s="83"/>
      <c r="FO230" s="83"/>
      <c r="FP230" s="83"/>
      <c r="FQ230" s="83"/>
      <c r="FR230" s="83"/>
      <c r="FS230" s="83"/>
      <c r="FT230" s="83"/>
      <c r="FU230" s="83"/>
      <c r="FV230" s="83"/>
      <c r="FW230" s="83"/>
      <c r="FX230" s="83"/>
      <c r="FY230" s="83"/>
      <c r="FZ230" s="83"/>
      <c r="GA230" s="83"/>
      <c r="GB230" s="83"/>
      <c r="GC230" s="83"/>
      <c r="GD230" s="83"/>
      <c r="GE230" s="83"/>
      <c r="GF230" s="83"/>
      <c r="GG230" s="83"/>
      <c r="GH230" s="83"/>
      <c r="GI230" s="83"/>
      <c r="GJ230" s="83"/>
      <c r="GK230" s="83"/>
      <c r="GL230" s="83"/>
      <c r="GM230" s="83"/>
      <c r="GN230" s="83"/>
      <c r="GO230" s="83"/>
      <c r="GP230" s="83"/>
      <c r="GQ230" s="83"/>
      <c r="GR230" s="83"/>
      <c r="GS230" s="83"/>
      <c r="GT230" s="83"/>
      <c r="GU230" s="83"/>
      <c r="GV230" s="83"/>
      <c r="GW230" s="83"/>
      <c r="GX230" s="83"/>
      <c r="GY230" s="83"/>
      <c r="GZ230" s="83"/>
      <c r="HA230" s="83"/>
      <c r="HB230" s="83"/>
      <c r="HC230" s="83"/>
      <c r="HD230" s="83"/>
      <c r="HE230" s="83"/>
      <c r="HF230" s="83"/>
      <c r="HG230" s="83"/>
      <c r="HH230" s="83"/>
      <c r="HI230" s="83"/>
      <c r="HJ230" s="83"/>
      <c r="HK230" s="83"/>
      <c r="HL230" s="83"/>
      <c r="HM230" s="83"/>
      <c r="HN230" s="83"/>
      <c r="HO230" s="83"/>
      <c r="HP230" s="83"/>
      <c r="HQ230" s="83"/>
      <c r="HR230" s="83"/>
      <c r="HS230" s="83"/>
      <c r="HT230" s="83"/>
      <c r="HU230" s="83"/>
      <c r="HV230" s="83"/>
      <c r="HW230" s="83"/>
      <c r="HX230" s="83"/>
      <c r="HY230" s="83"/>
      <c r="HZ230" s="83"/>
      <c r="IA230" s="83"/>
      <c r="IB230" s="83"/>
      <c r="IC230" s="83"/>
      <c r="ID230" s="83"/>
      <c r="IE230" s="83"/>
      <c r="IF230" s="83"/>
      <c r="IG230" s="83"/>
    </row>
    <row r="231" spans="1:241" x14ac:dyDescent="0.3">
      <c r="A231" s="83"/>
      <c r="B231" s="12" t="s">
        <v>107</v>
      </c>
      <c r="C231" s="13">
        <v>2.25</v>
      </c>
      <c r="D231" s="13">
        <v>2.81</v>
      </c>
      <c r="E231" s="13">
        <v>3.94</v>
      </c>
      <c r="F231" s="13">
        <v>7.49</v>
      </c>
      <c r="G231" s="16">
        <v>11.25</v>
      </c>
      <c r="H231" s="1"/>
      <c r="I231" s="1"/>
      <c r="J231" s="1"/>
      <c r="K231" s="1"/>
      <c r="L231" s="1"/>
      <c r="M231" s="1"/>
      <c r="N231" s="1"/>
      <c r="O231" s="1"/>
      <c r="P231" s="1"/>
      <c r="Q231" s="1"/>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c r="DD231" s="83"/>
      <c r="DE231" s="83"/>
      <c r="DF231" s="83"/>
      <c r="DG231" s="83"/>
      <c r="DH231" s="83"/>
      <c r="DI231" s="83"/>
      <c r="DJ231" s="83"/>
      <c r="DK231" s="83"/>
      <c r="DL231" s="83"/>
      <c r="DM231" s="83"/>
      <c r="DN231" s="83"/>
      <c r="DO231" s="83"/>
      <c r="DP231" s="83"/>
      <c r="DQ231" s="83"/>
      <c r="DR231" s="83"/>
      <c r="DS231" s="83"/>
      <c r="DT231" s="83"/>
      <c r="DU231" s="83"/>
      <c r="DV231" s="83"/>
      <c r="DW231" s="83"/>
      <c r="DX231" s="83"/>
      <c r="DY231" s="83"/>
      <c r="DZ231" s="83"/>
      <c r="EA231" s="83"/>
      <c r="EB231" s="83"/>
      <c r="EC231" s="83"/>
      <c r="ED231" s="83"/>
      <c r="EE231" s="83"/>
      <c r="EF231" s="83"/>
      <c r="EG231" s="83"/>
      <c r="EH231" s="83"/>
      <c r="EI231" s="83"/>
      <c r="EJ231" s="83"/>
      <c r="EK231" s="83"/>
      <c r="EL231" s="83"/>
      <c r="EM231" s="83"/>
      <c r="EN231" s="83"/>
      <c r="EO231" s="83"/>
      <c r="EP231" s="83"/>
      <c r="EQ231" s="83"/>
      <c r="ER231" s="83"/>
      <c r="ES231" s="83"/>
      <c r="ET231" s="83"/>
      <c r="EU231" s="83"/>
      <c r="EV231" s="83"/>
      <c r="EW231" s="83"/>
      <c r="EX231" s="83"/>
      <c r="EY231" s="83"/>
      <c r="EZ231" s="83"/>
      <c r="FA231" s="83"/>
      <c r="FB231" s="83"/>
      <c r="FC231" s="83"/>
      <c r="FD231" s="83"/>
      <c r="FE231" s="83"/>
      <c r="FF231" s="83"/>
      <c r="FG231" s="83"/>
      <c r="FH231" s="83"/>
      <c r="FI231" s="83"/>
      <c r="FJ231" s="83"/>
      <c r="FK231" s="83"/>
      <c r="FL231" s="83"/>
      <c r="FM231" s="83"/>
      <c r="FN231" s="83"/>
      <c r="FO231" s="83"/>
      <c r="FP231" s="83"/>
      <c r="FQ231" s="83"/>
      <c r="FR231" s="83"/>
      <c r="FS231" s="83"/>
      <c r="FT231" s="83"/>
      <c r="FU231" s="83"/>
      <c r="FV231" s="83"/>
      <c r="FW231" s="83"/>
      <c r="FX231" s="83"/>
      <c r="FY231" s="83"/>
      <c r="FZ231" s="83"/>
      <c r="GA231" s="83"/>
      <c r="GB231" s="83"/>
      <c r="GC231" s="83"/>
      <c r="GD231" s="83"/>
      <c r="GE231" s="83"/>
      <c r="GF231" s="83"/>
      <c r="GG231" s="83"/>
      <c r="GH231" s="83"/>
      <c r="GI231" s="83"/>
      <c r="GJ231" s="83"/>
      <c r="GK231" s="83"/>
      <c r="GL231" s="83"/>
      <c r="GM231" s="83"/>
      <c r="GN231" s="83"/>
      <c r="GO231" s="83"/>
      <c r="GP231" s="83"/>
      <c r="GQ231" s="83"/>
      <c r="GR231" s="83"/>
      <c r="GS231" s="83"/>
      <c r="GT231" s="83"/>
      <c r="GU231" s="83"/>
      <c r="GV231" s="83"/>
      <c r="GW231" s="83"/>
      <c r="GX231" s="83"/>
      <c r="GY231" s="83"/>
      <c r="GZ231" s="83"/>
      <c r="HA231" s="83"/>
      <c r="HB231" s="83"/>
      <c r="HC231" s="83"/>
      <c r="HD231" s="83"/>
      <c r="HE231" s="83"/>
      <c r="HF231" s="83"/>
      <c r="HG231" s="83"/>
      <c r="HH231" s="83"/>
      <c r="HI231" s="83"/>
      <c r="HJ231" s="83"/>
      <c r="HK231" s="83"/>
      <c r="HL231" s="83"/>
      <c r="HM231" s="83"/>
      <c r="HN231" s="83"/>
      <c r="HO231" s="83"/>
      <c r="HP231" s="83"/>
      <c r="HQ231" s="83"/>
      <c r="HR231" s="83"/>
      <c r="HS231" s="83"/>
      <c r="HT231" s="83"/>
      <c r="HU231" s="83"/>
      <c r="HV231" s="83"/>
      <c r="HW231" s="83"/>
      <c r="HX231" s="83"/>
      <c r="HY231" s="83"/>
      <c r="HZ231" s="83"/>
      <c r="IA231" s="83"/>
      <c r="IB231" s="83"/>
      <c r="IC231" s="83"/>
      <c r="ID231" s="83"/>
      <c r="IE231" s="83"/>
      <c r="IF231" s="83"/>
      <c r="IG231" s="83"/>
    </row>
    <row r="232" spans="1:241" x14ac:dyDescent="0.3">
      <c r="A232" s="83"/>
      <c r="B232" s="12" t="s">
        <v>108</v>
      </c>
      <c r="C232" s="13">
        <v>2.9</v>
      </c>
      <c r="D232" s="13">
        <v>3.63</v>
      </c>
      <c r="E232" s="13">
        <v>5.08</v>
      </c>
      <c r="F232" s="13">
        <v>9.66</v>
      </c>
      <c r="G232" s="16">
        <v>14.5</v>
      </c>
      <c r="H232" s="1"/>
      <c r="I232" s="1"/>
      <c r="J232" s="1"/>
      <c r="K232" s="1"/>
      <c r="L232" s="1"/>
      <c r="M232" s="1"/>
      <c r="N232" s="1"/>
      <c r="O232" s="1"/>
      <c r="P232" s="1"/>
      <c r="Q232" s="1"/>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c r="DD232" s="83"/>
      <c r="DE232" s="83"/>
      <c r="DF232" s="83"/>
      <c r="DG232" s="83"/>
      <c r="DH232" s="83"/>
      <c r="DI232" s="83"/>
      <c r="DJ232" s="83"/>
      <c r="DK232" s="83"/>
      <c r="DL232" s="83"/>
      <c r="DM232" s="83"/>
      <c r="DN232" s="83"/>
      <c r="DO232" s="83"/>
      <c r="DP232" s="83"/>
      <c r="DQ232" s="83"/>
      <c r="DR232" s="83"/>
      <c r="DS232" s="83"/>
      <c r="DT232" s="83"/>
      <c r="DU232" s="83"/>
      <c r="DV232" s="83"/>
      <c r="DW232" s="83"/>
      <c r="DX232" s="83"/>
      <c r="DY232" s="83"/>
      <c r="DZ232" s="83"/>
      <c r="EA232" s="83"/>
      <c r="EB232" s="83"/>
      <c r="EC232" s="83"/>
      <c r="ED232" s="83"/>
      <c r="EE232" s="83"/>
      <c r="EF232" s="83"/>
      <c r="EG232" s="83"/>
      <c r="EH232" s="83"/>
      <c r="EI232" s="83"/>
      <c r="EJ232" s="83"/>
      <c r="EK232" s="83"/>
      <c r="EL232" s="83"/>
      <c r="EM232" s="83"/>
      <c r="EN232" s="83"/>
      <c r="EO232" s="83"/>
      <c r="EP232" s="83"/>
      <c r="EQ232" s="83"/>
      <c r="ER232" s="83"/>
      <c r="ES232" s="83"/>
      <c r="ET232" s="83"/>
      <c r="EU232" s="83"/>
      <c r="EV232" s="83"/>
      <c r="EW232" s="83"/>
      <c r="EX232" s="83"/>
      <c r="EY232" s="83"/>
      <c r="EZ232" s="83"/>
      <c r="FA232" s="83"/>
      <c r="FB232" s="83"/>
      <c r="FC232" s="83"/>
      <c r="FD232" s="83"/>
      <c r="FE232" s="83"/>
      <c r="FF232" s="83"/>
      <c r="FG232" s="83"/>
      <c r="FH232" s="83"/>
      <c r="FI232" s="83"/>
      <c r="FJ232" s="83"/>
      <c r="FK232" s="83"/>
      <c r="FL232" s="83"/>
      <c r="FM232" s="83"/>
      <c r="FN232" s="83"/>
      <c r="FO232" s="83"/>
      <c r="FP232" s="83"/>
      <c r="FQ232" s="83"/>
      <c r="FR232" s="83"/>
      <c r="FS232" s="83"/>
      <c r="FT232" s="83"/>
      <c r="FU232" s="83"/>
      <c r="FV232" s="83"/>
      <c r="FW232" s="83"/>
      <c r="FX232" s="83"/>
      <c r="FY232" s="83"/>
      <c r="FZ232" s="83"/>
      <c r="GA232" s="83"/>
      <c r="GB232" s="83"/>
      <c r="GC232" s="83"/>
      <c r="GD232" s="83"/>
      <c r="GE232" s="83"/>
      <c r="GF232" s="83"/>
      <c r="GG232" s="83"/>
      <c r="GH232" s="83"/>
      <c r="GI232" s="83"/>
      <c r="GJ232" s="83"/>
      <c r="GK232" s="83"/>
      <c r="GL232" s="83"/>
      <c r="GM232" s="83"/>
      <c r="GN232" s="83"/>
      <c r="GO232" s="83"/>
      <c r="GP232" s="83"/>
      <c r="GQ232" s="83"/>
      <c r="GR232" s="83"/>
      <c r="GS232" s="83"/>
      <c r="GT232" s="83"/>
      <c r="GU232" s="83"/>
      <c r="GV232" s="83"/>
      <c r="GW232" s="83"/>
      <c r="GX232" s="83"/>
      <c r="GY232" s="83"/>
      <c r="GZ232" s="83"/>
      <c r="HA232" s="83"/>
      <c r="HB232" s="83"/>
      <c r="HC232" s="83"/>
      <c r="HD232" s="83"/>
      <c r="HE232" s="83"/>
      <c r="HF232" s="83"/>
      <c r="HG232" s="83"/>
      <c r="HH232" s="83"/>
      <c r="HI232" s="83"/>
      <c r="HJ232" s="83"/>
      <c r="HK232" s="83"/>
      <c r="HL232" s="83"/>
      <c r="HM232" s="83"/>
      <c r="HN232" s="83"/>
      <c r="HO232" s="83"/>
      <c r="HP232" s="83"/>
      <c r="HQ232" s="83"/>
      <c r="HR232" s="83"/>
      <c r="HS232" s="83"/>
      <c r="HT232" s="83"/>
      <c r="HU232" s="83"/>
      <c r="HV232" s="83"/>
      <c r="HW232" s="83"/>
      <c r="HX232" s="83"/>
      <c r="HY232" s="83"/>
      <c r="HZ232" s="83"/>
      <c r="IA232" s="83"/>
      <c r="IB232" s="83"/>
      <c r="IC232" s="83"/>
      <c r="ID232" s="83"/>
      <c r="IE232" s="83"/>
      <c r="IF232" s="83"/>
      <c r="IG232" s="83"/>
    </row>
    <row r="233" spans="1:241" x14ac:dyDescent="0.3">
      <c r="A233" s="83"/>
      <c r="B233" s="17" t="s">
        <v>109</v>
      </c>
      <c r="C233" s="18">
        <v>2.9</v>
      </c>
      <c r="D233" s="18">
        <v>3.63</v>
      </c>
      <c r="E233" s="18">
        <v>5.08</v>
      </c>
      <c r="F233" s="18">
        <v>9.66</v>
      </c>
      <c r="G233" s="21">
        <v>14.5</v>
      </c>
      <c r="H233" s="1"/>
      <c r="I233" s="1"/>
      <c r="J233" s="1"/>
      <c r="K233" s="1"/>
      <c r="L233" s="1"/>
      <c r="M233" s="1"/>
      <c r="N233" s="1"/>
      <c r="O233" s="1"/>
      <c r="P233" s="1"/>
      <c r="Q233" s="1"/>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c r="DD233" s="83"/>
      <c r="DE233" s="83"/>
      <c r="DF233" s="83"/>
      <c r="DG233" s="83"/>
      <c r="DH233" s="83"/>
      <c r="DI233" s="83"/>
      <c r="DJ233" s="83"/>
      <c r="DK233" s="83"/>
      <c r="DL233" s="83"/>
      <c r="DM233" s="83"/>
      <c r="DN233" s="83"/>
      <c r="DO233" s="83"/>
      <c r="DP233" s="83"/>
      <c r="DQ233" s="83"/>
      <c r="DR233" s="83"/>
      <c r="DS233" s="83"/>
      <c r="DT233" s="83"/>
      <c r="DU233" s="83"/>
      <c r="DV233" s="83"/>
      <c r="DW233" s="83"/>
      <c r="DX233" s="83"/>
      <c r="DY233" s="83"/>
      <c r="DZ233" s="83"/>
      <c r="EA233" s="83"/>
      <c r="EB233" s="83"/>
      <c r="EC233" s="83"/>
      <c r="ED233" s="83"/>
      <c r="EE233" s="83"/>
      <c r="EF233" s="83"/>
      <c r="EG233" s="83"/>
      <c r="EH233" s="83"/>
      <c r="EI233" s="83"/>
      <c r="EJ233" s="83"/>
      <c r="EK233" s="83"/>
      <c r="EL233" s="83"/>
      <c r="EM233" s="83"/>
      <c r="EN233" s="83"/>
      <c r="EO233" s="83"/>
      <c r="EP233" s="83"/>
      <c r="EQ233" s="83"/>
      <c r="ER233" s="83"/>
      <c r="ES233" s="83"/>
      <c r="ET233" s="83"/>
      <c r="EU233" s="83"/>
      <c r="EV233" s="83"/>
      <c r="EW233" s="83"/>
      <c r="EX233" s="83"/>
      <c r="EY233" s="83"/>
      <c r="EZ233" s="83"/>
      <c r="FA233" s="83"/>
      <c r="FB233" s="83"/>
      <c r="FC233" s="83"/>
      <c r="FD233" s="83"/>
      <c r="FE233" s="83"/>
      <c r="FF233" s="83"/>
      <c r="FG233" s="83"/>
      <c r="FH233" s="83"/>
      <c r="FI233" s="83"/>
      <c r="FJ233" s="83"/>
      <c r="FK233" s="83"/>
      <c r="FL233" s="83"/>
      <c r="FM233" s="83"/>
      <c r="FN233" s="83"/>
      <c r="FO233" s="83"/>
      <c r="FP233" s="83"/>
      <c r="FQ233" s="83"/>
      <c r="FR233" s="83"/>
      <c r="FS233" s="83"/>
      <c r="FT233" s="83"/>
      <c r="FU233" s="83"/>
      <c r="FV233" s="83"/>
      <c r="FW233" s="83"/>
      <c r="FX233" s="83"/>
      <c r="FY233" s="83"/>
      <c r="FZ233" s="83"/>
      <c r="GA233" s="83"/>
      <c r="GB233" s="83"/>
      <c r="GC233" s="83"/>
      <c r="GD233" s="83"/>
      <c r="GE233" s="83"/>
      <c r="GF233" s="83"/>
      <c r="GG233" s="83"/>
      <c r="GH233" s="83"/>
      <c r="GI233" s="83"/>
      <c r="GJ233" s="83"/>
      <c r="GK233" s="83"/>
      <c r="GL233" s="83"/>
      <c r="GM233" s="83"/>
      <c r="GN233" s="83"/>
      <c r="GO233" s="83"/>
      <c r="GP233" s="83"/>
      <c r="GQ233" s="83"/>
      <c r="GR233" s="83"/>
      <c r="GS233" s="83"/>
      <c r="GT233" s="83"/>
      <c r="GU233" s="83"/>
      <c r="GV233" s="83"/>
      <c r="GW233" s="83"/>
      <c r="GX233" s="83"/>
      <c r="GY233" s="83"/>
      <c r="GZ233" s="83"/>
      <c r="HA233" s="83"/>
      <c r="HB233" s="83"/>
      <c r="HC233" s="83"/>
      <c r="HD233" s="83"/>
      <c r="HE233" s="83"/>
      <c r="HF233" s="83"/>
      <c r="HG233" s="83"/>
      <c r="HH233" s="83"/>
      <c r="HI233" s="83"/>
      <c r="HJ233" s="83"/>
      <c r="HK233" s="83"/>
      <c r="HL233" s="83"/>
      <c r="HM233" s="83"/>
      <c r="HN233" s="83"/>
      <c r="HO233" s="83"/>
      <c r="HP233" s="83"/>
      <c r="HQ233" s="83"/>
      <c r="HR233" s="83"/>
      <c r="HS233" s="83"/>
      <c r="HT233" s="83"/>
      <c r="HU233" s="83"/>
      <c r="HV233" s="83"/>
      <c r="HW233" s="83"/>
      <c r="HX233" s="83"/>
      <c r="HY233" s="83"/>
      <c r="HZ233" s="83"/>
      <c r="IA233" s="83"/>
      <c r="IB233" s="83"/>
      <c r="IC233" s="83"/>
      <c r="ID233" s="83"/>
      <c r="IE233" s="83"/>
      <c r="IF233" s="83"/>
      <c r="IG233" s="83"/>
    </row>
    <row r="234" spans="1:241" x14ac:dyDescent="0.3">
      <c r="A234" s="83"/>
      <c r="B234" s="1"/>
      <c r="C234" s="1"/>
      <c r="D234" s="1"/>
      <c r="E234" s="1"/>
      <c r="F234" s="1"/>
      <c r="G234" s="1"/>
      <c r="H234" s="1"/>
      <c r="I234" s="1"/>
      <c r="J234" s="1"/>
      <c r="K234" s="1"/>
      <c r="L234" s="1"/>
      <c r="M234" s="1"/>
      <c r="N234" s="1"/>
      <c r="O234" s="1"/>
      <c r="P234" s="1"/>
      <c r="Q234" s="1"/>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c r="DD234" s="83"/>
      <c r="DE234" s="83"/>
      <c r="DF234" s="83"/>
      <c r="DG234" s="83"/>
      <c r="DH234" s="83"/>
      <c r="DI234" s="83"/>
      <c r="DJ234" s="83"/>
      <c r="DK234" s="83"/>
      <c r="DL234" s="83"/>
      <c r="DM234" s="83"/>
      <c r="DN234" s="83"/>
      <c r="DO234" s="83"/>
      <c r="DP234" s="83"/>
      <c r="DQ234" s="83"/>
      <c r="DR234" s="83"/>
      <c r="DS234" s="83"/>
      <c r="DT234" s="83"/>
      <c r="DU234" s="83"/>
      <c r="DV234" s="83"/>
      <c r="DW234" s="83"/>
      <c r="DX234" s="83"/>
      <c r="DY234" s="83"/>
      <c r="DZ234" s="83"/>
      <c r="EA234" s="83"/>
      <c r="EB234" s="83"/>
      <c r="EC234" s="83"/>
      <c r="ED234" s="83"/>
      <c r="EE234" s="83"/>
      <c r="EF234" s="83"/>
      <c r="EG234" s="83"/>
      <c r="EH234" s="83"/>
      <c r="EI234" s="83"/>
      <c r="EJ234" s="83"/>
      <c r="EK234" s="83"/>
      <c r="EL234" s="83"/>
      <c r="EM234" s="83"/>
      <c r="EN234" s="83"/>
      <c r="EO234" s="83"/>
      <c r="EP234" s="83"/>
      <c r="EQ234" s="83"/>
      <c r="ER234" s="83"/>
      <c r="ES234" s="83"/>
      <c r="ET234" s="83"/>
      <c r="EU234" s="83"/>
      <c r="EV234" s="83"/>
      <c r="EW234" s="83"/>
      <c r="EX234" s="83"/>
      <c r="EY234" s="83"/>
      <c r="EZ234" s="83"/>
      <c r="FA234" s="83"/>
      <c r="FB234" s="83"/>
      <c r="FC234" s="83"/>
      <c r="FD234" s="83"/>
      <c r="FE234" s="83"/>
      <c r="FF234" s="83"/>
      <c r="FG234" s="83"/>
      <c r="FH234" s="83"/>
      <c r="FI234" s="83"/>
      <c r="FJ234" s="83"/>
      <c r="FK234" s="83"/>
      <c r="FL234" s="83"/>
      <c r="FM234" s="83"/>
      <c r="FN234" s="83"/>
      <c r="FO234" s="83"/>
      <c r="FP234" s="83"/>
      <c r="FQ234" s="83"/>
      <c r="FR234" s="83"/>
      <c r="FS234" s="83"/>
      <c r="FT234" s="83"/>
      <c r="FU234" s="83"/>
      <c r="FV234" s="83"/>
      <c r="FW234" s="83"/>
      <c r="FX234" s="83"/>
      <c r="FY234" s="83"/>
      <c r="FZ234" s="83"/>
      <c r="GA234" s="83"/>
      <c r="GB234" s="83"/>
      <c r="GC234" s="83"/>
      <c r="GD234" s="83"/>
      <c r="GE234" s="83"/>
      <c r="GF234" s="83"/>
      <c r="GG234" s="83"/>
      <c r="GH234" s="83"/>
      <c r="GI234" s="83"/>
      <c r="GJ234" s="83"/>
      <c r="GK234" s="83"/>
      <c r="GL234" s="83"/>
      <c r="GM234" s="83"/>
      <c r="GN234" s="83"/>
      <c r="GO234" s="83"/>
      <c r="GP234" s="83"/>
      <c r="GQ234" s="83"/>
      <c r="GR234" s="83"/>
      <c r="GS234" s="83"/>
      <c r="GT234" s="83"/>
      <c r="GU234" s="83"/>
      <c r="GV234" s="83"/>
      <c r="GW234" s="83"/>
      <c r="GX234" s="83"/>
      <c r="GY234" s="83"/>
      <c r="GZ234" s="83"/>
      <c r="HA234" s="83"/>
      <c r="HB234" s="83"/>
      <c r="HC234" s="83"/>
      <c r="HD234" s="83"/>
      <c r="HE234" s="83"/>
      <c r="HF234" s="83"/>
      <c r="HG234" s="83"/>
      <c r="HH234" s="83"/>
      <c r="HI234" s="83"/>
      <c r="HJ234" s="83"/>
      <c r="HK234" s="83"/>
      <c r="HL234" s="83"/>
      <c r="HM234" s="83"/>
      <c r="HN234" s="83"/>
      <c r="HO234" s="83"/>
      <c r="HP234" s="83"/>
      <c r="HQ234" s="83"/>
      <c r="HR234" s="83"/>
      <c r="HS234" s="83"/>
      <c r="HT234" s="83"/>
      <c r="HU234" s="83"/>
      <c r="HV234" s="83"/>
      <c r="HW234" s="83"/>
      <c r="HX234" s="83"/>
      <c r="HY234" s="83"/>
      <c r="HZ234" s="83"/>
      <c r="IA234" s="83"/>
      <c r="IB234" s="83"/>
      <c r="IC234" s="83"/>
      <c r="ID234" s="83"/>
      <c r="IE234" s="83"/>
      <c r="IF234" s="83"/>
      <c r="IG234" s="83"/>
    </row>
    <row r="235" spans="1:241" x14ac:dyDescent="0.3">
      <c r="A235" s="83"/>
      <c r="B235" s="1"/>
      <c r="C235" s="1"/>
      <c r="D235" s="1"/>
      <c r="E235" s="1"/>
      <c r="F235" s="1"/>
      <c r="G235" s="1"/>
      <c r="H235" s="1"/>
      <c r="I235" s="1"/>
      <c r="J235" s="1"/>
      <c r="K235" s="1"/>
      <c r="L235" s="1"/>
      <c r="M235" s="1"/>
      <c r="N235" s="1"/>
      <c r="O235" s="1"/>
      <c r="P235" s="1"/>
      <c r="Q235" s="1"/>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c r="DD235" s="83"/>
      <c r="DE235" s="83"/>
      <c r="DF235" s="83"/>
      <c r="DG235" s="83"/>
      <c r="DH235" s="83"/>
      <c r="DI235" s="83"/>
      <c r="DJ235" s="83"/>
      <c r="DK235" s="83"/>
      <c r="DL235" s="83"/>
      <c r="DM235" s="83"/>
      <c r="DN235" s="83"/>
      <c r="DO235" s="83"/>
      <c r="DP235" s="83"/>
      <c r="DQ235" s="83"/>
      <c r="DR235" s="83"/>
      <c r="DS235" s="83"/>
      <c r="DT235" s="83"/>
      <c r="DU235" s="83"/>
      <c r="DV235" s="83"/>
      <c r="DW235" s="83"/>
      <c r="DX235" s="83"/>
      <c r="DY235" s="83"/>
      <c r="DZ235" s="83"/>
      <c r="EA235" s="83"/>
      <c r="EB235" s="83"/>
      <c r="EC235" s="83"/>
      <c r="ED235" s="83"/>
      <c r="EE235" s="83"/>
      <c r="EF235" s="83"/>
      <c r="EG235" s="83"/>
      <c r="EH235" s="83"/>
      <c r="EI235" s="83"/>
      <c r="EJ235" s="83"/>
      <c r="EK235" s="83"/>
      <c r="EL235" s="83"/>
      <c r="EM235" s="83"/>
      <c r="EN235" s="83"/>
      <c r="EO235" s="83"/>
      <c r="EP235" s="83"/>
      <c r="EQ235" s="83"/>
      <c r="ER235" s="83"/>
      <c r="ES235" s="83"/>
      <c r="ET235" s="83"/>
      <c r="EU235" s="83"/>
      <c r="EV235" s="83"/>
      <c r="EW235" s="83"/>
      <c r="EX235" s="83"/>
      <c r="EY235" s="83"/>
      <c r="EZ235" s="83"/>
      <c r="FA235" s="83"/>
      <c r="FB235" s="83"/>
      <c r="FC235" s="83"/>
      <c r="FD235" s="83"/>
      <c r="FE235" s="83"/>
      <c r="FF235" s="83"/>
      <c r="FG235" s="83"/>
      <c r="FH235" s="83"/>
      <c r="FI235" s="83"/>
      <c r="FJ235" s="83"/>
      <c r="FK235" s="83"/>
      <c r="FL235" s="83"/>
      <c r="FM235" s="83"/>
      <c r="FN235" s="83"/>
      <c r="FO235" s="83"/>
      <c r="FP235" s="83"/>
      <c r="FQ235" s="83"/>
      <c r="FR235" s="83"/>
      <c r="FS235" s="83"/>
      <c r="FT235" s="83"/>
      <c r="FU235" s="83"/>
      <c r="FV235" s="83"/>
      <c r="FW235" s="83"/>
      <c r="FX235" s="83"/>
      <c r="FY235" s="83"/>
      <c r="FZ235" s="83"/>
      <c r="GA235" s="83"/>
      <c r="GB235" s="83"/>
      <c r="GC235" s="83"/>
      <c r="GD235" s="83"/>
      <c r="GE235" s="83"/>
      <c r="GF235" s="83"/>
      <c r="GG235" s="83"/>
      <c r="GH235" s="83"/>
      <c r="GI235" s="83"/>
      <c r="GJ235" s="83"/>
      <c r="GK235" s="83"/>
      <c r="GL235" s="83"/>
      <c r="GM235" s="83"/>
      <c r="GN235" s="83"/>
      <c r="GO235" s="83"/>
      <c r="GP235" s="83"/>
      <c r="GQ235" s="83"/>
      <c r="GR235" s="83"/>
      <c r="GS235" s="83"/>
      <c r="GT235" s="83"/>
      <c r="GU235" s="83"/>
      <c r="GV235" s="83"/>
      <c r="GW235" s="83"/>
      <c r="GX235" s="83"/>
      <c r="GY235" s="83"/>
      <c r="GZ235" s="83"/>
      <c r="HA235" s="83"/>
      <c r="HB235" s="83"/>
      <c r="HC235" s="83"/>
      <c r="HD235" s="83"/>
      <c r="HE235" s="83"/>
      <c r="HF235" s="83"/>
      <c r="HG235" s="83"/>
      <c r="HH235" s="83"/>
      <c r="HI235" s="83"/>
      <c r="HJ235" s="83"/>
      <c r="HK235" s="83"/>
      <c r="HL235" s="83"/>
      <c r="HM235" s="83"/>
      <c r="HN235" s="83"/>
      <c r="HO235" s="83"/>
      <c r="HP235" s="83"/>
      <c r="HQ235" s="83"/>
      <c r="HR235" s="83"/>
      <c r="HS235" s="83"/>
      <c r="HT235" s="83"/>
      <c r="HU235" s="83"/>
      <c r="HV235" s="83"/>
      <c r="HW235" s="83"/>
      <c r="HX235" s="83"/>
      <c r="HY235" s="83"/>
      <c r="HZ235" s="83"/>
      <c r="IA235" s="83"/>
      <c r="IB235" s="83"/>
      <c r="IC235" s="83"/>
      <c r="ID235" s="83"/>
      <c r="IE235" s="83"/>
      <c r="IF235" s="83"/>
      <c r="IG235" s="83"/>
    </row>
    <row r="236" spans="1:241" x14ac:dyDescent="0.3">
      <c r="A236" s="83"/>
      <c r="B236" s="2" t="s">
        <v>260</v>
      </c>
      <c r="C236" s="1"/>
      <c r="D236" s="1"/>
      <c r="E236" s="1"/>
      <c r="F236" s="1"/>
      <c r="G236" s="1"/>
      <c r="H236" s="1"/>
      <c r="I236" s="1"/>
      <c r="J236" s="1"/>
      <c r="K236" s="1"/>
      <c r="L236" s="1"/>
      <c r="M236" s="1"/>
      <c r="N236" s="1"/>
      <c r="O236" s="1"/>
      <c r="P236" s="1"/>
      <c r="Q236" s="1"/>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c r="DD236" s="83"/>
      <c r="DE236" s="83"/>
      <c r="DF236" s="83"/>
      <c r="DG236" s="83"/>
      <c r="DH236" s="83"/>
      <c r="DI236" s="83"/>
      <c r="DJ236" s="83"/>
      <c r="DK236" s="83"/>
      <c r="DL236" s="83"/>
      <c r="DM236" s="83"/>
      <c r="DN236" s="83"/>
      <c r="DO236" s="83"/>
      <c r="DP236" s="83"/>
      <c r="DQ236" s="83"/>
      <c r="DR236" s="83"/>
      <c r="DS236" s="83"/>
      <c r="DT236" s="83"/>
      <c r="DU236" s="83"/>
      <c r="DV236" s="83"/>
      <c r="DW236" s="83"/>
      <c r="DX236" s="83"/>
      <c r="DY236" s="83"/>
      <c r="DZ236" s="83"/>
      <c r="EA236" s="83"/>
      <c r="EB236" s="83"/>
      <c r="EC236" s="83"/>
      <c r="ED236" s="83"/>
      <c r="EE236" s="83"/>
      <c r="EF236" s="83"/>
      <c r="EG236" s="83"/>
      <c r="EH236" s="83"/>
      <c r="EI236" s="83"/>
      <c r="EJ236" s="83"/>
      <c r="EK236" s="83"/>
      <c r="EL236" s="83"/>
      <c r="EM236" s="83"/>
      <c r="EN236" s="83"/>
      <c r="EO236" s="83"/>
      <c r="EP236" s="83"/>
      <c r="EQ236" s="83"/>
      <c r="ER236" s="83"/>
      <c r="ES236" s="83"/>
      <c r="ET236" s="83"/>
      <c r="EU236" s="83"/>
      <c r="EV236" s="83"/>
      <c r="EW236" s="83"/>
      <c r="EX236" s="83"/>
      <c r="EY236" s="83"/>
      <c r="EZ236" s="83"/>
      <c r="FA236" s="83"/>
      <c r="FB236" s="83"/>
      <c r="FC236" s="83"/>
      <c r="FD236" s="83"/>
      <c r="FE236" s="83"/>
      <c r="FF236" s="83"/>
      <c r="FG236" s="83"/>
      <c r="FH236" s="83"/>
      <c r="FI236" s="83"/>
      <c r="FJ236" s="83"/>
      <c r="FK236" s="83"/>
      <c r="FL236" s="83"/>
      <c r="FM236" s="83"/>
      <c r="FN236" s="83"/>
      <c r="FO236" s="83"/>
      <c r="FP236" s="83"/>
      <c r="FQ236" s="83"/>
      <c r="FR236" s="83"/>
      <c r="FS236" s="83"/>
      <c r="FT236" s="83"/>
      <c r="FU236" s="83"/>
      <c r="FV236" s="83"/>
      <c r="FW236" s="83"/>
      <c r="FX236" s="83"/>
      <c r="FY236" s="83"/>
      <c r="FZ236" s="83"/>
      <c r="GA236" s="83"/>
      <c r="GB236" s="83"/>
      <c r="GC236" s="83"/>
      <c r="GD236" s="83"/>
      <c r="GE236" s="83"/>
      <c r="GF236" s="83"/>
      <c r="GG236" s="83"/>
      <c r="GH236" s="83"/>
      <c r="GI236" s="83"/>
      <c r="GJ236" s="83"/>
      <c r="GK236" s="83"/>
      <c r="GL236" s="83"/>
      <c r="GM236" s="83"/>
      <c r="GN236" s="83"/>
      <c r="GO236" s="83"/>
      <c r="GP236" s="83"/>
      <c r="GQ236" s="83"/>
      <c r="GR236" s="83"/>
      <c r="GS236" s="83"/>
      <c r="GT236" s="83"/>
      <c r="GU236" s="83"/>
      <c r="GV236" s="83"/>
      <c r="GW236" s="83"/>
      <c r="GX236" s="83"/>
      <c r="GY236" s="83"/>
      <c r="GZ236" s="83"/>
      <c r="HA236" s="83"/>
      <c r="HB236" s="83"/>
      <c r="HC236" s="83"/>
      <c r="HD236" s="83"/>
      <c r="HE236" s="83"/>
      <c r="HF236" s="83"/>
      <c r="HG236" s="83"/>
      <c r="HH236" s="83"/>
      <c r="HI236" s="83"/>
      <c r="HJ236" s="83"/>
      <c r="HK236" s="83"/>
      <c r="HL236" s="83"/>
      <c r="HM236" s="83"/>
      <c r="HN236" s="83"/>
      <c r="HO236" s="83"/>
      <c r="HP236" s="83"/>
      <c r="HQ236" s="83"/>
      <c r="HR236" s="83"/>
      <c r="HS236" s="83"/>
      <c r="HT236" s="83"/>
      <c r="HU236" s="83"/>
      <c r="HV236" s="83"/>
      <c r="HW236" s="83"/>
      <c r="HX236" s="83"/>
      <c r="HY236" s="83"/>
      <c r="HZ236" s="83"/>
      <c r="IA236" s="83"/>
      <c r="IB236" s="83"/>
      <c r="IC236" s="83"/>
      <c r="ID236" s="83"/>
      <c r="IE236" s="83"/>
      <c r="IF236" s="83"/>
      <c r="IG236" s="83"/>
    </row>
    <row r="237" spans="1:241" x14ac:dyDescent="0.3">
      <c r="A237" s="83"/>
      <c r="B237" s="23" t="s">
        <v>193</v>
      </c>
      <c r="C237" s="49"/>
      <c r="D237" s="8"/>
      <c r="E237" s="49"/>
      <c r="F237" s="49"/>
      <c r="G237" s="72" t="s">
        <v>194</v>
      </c>
      <c r="H237" s="49"/>
      <c r="I237" s="49"/>
      <c r="J237" s="49"/>
      <c r="K237" s="49"/>
      <c r="L237" s="51"/>
      <c r="M237" s="1"/>
      <c r="N237" s="1"/>
      <c r="O237" s="1"/>
      <c r="P237" s="1"/>
      <c r="Q237" s="1"/>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c r="DD237" s="83"/>
      <c r="DE237" s="83"/>
      <c r="DF237" s="83"/>
      <c r="DG237" s="83"/>
      <c r="DH237" s="83"/>
      <c r="DI237" s="83"/>
      <c r="DJ237" s="83"/>
      <c r="DK237" s="83"/>
      <c r="DL237" s="83"/>
      <c r="DM237" s="83"/>
      <c r="DN237" s="83"/>
      <c r="DO237" s="83"/>
      <c r="DP237" s="83"/>
      <c r="DQ237" s="83"/>
      <c r="DR237" s="83"/>
      <c r="DS237" s="83"/>
      <c r="DT237" s="83"/>
      <c r="DU237" s="83"/>
      <c r="DV237" s="83"/>
      <c r="DW237" s="83"/>
      <c r="DX237" s="83"/>
      <c r="DY237" s="83"/>
      <c r="DZ237" s="83"/>
      <c r="EA237" s="83"/>
      <c r="EB237" s="83"/>
      <c r="EC237" s="83"/>
      <c r="ED237" s="83"/>
      <c r="EE237" s="83"/>
      <c r="EF237" s="83"/>
      <c r="EG237" s="83"/>
      <c r="EH237" s="83"/>
      <c r="EI237" s="83"/>
      <c r="EJ237" s="83"/>
      <c r="EK237" s="83"/>
      <c r="EL237" s="83"/>
      <c r="EM237" s="83"/>
      <c r="EN237" s="83"/>
      <c r="EO237" s="83"/>
      <c r="EP237" s="83"/>
      <c r="EQ237" s="83"/>
      <c r="ER237" s="83"/>
      <c r="ES237" s="83"/>
      <c r="ET237" s="83"/>
      <c r="EU237" s="83"/>
      <c r="EV237" s="83"/>
      <c r="EW237" s="83"/>
      <c r="EX237" s="83"/>
      <c r="EY237" s="83"/>
      <c r="EZ237" s="83"/>
      <c r="FA237" s="83"/>
      <c r="FB237" s="83"/>
      <c r="FC237" s="83"/>
      <c r="FD237" s="83"/>
      <c r="FE237" s="83"/>
      <c r="FF237" s="83"/>
      <c r="FG237" s="83"/>
      <c r="FH237" s="83"/>
      <c r="FI237" s="83"/>
      <c r="FJ237" s="83"/>
      <c r="FK237" s="83"/>
      <c r="FL237" s="83"/>
      <c r="FM237" s="83"/>
      <c r="FN237" s="83"/>
      <c r="FO237" s="83"/>
      <c r="FP237" s="83"/>
      <c r="FQ237" s="83"/>
      <c r="FR237" s="83"/>
      <c r="FS237" s="83"/>
      <c r="FT237" s="83"/>
      <c r="FU237" s="83"/>
      <c r="FV237" s="83"/>
      <c r="FW237" s="83"/>
      <c r="FX237" s="83"/>
      <c r="FY237" s="83"/>
      <c r="FZ237" s="83"/>
      <c r="GA237" s="83"/>
      <c r="GB237" s="83"/>
      <c r="GC237" s="83"/>
      <c r="GD237" s="83"/>
      <c r="GE237" s="83"/>
      <c r="GF237" s="83"/>
      <c r="GG237" s="83"/>
      <c r="GH237" s="83"/>
      <c r="GI237" s="83"/>
      <c r="GJ237" s="83"/>
      <c r="GK237" s="83"/>
      <c r="GL237" s="83"/>
      <c r="GM237" s="83"/>
      <c r="GN237" s="83"/>
      <c r="GO237" s="83"/>
      <c r="GP237" s="83"/>
      <c r="GQ237" s="83"/>
      <c r="GR237" s="83"/>
      <c r="GS237" s="83"/>
      <c r="GT237" s="83"/>
      <c r="GU237" s="83"/>
      <c r="GV237" s="83"/>
      <c r="GW237" s="83"/>
      <c r="GX237" s="83"/>
      <c r="GY237" s="83"/>
      <c r="GZ237" s="83"/>
      <c r="HA237" s="83"/>
      <c r="HB237" s="83"/>
      <c r="HC237" s="83"/>
      <c r="HD237" s="83"/>
      <c r="HE237" s="83"/>
      <c r="HF237" s="83"/>
      <c r="HG237" s="83"/>
      <c r="HH237" s="83"/>
      <c r="HI237" s="83"/>
      <c r="HJ237" s="83"/>
      <c r="HK237" s="83"/>
      <c r="HL237" s="83"/>
      <c r="HM237" s="83"/>
      <c r="HN237" s="83"/>
      <c r="HO237" s="83"/>
      <c r="HP237" s="83"/>
      <c r="HQ237" s="83"/>
      <c r="HR237" s="83"/>
      <c r="HS237" s="83"/>
      <c r="HT237" s="83"/>
      <c r="HU237" s="83"/>
      <c r="HV237" s="83"/>
      <c r="HW237" s="83"/>
      <c r="HX237" s="83"/>
      <c r="HY237" s="83"/>
      <c r="HZ237" s="83"/>
      <c r="IA237" s="83"/>
      <c r="IB237" s="83"/>
      <c r="IC237" s="83"/>
      <c r="ID237" s="83"/>
      <c r="IE237" s="83"/>
      <c r="IF237" s="83"/>
      <c r="IG237" s="83"/>
    </row>
    <row r="238" spans="1:241" ht="15.6" x14ac:dyDescent="0.35">
      <c r="A238" s="83"/>
      <c r="B238" s="73" t="s">
        <v>1</v>
      </c>
      <c r="C238" s="18" t="s">
        <v>2</v>
      </c>
      <c r="D238" s="18" t="s">
        <v>3</v>
      </c>
      <c r="E238" s="18" t="s">
        <v>195</v>
      </c>
      <c r="F238" s="18" t="s">
        <v>196</v>
      </c>
      <c r="G238" s="18" t="s">
        <v>1</v>
      </c>
      <c r="H238" s="18" t="s">
        <v>2</v>
      </c>
      <c r="I238" s="18" t="s">
        <v>3</v>
      </c>
      <c r="J238" s="18" t="s">
        <v>195</v>
      </c>
      <c r="K238" s="18" t="s">
        <v>196</v>
      </c>
      <c r="L238" s="21" t="s">
        <v>65</v>
      </c>
      <c r="M238" s="1"/>
      <c r="N238" s="1"/>
      <c r="O238" s="1"/>
      <c r="P238" s="1"/>
      <c r="Q238" s="1"/>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c r="DD238" s="83"/>
      <c r="DE238" s="83"/>
      <c r="DF238" s="83"/>
      <c r="DG238" s="83"/>
      <c r="DH238" s="83"/>
      <c r="DI238" s="83"/>
      <c r="DJ238" s="83"/>
      <c r="DK238" s="83"/>
      <c r="DL238" s="83"/>
      <c r="DM238" s="83"/>
      <c r="DN238" s="83"/>
      <c r="DO238" s="83"/>
      <c r="DP238" s="83"/>
      <c r="DQ238" s="83"/>
      <c r="DR238" s="83"/>
      <c r="DS238" s="83"/>
      <c r="DT238" s="83"/>
      <c r="DU238" s="83"/>
      <c r="DV238" s="83"/>
      <c r="DW238" s="83"/>
      <c r="DX238" s="83"/>
      <c r="DY238" s="83"/>
      <c r="DZ238" s="83"/>
      <c r="EA238" s="83"/>
      <c r="EB238" s="83"/>
      <c r="EC238" s="83"/>
      <c r="ED238" s="83"/>
      <c r="EE238" s="83"/>
      <c r="EF238" s="83"/>
      <c r="EG238" s="83"/>
      <c r="EH238" s="83"/>
      <c r="EI238" s="83"/>
      <c r="EJ238" s="83"/>
      <c r="EK238" s="83"/>
      <c r="EL238" s="83"/>
      <c r="EM238" s="83"/>
      <c r="EN238" s="83"/>
      <c r="EO238" s="83"/>
      <c r="EP238" s="83"/>
      <c r="EQ238" s="83"/>
      <c r="ER238" s="83"/>
      <c r="ES238" s="83"/>
      <c r="ET238" s="83"/>
      <c r="EU238" s="83"/>
      <c r="EV238" s="83"/>
      <c r="EW238" s="83"/>
      <c r="EX238" s="83"/>
      <c r="EY238" s="83"/>
      <c r="EZ238" s="83"/>
      <c r="FA238" s="83"/>
      <c r="FB238" s="83"/>
      <c r="FC238" s="83"/>
      <c r="FD238" s="83"/>
      <c r="FE238" s="83"/>
      <c r="FF238" s="83"/>
      <c r="FG238" s="83"/>
      <c r="FH238" s="83"/>
      <c r="FI238" s="83"/>
      <c r="FJ238" s="83"/>
      <c r="FK238" s="83"/>
      <c r="FL238" s="83"/>
      <c r="FM238" s="83"/>
      <c r="FN238" s="83"/>
      <c r="FO238" s="83"/>
      <c r="FP238" s="83"/>
      <c r="FQ238" s="83"/>
      <c r="FR238" s="83"/>
      <c r="FS238" s="83"/>
      <c r="FT238" s="83"/>
      <c r="FU238" s="83"/>
      <c r="FV238" s="83"/>
      <c r="FW238" s="83"/>
      <c r="FX238" s="83"/>
      <c r="FY238" s="83"/>
      <c r="FZ238" s="83"/>
      <c r="GA238" s="83"/>
      <c r="GB238" s="83"/>
      <c r="GC238" s="83"/>
      <c r="GD238" s="83"/>
      <c r="GE238" s="83"/>
      <c r="GF238" s="83"/>
      <c r="GG238" s="83"/>
      <c r="GH238" s="83"/>
      <c r="GI238" s="83"/>
      <c r="GJ238" s="83"/>
      <c r="GK238" s="83"/>
      <c r="GL238" s="83"/>
      <c r="GM238" s="83"/>
      <c r="GN238" s="83"/>
      <c r="GO238" s="83"/>
      <c r="GP238" s="83"/>
      <c r="GQ238" s="83"/>
      <c r="GR238" s="83"/>
      <c r="GS238" s="83"/>
      <c r="GT238" s="83"/>
      <c r="GU238" s="83"/>
      <c r="GV238" s="83"/>
      <c r="GW238" s="83"/>
      <c r="GX238" s="83"/>
      <c r="GY238" s="83"/>
      <c r="GZ238" s="83"/>
      <c r="HA238" s="83"/>
      <c r="HB238" s="83"/>
      <c r="HC238" s="83"/>
      <c r="HD238" s="83"/>
      <c r="HE238" s="83"/>
      <c r="HF238" s="83"/>
      <c r="HG238" s="83"/>
      <c r="HH238" s="83"/>
      <c r="HI238" s="83"/>
      <c r="HJ238" s="83"/>
      <c r="HK238" s="83"/>
      <c r="HL238" s="83"/>
      <c r="HM238" s="83"/>
      <c r="HN238" s="83"/>
      <c r="HO238" s="83"/>
      <c r="HP238" s="83"/>
      <c r="HQ238" s="83"/>
      <c r="HR238" s="83"/>
      <c r="HS238" s="83"/>
      <c r="HT238" s="83"/>
      <c r="HU238" s="83"/>
      <c r="HV238" s="83"/>
      <c r="HW238" s="83"/>
      <c r="HX238" s="83"/>
      <c r="HY238" s="83"/>
      <c r="HZ238" s="83"/>
      <c r="IA238" s="83"/>
      <c r="IB238" s="83"/>
      <c r="IC238" s="83"/>
      <c r="ID238" s="83"/>
      <c r="IE238" s="83"/>
      <c r="IF238" s="83"/>
      <c r="IG238" s="83"/>
    </row>
    <row r="239" spans="1:241" x14ac:dyDescent="0.3">
      <c r="A239" s="83"/>
      <c r="B239" s="74">
        <v>3.4973999999999998</v>
      </c>
      <c r="C239" s="34">
        <v>0.44850000000000001</v>
      </c>
      <c r="D239" s="34">
        <v>0.1074</v>
      </c>
      <c r="E239" s="4">
        <v>0.3</v>
      </c>
      <c r="F239" s="4">
        <v>520</v>
      </c>
      <c r="G239" s="34">
        <v>3.5565000000000002</v>
      </c>
      <c r="H239" s="34">
        <v>0.37759999999999999</v>
      </c>
      <c r="I239" s="34">
        <v>9.0499999999999997E-2</v>
      </c>
      <c r="J239" s="75">
        <v>0.1</v>
      </c>
      <c r="K239" s="4">
        <v>628</v>
      </c>
      <c r="L239" s="37">
        <v>400</v>
      </c>
      <c r="M239" s="1"/>
      <c r="N239" s="1"/>
      <c r="O239" s="1"/>
      <c r="P239" s="1"/>
      <c r="Q239" s="1"/>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c r="DD239" s="83"/>
      <c r="DE239" s="83"/>
      <c r="DF239" s="83"/>
      <c r="DG239" s="83"/>
      <c r="DH239" s="83"/>
      <c r="DI239" s="83"/>
      <c r="DJ239" s="83"/>
      <c r="DK239" s="83"/>
      <c r="DL239" s="83"/>
      <c r="DM239" s="83"/>
      <c r="DN239" s="83"/>
      <c r="DO239" s="83"/>
      <c r="DP239" s="83"/>
      <c r="DQ239" s="83"/>
      <c r="DR239" s="83"/>
      <c r="DS239" s="83"/>
      <c r="DT239" s="83"/>
      <c r="DU239" s="83"/>
      <c r="DV239" s="83"/>
      <c r="DW239" s="83"/>
      <c r="DX239" s="83"/>
      <c r="DY239" s="83"/>
      <c r="DZ239" s="83"/>
      <c r="EA239" s="83"/>
      <c r="EB239" s="83"/>
      <c r="EC239" s="83"/>
      <c r="ED239" s="83"/>
      <c r="EE239" s="83"/>
      <c r="EF239" s="83"/>
      <c r="EG239" s="83"/>
      <c r="EH239" s="83"/>
      <c r="EI239" s="83"/>
      <c r="EJ239" s="83"/>
      <c r="EK239" s="83"/>
      <c r="EL239" s="83"/>
      <c r="EM239" s="83"/>
      <c r="EN239" s="83"/>
      <c r="EO239" s="83"/>
      <c r="EP239" s="83"/>
      <c r="EQ239" s="83"/>
      <c r="ER239" s="83"/>
      <c r="ES239" s="83"/>
      <c r="ET239" s="83"/>
      <c r="EU239" s="83"/>
      <c r="EV239" s="83"/>
      <c r="EW239" s="83"/>
      <c r="EX239" s="83"/>
      <c r="EY239" s="83"/>
      <c r="EZ239" s="83"/>
      <c r="FA239" s="83"/>
      <c r="FB239" s="83"/>
      <c r="FC239" s="83"/>
      <c r="FD239" s="83"/>
      <c r="FE239" s="83"/>
      <c r="FF239" s="83"/>
      <c r="FG239" s="83"/>
      <c r="FH239" s="83"/>
      <c r="FI239" s="83"/>
      <c r="FJ239" s="83"/>
      <c r="FK239" s="83"/>
      <c r="FL239" s="83"/>
      <c r="FM239" s="83"/>
      <c r="FN239" s="83"/>
      <c r="FO239" s="83"/>
      <c r="FP239" s="83"/>
      <c r="FQ239" s="83"/>
      <c r="FR239" s="83"/>
      <c r="FS239" s="83"/>
      <c r="FT239" s="83"/>
      <c r="FU239" s="83"/>
      <c r="FV239" s="83"/>
      <c r="FW239" s="83"/>
      <c r="FX239" s="83"/>
      <c r="FY239" s="83"/>
      <c r="FZ239" s="83"/>
      <c r="GA239" s="83"/>
      <c r="GB239" s="83"/>
      <c r="GC239" s="83"/>
      <c r="GD239" s="83"/>
      <c r="GE239" s="83"/>
      <c r="GF239" s="83"/>
      <c r="GG239" s="83"/>
      <c r="GH239" s="83"/>
      <c r="GI239" s="83"/>
      <c r="GJ239" s="83"/>
      <c r="GK239" s="83"/>
      <c r="GL239" s="83"/>
      <c r="GM239" s="83"/>
      <c r="GN239" s="83"/>
      <c r="GO239" s="83"/>
      <c r="GP239" s="83"/>
      <c r="GQ239" s="83"/>
      <c r="GR239" s="83"/>
      <c r="GS239" s="83"/>
      <c r="GT239" s="83"/>
      <c r="GU239" s="83"/>
      <c r="GV239" s="83"/>
      <c r="GW239" s="83"/>
      <c r="GX239" s="83"/>
      <c r="GY239" s="83"/>
      <c r="GZ239" s="83"/>
      <c r="HA239" s="83"/>
      <c r="HB239" s="83"/>
      <c r="HC239" s="83"/>
      <c r="HD239" s="83"/>
      <c r="HE239" s="83"/>
      <c r="HF239" s="83"/>
      <c r="HG239" s="83"/>
      <c r="HH239" s="83"/>
      <c r="HI239" s="83"/>
      <c r="HJ239" s="83"/>
      <c r="HK239" s="83"/>
      <c r="HL239" s="83"/>
      <c r="HM239" s="83"/>
      <c r="HN239" s="83"/>
      <c r="HO239" s="83"/>
      <c r="HP239" s="83"/>
      <c r="HQ239" s="83"/>
      <c r="HR239" s="83"/>
      <c r="HS239" s="83"/>
      <c r="HT239" s="83"/>
      <c r="HU239" s="83"/>
      <c r="HV239" s="83"/>
      <c r="HW239" s="83"/>
      <c r="HX239" s="83"/>
      <c r="HY239" s="83"/>
      <c r="HZ239" s="83"/>
      <c r="IA239" s="83"/>
      <c r="IB239" s="83"/>
      <c r="IC239" s="83"/>
      <c r="ID239" s="83"/>
      <c r="IE239" s="83"/>
      <c r="IF239" s="83"/>
      <c r="IG239" s="83"/>
    </row>
    <row r="240" spans="1:241" x14ac:dyDescent="0.3">
      <c r="A240" s="83"/>
      <c r="B240" s="1"/>
      <c r="C240" s="1"/>
      <c r="D240" s="1"/>
      <c r="E240" s="1"/>
      <c r="F240" s="1"/>
      <c r="G240" s="1"/>
      <c r="H240" s="1"/>
      <c r="I240" s="1"/>
      <c r="J240" s="1"/>
      <c r="K240" s="1"/>
      <c r="L240" s="1"/>
      <c r="M240" s="1"/>
      <c r="N240" s="1"/>
      <c r="O240" s="1"/>
      <c r="P240" s="13"/>
      <c r="Q240" s="1"/>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c r="DD240" s="83"/>
      <c r="DE240" s="83"/>
      <c r="DF240" s="83"/>
      <c r="DG240" s="83"/>
      <c r="DH240" s="83"/>
      <c r="DI240" s="83"/>
      <c r="DJ240" s="83"/>
      <c r="DK240" s="83"/>
      <c r="DL240" s="83"/>
      <c r="DM240" s="83"/>
      <c r="DN240" s="83"/>
      <c r="DO240" s="83"/>
      <c r="DP240" s="83"/>
      <c r="DQ240" s="83"/>
      <c r="DR240" s="83"/>
      <c r="DS240" s="83"/>
      <c r="DT240" s="83"/>
      <c r="DU240" s="83"/>
      <c r="DV240" s="83"/>
      <c r="DW240" s="83"/>
      <c r="DX240" s="83"/>
      <c r="DY240" s="83"/>
      <c r="DZ240" s="83"/>
      <c r="EA240" s="83"/>
      <c r="EB240" s="83"/>
      <c r="EC240" s="83"/>
      <c r="ED240" s="83"/>
      <c r="EE240" s="83"/>
      <c r="EF240" s="83"/>
      <c r="EG240" s="83"/>
      <c r="EH240" s="83"/>
      <c r="EI240" s="83"/>
      <c r="EJ240" s="83"/>
      <c r="EK240" s="83"/>
      <c r="EL240" s="83"/>
      <c r="EM240" s="83"/>
      <c r="EN240" s="83"/>
      <c r="EO240" s="83"/>
      <c r="EP240" s="83"/>
      <c r="EQ240" s="83"/>
      <c r="ER240" s="83"/>
      <c r="ES240" s="83"/>
      <c r="ET240" s="83"/>
      <c r="EU240" s="83"/>
      <c r="EV240" s="83"/>
      <c r="EW240" s="83"/>
      <c r="EX240" s="83"/>
      <c r="EY240" s="83"/>
      <c r="EZ240" s="83"/>
      <c r="FA240" s="83"/>
      <c r="FB240" s="83"/>
      <c r="FC240" s="83"/>
      <c r="FD240" s="83"/>
      <c r="FE240" s="83"/>
      <c r="FF240" s="83"/>
      <c r="FG240" s="83"/>
      <c r="FH240" s="83"/>
      <c r="FI240" s="83"/>
      <c r="FJ240" s="83"/>
      <c r="FK240" s="83"/>
      <c r="FL240" s="83"/>
      <c r="FM240" s="83"/>
      <c r="FN240" s="83"/>
      <c r="FO240" s="83"/>
      <c r="FP240" s="83"/>
      <c r="FQ240" s="83"/>
      <c r="FR240" s="83"/>
      <c r="FS240" s="83"/>
      <c r="FT240" s="83"/>
      <c r="FU240" s="83"/>
      <c r="FV240" s="83"/>
      <c r="FW240" s="83"/>
      <c r="FX240" s="83"/>
      <c r="FY240" s="83"/>
      <c r="FZ240" s="83"/>
      <c r="GA240" s="83"/>
      <c r="GB240" s="83"/>
      <c r="GC240" s="83"/>
      <c r="GD240" s="83"/>
      <c r="GE240" s="83"/>
      <c r="GF240" s="83"/>
      <c r="GG240" s="83"/>
      <c r="GH240" s="83"/>
      <c r="GI240" s="83"/>
      <c r="GJ240" s="83"/>
      <c r="GK240" s="83"/>
      <c r="GL240" s="83"/>
      <c r="GM240" s="83"/>
      <c r="GN240" s="83"/>
      <c r="GO240" s="83"/>
      <c r="GP240" s="83"/>
      <c r="GQ240" s="83"/>
      <c r="GR240" s="83"/>
      <c r="GS240" s="83"/>
      <c r="GT240" s="83"/>
      <c r="GU240" s="83"/>
      <c r="GV240" s="83"/>
      <c r="GW240" s="83"/>
      <c r="GX240" s="83"/>
      <c r="GY240" s="83"/>
      <c r="GZ240" s="83"/>
      <c r="HA240" s="83"/>
      <c r="HB240" s="83"/>
      <c r="HC240" s="83"/>
      <c r="HD240" s="83"/>
      <c r="HE240" s="83"/>
      <c r="HF240" s="83"/>
      <c r="HG240" s="83"/>
      <c r="HH240" s="83"/>
      <c r="HI240" s="83"/>
      <c r="HJ240" s="83"/>
      <c r="HK240" s="83"/>
      <c r="HL240" s="83"/>
      <c r="HM240" s="83"/>
      <c r="HN240" s="83"/>
      <c r="HO240" s="83"/>
      <c r="HP240" s="83"/>
      <c r="HQ240" s="83"/>
      <c r="HR240" s="83"/>
      <c r="HS240" s="83"/>
      <c r="HT240" s="83"/>
      <c r="HU240" s="83"/>
      <c r="HV240" s="83"/>
      <c r="HW240" s="83"/>
      <c r="HX240" s="83"/>
      <c r="HY240" s="83"/>
      <c r="HZ240" s="83"/>
      <c r="IA240" s="83"/>
      <c r="IB240" s="83"/>
      <c r="IC240" s="83"/>
      <c r="ID240" s="83"/>
      <c r="IE240" s="83"/>
      <c r="IF240" s="83"/>
      <c r="IG240" s="83"/>
    </row>
    <row r="241" spans="1:241" x14ac:dyDescent="0.3">
      <c r="A241" s="83"/>
      <c r="B241" s="1"/>
      <c r="C241" s="1"/>
      <c r="D241" s="1"/>
      <c r="E241" s="1"/>
      <c r="F241" s="1"/>
      <c r="G241" s="1"/>
      <c r="H241" s="1"/>
      <c r="I241" s="1"/>
      <c r="J241" s="1"/>
      <c r="K241" s="1"/>
      <c r="L241" s="1"/>
      <c r="M241" s="1"/>
      <c r="N241" s="1"/>
      <c r="O241" s="1"/>
      <c r="P241" s="1"/>
      <c r="Q241" s="1"/>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c r="DD241" s="83"/>
      <c r="DE241" s="83"/>
      <c r="DF241" s="83"/>
      <c r="DG241" s="83"/>
      <c r="DH241" s="83"/>
      <c r="DI241" s="83"/>
      <c r="DJ241" s="83"/>
      <c r="DK241" s="83"/>
      <c r="DL241" s="83"/>
      <c r="DM241" s="83"/>
      <c r="DN241" s="83"/>
      <c r="DO241" s="83"/>
      <c r="DP241" s="83"/>
      <c r="DQ241" s="83"/>
      <c r="DR241" s="83"/>
      <c r="DS241" s="83"/>
      <c r="DT241" s="83"/>
      <c r="DU241" s="83"/>
      <c r="DV241" s="83"/>
      <c r="DW241" s="83"/>
      <c r="DX241" s="83"/>
      <c r="DY241" s="83"/>
      <c r="DZ241" s="83"/>
      <c r="EA241" s="83"/>
      <c r="EB241" s="83"/>
      <c r="EC241" s="83"/>
      <c r="ED241" s="83"/>
      <c r="EE241" s="83"/>
      <c r="EF241" s="83"/>
      <c r="EG241" s="83"/>
      <c r="EH241" s="83"/>
      <c r="EI241" s="83"/>
      <c r="EJ241" s="83"/>
      <c r="EK241" s="83"/>
      <c r="EL241" s="83"/>
      <c r="EM241" s="83"/>
      <c r="EN241" s="83"/>
      <c r="EO241" s="83"/>
      <c r="EP241" s="83"/>
      <c r="EQ241" s="83"/>
      <c r="ER241" s="83"/>
      <c r="ES241" s="83"/>
      <c r="ET241" s="83"/>
      <c r="EU241" s="83"/>
      <c r="EV241" s="83"/>
      <c r="EW241" s="83"/>
      <c r="EX241" s="83"/>
      <c r="EY241" s="83"/>
      <c r="EZ241" s="83"/>
      <c r="FA241" s="83"/>
      <c r="FB241" s="83"/>
      <c r="FC241" s="83"/>
      <c r="FD241" s="83"/>
      <c r="FE241" s="83"/>
      <c r="FF241" s="83"/>
      <c r="FG241" s="83"/>
      <c r="FH241" s="83"/>
      <c r="FI241" s="83"/>
      <c r="FJ241" s="83"/>
      <c r="FK241" s="83"/>
      <c r="FL241" s="83"/>
      <c r="FM241" s="83"/>
      <c r="FN241" s="83"/>
      <c r="FO241" s="83"/>
      <c r="FP241" s="83"/>
      <c r="FQ241" s="83"/>
      <c r="FR241" s="83"/>
      <c r="FS241" s="83"/>
      <c r="FT241" s="83"/>
      <c r="FU241" s="83"/>
      <c r="FV241" s="83"/>
      <c r="FW241" s="83"/>
      <c r="FX241" s="83"/>
      <c r="FY241" s="83"/>
      <c r="FZ241" s="83"/>
      <c r="GA241" s="83"/>
      <c r="GB241" s="83"/>
      <c r="GC241" s="83"/>
      <c r="GD241" s="83"/>
      <c r="GE241" s="83"/>
      <c r="GF241" s="83"/>
      <c r="GG241" s="83"/>
      <c r="GH241" s="83"/>
      <c r="GI241" s="83"/>
      <c r="GJ241" s="83"/>
      <c r="GK241" s="83"/>
      <c r="GL241" s="83"/>
      <c r="GM241" s="83"/>
      <c r="GN241" s="83"/>
      <c r="GO241" s="83"/>
      <c r="GP241" s="83"/>
      <c r="GQ241" s="83"/>
      <c r="GR241" s="83"/>
      <c r="GS241" s="83"/>
      <c r="GT241" s="83"/>
      <c r="GU241" s="83"/>
      <c r="GV241" s="83"/>
      <c r="GW241" s="83"/>
      <c r="GX241" s="83"/>
      <c r="GY241" s="83"/>
      <c r="GZ241" s="83"/>
      <c r="HA241" s="83"/>
      <c r="HB241" s="83"/>
      <c r="HC241" s="83"/>
      <c r="HD241" s="83"/>
      <c r="HE241" s="83"/>
      <c r="HF241" s="83"/>
      <c r="HG241" s="83"/>
      <c r="HH241" s="83"/>
      <c r="HI241" s="83"/>
      <c r="HJ241" s="83"/>
      <c r="HK241" s="83"/>
      <c r="HL241" s="83"/>
      <c r="HM241" s="83"/>
      <c r="HN241" s="83"/>
      <c r="HO241" s="83"/>
      <c r="HP241" s="83"/>
      <c r="HQ241" s="83"/>
      <c r="HR241" s="83"/>
      <c r="HS241" s="83"/>
      <c r="HT241" s="83"/>
      <c r="HU241" s="83"/>
      <c r="HV241" s="83"/>
      <c r="HW241" s="83"/>
      <c r="HX241" s="83"/>
      <c r="HY241" s="83"/>
      <c r="HZ241" s="83"/>
      <c r="IA241" s="83"/>
      <c r="IB241" s="83"/>
      <c r="IC241" s="83"/>
      <c r="ID241" s="83"/>
      <c r="IE241" s="83"/>
      <c r="IF241" s="83"/>
      <c r="IG241" s="83"/>
    </row>
    <row r="242" spans="1:241" x14ac:dyDescent="0.3">
      <c r="A242" s="83"/>
      <c r="B242" s="23" t="s">
        <v>197</v>
      </c>
      <c r="C242" s="8" t="s">
        <v>198</v>
      </c>
      <c r="D242" s="9" t="s">
        <v>199</v>
      </c>
      <c r="E242" s="1"/>
      <c r="F242" s="1"/>
      <c r="G242" s="1"/>
      <c r="H242" s="1"/>
      <c r="I242" s="1"/>
      <c r="J242" s="1"/>
      <c r="K242" s="1"/>
      <c r="L242" s="1"/>
      <c r="M242" s="1"/>
      <c r="N242" s="1"/>
      <c r="O242" s="1"/>
      <c r="P242" s="1"/>
      <c r="Q242" s="1"/>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c r="DD242" s="83"/>
      <c r="DE242" s="83"/>
      <c r="DF242" s="83"/>
      <c r="DG242" s="83"/>
      <c r="DH242" s="83"/>
      <c r="DI242" s="83"/>
      <c r="DJ242" s="83"/>
      <c r="DK242" s="83"/>
      <c r="DL242" s="83"/>
      <c r="DM242" s="83"/>
      <c r="DN242" s="83"/>
      <c r="DO242" s="83"/>
      <c r="DP242" s="83"/>
      <c r="DQ242" s="83"/>
      <c r="DR242" s="83"/>
      <c r="DS242" s="83"/>
      <c r="DT242" s="83"/>
      <c r="DU242" s="83"/>
      <c r="DV242" s="83"/>
      <c r="DW242" s="83"/>
      <c r="DX242" s="83"/>
      <c r="DY242" s="83"/>
      <c r="DZ242" s="83"/>
      <c r="EA242" s="83"/>
      <c r="EB242" s="83"/>
      <c r="EC242" s="83"/>
      <c r="ED242" s="83"/>
      <c r="EE242" s="83"/>
      <c r="EF242" s="83"/>
      <c r="EG242" s="83"/>
      <c r="EH242" s="83"/>
      <c r="EI242" s="83"/>
      <c r="EJ242" s="83"/>
      <c r="EK242" s="83"/>
      <c r="EL242" s="83"/>
      <c r="EM242" s="83"/>
      <c r="EN242" s="83"/>
      <c r="EO242" s="83"/>
      <c r="EP242" s="83"/>
      <c r="EQ242" s="83"/>
      <c r="ER242" s="83"/>
      <c r="ES242" s="83"/>
      <c r="ET242" s="83"/>
      <c r="EU242" s="83"/>
      <c r="EV242" s="83"/>
      <c r="EW242" s="83"/>
      <c r="EX242" s="83"/>
      <c r="EY242" s="83"/>
      <c r="EZ242" s="83"/>
      <c r="FA242" s="83"/>
      <c r="FB242" s="83"/>
      <c r="FC242" s="83"/>
      <c r="FD242" s="83"/>
      <c r="FE242" s="83"/>
      <c r="FF242" s="83"/>
      <c r="FG242" s="83"/>
      <c r="FH242" s="83"/>
      <c r="FI242" s="83"/>
      <c r="FJ242" s="83"/>
      <c r="FK242" s="83"/>
      <c r="FL242" s="83"/>
      <c r="FM242" s="83"/>
      <c r="FN242" s="83"/>
      <c r="FO242" s="83"/>
      <c r="FP242" s="83"/>
      <c r="FQ242" s="83"/>
      <c r="FR242" s="83"/>
      <c r="FS242" s="83"/>
      <c r="FT242" s="83"/>
      <c r="FU242" s="83"/>
      <c r="FV242" s="83"/>
      <c r="FW242" s="83"/>
      <c r="FX242" s="83"/>
      <c r="FY242" s="83"/>
      <c r="FZ242" s="83"/>
      <c r="GA242" s="83"/>
      <c r="GB242" s="83"/>
      <c r="GC242" s="83"/>
      <c r="GD242" s="83"/>
      <c r="GE242" s="83"/>
      <c r="GF242" s="83"/>
      <c r="GG242" s="83"/>
      <c r="GH242" s="83"/>
      <c r="GI242" s="83"/>
      <c r="GJ242" s="83"/>
      <c r="GK242" s="83"/>
      <c r="GL242" s="83"/>
      <c r="GM242" s="83"/>
      <c r="GN242" s="83"/>
      <c r="GO242" s="83"/>
      <c r="GP242" s="83"/>
      <c r="GQ242" s="83"/>
      <c r="GR242" s="83"/>
      <c r="GS242" s="83"/>
      <c r="GT242" s="83"/>
      <c r="GU242" s="83"/>
      <c r="GV242" s="83"/>
      <c r="GW242" s="83"/>
      <c r="GX242" s="83"/>
      <c r="GY242" s="83"/>
      <c r="GZ242" s="83"/>
      <c r="HA242" s="83"/>
      <c r="HB242" s="83"/>
      <c r="HC242" s="83"/>
      <c r="HD242" s="83"/>
      <c r="HE242" s="83"/>
      <c r="HF242" s="83"/>
      <c r="HG242" s="83"/>
      <c r="HH242" s="83"/>
      <c r="HI242" s="83"/>
      <c r="HJ242" s="83"/>
      <c r="HK242" s="83"/>
      <c r="HL242" s="83"/>
      <c r="HM242" s="83"/>
      <c r="HN242" s="83"/>
      <c r="HO242" s="83"/>
      <c r="HP242" s="83"/>
      <c r="HQ242" s="83"/>
      <c r="HR242" s="83"/>
      <c r="HS242" s="83"/>
      <c r="HT242" s="83"/>
      <c r="HU242" s="83"/>
      <c r="HV242" s="83"/>
      <c r="HW242" s="83"/>
      <c r="HX242" s="83"/>
      <c r="HY242" s="83"/>
      <c r="HZ242" s="83"/>
      <c r="IA242" s="83"/>
      <c r="IB242" s="83"/>
      <c r="IC242" s="83"/>
      <c r="ID242" s="83"/>
      <c r="IE242" s="83"/>
      <c r="IF242" s="83"/>
      <c r="IG242" s="83"/>
    </row>
    <row r="243" spans="1:241" x14ac:dyDescent="0.3">
      <c r="A243" s="83"/>
      <c r="B243" s="7" t="s">
        <v>200</v>
      </c>
      <c r="C243" s="26">
        <v>1.49</v>
      </c>
      <c r="D243" s="24">
        <v>1.52</v>
      </c>
      <c r="E243" s="1"/>
      <c r="F243" s="1"/>
      <c r="G243" s="1"/>
      <c r="H243" s="1"/>
      <c r="I243" s="1"/>
      <c r="J243" s="1"/>
      <c r="K243" s="1"/>
      <c r="L243" s="1"/>
      <c r="M243" s="1"/>
      <c r="N243" s="1"/>
      <c r="O243" s="1"/>
      <c r="P243" s="1"/>
      <c r="Q243" s="1"/>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c r="DD243" s="83"/>
      <c r="DE243" s="83"/>
      <c r="DF243" s="83"/>
      <c r="DG243" s="83"/>
      <c r="DH243" s="83"/>
      <c r="DI243" s="83"/>
      <c r="DJ243" s="83"/>
      <c r="DK243" s="83"/>
      <c r="DL243" s="83"/>
      <c r="DM243" s="83"/>
      <c r="DN243" s="83"/>
      <c r="DO243" s="83"/>
      <c r="DP243" s="83"/>
      <c r="DQ243" s="83"/>
      <c r="DR243" s="83"/>
      <c r="DS243" s="83"/>
      <c r="DT243" s="83"/>
      <c r="DU243" s="83"/>
      <c r="DV243" s="83"/>
      <c r="DW243" s="83"/>
      <c r="DX243" s="83"/>
      <c r="DY243" s="83"/>
      <c r="DZ243" s="83"/>
      <c r="EA243" s="83"/>
      <c r="EB243" s="83"/>
      <c r="EC243" s="83"/>
      <c r="ED243" s="83"/>
      <c r="EE243" s="83"/>
      <c r="EF243" s="83"/>
      <c r="EG243" s="83"/>
      <c r="EH243" s="83"/>
      <c r="EI243" s="83"/>
      <c r="EJ243" s="83"/>
      <c r="EK243" s="83"/>
      <c r="EL243" s="83"/>
      <c r="EM243" s="83"/>
      <c r="EN243" s="83"/>
      <c r="EO243" s="83"/>
      <c r="EP243" s="83"/>
      <c r="EQ243" s="83"/>
      <c r="ER243" s="83"/>
      <c r="ES243" s="83"/>
      <c r="ET243" s="83"/>
      <c r="EU243" s="83"/>
      <c r="EV243" s="83"/>
      <c r="EW243" s="83"/>
      <c r="EX243" s="83"/>
      <c r="EY243" s="83"/>
      <c r="EZ243" s="83"/>
      <c r="FA243" s="83"/>
      <c r="FB243" s="83"/>
      <c r="FC243" s="83"/>
      <c r="FD243" s="83"/>
      <c r="FE243" s="83"/>
      <c r="FF243" s="83"/>
      <c r="FG243" s="83"/>
      <c r="FH243" s="83"/>
      <c r="FI243" s="83"/>
      <c r="FJ243" s="83"/>
      <c r="FK243" s="83"/>
      <c r="FL243" s="83"/>
      <c r="FM243" s="83"/>
      <c r="FN243" s="83"/>
      <c r="FO243" s="83"/>
      <c r="FP243" s="83"/>
      <c r="FQ243" s="83"/>
      <c r="FR243" s="83"/>
      <c r="FS243" s="83"/>
      <c r="FT243" s="83"/>
      <c r="FU243" s="83"/>
      <c r="FV243" s="83"/>
      <c r="FW243" s="83"/>
      <c r="FX243" s="83"/>
      <c r="FY243" s="83"/>
      <c r="FZ243" s="83"/>
      <c r="GA243" s="83"/>
      <c r="GB243" s="83"/>
      <c r="GC243" s="83"/>
      <c r="GD243" s="83"/>
      <c r="GE243" s="83"/>
      <c r="GF243" s="83"/>
      <c r="GG243" s="83"/>
      <c r="GH243" s="83"/>
      <c r="GI243" s="83"/>
      <c r="GJ243" s="83"/>
      <c r="GK243" s="83"/>
      <c r="GL243" s="83"/>
      <c r="GM243" s="83"/>
      <c r="GN243" s="83"/>
      <c r="GO243" s="83"/>
      <c r="GP243" s="83"/>
      <c r="GQ243" s="83"/>
      <c r="GR243" s="83"/>
      <c r="GS243" s="83"/>
      <c r="GT243" s="83"/>
      <c r="GU243" s="83"/>
      <c r="GV243" s="83"/>
      <c r="GW243" s="83"/>
      <c r="GX243" s="83"/>
      <c r="GY243" s="83"/>
      <c r="GZ243" s="83"/>
      <c r="HA243" s="83"/>
      <c r="HB243" s="83"/>
      <c r="HC243" s="83"/>
      <c r="HD243" s="83"/>
      <c r="HE243" s="83"/>
      <c r="HF243" s="83"/>
      <c r="HG243" s="83"/>
      <c r="HH243" s="83"/>
      <c r="HI243" s="83"/>
      <c r="HJ243" s="83"/>
      <c r="HK243" s="83"/>
      <c r="HL243" s="83"/>
      <c r="HM243" s="83"/>
      <c r="HN243" s="83"/>
      <c r="HO243" s="83"/>
      <c r="HP243" s="83"/>
      <c r="HQ243" s="83"/>
      <c r="HR243" s="83"/>
      <c r="HS243" s="83"/>
      <c r="HT243" s="83"/>
      <c r="HU243" s="83"/>
      <c r="HV243" s="83"/>
      <c r="HW243" s="83"/>
      <c r="HX243" s="83"/>
      <c r="HY243" s="83"/>
      <c r="HZ243" s="83"/>
      <c r="IA243" s="83"/>
      <c r="IB243" s="83"/>
      <c r="IC243" s="83"/>
      <c r="ID243" s="83"/>
      <c r="IE243" s="83"/>
      <c r="IF243" s="83"/>
      <c r="IG243" s="83"/>
    </row>
    <row r="244" spans="1:241" x14ac:dyDescent="0.3">
      <c r="A244" s="83"/>
      <c r="B244" s="17" t="s">
        <v>201</v>
      </c>
      <c r="C244" s="20">
        <v>2.25</v>
      </c>
      <c r="D244" s="29">
        <v>1.82</v>
      </c>
      <c r="E244" s="1"/>
      <c r="F244" s="1"/>
      <c r="G244" s="1"/>
      <c r="H244" s="1"/>
      <c r="I244" s="1"/>
      <c r="J244" s="1"/>
      <c r="K244" s="1"/>
      <c r="L244" s="1"/>
      <c r="M244" s="1"/>
      <c r="N244" s="1"/>
      <c r="O244" s="1"/>
      <c r="P244" s="1"/>
      <c r="Q244" s="1"/>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c r="DD244" s="83"/>
      <c r="DE244" s="83"/>
      <c r="DF244" s="83"/>
      <c r="DG244" s="83"/>
      <c r="DH244" s="83"/>
      <c r="DI244" s="83"/>
      <c r="DJ244" s="83"/>
      <c r="DK244" s="83"/>
      <c r="DL244" s="83"/>
      <c r="DM244" s="83"/>
      <c r="DN244" s="83"/>
      <c r="DO244" s="83"/>
      <c r="DP244" s="83"/>
      <c r="DQ244" s="83"/>
      <c r="DR244" s="83"/>
      <c r="DS244" s="83"/>
      <c r="DT244" s="83"/>
      <c r="DU244" s="83"/>
      <c r="DV244" s="83"/>
      <c r="DW244" s="83"/>
      <c r="DX244" s="83"/>
      <c r="DY244" s="83"/>
      <c r="DZ244" s="83"/>
      <c r="EA244" s="83"/>
      <c r="EB244" s="83"/>
      <c r="EC244" s="83"/>
      <c r="ED244" s="83"/>
      <c r="EE244" s="83"/>
      <c r="EF244" s="83"/>
      <c r="EG244" s="83"/>
      <c r="EH244" s="83"/>
      <c r="EI244" s="83"/>
      <c r="EJ244" s="83"/>
      <c r="EK244" s="83"/>
      <c r="EL244" s="83"/>
      <c r="EM244" s="83"/>
      <c r="EN244" s="83"/>
      <c r="EO244" s="83"/>
      <c r="EP244" s="83"/>
      <c r="EQ244" s="83"/>
      <c r="ER244" s="83"/>
      <c r="ES244" s="83"/>
      <c r="ET244" s="83"/>
      <c r="EU244" s="83"/>
      <c r="EV244" s="83"/>
      <c r="EW244" s="83"/>
      <c r="EX244" s="83"/>
      <c r="EY244" s="83"/>
      <c r="EZ244" s="83"/>
      <c r="FA244" s="83"/>
      <c r="FB244" s="83"/>
      <c r="FC244" s="83"/>
      <c r="FD244" s="83"/>
      <c r="FE244" s="83"/>
      <c r="FF244" s="83"/>
      <c r="FG244" s="83"/>
      <c r="FH244" s="83"/>
      <c r="FI244" s="83"/>
      <c r="FJ244" s="83"/>
      <c r="FK244" s="83"/>
      <c r="FL244" s="83"/>
      <c r="FM244" s="83"/>
      <c r="FN244" s="83"/>
      <c r="FO244" s="83"/>
      <c r="FP244" s="83"/>
      <c r="FQ244" s="83"/>
      <c r="FR244" s="83"/>
      <c r="FS244" s="83"/>
      <c r="FT244" s="83"/>
      <c r="FU244" s="83"/>
      <c r="FV244" s="83"/>
      <c r="FW244" s="83"/>
      <c r="FX244" s="83"/>
      <c r="FY244" s="83"/>
      <c r="FZ244" s="83"/>
      <c r="GA244" s="83"/>
      <c r="GB244" s="83"/>
      <c r="GC244" s="83"/>
      <c r="GD244" s="83"/>
      <c r="GE244" s="83"/>
      <c r="GF244" s="83"/>
      <c r="GG244" s="83"/>
      <c r="GH244" s="83"/>
      <c r="GI244" s="83"/>
      <c r="GJ244" s="83"/>
      <c r="GK244" s="83"/>
      <c r="GL244" s="83"/>
      <c r="GM244" s="83"/>
      <c r="GN244" s="83"/>
      <c r="GO244" s="83"/>
      <c r="GP244" s="83"/>
      <c r="GQ244" s="83"/>
      <c r="GR244" s="83"/>
      <c r="GS244" s="83"/>
      <c r="GT244" s="83"/>
      <c r="GU244" s="83"/>
      <c r="GV244" s="83"/>
      <c r="GW244" s="83"/>
      <c r="GX244" s="83"/>
      <c r="GY244" s="83"/>
      <c r="GZ244" s="83"/>
      <c r="HA244" s="83"/>
      <c r="HB244" s="83"/>
      <c r="HC244" s="83"/>
      <c r="HD244" s="83"/>
      <c r="HE244" s="83"/>
      <c r="HF244" s="83"/>
      <c r="HG244" s="83"/>
      <c r="HH244" s="83"/>
      <c r="HI244" s="83"/>
      <c r="HJ244" s="83"/>
      <c r="HK244" s="83"/>
      <c r="HL244" s="83"/>
      <c r="HM244" s="83"/>
      <c r="HN244" s="83"/>
      <c r="HO244" s="83"/>
      <c r="HP244" s="83"/>
      <c r="HQ244" s="83"/>
      <c r="HR244" s="83"/>
      <c r="HS244" s="83"/>
      <c r="HT244" s="83"/>
      <c r="HU244" s="83"/>
      <c r="HV244" s="83"/>
      <c r="HW244" s="83"/>
      <c r="HX244" s="83"/>
      <c r="HY244" s="83"/>
      <c r="HZ244" s="83"/>
      <c r="IA244" s="83"/>
      <c r="IB244" s="83"/>
      <c r="IC244" s="83"/>
      <c r="ID244" s="83"/>
      <c r="IE244" s="83"/>
      <c r="IF244" s="83"/>
      <c r="IG244" s="83"/>
    </row>
    <row r="245" spans="1:241" x14ac:dyDescent="0.3">
      <c r="A245" s="83"/>
      <c r="B245" s="1"/>
      <c r="C245" s="15"/>
      <c r="D245" s="15"/>
      <c r="E245" s="1"/>
      <c r="F245" s="1"/>
      <c r="G245" s="1"/>
      <c r="H245" s="1"/>
      <c r="I245" s="1"/>
      <c r="J245" s="1"/>
      <c r="K245" s="1"/>
      <c r="L245" s="1"/>
      <c r="M245" s="1"/>
      <c r="N245" s="1"/>
      <c r="O245" s="1"/>
      <c r="P245" s="1"/>
      <c r="Q245" s="1"/>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c r="DD245" s="83"/>
      <c r="DE245" s="83"/>
      <c r="DF245" s="83"/>
      <c r="DG245" s="83"/>
      <c r="DH245" s="83"/>
      <c r="DI245" s="83"/>
      <c r="DJ245" s="83"/>
      <c r="DK245" s="83"/>
      <c r="DL245" s="83"/>
      <c r="DM245" s="83"/>
      <c r="DN245" s="83"/>
      <c r="DO245" s="83"/>
      <c r="DP245" s="83"/>
      <c r="DQ245" s="83"/>
      <c r="DR245" s="83"/>
      <c r="DS245" s="83"/>
      <c r="DT245" s="83"/>
      <c r="DU245" s="83"/>
      <c r="DV245" s="83"/>
      <c r="DW245" s="83"/>
      <c r="DX245" s="83"/>
      <c r="DY245" s="83"/>
      <c r="DZ245" s="83"/>
      <c r="EA245" s="83"/>
      <c r="EB245" s="83"/>
      <c r="EC245" s="83"/>
      <c r="ED245" s="83"/>
      <c r="EE245" s="83"/>
      <c r="EF245" s="83"/>
      <c r="EG245" s="83"/>
      <c r="EH245" s="83"/>
      <c r="EI245" s="83"/>
      <c r="EJ245" s="83"/>
      <c r="EK245" s="83"/>
      <c r="EL245" s="83"/>
      <c r="EM245" s="83"/>
      <c r="EN245" s="83"/>
      <c r="EO245" s="83"/>
      <c r="EP245" s="83"/>
      <c r="EQ245" s="83"/>
      <c r="ER245" s="83"/>
      <c r="ES245" s="83"/>
      <c r="ET245" s="83"/>
      <c r="EU245" s="83"/>
      <c r="EV245" s="83"/>
      <c r="EW245" s="83"/>
      <c r="EX245" s="83"/>
      <c r="EY245" s="83"/>
      <c r="EZ245" s="83"/>
      <c r="FA245" s="83"/>
      <c r="FB245" s="83"/>
      <c r="FC245" s="83"/>
      <c r="FD245" s="83"/>
      <c r="FE245" s="83"/>
      <c r="FF245" s="83"/>
      <c r="FG245" s="83"/>
      <c r="FH245" s="83"/>
      <c r="FI245" s="83"/>
      <c r="FJ245" s="83"/>
      <c r="FK245" s="83"/>
      <c r="FL245" s="83"/>
      <c r="FM245" s="83"/>
      <c r="FN245" s="83"/>
      <c r="FO245" s="83"/>
      <c r="FP245" s="83"/>
      <c r="FQ245" s="83"/>
      <c r="FR245" s="83"/>
      <c r="FS245" s="83"/>
      <c r="FT245" s="83"/>
      <c r="FU245" s="83"/>
      <c r="FV245" s="83"/>
      <c r="FW245" s="83"/>
      <c r="FX245" s="83"/>
      <c r="FY245" s="83"/>
      <c r="FZ245" s="83"/>
      <c r="GA245" s="83"/>
      <c r="GB245" s="83"/>
      <c r="GC245" s="83"/>
      <c r="GD245" s="83"/>
      <c r="GE245" s="83"/>
      <c r="GF245" s="83"/>
      <c r="GG245" s="83"/>
      <c r="GH245" s="83"/>
      <c r="GI245" s="83"/>
      <c r="GJ245" s="83"/>
      <c r="GK245" s="83"/>
      <c r="GL245" s="83"/>
      <c r="GM245" s="83"/>
      <c r="GN245" s="83"/>
      <c r="GO245" s="83"/>
      <c r="GP245" s="83"/>
      <c r="GQ245" s="83"/>
      <c r="GR245" s="83"/>
      <c r="GS245" s="83"/>
      <c r="GT245" s="83"/>
      <c r="GU245" s="83"/>
      <c r="GV245" s="83"/>
      <c r="GW245" s="83"/>
      <c r="GX245" s="83"/>
      <c r="GY245" s="83"/>
      <c r="GZ245" s="83"/>
      <c r="HA245" s="83"/>
      <c r="HB245" s="83"/>
      <c r="HC245" s="83"/>
      <c r="HD245" s="83"/>
      <c r="HE245" s="83"/>
      <c r="HF245" s="83"/>
      <c r="HG245" s="83"/>
      <c r="HH245" s="83"/>
      <c r="HI245" s="83"/>
      <c r="HJ245" s="83"/>
      <c r="HK245" s="83"/>
      <c r="HL245" s="83"/>
      <c r="HM245" s="83"/>
      <c r="HN245" s="83"/>
      <c r="HO245" s="83"/>
      <c r="HP245" s="83"/>
      <c r="HQ245" s="83"/>
      <c r="HR245" s="83"/>
      <c r="HS245" s="83"/>
      <c r="HT245" s="83"/>
      <c r="HU245" s="83"/>
      <c r="HV245" s="83"/>
      <c r="HW245" s="83"/>
      <c r="HX245" s="83"/>
      <c r="HY245" s="83"/>
      <c r="HZ245" s="83"/>
      <c r="IA245" s="83"/>
      <c r="IB245" s="83"/>
      <c r="IC245" s="83"/>
      <c r="ID245" s="83"/>
      <c r="IE245" s="83"/>
      <c r="IF245" s="83"/>
      <c r="IG245" s="83"/>
    </row>
    <row r="246" spans="1:241" x14ac:dyDescent="0.3">
      <c r="A246" s="83"/>
      <c r="B246" s="1" t="s">
        <v>202</v>
      </c>
      <c r="C246" s="1"/>
      <c r="D246" s="15"/>
      <c r="E246" s="1"/>
      <c r="F246" s="1"/>
      <c r="G246" s="1"/>
      <c r="H246" s="1"/>
      <c r="I246" s="1"/>
      <c r="J246" s="1"/>
      <c r="K246" s="1"/>
      <c r="L246" s="1"/>
      <c r="M246" s="1"/>
      <c r="N246" s="1"/>
      <c r="O246" s="1"/>
      <c r="P246" s="1"/>
      <c r="Q246" s="1"/>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c r="DD246" s="83"/>
      <c r="DE246" s="83"/>
      <c r="DF246" s="83"/>
      <c r="DG246" s="83"/>
      <c r="DH246" s="83"/>
      <c r="DI246" s="83"/>
      <c r="DJ246" s="83"/>
      <c r="DK246" s="83"/>
      <c r="DL246" s="83"/>
      <c r="DM246" s="83"/>
      <c r="DN246" s="83"/>
      <c r="DO246" s="83"/>
      <c r="DP246" s="83"/>
      <c r="DQ246" s="83"/>
      <c r="DR246" s="83"/>
      <c r="DS246" s="83"/>
      <c r="DT246" s="83"/>
      <c r="DU246" s="83"/>
      <c r="DV246" s="83"/>
      <c r="DW246" s="83"/>
      <c r="DX246" s="83"/>
      <c r="DY246" s="83"/>
      <c r="DZ246" s="83"/>
      <c r="EA246" s="83"/>
      <c r="EB246" s="83"/>
      <c r="EC246" s="83"/>
      <c r="ED246" s="83"/>
      <c r="EE246" s="83"/>
      <c r="EF246" s="83"/>
      <c r="EG246" s="83"/>
      <c r="EH246" s="83"/>
      <c r="EI246" s="83"/>
      <c r="EJ246" s="83"/>
      <c r="EK246" s="83"/>
      <c r="EL246" s="83"/>
      <c r="EM246" s="83"/>
      <c r="EN246" s="83"/>
      <c r="EO246" s="83"/>
      <c r="EP246" s="83"/>
      <c r="EQ246" s="83"/>
      <c r="ER246" s="83"/>
      <c r="ES246" s="83"/>
      <c r="ET246" s="83"/>
      <c r="EU246" s="83"/>
      <c r="EV246" s="83"/>
      <c r="EW246" s="83"/>
      <c r="EX246" s="83"/>
      <c r="EY246" s="83"/>
      <c r="EZ246" s="83"/>
      <c r="FA246" s="83"/>
      <c r="FB246" s="83"/>
      <c r="FC246" s="83"/>
      <c r="FD246" s="83"/>
      <c r="FE246" s="83"/>
      <c r="FF246" s="83"/>
      <c r="FG246" s="83"/>
      <c r="FH246" s="83"/>
      <c r="FI246" s="83"/>
      <c r="FJ246" s="83"/>
      <c r="FK246" s="83"/>
      <c r="FL246" s="83"/>
      <c r="FM246" s="83"/>
      <c r="FN246" s="83"/>
      <c r="FO246" s="83"/>
      <c r="FP246" s="83"/>
      <c r="FQ246" s="83"/>
      <c r="FR246" s="83"/>
      <c r="FS246" s="83"/>
      <c r="FT246" s="83"/>
      <c r="FU246" s="83"/>
      <c r="FV246" s="83"/>
      <c r="FW246" s="83"/>
      <c r="FX246" s="83"/>
      <c r="FY246" s="83"/>
      <c r="FZ246" s="83"/>
      <c r="GA246" s="83"/>
      <c r="GB246" s="83"/>
      <c r="GC246" s="83"/>
      <c r="GD246" s="83"/>
      <c r="GE246" s="83"/>
      <c r="GF246" s="83"/>
      <c r="GG246" s="83"/>
      <c r="GH246" s="83"/>
      <c r="GI246" s="83"/>
      <c r="GJ246" s="83"/>
      <c r="GK246" s="83"/>
      <c r="GL246" s="83"/>
      <c r="GM246" s="83"/>
      <c r="GN246" s="83"/>
      <c r="GO246" s="83"/>
      <c r="GP246" s="83"/>
      <c r="GQ246" s="83"/>
      <c r="GR246" s="83"/>
      <c r="GS246" s="83"/>
      <c r="GT246" s="83"/>
      <c r="GU246" s="83"/>
      <c r="GV246" s="83"/>
      <c r="GW246" s="83"/>
      <c r="GX246" s="83"/>
      <c r="GY246" s="83"/>
      <c r="GZ246" s="83"/>
      <c r="HA246" s="83"/>
      <c r="HB246" s="83"/>
      <c r="HC246" s="83"/>
      <c r="HD246" s="83"/>
      <c r="HE246" s="83"/>
      <c r="HF246" s="83"/>
      <c r="HG246" s="83"/>
      <c r="HH246" s="83"/>
      <c r="HI246" s="83"/>
      <c r="HJ246" s="83"/>
      <c r="HK246" s="83"/>
      <c r="HL246" s="83"/>
      <c r="HM246" s="83"/>
      <c r="HN246" s="83"/>
      <c r="HO246" s="83"/>
      <c r="HP246" s="83"/>
      <c r="HQ246" s="83"/>
      <c r="HR246" s="83"/>
      <c r="HS246" s="83"/>
      <c r="HT246" s="83"/>
      <c r="HU246" s="83"/>
      <c r="HV246" s="83"/>
      <c r="HW246" s="83"/>
      <c r="HX246" s="83"/>
      <c r="HY246" s="83"/>
      <c r="HZ246" s="83"/>
      <c r="IA246" s="83"/>
      <c r="IB246" s="83"/>
      <c r="IC246" s="83"/>
      <c r="ID246" s="83"/>
      <c r="IE246" s="83"/>
      <c r="IF246" s="83"/>
      <c r="IG246" s="83"/>
    </row>
    <row r="247" spans="1:241" ht="15.6" x14ac:dyDescent="0.35">
      <c r="A247" s="83"/>
      <c r="B247" s="7" t="s">
        <v>203</v>
      </c>
      <c r="C247" s="76">
        <v>1</v>
      </c>
      <c r="D247" s="15"/>
      <c r="E247" s="1"/>
      <c r="F247" s="1"/>
      <c r="G247" s="1"/>
      <c r="H247" s="1"/>
      <c r="I247" s="1"/>
      <c r="J247" s="1"/>
      <c r="K247" s="1"/>
      <c r="L247" s="1"/>
      <c r="M247" s="1"/>
      <c r="N247" s="1"/>
      <c r="O247" s="1"/>
      <c r="P247" s="1"/>
      <c r="Q247" s="1"/>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c r="DD247" s="83"/>
      <c r="DE247" s="83"/>
      <c r="DF247" s="83"/>
      <c r="DG247" s="83"/>
      <c r="DH247" s="83"/>
      <c r="DI247" s="83"/>
      <c r="DJ247" s="83"/>
      <c r="DK247" s="83"/>
      <c r="DL247" s="83"/>
      <c r="DM247" s="83"/>
      <c r="DN247" s="83"/>
      <c r="DO247" s="83"/>
      <c r="DP247" s="83"/>
      <c r="DQ247" s="83"/>
      <c r="DR247" s="83"/>
      <c r="DS247" s="83"/>
      <c r="DT247" s="83"/>
      <c r="DU247" s="83"/>
      <c r="DV247" s="83"/>
      <c r="DW247" s="83"/>
      <c r="DX247" s="83"/>
      <c r="DY247" s="83"/>
      <c r="DZ247" s="83"/>
      <c r="EA247" s="83"/>
      <c r="EB247" s="83"/>
      <c r="EC247" s="83"/>
      <c r="ED247" s="83"/>
      <c r="EE247" s="83"/>
      <c r="EF247" s="83"/>
      <c r="EG247" s="83"/>
      <c r="EH247" s="83"/>
      <c r="EI247" s="83"/>
      <c r="EJ247" s="83"/>
      <c r="EK247" s="83"/>
      <c r="EL247" s="83"/>
      <c r="EM247" s="83"/>
      <c r="EN247" s="83"/>
      <c r="EO247" s="83"/>
      <c r="EP247" s="83"/>
      <c r="EQ247" s="83"/>
      <c r="ER247" s="83"/>
      <c r="ES247" s="83"/>
      <c r="ET247" s="83"/>
      <c r="EU247" s="83"/>
      <c r="EV247" s="83"/>
      <c r="EW247" s="83"/>
      <c r="EX247" s="83"/>
      <c r="EY247" s="83"/>
      <c r="EZ247" s="83"/>
      <c r="FA247" s="83"/>
      <c r="FB247" s="83"/>
      <c r="FC247" s="83"/>
      <c r="FD247" s="83"/>
      <c r="FE247" s="83"/>
      <c r="FF247" s="83"/>
      <c r="FG247" s="83"/>
      <c r="FH247" s="83"/>
      <c r="FI247" s="83"/>
      <c r="FJ247" s="83"/>
      <c r="FK247" s="83"/>
      <c r="FL247" s="83"/>
      <c r="FM247" s="83"/>
      <c r="FN247" s="83"/>
      <c r="FO247" s="83"/>
      <c r="FP247" s="83"/>
      <c r="FQ247" s="83"/>
      <c r="FR247" s="83"/>
      <c r="FS247" s="83"/>
      <c r="FT247" s="83"/>
      <c r="FU247" s="83"/>
      <c r="FV247" s="83"/>
      <c r="FW247" s="83"/>
      <c r="FX247" s="83"/>
      <c r="FY247" s="83"/>
      <c r="FZ247" s="83"/>
      <c r="GA247" s="83"/>
      <c r="GB247" s="83"/>
      <c r="GC247" s="83"/>
      <c r="GD247" s="83"/>
      <c r="GE247" s="83"/>
      <c r="GF247" s="83"/>
      <c r="GG247" s="83"/>
      <c r="GH247" s="83"/>
      <c r="GI247" s="83"/>
      <c r="GJ247" s="83"/>
      <c r="GK247" s="83"/>
      <c r="GL247" s="83"/>
      <c r="GM247" s="83"/>
      <c r="GN247" s="83"/>
      <c r="GO247" s="83"/>
      <c r="GP247" s="83"/>
      <c r="GQ247" s="83"/>
      <c r="GR247" s="83"/>
      <c r="GS247" s="83"/>
      <c r="GT247" s="83"/>
      <c r="GU247" s="83"/>
      <c r="GV247" s="83"/>
      <c r="GW247" s="83"/>
      <c r="GX247" s="83"/>
      <c r="GY247" s="83"/>
      <c r="GZ247" s="83"/>
      <c r="HA247" s="83"/>
      <c r="HB247" s="83"/>
      <c r="HC247" s="83"/>
      <c r="HD247" s="83"/>
      <c r="HE247" s="83"/>
      <c r="HF247" s="83"/>
      <c r="HG247" s="83"/>
      <c r="HH247" s="83"/>
      <c r="HI247" s="83"/>
      <c r="HJ247" s="83"/>
      <c r="HK247" s="83"/>
      <c r="HL247" s="83"/>
      <c r="HM247" s="83"/>
      <c r="HN247" s="83"/>
      <c r="HO247" s="83"/>
      <c r="HP247" s="83"/>
      <c r="HQ247" s="83"/>
      <c r="HR247" s="83"/>
      <c r="HS247" s="83"/>
      <c r="HT247" s="83"/>
      <c r="HU247" s="83"/>
      <c r="HV247" s="83"/>
      <c r="HW247" s="83"/>
      <c r="HX247" s="83"/>
      <c r="HY247" s="83"/>
      <c r="HZ247" s="83"/>
      <c r="IA247" s="83"/>
      <c r="IB247" s="83"/>
      <c r="IC247" s="83"/>
      <c r="ID247" s="83"/>
      <c r="IE247" s="83"/>
      <c r="IF247" s="83"/>
      <c r="IG247" s="83"/>
    </row>
    <row r="248" spans="1:241" ht="15.6" x14ac:dyDescent="0.35">
      <c r="A248" s="83"/>
      <c r="B248" s="12" t="s">
        <v>204</v>
      </c>
      <c r="C248" s="77">
        <v>1.74</v>
      </c>
      <c r="D248" s="15"/>
      <c r="E248" s="1"/>
      <c r="F248" s="1"/>
      <c r="G248" s="1"/>
      <c r="H248" s="1"/>
      <c r="I248" s="1"/>
      <c r="J248" s="1"/>
      <c r="K248" s="1"/>
      <c r="L248" s="1"/>
      <c r="M248" s="1"/>
      <c r="N248" s="1"/>
      <c r="O248" s="1"/>
      <c r="P248" s="1"/>
      <c r="Q248" s="1"/>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c r="DD248" s="83"/>
      <c r="DE248" s="83"/>
      <c r="DF248" s="83"/>
      <c r="DG248" s="83"/>
      <c r="DH248" s="83"/>
      <c r="DI248" s="83"/>
      <c r="DJ248" s="83"/>
      <c r="DK248" s="83"/>
      <c r="DL248" s="83"/>
      <c r="DM248" s="83"/>
      <c r="DN248" s="83"/>
      <c r="DO248" s="83"/>
      <c r="DP248" s="83"/>
      <c r="DQ248" s="83"/>
      <c r="DR248" s="83"/>
      <c r="DS248" s="83"/>
      <c r="DT248" s="83"/>
      <c r="DU248" s="83"/>
      <c r="DV248" s="83"/>
      <c r="DW248" s="83"/>
      <c r="DX248" s="83"/>
      <c r="DY248" s="83"/>
      <c r="DZ248" s="83"/>
      <c r="EA248" s="83"/>
      <c r="EB248" s="83"/>
      <c r="EC248" s="83"/>
      <c r="ED248" s="83"/>
      <c r="EE248" s="83"/>
      <c r="EF248" s="83"/>
      <c r="EG248" s="83"/>
      <c r="EH248" s="83"/>
      <c r="EI248" s="83"/>
      <c r="EJ248" s="83"/>
      <c r="EK248" s="83"/>
      <c r="EL248" s="83"/>
      <c r="EM248" s="83"/>
      <c r="EN248" s="83"/>
      <c r="EO248" s="83"/>
      <c r="EP248" s="83"/>
      <c r="EQ248" s="83"/>
      <c r="ER248" s="83"/>
      <c r="ES248" s="83"/>
      <c r="ET248" s="83"/>
      <c r="EU248" s="83"/>
      <c r="EV248" s="83"/>
      <c r="EW248" s="83"/>
      <c r="EX248" s="83"/>
      <c r="EY248" s="83"/>
      <c r="EZ248" s="83"/>
      <c r="FA248" s="83"/>
      <c r="FB248" s="83"/>
      <c r="FC248" s="83"/>
      <c r="FD248" s="83"/>
      <c r="FE248" s="83"/>
      <c r="FF248" s="83"/>
      <c r="FG248" s="83"/>
      <c r="FH248" s="83"/>
      <c r="FI248" s="83"/>
      <c r="FJ248" s="83"/>
      <c r="FK248" s="83"/>
      <c r="FL248" s="83"/>
      <c r="FM248" s="83"/>
      <c r="FN248" s="83"/>
      <c r="FO248" s="83"/>
      <c r="FP248" s="83"/>
      <c r="FQ248" s="83"/>
      <c r="FR248" s="83"/>
      <c r="FS248" s="83"/>
      <c r="FT248" s="83"/>
      <c r="FU248" s="83"/>
      <c r="FV248" s="83"/>
      <c r="FW248" s="83"/>
      <c r="FX248" s="83"/>
      <c r="FY248" s="83"/>
      <c r="FZ248" s="83"/>
      <c r="GA248" s="83"/>
      <c r="GB248" s="83"/>
      <c r="GC248" s="83"/>
      <c r="GD248" s="83"/>
      <c r="GE248" s="83"/>
      <c r="GF248" s="83"/>
      <c r="GG248" s="83"/>
      <c r="GH248" s="83"/>
      <c r="GI248" s="83"/>
      <c r="GJ248" s="83"/>
      <c r="GK248" s="83"/>
      <c r="GL248" s="83"/>
      <c r="GM248" s="83"/>
      <c r="GN248" s="83"/>
      <c r="GO248" s="83"/>
      <c r="GP248" s="83"/>
      <c r="GQ248" s="83"/>
      <c r="GR248" s="83"/>
      <c r="GS248" s="83"/>
      <c r="GT248" s="83"/>
      <c r="GU248" s="83"/>
      <c r="GV248" s="83"/>
      <c r="GW248" s="83"/>
      <c r="GX248" s="83"/>
      <c r="GY248" s="83"/>
      <c r="GZ248" s="83"/>
      <c r="HA248" s="83"/>
      <c r="HB248" s="83"/>
      <c r="HC248" s="83"/>
      <c r="HD248" s="83"/>
      <c r="HE248" s="83"/>
      <c r="HF248" s="83"/>
      <c r="HG248" s="83"/>
      <c r="HH248" s="83"/>
      <c r="HI248" s="83"/>
      <c r="HJ248" s="83"/>
      <c r="HK248" s="83"/>
      <c r="HL248" s="83"/>
      <c r="HM248" s="83"/>
      <c r="HN248" s="83"/>
      <c r="HO248" s="83"/>
      <c r="HP248" s="83"/>
      <c r="HQ248" s="83"/>
      <c r="HR248" s="83"/>
      <c r="HS248" s="83"/>
      <c r="HT248" s="83"/>
      <c r="HU248" s="83"/>
      <c r="HV248" s="83"/>
      <c r="HW248" s="83"/>
      <c r="HX248" s="83"/>
      <c r="HY248" s="83"/>
      <c r="HZ248" s="83"/>
      <c r="IA248" s="83"/>
      <c r="IB248" s="83"/>
      <c r="IC248" s="83"/>
      <c r="ID248" s="83"/>
      <c r="IE248" s="83"/>
      <c r="IF248" s="83"/>
      <c r="IG248" s="83"/>
    </row>
    <row r="249" spans="1:241" ht="15.6" x14ac:dyDescent="0.35">
      <c r="A249" s="83"/>
      <c r="B249" s="12" t="s">
        <v>205</v>
      </c>
      <c r="C249" s="77">
        <v>3.11</v>
      </c>
      <c r="D249" s="15"/>
      <c r="E249" s="1"/>
      <c r="F249" s="1"/>
      <c r="G249" s="1"/>
      <c r="H249" s="1"/>
      <c r="I249" s="1"/>
      <c r="J249" s="1"/>
      <c r="K249" s="1"/>
      <c r="L249" s="1"/>
      <c r="M249" s="1"/>
      <c r="N249" s="1"/>
      <c r="O249" s="1"/>
      <c r="P249" s="1"/>
      <c r="Q249" s="1"/>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c r="DD249" s="83"/>
      <c r="DE249" s="83"/>
      <c r="DF249" s="83"/>
      <c r="DG249" s="83"/>
      <c r="DH249" s="83"/>
      <c r="DI249" s="83"/>
      <c r="DJ249" s="83"/>
      <c r="DK249" s="83"/>
      <c r="DL249" s="83"/>
      <c r="DM249" s="83"/>
      <c r="DN249" s="83"/>
      <c r="DO249" s="83"/>
      <c r="DP249" s="83"/>
      <c r="DQ249" s="83"/>
      <c r="DR249" s="83"/>
      <c r="DS249" s="83"/>
      <c r="DT249" s="83"/>
      <c r="DU249" s="83"/>
      <c r="DV249" s="83"/>
      <c r="DW249" s="83"/>
      <c r="DX249" s="83"/>
      <c r="DY249" s="83"/>
      <c r="DZ249" s="83"/>
      <c r="EA249" s="83"/>
      <c r="EB249" s="83"/>
      <c r="EC249" s="83"/>
      <c r="ED249" s="83"/>
      <c r="EE249" s="83"/>
      <c r="EF249" s="83"/>
      <c r="EG249" s="83"/>
      <c r="EH249" s="83"/>
      <c r="EI249" s="83"/>
      <c r="EJ249" s="83"/>
      <c r="EK249" s="83"/>
      <c r="EL249" s="83"/>
      <c r="EM249" s="83"/>
      <c r="EN249" s="83"/>
      <c r="EO249" s="83"/>
      <c r="EP249" s="83"/>
      <c r="EQ249" s="83"/>
      <c r="ER249" s="83"/>
      <c r="ES249" s="83"/>
      <c r="ET249" s="83"/>
      <c r="EU249" s="83"/>
      <c r="EV249" s="83"/>
      <c r="EW249" s="83"/>
      <c r="EX249" s="83"/>
      <c r="EY249" s="83"/>
      <c r="EZ249" s="83"/>
      <c r="FA249" s="83"/>
      <c r="FB249" s="83"/>
      <c r="FC249" s="83"/>
      <c r="FD249" s="83"/>
      <c r="FE249" s="83"/>
      <c r="FF249" s="83"/>
      <c r="FG249" s="83"/>
      <c r="FH249" s="83"/>
      <c r="FI249" s="83"/>
      <c r="FJ249" s="83"/>
      <c r="FK249" s="83"/>
      <c r="FL249" s="83"/>
      <c r="FM249" s="83"/>
      <c r="FN249" s="83"/>
      <c r="FO249" s="83"/>
      <c r="FP249" s="83"/>
      <c r="FQ249" s="83"/>
      <c r="FR249" s="83"/>
      <c r="FS249" s="83"/>
      <c r="FT249" s="83"/>
      <c r="FU249" s="83"/>
      <c r="FV249" s="83"/>
      <c r="FW249" s="83"/>
      <c r="FX249" s="83"/>
      <c r="FY249" s="83"/>
      <c r="FZ249" s="83"/>
      <c r="GA249" s="83"/>
      <c r="GB249" s="83"/>
      <c r="GC249" s="83"/>
      <c r="GD249" s="83"/>
      <c r="GE249" s="83"/>
      <c r="GF249" s="83"/>
      <c r="GG249" s="83"/>
      <c r="GH249" s="83"/>
      <c r="GI249" s="83"/>
      <c r="GJ249" s="83"/>
      <c r="GK249" s="83"/>
      <c r="GL249" s="83"/>
      <c r="GM249" s="83"/>
      <c r="GN249" s="83"/>
      <c r="GO249" s="83"/>
      <c r="GP249" s="83"/>
      <c r="GQ249" s="83"/>
      <c r="GR249" s="83"/>
      <c r="GS249" s="83"/>
      <c r="GT249" s="83"/>
      <c r="GU249" s="83"/>
      <c r="GV249" s="83"/>
      <c r="GW249" s="83"/>
      <c r="GX249" s="83"/>
      <c r="GY249" s="83"/>
      <c r="GZ249" s="83"/>
      <c r="HA249" s="83"/>
      <c r="HB249" s="83"/>
      <c r="HC249" s="83"/>
      <c r="HD249" s="83"/>
      <c r="HE249" s="83"/>
      <c r="HF249" s="83"/>
      <c r="HG249" s="83"/>
      <c r="HH249" s="83"/>
      <c r="HI249" s="83"/>
      <c r="HJ249" s="83"/>
      <c r="HK249" s="83"/>
      <c r="HL249" s="83"/>
      <c r="HM249" s="83"/>
      <c r="HN249" s="83"/>
      <c r="HO249" s="83"/>
      <c r="HP249" s="83"/>
      <c r="HQ249" s="83"/>
      <c r="HR249" s="83"/>
      <c r="HS249" s="83"/>
      <c r="HT249" s="83"/>
      <c r="HU249" s="83"/>
      <c r="HV249" s="83"/>
      <c r="HW249" s="83"/>
      <c r="HX249" s="83"/>
      <c r="HY249" s="83"/>
      <c r="HZ249" s="83"/>
      <c r="IA249" s="83"/>
      <c r="IB249" s="83"/>
      <c r="IC249" s="83"/>
      <c r="ID249" s="83"/>
      <c r="IE249" s="83"/>
      <c r="IF249" s="83"/>
      <c r="IG249" s="83"/>
    </row>
    <row r="250" spans="1:241" ht="15.6" x14ac:dyDescent="0.35">
      <c r="A250" s="83"/>
      <c r="B250" s="12" t="s">
        <v>206</v>
      </c>
      <c r="C250" s="77">
        <v>3.62</v>
      </c>
      <c r="D250" s="15"/>
      <c r="E250" s="1"/>
      <c r="F250" s="1"/>
      <c r="G250" s="1"/>
      <c r="H250" s="1"/>
      <c r="I250" s="1"/>
      <c r="J250" s="1"/>
      <c r="K250" s="1"/>
      <c r="L250" s="1"/>
      <c r="M250" s="1"/>
      <c r="N250" s="1"/>
      <c r="O250" s="1"/>
      <c r="P250" s="1"/>
      <c r="Q250" s="1"/>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c r="DD250" s="83"/>
      <c r="DE250" s="83"/>
      <c r="DF250" s="83"/>
      <c r="DG250" s="83"/>
      <c r="DH250" s="83"/>
      <c r="DI250" s="83"/>
      <c r="DJ250" s="83"/>
      <c r="DK250" s="83"/>
      <c r="DL250" s="83"/>
      <c r="DM250" s="83"/>
      <c r="DN250" s="83"/>
      <c r="DO250" s="83"/>
      <c r="DP250" s="83"/>
      <c r="DQ250" s="83"/>
      <c r="DR250" s="83"/>
      <c r="DS250" s="83"/>
      <c r="DT250" s="83"/>
      <c r="DU250" s="83"/>
      <c r="DV250" s="83"/>
      <c r="DW250" s="83"/>
      <c r="DX250" s="83"/>
      <c r="DY250" s="83"/>
      <c r="DZ250" s="83"/>
      <c r="EA250" s="83"/>
      <c r="EB250" s="83"/>
      <c r="EC250" s="83"/>
      <c r="ED250" s="83"/>
      <c r="EE250" s="83"/>
      <c r="EF250" s="83"/>
      <c r="EG250" s="83"/>
      <c r="EH250" s="83"/>
      <c r="EI250" s="83"/>
      <c r="EJ250" s="83"/>
      <c r="EK250" s="83"/>
      <c r="EL250" s="83"/>
      <c r="EM250" s="83"/>
      <c r="EN250" s="83"/>
      <c r="EO250" s="83"/>
      <c r="EP250" s="83"/>
      <c r="EQ250" s="83"/>
      <c r="ER250" s="83"/>
      <c r="ES250" s="83"/>
      <c r="ET250" s="83"/>
      <c r="EU250" s="83"/>
      <c r="EV250" s="83"/>
      <c r="EW250" s="83"/>
      <c r="EX250" s="83"/>
      <c r="EY250" s="83"/>
      <c r="EZ250" s="83"/>
      <c r="FA250" s="83"/>
      <c r="FB250" s="83"/>
      <c r="FC250" s="83"/>
      <c r="FD250" s="83"/>
      <c r="FE250" s="83"/>
      <c r="FF250" s="83"/>
      <c r="FG250" s="83"/>
      <c r="FH250" s="83"/>
      <c r="FI250" s="83"/>
      <c r="FJ250" s="83"/>
      <c r="FK250" s="83"/>
      <c r="FL250" s="83"/>
      <c r="FM250" s="83"/>
      <c r="FN250" s="83"/>
      <c r="FO250" s="83"/>
      <c r="FP250" s="83"/>
      <c r="FQ250" s="83"/>
      <c r="FR250" s="83"/>
      <c r="FS250" s="83"/>
      <c r="FT250" s="83"/>
      <c r="FU250" s="83"/>
      <c r="FV250" s="83"/>
      <c r="FW250" s="83"/>
      <c r="FX250" s="83"/>
      <c r="FY250" s="83"/>
      <c r="FZ250" s="83"/>
      <c r="GA250" s="83"/>
      <c r="GB250" s="83"/>
      <c r="GC250" s="83"/>
      <c r="GD250" s="83"/>
      <c r="GE250" s="83"/>
      <c r="GF250" s="83"/>
      <c r="GG250" s="83"/>
      <c r="GH250" s="83"/>
      <c r="GI250" s="83"/>
      <c r="GJ250" s="83"/>
      <c r="GK250" s="83"/>
      <c r="GL250" s="83"/>
      <c r="GM250" s="83"/>
      <c r="GN250" s="83"/>
      <c r="GO250" s="83"/>
      <c r="GP250" s="83"/>
      <c r="GQ250" s="83"/>
      <c r="GR250" s="83"/>
      <c r="GS250" s="83"/>
      <c r="GT250" s="83"/>
      <c r="GU250" s="83"/>
      <c r="GV250" s="83"/>
      <c r="GW250" s="83"/>
      <c r="GX250" s="83"/>
      <c r="GY250" s="83"/>
      <c r="GZ250" s="83"/>
      <c r="HA250" s="83"/>
      <c r="HB250" s="83"/>
      <c r="HC250" s="83"/>
      <c r="HD250" s="83"/>
      <c r="HE250" s="83"/>
      <c r="HF250" s="83"/>
      <c r="HG250" s="83"/>
      <c r="HH250" s="83"/>
      <c r="HI250" s="83"/>
      <c r="HJ250" s="83"/>
      <c r="HK250" s="83"/>
      <c r="HL250" s="83"/>
      <c r="HM250" s="83"/>
      <c r="HN250" s="83"/>
      <c r="HO250" s="83"/>
      <c r="HP250" s="83"/>
      <c r="HQ250" s="83"/>
      <c r="HR250" s="83"/>
      <c r="HS250" s="83"/>
      <c r="HT250" s="83"/>
      <c r="HU250" s="83"/>
      <c r="HV250" s="83"/>
      <c r="HW250" s="83"/>
      <c r="HX250" s="83"/>
      <c r="HY250" s="83"/>
      <c r="HZ250" s="83"/>
      <c r="IA250" s="83"/>
      <c r="IB250" s="83"/>
      <c r="IC250" s="83"/>
      <c r="ID250" s="83"/>
      <c r="IE250" s="83"/>
      <c r="IF250" s="83"/>
      <c r="IG250" s="83"/>
    </row>
    <row r="251" spans="1:241" ht="15.6" x14ac:dyDescent="0.35">
      <c r="A251" s="83"/>
      <c r="B251" s="12" t="s">
        <v>207</v>
      </c>
      <c r="C251" s="77">
        <v>7.07</v>
      </c>
      <c r="D251" s="15"/>
      <c r="E251" s="1"/>
      <c r="F251" s="1"/>
      <c r="G251" s="1"/>
      <c r="H251" s="1"/>
      <c r="I251" s="1"/>
      <c r="J251" s="1"/>
      <c r="K251" s="1"/>
      <c r="L251" s="1"/>
      <c r="M251" s="1"/>
      <c r="N251" s="1"/>
      <c r="O251" s="1"/>
      <c r="P251" s="1"/>
      <c r="Q251" s="1"/>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c r="DD251" s="83"/>
      <c r="DE251" s="83"/>
      <c r="DF251" s="83"/>
      <c r="DG251" s="83"/>
      <c r="DH251" s="83"/>
      <c r="DI251" s="83"/>
      <c r="DJ251" s="83"/>
      <c r="DK251" s="83"/>
      <c r="DL251" s="83"/>
      <c r="DM251" s="83"/>
      <c r="DN251" s="83"/>
      <c r="DO251" s="83"/>
      <c r="DP251" s="83"/>
      <c r="DQ251" s="83"/>
      <c r="DR251" s="83"/>
      <c r="DS251" s="83"/>
      <c r="DT251" s="83"/>
      <c r="DU251" s="83"/>
      <c r="DV251" s="83"/>
      <c r="DW251" s="83"/>
      <c r="DX251" s="83"/>
      <c r="DY251" s="83"/>
      <c r="DZ251" s="83"/>
      <c r="EA251" s="83"/>
      <c r="EB251" s="83"/>
      <c r="EC251" s="83"/>
      <c r="ED251" s="83"/>
      <c r="EE251" s="83"/>
      <c r="EF251" s="83"/>
      <c r="EG251" s="83"/>
      <c r="EH251" s="83"/>
      <c r="EI251" s="83"/>
      <c r="EJ251" s="83"/>
      <c r="EK251" s="83"/>
      <c r="EL251" s="83"/>
      <c r="EM251" s="83"/>
      <c r="EN251" s="83"/>
      <c r="EO251" s="83"/>
      <c r="EP251" s="83"/>
      <c r="EQ251" s="83"/>
      <c r="ER251" s="83"/>
      <c r="ES251" s="83"/>
      <c r="ET251" s="83"/>
      <c r="EU251" s="83"/>
      <c r="EV251" s="83"/>
      <c r="EW251" s="83"/>
      <c r="EX251" s="83"/>
      <c r="EY251" s="83"/>
      <c r="EZ251" s="83"/>
      <c r="FA251" s="83"/>
      <c r="FB251" s="83"/>
      <c r="FC251" s="83"/>
      <c r="FD251" s="83"/>
      <c r="FE251" s="83"/>
      <c r="FF251" s="83"/>
      <c r="FG251" s="83"/>
      <c r="FH251" s="83"/>
      <c r="FI251" s="83"/>
      <c r="FJ251" s="83"/>
      <c r="FK251" s="83"/>
      <c r="FL251" s="83"/>
      <c r="FM251" s="83"/>
      <c r="FN251" s="83"/>
      <c r="FO251" s="83"/>
      <c r="FP251" s="83"/>
      <c r="FQ251" s="83"/>
      <c r="FR251" s="83"/>
      <c r="FS251" s="83"/>
      <c r="FT251" s="83"/>
      <c r="FU251" s="83"/>
      <c r="FV251" s="83"/>
      <c r="FW251" s="83"/>
      <c r="FX251" s="83"/>
      <c r="FY251" s="83"/>
      <c r="FZ251" s="83"/>
      <c r="GA251" s="83"/>
      <c r="GB251" s="83"/>
      <c r="GC251" s="83"/>
      <c r="GD251" s="83"/>
      <c r="GE251" s="83"/>
      <c r="GF251" s="83"/>
      <c r="GG251" s="83"/>
      <c r="GH251" s="83"/>
      <c r="GI251" s="83"/>
      <c r="GJ251" s="83"/>
      <c r="GK251" s="83"/>
      <c r="GL251" s="83"/>
      <c r="GM251" s="83"/>
      <c r="GN251" s="83"/>
      <c r="GO251" s="83"/>
      <c r="GP251" s="83"/>
      <c r="GQ251" s="83"/>
      <c r="GR251" s="83"/>
      <c r="GS251" s="83"/>
      <c r="GT251" s="83"/>
      <c r="GU251" s="83"/>
      <c r="GV251" s="83"/>
      <c r="GW251" s="83"/>
      <c r="GX251" s="83"/>
      <c r="GY251" s="83"/>
      <c r="GZ251" s="83"/>
      <c r="HA251" s="83"/>
      <c r="HB251" s="83"/>
      <c r="HC251" s="83"/>
      <c r="HD251" s="83"/>
      <c r="HE251" s="83"/>
      <c r="HF251" s="83"/>
      <c r="HG251" s="83"/>
      <c r="HH251" s="83"/>
      <c r="HI251" s="83"/>
      <c r="HJ251" s="83"/>
      <c r="HK251" s="83"/>
      <c r="HL251" s="83"/>
      <c r="HM251" s="83"/>
      <c r="HN251" s="83"/>
      <c r="HO251" s="83"/>
      <c r="HP251" s="83"/>
      <c r="HQ251" s="83"/>
      <c r="HR251" s="83"/>
      <c r="HS251" s="83"/>
      <c r="HT251" s="83"/>
      <c r="HU251" s="83"/>
      <c r="HV251" s="83"/>
      <c r="HW251" s="83"/>
      <c r="HX251" s="83"/>
      <c r="HY251" s="83"/>
      <c r="HZ251" s="83"/>
      <c r="IA251" s="83"/>
      <c r="IB251" s="83"/>
      <c r="IC251" s="83"/>
      <c r="ID251" s="83"/>
      <c r="IE251" s="83"/>
      <c r="IF251" s="83"/>
      <c r="IG251" s="83"/>
    </row>
    <row r="252" spans="1:241" ht="15.6" x14ac:dyDescent="0.35">
      <c r="A252" s="83"/>
      <c r="B252" s="12" t="s">
        <v>208</v>
      </c>
      <c r="C252" s="77">
        <v>4.68</v>
      </c>
      <c r="D252" s="15"/>
      <c r="E252" s="1"/>
      <c r="F252" s="1"/>
      <c r="G252" s="1"/>
      <c r="H252" s="1"/>
      <c r="I252" s="1"/>
      <c r="J252" s="1"/>
      <c r="K252" s="1"/>
      <c r="L252" s="1"/>
      <c r="M252" s="1"/>
      <c r="N252" s="1"/>
      <c r="O252" s="1"/>
      <c r="P252" s="1"/>
      <c r="Q252" s="1"/>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c r="DD252" s="83"/>
      <c r="DE252" s="83"/>
      <c r="DF252" s="83"/>
      <c r="DG252" s="83"/>
      <c r="DH252" s="83"/>
      <c r="DI252" s="83"/>
      <c r="DJ252" s="83"/>
      <c r="DK252" s="83"/>
      <c r="DL252" s="83"/>
      <c r="DM252" s="83"/>
      <c r="DN252" s="83"/>
      <c r="DO252" s="83"/>
      <c r="DP252" s="83"/>
      <c r="DQ252" s="83"/>
      <c r="DR252" s="83"/>
      <c r="DS252" s="83"/>
      <c r="DT252" s="83"/>
      <c r="DU252" s="83"/>
      <c r="DV252" s="83"/>
      <c r="DW252" s="83"/>
      <c r="DX252" s="83"/>
      <c r="DY252" s="83"/>
      <c r="DZ252" s="83"/>
      <c r="EA252" s="83"/>
      <c r="EB252" s="83"/>
      <c r="EC252" s="83"/>
      <c r="ED252" s="83"/>
      <c r="EE252" s="83"/>
      <c r="EF252" s="83"/>
      <c r="EG252" s="83"/>
      <c r="EH252" s="83"/>
      <c r="EI252" s="83"/>
      <c r="EJ252" s="83"/>
      <c r="EK252" s="83"/>
      <c r="EL252" s="83"/>
      <c r="EM252" s="83"/>
      <c r="EN252" s="83"/>
      <c r="EO252" s="83"/>
      <c r="EP252" s="83"/>
      <c r="EQ252" s="83"/>
      <c r="ER252" s="83"/>
      <c r="ES252" s="83"/>
      <c r="ET252" s="83"/>
      <c r="EU252" s="83"/>
      <c r="EV252" s="83"/>
      <c r="EW252" s="83"/>
      <c r="EX252" s="83"/>
      <c r="EY252" s="83"/>
      <c r="EZ252" s="83"/>
      <c r="FA252" s="83"/>
      <c r="FB252" s="83"/>
      <c r="FC252" s="83"/>
      <c r="FD252" s="83"/>
      <c r="FE252" s="83"/>
      <c r="FF252" s="83"/>
      <c r="FG252" s="83"/>
      <c r="FH252" s="83"/>
      <c r="FI252" s="83"/>
      <c r="FJ252" s="83"/>
      <c r="FK252" s="83"/>
      <c r="FL252" s="83"/>
      <c r="FM252" s="83"/>
      <c r="FN252" s="83"/>
      <c r="FO252" s="83"/>
      <c r="FP252" s="83"/>
      <c r="FQ252" s="83"/>
      <c r="FR252" s="83"/>
      <c r="FS252" s="83"/>
      <c r="FT252" s="83"/>
      <c r="FU252" s="83"/>
      <c r="FV252" s="83"/>
      <c r="FW252" s="83"/>
      <c r="FX252" s="83"/>
      <c r="FY252" s="83"/>
      <c r="FZ252" s="83"/>
      <c r="GA252" s="83"/>
      <c r="GB252" s="83"/>
      <c r="GC252" s="83"/>
      <c r="GD252" s="83"/>
      <c r="GE252" s="83"/>
      <c r="GF252" s="83"/>
      <c r="GG252" s="83"/>
      <c r="GH252" s="83"/>
      <c r="GI252" s="83"/>
      <c r="GJ252" s="83"/>
      <c r="GK252" s="83"/>
      <c r="GL252" s="83"/>
      <c r="GM252" s="83"/>
      <c r="GN252" s="83"/>
      <c r="GO252" s="83"/>
      <c r="GP252" s="83"/>
      <c r="GQ252" s="83"/>
      <c r="GR252" s="83"/>
      <c r="GS252" s="83"/>
      <c r="GT252" s="83"/>
      <c r="GU252" s="83"/>
      <c r="GV252" s="83"/>
      <c r="GW252" s="83"/>
      <c r="GX252" s="83"/>
      <c r="GY252" s="83"/>
      <c r="GZ252" s="83"/>
      <c r="HA252" s="83"/>
      <c r="HB252" s="83"/>
      <c r="HC252" s="83"/>
      <c r="HD252" s="83"/>
      <c r="HE252" s="83"/>
      <c r="HF252" s="83"/>
      <c r="HG252" s="83"/>
      <c r="HH252" s="83"/>
      <c r="HI252" s="83"/>
      <c r="HJ252" s="83"/>
      <c r="HK252" s="83"/>
      <c r="HL252" s="83"/>
      <c r="HM252" s="83"/>
      <c r="HN252" s="83"/>
      <c r="HO252" s="83"/>
      <c r="HP252" s="83"/>
      <c r="HQ252" s="83"/>
      <c r="HR252" s="83"/>
      <c r="HS252" s="83"/>
      <c r="HT252" s="83"/>
      <c r="HU252" s="83"/>
      <c r="HV252" s="83"/>
      <c r="HW252" s="83"/>
      <c r="HX252" s="83"/>
      <c r="HY252" s="83"/>
      <c r="HZ252" s="83"/>
      <c r="IA252" s="83"/>
      <c r="IB252" s="83"/>
      <c r="IC252" s="83"/>
      <c r="ID252" s="83"/>
      <c r="IE252" s="83"/>
      <c r="IF252" s="83"/>
      <c r="IG252" s="83"/>
    </row>
    <row r="253" spans="1:241" ht="15.6" x14ac:dyDescent="0.35">
      <c r="A253" s="83"/>
      <c r="B253" s="17" t="s">
        <v>209</v>
      </c>
      <c r="C253" s="78">
        <v>9.4</v>
      </c>
      <c r="D253" s="15"/>
      <c r="E253" s="1"/>
      <c r="F253" s="1"/>
      <c r="G253" s="1"/>
      <c r="H253" s="1"/>
      <c r="I253" s="1"/>
      <c r="J253" s="1"/>
      <c r="K253" s="1"/>
      <c r="L253" s="1"/>
      <c r="M253" s="1"/>
      <c r="N253" s="1"/>
      <c r="O253" s="1"/>
      <c r="P253" s="1"/>
      <c r="Q253" s="1"/>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c r="DD253" s="83"/>
      <c r="DE253" s="83"/>
      <c r="DF253" s="83"/>
      <c r="DG253" s="83"/>
      <c r="DH253" s="83"/>
      <c r="DI253" s="83"/>
      <c r="DJ253" s="83"/>
      <c r="DK253" s="83"/>
      <c r="DL253" s="83"/>
      <c r="DM253" s="83"/>
      <c r="DN253" s="83"/>
      <c r="DO253" s="83"/>
      <c r="DP253" s="83"/>
      <c r="DQ253" s="83"/>
      <c r="DR253" s="83"/>
      <c r="DS253" s="83"/>
      <c r="DT253" s="83"/>
      <c r="DU253" s="83"/>
      <c r="DV253" s="83"/>
      <c r="DW253" s="83"/>
      <c r="DX253" s="83"/>
      <c r="DY253" s="83"/>
      <c r="DZ253" s="83"/>
      <c r="EA253" s="83"/>
      <c r="EB253" s="83"/>
      <c r="EC253" s="83"/>
      <c r="ED253" s="83"/>
      <c r="EE253" s="83"/>
      <c r="EF253" s="83"/>
      <c r="EG253" s="83"/>
      <c r="EH253" s="83"/>
      <c r="EI253" s="83"/>
      <c r="EJ253" s="83"/>
      <c r="EK253" s="83"/>
      <c r="EL253" s="83"/>
      <c r="EM253" s="83"/>
      <c r="EN253" s="83"/>
      <c r="EO253" s="83"/>
      <c r="EP253" s="83"/>
      <c r="EQ253" s="83"/>
      <c r="ER253" s="83"/>
      <c r="ES253" s="83"/>
      <c r="ET253" s="83"/>
      <c r="EU253" s="83"/>
      <c r="EV253" s="83"/>
      <c r="EW253" s="83"/>
      <c r="EX253" s="83"/>
      <c r="EY253" s="83"/>
      <c r="EZ253" s="83"/>
      <c r="FA253" s="83"/>
      <c r="FB253" s="83"/>
      <c r="FC253" s="83"/>
      <c r="FD253" s="83"/>
      <c r="FE253" s="83"/>
      <c r="FF253" s="83"/>
      <c r="FG253" s="83"/>
      <c r="FH253" s="83"/>
      <c r="FI253" s="83"/>
      <c r="FJ253" s="83"/>
      <c r="FK253" s="83"/>
      <c r="FL253" s="83"/>
      <c r="FM253" s="83"/>
      <c r="FN253" s="83"/>
      <c r="FO253" s="83"/>
      <c r="FP253" s="83"/>
      <c r="FQ253" s="83"/>
      <c r="FR253" s="83"/>
      <c r="FS253" s="83"/>
      <c r="FT253" s="83"/>
      <c r="FU253" s="83"/>
      <c r="FV253" s="83"/>
      <c r="FW253" s="83"/>
      <c r="FX253" s="83"/>
      <c r="FY253" s="83"/>
      <c r="FZ253" s="83"/>
      <c r="GA253" s="83"/>
      <c r="GB253" s="83"/>
      <c r="GC253" s="83"/>
      <c r="GD253" s="83"/>
      <c r="GE253" s="83"/>
      <c r="GF253" s="83"/>
      <c r="GG253" s="83"/>
      <c r="GH253" s="83"/>
      <c r="GI253" s="83"/>
      <c r="GJ253" s="83"/>
      <c r="GK253" s="83"/>
      <c r="GL253" s="83"/>
      <c r="GM253" s="83"/>
      <c r="GN253" s="83"/>
      <c r="GO253" s="83"/>
      <c r="GP253" s="83"/>
      <c r="GQ253" s="83"/>
      <c r="GR253" s="83"/>
      <c r="GS253" s="83"/>
      <c r="GT253" s="83"/>
      <c r="GU253" s="83"/>
      <c r="GV253" s="83"/>
      <c r="GW253" s="83"/>
      <c r="GX253" s="83"/>
      <c r="GY253" s="83"/>
      <c r="GZ253" s="83"/>
      <c r="HA253" s="83"/>
      <c r="HB253" s="83"/>
      <c r="HC253" s="83"/>
      <c r="HD253" s="83"/>
      <c r="HE253" s="83"/>
      <c r="HF253" s="83"/>
      <c r="HG253" s="83"/>
      <c r="HH253" s="83"/>
      <c r="HI253" s="83"/>
      <c r="HJ253" s="83"/>
      <c r="HK253" s="83"/>
      <c r="HL253" s="83"/>
      <c r="HM253" s="83"/>
      <c r="HN253" s="83"/>
      <c r="HO253" s="83"/>
      <c r="HP253" s="83"/>
      <c r="HQ253" s="83"/>
      <c r="HR253" s="83"/>
      <c r="HS253" s="83"/>
      <c r="HT253" s="83"/>
      <c r="HU253" s="83"/>
      <c r="HV253" s="83"/>
      <c r="HW253" s="83"/>
      <c r="HX253" s="83"/>
      <c r="HY253" s="83"/>
      <c r="HZ253" s="83"/>
      <c r="IA253" s="83"/>
      <c r="IB253" s="83"/>
      <c r="IC253" s="83"/>
      <c r="ID253" s="83"/>
      <c r="IE253" s="83"/>
      <c r="IF253" s="83"/>
      <c r="IG253" s="83"/>
    </row>
    <row r="254" spans="1:241" x14ac:dyDescent="0.3">
      <c r="A254" s="83"/>
      <c r="B254" s="1"/>
      <c r="C254" s="1"/>
      <c r="D254" s="1"/>
      <c r="E254" s="1"/>
      <c r="F254" s="1"/>
      <c r="G254" s="1"/>
      <c r="H254" s="1"/>
      <c r="I254" s="1"/>
      <c r="J254" s="1"/>
      <c r="K254" s="1"/>
      <c r="L254" s="1"/>
      <c r="M254" s="1"/>
      <c r="N254" s="1"/>
      <c r="O254" s="1"/>
      <c r="P254" s="1"/>
      <c r="Q254" s="1"/>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c r="DD254" s="83"/>
      <c r="DE254" s="83"/>
      <c r="DF254" s="83"/>
      <c r="DG254" s="83"/>
      <c r="DH254" s="83"/>
      <c r="DI254" s="83"/>
      <c r="DJ254" s="83"/>
      <c r="DK254" s="83"/>
      <c r="DL254" s="83"/>
      <c r="DM254" s="83"/>
      <c r="DN254" s="83"/>
      <c r="DO254" s="83"/>
      <c r="DP254" s="83"/>
      <c r="DQ254" s="83"/>
      <c r="DR254" s="83"/>
      <c r="DS254" s="83"/>
      <c r="DT254" s="83"/>
      <c r="DU254" s="83"/>
      <c r="DV254" s="83"/>
      <c r="DW254" s="83"/>
      <c r="DX254" s="83"/>
      <c r="DY254" s="83"/>
      <c r="DZ254" s="83"/>
      <c r="EA254" s="83"/>
      <c r="EB254" s="83"/>
      <c r="EC254" s="83"/>
      <c r="ED254" s="83"/>
      <c r="EE254" s="83"/>
      <c r="EF254" s="83"/>
      <c r="EG254" s="83"/>
      <c r="EH254" s="83"/>
      <c r="EI254" s="83"/>
      <c r="EJ254" s="83"/>
      <c r="EK254" s="83"/>
      <c r="EL254" s="83"/>
      <c r="EM254" s="83"/>
      <c r="EN254" s="83"/>
      <c r="EO254" s="83"/>
      <c r="EP254" s="83"/>
      <c r="EQ254" s="83"/>
      <c r="ER254" s="83"/>
      <c r="ES254" s="83"/>
      <c r="ET254" s="83"/>
      <c r="EU254" s="83"/>
      <c r="EV254" s="83"/>
      <c r="EW254" s="83"/>
      <c r="EX254" s="83"/>
      <c r="EY254" s="83"/>
      <c r="EZ254" s="83"/>
      <c r="FA254" s="83"/>
      <c r="FB254" s="83"/>
      <c r="FC254" s="83"/>
      <c r="FD254" s="83"/>
      <c r="FE254" s="83"/>
      <c r="FF254" s="83"/>
      <c r="FG254" s="83"/>
      <c r="FH254" s="83"/>
      <c r="FI254" s="83"/>
      <c r="FJ254" s="83"/>
      <c r="FK254" s="83"/>
      <c r="FL254" s="83"/>
      <c r="FM254" s="83"/>
      <c r="FN254" s="83"/>
      <c r="FO254" s="83"/>
      <c r="FP254" s="83"/>
      <c r="FQ254" s="83"/>
      <c r="FR254" s="83"/>
      <c r="FS254" s="83"/>
      <c r="FT254" s="83"/>
      <c r="FU254" s="83"/>
      <c r="FV254" s="83"/>
      <c r="FW254" s="83"/>
      <c r="FX254" s="83"/>
      <c r="FY254" s="83"/>
      <c r="FZ254" s="83"/>
      <c r="GA254" s="83"/>
      <c r="GB254" s="83"/>
      <c r="GC254" s="83"/>
      <c r="GD254" s="83"/>
      <c r="GE254" s="83"/>
      <c r="GF254" s="83"/>
      <c r="GG254" s="83"/>
      <c r="GH254" s="83"/>
      <c r="GI254" s="83"/>
      <c r="GJ254" s="83"/>
      <c r="GK254" s="83"/>
      <c r="GL254" s="83"/>
      <c r="GM254" s="83"/>
      <c r="GN254" s="83"/>
      <c r="GO254" s="83"/>
      <c r="GP254" s="83"/>
      <c r="GQ254" s="83"/>
      <c r="GR254" s="83"/>
      <c r="GS254" s="83"/>
      <c r="GT254" s="83"/>
      <c r="GU254" s="83"/>
      <c r="GV254" s="83"/>
      <c r="GW254" s="83"/>
      <c r="GX254" s="83"/>
      <c r="GY254" s="83"/>
      <c r="GZ254" s="83"/>
      <c r="HA254" s="83"/>
      <c r="HB254" s="83"/>
      <c r="HC254" s="83"/>
      <c r="HD254" s="83"/>
      <c r="HE254" s="83"/>
      <c r="HF254" s="83"/>
      <c r="HG254" s="83"/>
      <c r="HH254" s="83"/>
      <c r="HI254" s="83"/>
      <c r="HJ254" s="83"/>
      <c r="HK254" s="83"/>
      <c r="HL254" s="83"/>
      <c r="HM254" s="83"/>
      <c r="HN254" s="83"/>
      <c r="HO254" s="83"/>
      <c r="HP254" s="83"/>
      <c r="HQ254" s="83"/>
      <c r="HR254" s="83"/>
      <c r="HS254" s="83"/>
      <c r="HT254" s="83"/>
      <c r="HU254" s="83"/>
      <c r="HV254" s="83"/>
      <c r="HW254" s="83"/>
      <c r="HX254" s="83"/>
      <c r="HY254" s="83"/>
      <c r="HZ254" s="83"/>
      <c r="IA254" s="83"/>
      <c r="IB254" s="83"/>
      <c r="IC254" s="83"/>
      <c r="ID254" s="83"/>
      <c r="IE254" s="83"/>
      <c r="IF254" s="83"/>
      <c r="IG254" s="83"/>
    </row>
    <row r="255" spans="1:241" x14ac:dyDescent="0.3">
      <c r="A255" s="83"/>
      <c r="B255" s="2" t="s">
        <v>210</v>
      </c>
      <c r="C255" s="1"/>
      <c r="D255" s="1"/>
      <c r="E255" s="1"/>
      <c r="F255" s="1"/>
      <c r="G255" s="1"/>
      <c r="H255" s="1"/>
      <c r="I255" s="1"/>
      <c r="J255" s="1"/>
      <c r="K255" s="1"/>
      <c r="L255" s="1"/>
      <c r="M255" s="1"/>
      <c r="N255" s="1"/>
      <c r="O255" s="1"/>
      <c r="P255" s="1"/>
      <c r="Q255" s="1"/>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c r="DD255" s="83"/>
      <c r="DE255" s="83"/>
      <c r="DF255" s="83"/>
      <c r="DG255" s="83"/>
      <c r="DH255" s="83"/>
      <c r="DI255" s="83"/>
      <c r="DJ255" s="83"/>
      <c r="DK255" s="83"/>
      <c r="DL255" s="83"/>
      <c r="DM255" s="83"/>
      <c r="DN255" s="83"/>
      <c r="DO255" s="83"/>
      <c r="DP255" s="83"/>
      <c r="DQ255" s="83"/>
      <c r="DR255" s="83"/>
      <c r="DS255" s="83"/>
      <c r="DT255" s="83"/>
      <c r="DU255" s="83"/>
      <c r="DV255" s="83"/>
      <c r="DW255" s="83"/>
      <c r="DX255" s="83"/>
      <c r="DY255" s="83"/>
      <c r="DZ255" s="83"/>
      <c r="EA255" s="83"/>
      <c r="EB255" s="83"/>
      <c r="EC255" s="83"/>
      <c r="ED255" s="83"/>
      <c r="EE255" s="83"/>
      <c r="EF255" s="83"/>
      <c r="EG255" s="83"/>
      <c r="EH255" s="83"/>
      <c r="EI255" s="83"/>
      <c r="EJ255" s="83"/>
      <c r="EK255" s="83"/>
      <c r="EL255" s="83"/>
      <c r="EM255" s="83"/>
      <c r="EN255" s="83"/>
      <c r="EO255" s="83"/>
      <c r="EP255" s="83"/>
      <c r="EQ255" s="83"/>
      <c r="ER255" s="83"/>
      <c r="ES255" s="83"/>
      <c r="ET255" s="83"/>
      <c r="EU255" s="83"/>
      <c r="EV255" s="83"/>
      <c r="EW255" s="83"/>
      <c r="EX255" s="83"/>
      <c r="EY255" s="83"/>
      <c r="EZ255" s="83"/>
      <c r="FA255" s="83"/>
      <c r="FB255" s="83"/>
      <c r="FC255" s="83"/>
      <c r="FD255" s="83"/>
      <c r="FE255" s="83"/>
      <c r="FF255" s="83"/>
      <c r="FG255" s="83"/>
      <c r="FH255" s="83"/>
      <c r="FI255" s="83"/>
      <c r="FJ255" s="83"/>
      <c r="FK255" s="83"/>
      <c r="FL255" s="83"/>
      <c r="FM255" s="83"/>
      <c r="FN255" s="83"/>
      <c r="FO255" s="83"/>
      <c r="FP255" s="83"/>
      <c r="FQ255" s="83"/>
      <c r="FR255" s="83"/>
      <c r="FS255" s="83"/>
      <c r="FT255" s="83"/>
      <c r="FU255" s="83"/>
      <c r="FV255" s="83"/>
      <c r="FW255" s="83"/>
      <c r="FX255" s="83"/>
      <c r="FY255" s="83"/>
      <c r="FZ255" s="83"/>
      <c r="GA255" s="83"/>
      <c r="GB255" s="83"/>
      <c r="GC255" s="83"/>
      <c r="GD255" s="83"/>
      <c r="GE255" s="83"/>
      <c r="GF255" s="83"/>
      <c r="GG255" s="83"/>
      <c r="GH255" s="83"/>
      <c r="GI255" s="83"/>
      <c r="GJ255" s="83"/>
      <c r="GK255" s="83"/>
      <c r="GL255" s="83"/>
      <c r="GM255" s="83"/>
      <c r="GN255" s="83"/>
      <c r="GO255" s="83"/>
      <c r="GP255" s="83"/>
      <c r="GQ255" s="83"/>
      <c r="GR255" s="83"/>
      <c r="GS255" s="83"/>
      <c r="GT255" s="83"/>
      <c r="GU255" s="83"/>
      <c r="GV255" s="83"/>
      <c r="GW255" s="83"/>
      <c r="GX255" s="83"/>
      <c r="GY255" s="83"/>
      <c r="GZ255" s="83"/>
      <c r="HA255" s="83"/>
      <c r="HB255" s="83"/>
      <c r="HC255" s="83"/>
      <c r="HD255" s="83"/>
      <c r="HE255" s="83"/>
      <c r="HF255" s="83"/>
      <c r="HG255" s="83"/>
      <c r="HH255" s="83"/>
      <c r="HI255" s="83"/>
      <c r="HJ255" s="83"/>
      <c r="HK255" s="83"/>
      <c r="HL255" s="83"/>
      <c r="HM255" s="83"/>
      <c r="HN255" s="83"/>
      <c r="HO255" s="83"/>
      <c r="HP255" s="83"/>
      <c r="HQ255" s="83"/>
      <c r="HR255" s="83"/>
      <c r="HS255" s="83"/>
      <c r="HT255" s="83"/>
      <c r="HU255" s="83"/>
      <c r="HV255" s="83"/>
      <c r="HW255" s="83"/>
      <c r="HX255" s="83"/>
      <c r="HY255" s="83"/>
      <c r="HZ255" s="83"/>
      <c r="IA255" s="83"/>
      <c r="IB255" s="83"/>
      <c r="IC255" s="83"/>
      <c r="ID255" s="83"/>
      <c r="IE255" s="83"/>
      <c r="IF255" s="83"/>
      <c r="IG255" s="83"/>
    </row>
    <row r="256" spans="1:241" ht="16.8" x14ac:dyDescent="0.35">
      <c r="A256" s="83"/>
      <c r="B256" s="3" t="s">
        <v>211</v>
      </c>
      <c r="C256" s="4" t="s">
        <v>1</v>
      </c>
      <c r="D256" s="4" t="s">
        <v>2</v>
      </c>
      <c r="E256" s="4" t="s">
        <v>3</v>
      </c>
      <c r="F256" s="4" t="s">
        <v>212</v>
      </c>
      <c r="G256" s="37" t="s">
        <v>213</v>
      </c>
      <c r="H256" s="1"/>
      <c r="I256" s="1"/>
      <c r="J256" s="1"/>
      <c r="K256" s="1"/>
      <c r="L256" s="1"/>
      <c r="M256" s="1"/>
      <c r="N256" s="1"/>
      <c r="O256" s="1"/>
      <c r="P256" s="1"/>
      <c r="Q256" s="1"/>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c r="DD256" s="83"/>
      <c r="DE256" s="83"/>
      <c r="DF256" s="83"/>
      <c r="DG256" s="83"/>
      <c r="DH256" s="83"/>
      <c r="DI256" s="83"/>
      <c r="DJ256" s="83"/>
      <c r="DK256" s="83"/>
      <c r="DL256" s="83"/>
      <c r="DM256" s="83"/>
      <c r="DN256" s="83"/>
      <c r="DO256" s="83"/>
      <c r="DP256" s="83"/>
      <c r="DQ256" s="83"/>
      <c r="DR256" s="83"/>
      <c r="DS256" s="83"/>
      <c r="DT256" s="83"/>
      <c r="DU256" s="83"/>
      <c r="DV256" s="83"/>
      <c r="DW256" s="83"/>
      <c r="DX256" s="83"/>
      <c r="DY256" s="83"/>
      <c r="DZ256" s="83"/>
      <c r="EA256" s="83"/>
      <c r="EB256" s="83"/>
      <c r="EC256" s="83"/>
      <c r="ED256" s="83"/>
      <c r="EE256" s="83"/>
      <c r="EF256" s="83"/>
      <c r="EG256" s="83"/>
      <c r="EH256" s="83"/>
      <c r="EI256" s="83"/>
      <c r="EJ256" s="83"/>
      <c r="EK256" s="83"/>
      <c r="EL256" s="83"/>
      <c r="EM256" s="83"/>
      <c r="EN256" s="83"/>
      <c r="EO256" s="83"/>
      <c r="EP256" s="83"/>
      <c r="EQ256" s="83"/>
      <c r="ER256" s="83"/>
      <c r="ES256" s="83"/>
      <c r="ET256" s="83"/>
      <c r="EU256" s="83"/>
      <c r="EV256" s="83"/>
      <c r="EW256" s="83"/>
      <c r="EX256" s="83"/>
      <c r="EY256" s="83"/>
      <c r="EZ256" s="83"/>
      <c r="FA256" s="83"/>
      <c r="FB256" s="83"/>
      <c r="FC256" s="83"/>
      <c r="FD256" s="83"/>
      <c r="FE256" s="83"/>
      <c r="FF256" s="83"/>
      <c r="FG256" s="83"/>
      <c r="FH256" s="83"/>
      <c r="FI256" s="83"/>
      <c r="FJ256" s="83"/>
      <c r="FK256" s="83"/>
      <c r="FL256" s="83"/>
      <c r="FM256" s="83"/>
      <c r="FN256" s="83"/>
      <c r="FO256" s="83"/>
      <c r="FP256" s="83"/>
      <c r="FQ256" s="83"/>
      <c r="FR256" s="83"/>
      <c r="FS256" s="83"/>
      <c r="FT256" s="83"/>
      <c r="FU256" s="83"/>
      <c r="FV256" s="83"/>
      <c r="FW256" s="83"/>
      <c r="FX256" s="83"/>
      <c r="FY256" s="83"/>
      <c r="FZ256" s="83"/>
      <c r="GA256" s="83"/>
      <c r="GB256" s="83"/>
      <c r="GC256" s="83"/>
      <c r="GD256" s="83"/>
      <c r="GE256" s="83"/>
      <c r="GF256" s="83"/>
      <c r="GG256" s="83"/>
      <c r="GH256" s="83"/>
      <c r="GI256" s="83"/>
      <c r="GJ256" s="83"/>
      <c r="GK256" s="83"/>
      <c r="GL256" s="83"/>
      <c r="GM256" s="83"/>
      <c r="GN256" s="83"/>
      <c r="GO256" s="83"/>
      <c r="GP256" s="83"/>
      <c r="GQ256" s="83"/>
      <c r="GR256" s="83"/>
      <c r="GS256" s="83"/>
      <c r="GT256" s="83"/>
      <c r="GU256" s="83"/>
      <c r="GV256" s="83"/>
      <c r="GW256" s="83"/>
      <c r="GX256" s="83"/>
      <c r="GY256" s="83"/>
      <c r="GZ256" s="83"/>
      <c r="HA256" s="83"/>
      <c r="HB256" s="83"/>
      <c r="HC256" s="83"/>
      <c r="HD256" s="83"/>
      <c r="HE256" s="83"/>
      <c r="HF256" s="83"/>
      <c r="HG256" s="83"/>
      <c r="HH256" s="83"/>
      <c r="HI256" s="83"/>
      <c r="HJ256" s="83"/>
      <c r="HK256" s="83"/>
      <c r="HL256" s="83"/>
      <c r="HM256" s="83"/>
      <c r="HN256" s="83"/>
      <c r="HO256" s="83"/>
      <c r="HP256" s="83"/>
      <c r="HQ256" s="83"/>
      <c r="HR256" s="83"/>
      <c r="HS256" s="83"/>
      <c r="HT256" s="83"/>
      <c r="HU256" s="83"/>
      <c r="HV256" s="83"/>
      <c r="HW256" s="83"/>
      <c r="HX256" s="83"/>
      <c r="HY256" s="83"/>
      <c r="HZ256" s="83"/>
      <c r="IA256" s="83"/>
      <c r="IB256" s="83"/>
      <c r="IC256" s="83"/>
      <c r="ID256" s="83"/>
      <c r="IE256" s="83"/>
      <c r="IF256" s="83"/>
      <c r="IG256" s="83"/>
    </row>
    <row r="257" spans="1:241" x14ac:dyDescent="0.3">
      <c r="A257" s="83"/>
      <c r="B257" s="58" t="s">
        <v>214</v>
      </c>
      <c r="C257" s="13">
        <v>2.9948999999999999</v>
      </c>
      <c r="D257" s="13">
        <v>0.44650000000000001</v>
      </c>
      <c r="E257" s="13">
        <v>0.39610000000000001</v>
      </c>
      <c r="F257" s="13">
        <v>7.0000000000000007E-2</v>
      </c>
      <c r="G257" s="16">
        <v>12.3</v>
      </c>
      <c r="H257" s="1"/>
      <c r="I257" s="1"/>
      <c r="J257" s="1"/>
      <c r="K257" s="1"/>
      <c r="L257" s="1"/>
      <c r="M257" s="1"/>
      <c r="N257" s="1"/>
      <c r="O257" s="1"/>
      <c r="P257" s="1"/>
      <c r="Q257" s="1"/>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c r="DD257" s="83"/>
      <c r="DE257" s="83"/>
      <c r="DF257" s="83"/>
      <c r="DG257" s="83"/>
      <c r="DH257" s="83"/>
      <c r="DI257" s="83"/>
      <c r="DJ257" s="83"/>
      <c r="DK257" s="83"/>
      <c r="DL257" s="83"/>
      <c r="DM257" s="83"/>
      <c r="DN257" s="83"/>
      <c r="DO257" s="83"/>
      <c r="DP257" s="83"/>
      <c r="DQ257" s="83"/>
      <c r="DR257" s="83"/>
      <c r="DS257" s="83"/>
      <c r="DT257" s="83"/>
      <c r="DU257" s="83"/>
      <c r="DV257" s="83"/>
      <c r="DW257" s="83"/>
      <c r="DX257" s="83"/>
      <c r="DY257" s="83"/>
      <c r="DZ257" s="83"/>
      <c r="EA257" s="83"/>
      <c r="EB257" s="83"/>
      <c r="EC257" s="83"/>
      <c r="ED257" s="83"/>
      <c r="EE257" s="83"/>
      <c r="EF257" s="83"/>
      <c r="EG257" s="83"/>
      <c r="EH257" s="83"/>
      <c r="EI257" s="83"/>
      <c r="EJ257" s="83"/>
      <c r="EK257" s="83"/>
      <c r="EL257" s="83"/>
      <c r="EM257" s="83"/>
      <c r="EN257" s="83"/>
      <c r="EO257" s="83"/>
      <c r="EP257" s="83"/>
      <c r="EQ257" s="83"/>
      <c r="ER257" s="83"/>
      <c r="ES257" s="83"/>
      <c r="ET257" s="83"/>
      <c r="EU257" s="83"/>
      <c r="EV257" s="83"/>
      <c r="EW257" s="83"/>
      <c r="EX257" s="83"/>
      <c r="EY257" s="83"/>
      <c r="EZ257" s="83"/>
      <c r="FA257" s="83"/>
      <c r="FB257" s="83"/>
      <c r="FC257" s="83"/>
      <c r="FD257" s="83"/>
      <c r="FE257" s="83"/>
      <c r="FF257" s="83"/>
      <c r="FG257" s="83"/>
      <c r="FH257" s="83"/>
      <c r="FI257" s="83"/>
      <c r="FJ257" s="83"/>
      <c r="FK257" s="83"/>
      <c r="FL257" s="83"/>
      <c r="FM257" s="83"/>
      <c r="FN257" s="83"/>
      <c r="FO257" s="83"/>
      <c r="FP257" s="83"/>
      <c r="FQ257" s="83"/>
      <c r="FR257" s="83"/>
      <c r="FS257" s="83"/>
      <c r="FT257" s="83"/>
      <c r="FU257" s="83"/>
      <c r="FV257" s="83"/>
      <c r="FW257" s="83"/>
      <c r="FX257" s="83"/>
      <c r="FY257" s="83"/>
      <c r="FZ257" s="83"/>
      <c r="GA257" s="83"/>
      <c r="GB257" s="83"/>
      <c r="GC257" s="83"/>
      <c r="GD257" s="83"/>
      <c r="GE257" s="83"/>
      <c r="GF257" s="83"/>
      <c r="GG257" s="83"/>
      <c r="GH257" s="83"/>
      <c r="GI257" s="83"/>
      <c r="GJ257" s="83"/>
      <c r="GK257" s="83"/>
      <c r="GL257" s="83"/>
      <c r="GM257" s="83"/>
      <c r="GN257" s="83"/>
      <c r="GO257" s="83"/>
      <c r="GP257" s="83"/>
      <c r="GQ257" s="83"/>
      <c r="GR257" s="83"/>
      <c r="GS257" s="83"/>
      <c r="GT257" s="83"/>
      <c r="GU257" s="83"/>
      <c r="GV257" s="83"/>
      <c r="GW257" s="83"/>
      <c r="GX257" s="83"/>
      <c r="GY257" s="83"/>
      <c r="GZ257" s="83"/>
      <c r="HA257" s="83"/>
      <c r="HB257" s="83"/>
      <c r="HC257" s="83"/>
      <c r="HD257" s="83"/>
      <c r="HE257" s="83"/>
      <c r="HF257" s="83"/>
      <c r="HG257" s="83"/>
      <c r="HH257" s="83"/>
      <c r="HI257" s="83"/>
      <c r="HJ257" s="83"/>
      <c r="HK257" s="83"/>
      <c r="HL257" s="83"/>
      <c r="HM257" s="83"/>
      <c r="HN257" s="83"/>
      <c r="HO257" s="83"/>
      <c r="HP257" s="83"/>
      <c r="HQ257" s="83"/>
      <c r="HR257" s="83"/>
      <c r="HS257" s="83"/>
      <c r="HT257" s="83"/>
      <c r="HU257" s="83"/>
      <c r="HV257" s="83"/>
      <c r="HW257" s="83"/>
      <c r="HX257" s="83"/>
      <c r="HY257" s="83"/>
      <c r="HZ257" s="83"/>
      <c r="IA257" s="83"/>
      <c r="IB257" s="83"/>
      <c r="IC257" s="83"/>
      <c r="ID257" s="83"/>
      <c r="IE257" s="83"/>
      <c r="IF257" s="83"/>
      <c r="IG257" s="83"/>
    </row>
    <row r="258" spans="1:241" x14ac:dyDescent="0.3">
      <c r="A258" s="83"/>
      <c r="B258" s="58" t="s">
        <v>215</v>
      </c>
      <c r="C258" s="13">
        <v>3.3321999999999998</v>
      </c>
      <c r="D258" s="13">
        <v>0.48380000000000001</v>
      </c>
      <c r="E258" s="13">
        <v>0.34339999999999998</v>
      </c>
      <c r="F258" s="13">
        <v>0.7</v>
      </c>
      <c r="G258" s="16">
        <v>10.5</v>
      </c>
      <c r="H258" s="1"/>
      <c r="I258" s="1"/>
      <c r="J258" s="1"/>
      <c r="K258" s="1"/>
      <c r="L258" s="1"/>
      <c r="M258" s="1"/>
      <c r="N258" s="1"/>
      <c r="O258" s="1"/>
      <c r="P258" s="1"/>
      <c r="Q258" s="1"/>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c r="DD258" s="83"/>
      <c r="DE258" s="83"/>
      <c r="DF258" s="83"/>
      <c r="DG258" s="83"/>
      <c r="DH258" s="83"/>
      <c r="DI258" s="83"/>
      <c r="DJ258" s="83"/>
      <c r="DK258" s="83"/>
      <c r="DL258" s="83"/>
      <c r="DM258" s="83"/>
      <c r="DN258" s="83"/>
      <c r="DO258" s="83"/>
      <c r="DP258" s="83"/>
      <c r="DQ258" s="83"/>
      <c r="DR258" s="83"/>
      <c r="DS258" s="83"/>
      <c r="DT258" s="83"/>
      <c r="DU258" s="83"/>
      <c r="DV258" s="83"/>
      <c r="DW258" s="83"/>
      <c r="DX258" s="83"/>
      <c r="DY258" s="83"/>
      <c r="DZ258" s="83"/>
      <c r="EA258" s="83"/>
      <c r="EB258" s="83"/>
      <c r="EC258" s="83"/>
      <c r="ED258" s="83"/>
      <c r="EE258" s="83"/>
      <c r="EF258" s="83"/>
      <c r="EG258" s="83"/>
      <c r="EH258" s="83"/>
      <c r="EI258" s="83"/>
      <c r="EJ258" s="83"/>
      <c r="EK258" s="83"/>
      <c r="EL258" s="83"/>
      <c r="EM258" s="83"/>
      <c r="EN258" s="83"/>
      <c r="EO258" s="83"/>
      <c r="EP258" s="83"/>
      <c r="EQ258" s="83"/>
      <c r="ER258" s="83"/>
      <c r="ES258" s="83"/>
      <c r="ET258" s="83"/>
      <c r="EU258" s="83"/>
      <c r="EV258" s="83"/>
      <c r="EW258" s="83"/>
      <c r="EX258" s="83"/>
      <c r="EY258" s="83"/>
      <c r="EZ258" s="83"/>
      <c r="FA258" s="83"/>
      <c r="FB258" s="83"/>
      <c r="FC258" s="83"/>
      <c r="FD258" s="83"/>
      <c r="FE258" s="83"/>
      <c r="FF258" s="83"/>
      <c r="FG258" s="83"/>
      <c r="FH258" s="83"/>
      <c r="FI258" s="83"/>
      <c r="FJ258" s="83"/>
      <c r="FK258" s="83"/>
      <c r="FL258" s="83"/>
      <c r="FM258" s="83"/>
      <c r="FN258" s="83"/>
      <c r="FO258" s="83"/>
      <c r="FP258" s="83"/>
      <c r="FQ258" s="83"/>
      <c r="FR258" s="83"/>
      <c r="FS258" s="83"/>
      <c r="FT258" s="83"/>
      <c r="FU258" s="83"/>
      <c r="FV258" s="83"/>
      <c r="FW258" s="83"/>
      <c r="FX258" s="83"/>
      <c r="FY258" s="83"/>
      <c r="FZ258" s="83"/>
      <c r="GA258" s="83"/>
      <c r="GB258" s="83"/>
      <c r="GC258" s="83"/>
      <c r="GD258" s="83"/>
      <c r="GE258" s="83"/>
      <c r="GF258" s="83"/>
      <c r="GG258" s="83"/>
      <c r="GH258" s="83"/>
      <c r="GI258" s="83"/>
      <c r="GJ258" s="83"/>
      <c r="GK258" s="83"/>
      <c r="GL258" s="83"/>
      <c r="GM258" s="83"/>
      <c r="GN258" s="83"/>
      <c r="GO258" s="83"/>
      <c r="GP258" s="83"/>
      <c r="GQ258" s="83"/>
      <c r="GR258" s="83"/>
      <c r="GS258" s="83"/>
      <c r="GT258" s="83"/>
      <c r="GU258" s="83"/>
      <c r="GV258" s="83"/>
      <c r="GW258" s="83"/>
      <c r="GX258" s="83"/>
      <c r="GY258" s="83"/>
      <c r="GZ258" s="83"/>
      <c r="HA258" s="83"/>
      <c r="HB258" s="83"/>
      <c r="HC258" s="83"/>
      <c r="HD258" s="83"/>
      <c r="HE258" s="83"/>
      <c r="HF258" s="83"/>
      <c r="HG258" s="83"/>
      <c r="HH258" s="83"/>
      <c r="HI258" s="83"/>
      <c r="HJ258" s="83"/>
      <c r="HK258" s="83"/>
      <c r="HL258" s="83"/>
      <c r="HM258" s="83"/>
      <c r="HN258" s="83"/>
      <c r="HO258" s="83"/>
      <c r="HP258" s="83"/>
      <c r="HQ258" s="83"/>
      <c r="HR258" s="83"/>
      <c r="HS258" s="83"/>
      <c r="HT258" s="83"/>
      <c r="HU258" s="83"/>
      <c r="HV258" s="83"/>
      <c r="HW258" s="83"/>
      <c r="HX258" s="83"/>
      <c r="HY258" s="83"/>
      <c r="HZ258" s="83"/>
      <c r="IA258" s="83"/>
      <c r="IB258" s="83"/>
      <c r="IC258" s="83"/>
      <c r="ID258" s="83"/>
      <c r="IE258" s="83"/>
      <c r="IF258" s="83"/>
      <c r="IG258" s="83"/>
    </row>
    <row r="259" spans="1:241" x14ac:dyDescent="0.3">
      <c r="A259" s="83"/>
      <c r="B259" s="73" t="s">
        <v>216</v>
      </c>
      <c r="C259" s="18">
        <v>3.2353000000000001</v>
      </c>
      <c r="D259" s="18">
        <v>0.48380000000000001</v>
      </c>
      <c r="E259" s="18">
        <v>0.34339999999999998</v>
      </c>
      <c r="F259" s="18">
        <v>0.7</v>
      </c>
      <c r="G259" s="21">
        <v>10.5</v>
      </c>
      <c r="H259" s="1"/>
      <c r="I259" s="1"/>
      <c r="J259" s="1"/>
      <c r="K259" s="1"/>
      <c r="L259" s="1"/>
      <c r="M259" s="1"/>
      <c r="N259" s="1"/>
      <c r="O259" s="1"/>
      <c r="P259" s="1"/>
      <c r="Q259" s="1"/>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c r="DD259" s="83"/>
      <c r="DE259" s="83"/>
      <c r="DF259" s="83"/>
      <c r="DG259" s="83"/>
      <c r="DH259" s="83"/>
      <c r="DI259" s="83"/>
      <c r="DJ259" s="83"/>
      <c r="DK259" s="83"/>
      <c r="DL259" s="83"/>
      <c r="DM259" s="83"/>
      <c r="DN259" s="83"/>
      <c r="DO259" s="83"/>
      <c r="DP259" s="83"/>
      <c r="DQ259" s="83"/>
      <c r="DR259" s="83"/>
      <c r="DS259" s="83"/>
      <c r="DT259" s="83"/>
      <c r="DU259" s="83"/>
      <c r="DV259" s="83"/>
      <c r="DW259" s="83"/>
      <c r="DX259" s="83"/>
      <c r="DY259" s="83"/>
      <c r="DZ259" s="83"/>
      <c r="EA259" s="83"/>
      <c r="EB259" s="83"/>
      <c r="EC259" s="83"/>
      <c r="ED259" s="83"/>
      <c r="EE259" s="83"/>
      <c r="EF259" s="83"/>
      <c r="EG259" s="83"/>
      <c r="EH259" s="83"/>
      <c r="EI259" s="83"/>
      <c r="EJ259" s="83"/>
      <c r="EK259" s="83"/>
      <c r="EL259" s="83"/>
      <c r="EM259" s="83"/>
      <c r="EN259" s="83"/>
      <c r="EO259" s="83"/>
      <c r="EP259" s="83"/>
      <c r="EQ259" s="83"/>
      <c r="ER259" s="83"/>
      <c r="ES259" s="83"/>
      <c r="ET259" s="83"/>
      <c r="EU259" s="83"/>
      <c r="EV259" s="83"/>
      <c r="EW259" s="83"/>
      <c r="EX259" s="83"/>
      <c r="EY259" s="83"/>
      <c r="EZ259" s="83"/>
      <c r="FA259" s="83"/>
      <c r="FB259" s="83"/>
      <c r="FC259" s="83"/>
      <c r="FD259" s="83"/>
      <c r="FE259" s="83"/>
      <c r="FF259" s="83"/>
      <c r="FG259" s="83"/>
      <c r="FH259" s="83"/>
      <c r="FI259" s="83"/>
      <c r="FJ259" s="83"/>
      <c r="FK259" s="83"/>
      <c r="FL259" s="83"/>
      <c r="FM259" s="83"/>
      <c r="FN259" s="83"/>
      <c r="FO259" s="83"/>
      <c r="FP259" s="83"/>
      <c r="FQ259" s="83"/>
      <c r="FR259" s="83"/>
      <c r="FS259" s="83"/>
      <c r="FT259" s="83"/>
      <c r="FU259" s="83"/>
      <c r="FV259" s="83"/>
      <c r="FW259" s="83"/>
      <c r="FX259" s="83"/>
      <c r="FY259" s="83"/>
      <c r="FZ259" s="83"/>
      <c r="GA259" s="83"/>
      <c r="GB259" s="83"/>
      <c r="GC259" s="83"/>
      <c r="GD259" s="83"/>
      <c r="GE259" s="83"/>
      <c r="GF259" s="83"/>
      <c r="GG259" s="83"/>
      <c r="GH259" s="83"/>
      <c r="GI259" s="83"/>
      <c r="GJ259" s="83"/>
      <c r="GK259" s="83"/>
      <c r="GL259" s="83"/>
      <c r="GM259" s="83"/>
      <c r="GN259" s="83"/>
      <c r="GO259" s="83"/>
      <c r="GP259" s="83"/>
      <c r="GQ259" s="83"/>
      <c r="GR259" s="83"/>
      <c r="GS259" s="83"/>
      <c r="GT259" s="83"/>
      <c r="GU259" s="83"/>
      <c r="GV259" s="83"/>
      <c r="GW259" s="83"/>
      <c r="GX259" s="83"/>
      <c r="GY259" s="83"/>
      <c r="GZ259" s="83"/>
      <c r="HA259" s="83"/>
      <c r="HB259" s="83"/>
      <c r="HC259" s="83"/>
      <c r="HD259" s="83"/>
      <c r="HE259" s="83"/>
      <c r="HF259" s="83"/>
      <c r="HG259" s="83"/>
      <c r="HH259" s="83"/>
      <c r="HI259" s="83"/>
      <c r="HJ259" s="83"/>
      <c r="HK259" s="83"/>
      <c r="HL259" s="83"/>
      <c r="HM259" s="83"/>
      <c r="HN259" s="83"/>
      <c r="HO259" s="83"/>
      <c r="HP259" s="83"/>
      <c r="HQ259" s="83"/>
      <c r="HR259" s="83"/>
      <c r="HS259" s="83"/>
      <c r="HT259" s="83"/>
      <c r="HU259" s="83"/>
      <c r="HV259" s="83"/>
      <c r="HW259" s="83"/>
      <c r="HX259" s="83"/>
      <c r="HY259" s="83"/>
      <c r="HZ259" s="83"/>
      <c r="IA259" s="83"/>
      <c r="IB259" s="83"/>
      <c r="IC259" s="83"/>
      <c r="ID259" s="83"/>
      <c r="IE259" s="83"/>
      <c r="IF259" s="83"/>
      <c r="IG259" s="83"/>
    </row>
    <row r="260" spans="1:241" ht="15.6" x14ac:dyDescent="0.35">
      <c r="A260" s="83"/>
      <c r="B260" s="1" t="s">
        <v>6</v>
      </c>
      <c r="C260" s="1"/>
      <c r="D260" s="1"/>
      <c r="E260" s="1"/>
      <c r="F260" s="1"/>
      <c r="G260" s="13"/>
      <c r="H260" s="1"/>
      <c r="I260" s="1"/>
      <c r="J260" s="1"/>
      <c r="K260" s="1"/>
      <c r="L260" s="1"/>
      <c r="M260" s="1"/>
      <c r="N260" s="1"/>
      <c r="O260" s="1"/>
      <c r="P260" s="1"/>
      <c r="Q260" s="1"/>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c r="DD260" s="83"/>
      <c r="DE260" s="83"/>
      <c r="DF260" s="83"/>
      <c r="DG260" s="83"/>
      <c r="DH260" s="83"/>
      <c r="DI260" s="83"/>
      <c r="DJ260" s="83"/>
      <c r="DK260" s="83"/>
      <c r="DL260" s="83"/>
      <c r="DM260" s="83"/>
      <c r="DN260" s="83"/>
      <c r="DO260" s="83"/>
      <c r="DP260" s="83"/>
      <c r="DQ260" s="83"/>
      <c r="DR260" s="83"/>
      <c r="DS260" s="83"/>
      <c r="DT260" s="83"/>
      <c r="DU260" s="83"/>
      <c r="DV260" s="83"/>
      <c r="DW260" s="83"/>
      <c r="DX260" s="83"/>
      <c r="DY260" s="83"/>
      <c r="DZ260" s="83"/>
      <c r="EA260" s="83"/>
      <c r="EB260" s="83"/>
      <c r="EC260" s="83"/>
      <c r="ED260" s="83"/>
      <c r="EE260" s="83"/>
      <c r="EF260" s="83"/>
      <c r="EG260" s="83"/>
      <c r="EH260" s="83"/>
      <c r="EI260" s="83"/>
      <c r="EJ260" s="83"/>
      <c r="EK260" s="83"/>
      <c r="EL260" s="83"/>
      <c r="EM260" s="83"/>
      <c r="EN260" s="83"/>
      <c r="EO260" s="83"/>
      <c r="EP260" s="83"/>
      <c r="EQ260" s="83"/>
      <c r="ER260" s="83"/>
      <c r="ES260" s="83"/>
      <c r="ET260" s="83"/>
      <c r="EU260" s="83"/>
      <c r="EV260" s="83"/>
      <c r="EW260" s="83"/>
      <c r="EX260" s="83"/>
      <c r="EY260" s="83"/>
      <c r="EZ260" s="83"/>
      <c r="FA260" s="83"/>
      <c r="FB260" s="83"/>
      <c r="FC260" s="83"/>
      <c r="FD260" s="83"/>
      <c r="FE260" s="83"/>
      <c r="FF260" s="83"/>
      <c r="FG260" s="83"/>
      <c r="FH260" s="83"/>
      <c r="FI260" s="83"/>
      <c r="FJ260" s="83"/>
      <c r="FK260" s="83"/>
      <c r="FL260" s="83"/>
      <c r="FM260" s="83"/>
      <c r="FN260" s="83"/>
      <c r="FO260" s="83"/>
      <c r="FP260" s="83"/>
      <c r="FQ260" s="83"/>
      <c r="FR260" s="83"/>
      <c r="FS260" s="83"/>
      <c r="FT260" s="83"/>
      <c r="FU260" s="83"/>
      <c r="FV260" s="83"/>
      <c r="FW260" s="83"/>
      <c r="FX260" s="83"/>
      <c r="FY260" s="83"/>
      <c r="FZ260" s="83"/>
      <c r="GA260" s="83"/>
      <c r="GB260" s="83"/>
      <c r="GC260" s="83"/>
      <c r="GD260" s="83"/>
      <c r="GE260" s="83"/>
      <c r="GF260" s="83"/>
      <c r="GG260" s="83"/>
      <c r="GH260" s="83"/>
      <c r="GI260" s="83"/>
      <c r="GJ260" s="83"/>
      <c r="GK260" s="83"/>
      <c r="GL260" s="83"/>
      <c r="GM260" s="83"/>
      <c r="GN260" s="83"/>
      <c r="GO260" s="83"/>
      <c r="GP260" s="83"/>
      <c r="GQ260" s="83"/>
      <c r="GR260" s="83"/>
      <c r="GS260" s="83"/>
      <c r="GT260" s="83"/>
      <c r="GU260" s="83"/>
      <c r="GV260" s="83"/>
      <c r="GW260" s="83"/>
      <c r="GX260" s="83"/>
      <c r="GY260" s="83"/>
      <c r="GZ260" s="83"/>
      <c r="HA260" s="83"/>
      <c r="HB260" s="83"/>
      <c r="HC260" s="83"/>
      <c r="HD260" s="83"/>
      <c r="HE260" s="83"/>
      <c r="HF260" s="83"/>
      <c r="HG260" s="83"/>
      <c r="HH260" s="83"/>
      <c r="HI260" s="83"/>
      <c r="HJ260" s="83"/>
      <c r="HK260" s="83"/>
      <c r="HL260" s="83"/>
      <c r="HM260" s="83"/>
      <c r="HN260" s="83"/>
      <c r="HO260" s="83"/>
      <c r="HP260" s="83"/>
      <c r="HQ260" s="83"/>
      <c r="HR260" s="83"/>
      <c r="HS260" s="83"/>
      <c r="HT260" s="83"/>
      <c r="HU260" s="83"/>
      <c r="HV260" s="83"/>
      <c r="HW260" s="83"/>
      <c r="HX260" s="83"/>
      <c r="HY260" s="83"/>
      <c r="HZ260" s="83"/>
      <c r="IA260" s="83"/>
      <c r="IB260" s="83"/>
      <c r="IC260" s="83"/>
      <c r="ID260" s="83"/>
      <c r="IE260" s="83"/>
      <c r="IF260" s="83"/>
      <c r="IG260" s="83"/>
    </row>
    <row r="261" spans="1:241" x14ac:dyDescent="0.3">
      <c r="A261" s="83"/>
      <c r="B261" s="7" t="s">
        <v>217</v>
      </c>
      <c r="C261" s="49"/>
      <c r="D261" s="8" t="s">
        <v>214</v>
      </c>
      <c r="E261" s="8" t="s">
        <v>215</v>
      </c>
      <c r="F261" s="9" t="s">
        <v>216</v>
      </c>
      <c r="G261" s="13"/>
      <c r="H261" s="1"/>
      <c r="I261" s="1"/>
      <c r="J261" s="1"/>
      <c r="K261" s="1"/>
      <c r="L261" s="1"/>
      <c r="M261" s="1"/>
      <c r="N261" s="1"/>
      <c r="O261" s="1"/>
      <c r="P261" s="1"/>
      <c r="Q261" s="1"/>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c r="DD261" s="83"/>
      <c r="DE261" s="83"/>
      <c r="DF261" s="83"/>
      <c r="DG261" s="83"/>
      <c r="DH261" s="83"/>
      <c r="DI261" s="83"/>
      <c r="DJ261" s="83"/>
      <c r="DK261" s="83"/>
      <c r="DL261" s="83"/>
      <c r="DM261" s="83"/>
      <c r="DN261" s="83"/>
      <c r="DO261" s="83"/>
      <c r="DP261" s="83"/>
      <c r="DQ261" s="83"/>
      <c r="DR261" s="83"/>
      <c r="DS261" s="83"/>
      <c r="DT261" s="83"/>
      <c r="DU261" s="83"/>
      <c r="DV261" s="83"/>
      <c r="DW261" s="83"/>
      <c r="DX261" s="83"/>
      <c r="DY261" s="83"/>
      <c r="DZ261" s="83"/>
      <c r="EA261" s="83"/>
      <c r="EB261" s="83"/>
      <c r="EC261" s="83"/>
      <c r="ED261" s="83"/>
      <c r="EE261" s="83"/>
      <c r="EF261" s="83"/>
      <c r="EG261" s="83"/>
      <c r="EH261" s="83"/>
      <c r="EI261" s="83"/>
      <c r="EJ261" s="83"/>
      <c r="EK261" s="83"/>
      <c r="EL261" s="83"/>
      <c r="EM261" s="83"/>
      <c r="EN261" s="83"/>
      <c r="EO261" s="83"/>
      <c r="EP261" s="83"/>
      <c r="EQ261" s="83"/>
      <c r="ER261" s="83"/>
      <c r="ES261" s="83"/>
      <c r="ET261" s="83"/>
      <c r="EU261" s="83"/>
      <c r="EV261" s="83"/>
      <c r="EW261" s="83"/>
      <c r="EX261" s="83"/>
      <c r="EY261" s="83"/>
      <c r="EZ261" s="83"/>
      <c r="FA261" s="83"/>
      <c r="FB261" s="83"/>
      <c r="FC261" s="83"/>
      <c r="FD261" s="83"/>
      <c r="FE261" s="83"/>
      <c r="FF261" s="83"/>
      <c r="FG261" s="83"/>
      <c r="FH261" s="83"/>
      <c r="FI261" s="83"/>
      <c r="FJ261" s="83"/>
      <c r="FK261" s="83"/>
      <c r="FL261" s="83"/>
      <c r="FM261" s="83"/>
      <c r="FN261" s="83"/>
      <c r="FO261" s="83"/>
      <c r="FP261" s="83"/>
      <c r="FQ261" s="83"/>
      <c r="FR261" s="83"/>
      <c r="FS261" s="83"/>
      <c r="FT261" s="83"/>
      <c r="FU261" s="83"/>
      <c r="FV261" s="83"/>
      <c r="FW261" s="83"/>
      <c r="FX261" s="83"/>
      <c r="FY261" s="83"/>
      <c r="FZ261" s="83"/>
      <c r="GA261" s="83"/>
      <c r="GB261" s="83"/>
      <c r="GC261" s="83"/>
      <c r="GD261" s="83"/>
      <c r="GE261" s="83"/>
      <c r="GF261" s="83"/>
      <c r="GG261" s="83"/>
      <c r="GH261" s="83"/>
      <c r="GI261" s="83"/>
      <c r="GJ261" s="83"/>
      <c r="GK261" s="83"/>
      <c r="GL261" s="83"/>
      <c r="GM261" s="83"/>
      <c r="GN261" s="83"/>
      <c r="GO261" s="83"/>
      <c r="GP261" s="83"/>
      <c r="GQ261" s="83"/>
      <c r="GR261" s="83"/>
      <c r="GS261" s="83"/>
      <c r="GT261" s="83"/>
      <c r="GU261" s="83"/>
      <c r="GV261" s="83"/>
      <c r="GW261" s="83"/>
      <c r="GX261" s="83"/>
      <c r="GY261" s="83"/>
      <c r="GZ261" s="83"/>
      <c r="HA261" s="83"/>
      <c r="HB261" s="83"/>
      <c r="HC261" s="83"/>
      <c r="HD261" s="83"/>
      <c r="HE261" s="83"/>
      <c r="HF261" s="83"/>
      <c r="HG261" s="83"/>
      <c r="HH261" s="83"/>
      <c r="HI261" s="83"/>
      <c r="HJ261" s="83"/>
      <c r="HK261" s="83"/>
      <c r="HL261" s="83"/>
      <c r="HM261" s="83"/>
      <c r="HN261" s="83"/>
      <c r="HO261" s="83"/>
      <c r="HP261" s="83"/>
      <c r="HQ261" s="83"/>
      <c r="HR261" s="83"/>
      <c r="HS261" s="83"/>
      <c r="HT261" s="83"/>
      <c r="HU261" s="83"/>
      <c r="HV261" s="83"/>
      <c r="HW261" s="83"/>
      <c r="HX261" s="83"/>
      <c r="HY261" s="83"/>
      <c r="HZ261" s="83"/>
      <c r="IA261" s="83"/>
      <c r="IB261" s="83"/>
      <c r="IC261" s="83"/>
      <c r="ID261" s="83"/>
      <c r="IE261" s="83"/>
      <c r="IF261" s="83"/>
      <c r="IG261" s="83"/>
    </row>
    <row r="262" spans="1:241" x14ac:dyDescent="0.3">
      <c r="A262" s="83"/>
      <c r="B262" s="12" t="s">
        <v>85</v>
      </c>
      <c r="C262" s="1"/>
      <c r="D262" s="31">
        <v>1</v>
      </c>
      <c r="E262" s="13">
        <v>1</v>
      </c>
      <c r="F262" s="70">
        <v>1</v>
      </c>
      <c r="G262" s="13"/>
      <c r="H262" s="1"/>
      <c r="I262" s="1"/>
      <c r="J262" s="1"/>
      <c r="K262" s="1"/>
      <c r="L262" s="1"/>
      <c r="M262" s="1"/>
      <c r="N262" s="1"/>
      <c r="O262" s="1"/>
      <c r="P262" s="1"/>
      <c r="Q262" s="1"/>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c r="DD262" s="83"/>
      <c r="DE262" s="83"/>
      <c r="DF262" s="83"/>
      <c r="DG262" s="83"/>
      <c r="DH262" s="83"/>
      <c r="DI262" s="83"/>
      <c r="DJ262" s="83"/>
      <c r="DK262" s="83"/>
      <c r="DL262" s="83"/>
      <c r="DM262" s="83"/>
      <c r="DN262" s="83"/>
      <c r="DO262" s="83"/>
      <c r="DP262" s="83"/>
      <c r="DQ262" s="83"/>
      <c r="DR262" s="83"/>
      <c r="DS262" s="83"/>
      <c r="DT262" s="83"/>
      <c r="DU262" s="83"/>
      <c r="DV262" s="83"/>
      <c r="DW262" s="83"/>
      <c r="DX262" s="83"/>
      <c r="DY262" s="83"/>
      <c r="DZ262" s="83"/>
      <c r="EA262" s="83"/>
      <c r="EB262" s="83"/>
      <c r="EC262" s="83"/>
      <c r="ED262" s="83"/>
      <c r="EE262" s="83"/>
      <c r="EF262" s="83"/>
      <c r="EG262" s="83"/>
      <c r="EH262" s="83"/>
      <c r="EI262" s="83"/>
      <c r="EJ262" s="83"/>
      <c r="EK262" s="83"/>
      <c r="EL262" s="83"/>
      <c r="EM262" s="83"/>
      <c r="EN262" s="83"/>
      <c r="EO262" s="83"/>
      <c r="EP262" s="83"/>
      <c r="EQ262" s="83"/>
      <c r="ER262" s="83"/>
      <c r="ES262" s="83"/>
      <c r="ET262" s="83"/>
      <c r="EU262" s="83"/>
      <c r="EV262" s="83"/>
      <c r="EW262" s="83"/>
      <c r="EX262" s="83"/>
      <c r="EY262" s="83"/>
      <c r="EZ262" s="83"/>
      <c r="FA262" s="83"/>
      <c r="FB262" s="83"/>
      <c r="FC262" s="83"/>
      <c r="FD262" s="83"/>
      <c r="FE262" s="83"/>
      <c r="FF262" s="83"/>
      <c r="FG262" s="83"/>
      <c r="FH262" s="83"/>
      <c r="FI262" s="83"/>
      <c r="FJ262" s="83"/>
      <c r="FK262" s="83"/>
      <c r="FL262" s="83"/>
      <c r="FM262" s="83"/>
      <c r="FN262" s="83"/>
      <c r="FO262" s="83"/>
      <c r="FP262" s="83"/>
      <c r="FQ262" s="83"/>
      <c r="FR262" s="83"/>
      <c r="FS262" s="83"/>
      <c r="FT262" s="83"/>
      <c r="FU262" s="83"/>
      <c r="FV262" s="83"/>
      <c r="FW262" s="83"/>
      <c r="FX262" s="83"/>
      <c r="FY262" s="83"/>
      <c r="FZ262" s="83"/>
      <c r="GA262" s="83"/>
      <c r="GB262" s="83"/>
      <c r="GC262" s="83"/>
      <c r="GD262" s="83"/>
      <c r="GE262" s="83"/>
      <c r="GF262" s="83"/>
      <c r="GG262" s="83"/>
      <c r="GH262" s="83"/>
      <c r="GI262" s="83"/>
      <c r="GJ262" s="83"/>
      <c r="GK262" s="83"/>
      <c r="GL262" s="83"/>
      <c r="GM262" s="83"/>
      <c r="GN262" s="83"/>
      <c r="GO262" s="83"/>
      <c r="GP262" s="83"/>
      <c r="GQ262" s="83"/>
      <c r="GR262" s="83"/>
      <c r="GS262" s="83"/>
      <c r="GT262" s="83"/>
      <c r="GU262" s="83"/>
      <c r="GV262" s="83"/>
      <c r="GW262" s="83"/>
      <c r="GX262" s="83"/>
      <c r="GY262" s="83"/>
      <c r="GZ262" s="83"/>
      <c r="HA262" s="83"/>
      <c r="HB262" s="83"/>
      <c r="HC262" s="83"/>
      <c r="HD262" s="83"/>
      <c r="HE262" s="83"/>
      <c r="HF262" s="83"/>
      <c r="HG262" s="83"/>
      <c r="HH262" s="83"/>
      <c r="HI262" s="83"/>
      <c r="HJ262" s="83"/>
      <c r="HK262" s="83"/>
      <c r="HL262" s="83"/>
      <c r="HM262" s="83"/>
      <c r="HN262" s="83"/>
      <c r="HO262" s="83"/>
      <c r="HP262" s="83"/>
      <c r="HQ262" s="83"/>
      <c r="HR262" s="83"/>
      <c r="HS262" s="83"/>
      <c r="HT262" s="83"/>
      <c r="HU262" s="83"/>
      <c r="HV262" s="83"/>
      <c r="HW262" s="83"/>
      <c r="HX262" s="83"/>
      <c r="HY262" s="83"/>
      <c r="HZ262" s="83"/>
      <c r="IA262" s="83"/>
      <c r="IB262" s="83"/>
      <c r="IC262" s="83"/>
      <c r="ID262" s="83"/>
      <c r="IE262" s="83"/>
      <c r="IF262" s="83"/>
      <c r="IG262" s="83"/>
    </row>
    <row r="263" spans="1:241" x14ac:dyDescent="0.3">
      <c r="A263" s="83"/>
      <c r="B263" s="12" t="s">
        <v>87</v>
      </c>
      <c r="C263" s="1"/>
      <c r="D263" s="31">
        <v>1.83</v>
      </c>
      <c r="E263" s="13">
        <v>1.83</v>
      </c>
      <c r="F263" s="70">
        <v>1</v>
      </c>
      <c r="G263" s="1"/>
      <c r="H263" s="1"/>
      <c r="I263" s="1"/>
      <c r="J263" s="1"/>
      <c r="K263" s="1"/>
      <c r="L263" s="1"/>
      <c r="M263" s="1"/>
      <c r="N263" s="1"/>
      <c r="O263" s="1"/>
      <c r="P263" s="1"/>
      <c r="Q263" s="1"/>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c r="DD263" s="83"/>
      <c r="DE263" s="83"/>
      <c r="DF263" s="83"/>
      <c r="DG263" s="83"/>
      <c r="DH263" s="83"/>
      <c r="DI263" s="83"/>
      <c r="DJ263" s="83"/>
      <c r="DK263" s="83"/>
      <c r="DL263" s="83"/>
      <c r="DM263" s="83"/>
      <c r="DN263" s="83"/>
      <c r="DO263" s="83"/>
      <c r="DP263" s="83"/>
      <c r="DQ263" s="83"/>
      <c r="DR263" s="83"/>
      <c r="DS263" s="83"/>
      <c r="DT263" s="83"/>
      <c r="DU263" s="83"/>
      <c r="DV263" s="83"/>
      <c r="DW263" s="83"/>
      <c r="DX263" s="83"/>
      <c r="DY263" s="83"/>
      <c r="DZ263" s="83"/>
      <c r="EA263" s="83"/>
      <c r="EB263" s="83"/>
      <c r="EC263" s="83"/>
      <c r="ED263" s="83"/>
      <c r="EE263" s="83"/>
      <c r="EF263" s="83"/>
      <c r="EG263" s="83"/>
      <c r="EH263" s="83"/>
      <c r="EI263" s="83"/>
      <c r="EJ263" s="83"/>
      <c r="EK263" s="83"/>
      <c r="EL263" s="83"/>
      <c r="EM263" s="83"/>
      <c r="EN263" s="83"/>
      <c r="EO263" s="83"/>
      <c r="EP263" s="83"/>
      <c r="EQ263" s="83"/>
      <c r="ER263" s="83"/>
      <c r="ES263" s="83"/>
      <c r="ET263" s="83"/>
      <c r="EU263" s="83"/>
      <c r="EV263" s="83"/>
      <c r="EW263" s="83"/>
      <c r="EX263" s="83"/>
      <c r="EY263" s="83"/>
      <c r="EZ263" s="83"/>
      <c r="FA263" s="83"/>
      <c r="FB263" s="83"/>
      <c r="FC263" s="83"/>
      <c r="FD263" s="83"/>
      <c r="FE263" s="83"/>
      <c r="FF263" s="83"/>
      <c r="FG263" s="83"/>
      <c r="FH263" s="83"/>
      <c r="FI263" s="83"/>
      <c r="FJ263" s="83"/>
      <c r="FK263" s="83"/>
      <c r="FL263" s="83"/>
      <c r="FM263" s="83"/>
      <c r="FN263" s="83"/>
      <c r="FO263" s="83"/>
      <c r="FP263" s="83"/>
      <c r="FQ263" s="83"/>
      <c r="FR263" s="83"/>
      <c r="FS263" s="83"/>
      <c r="FT263" s="83"/>
      <c r="FU263" s="83"/>
      <c r="FV263" s="83"/>
      <c r="FW263" s="83"/>
      <c r="FX263" s="83"/>
      <c r="FY263" s="83"/>
      <c r="FZ263" s="83"/>
      <c r="GA263" s="83"/>
      <c r="GB263" s="83"/>
      <c r="GC263" s="83"/>
      <c r="GD263" s="83"/>
      <c r="GE263" s="83"/>
      <c r="GF263" s="83"/>
      <c r="GG263" s="83"/>
      <c r="GH263" s="83"/>
      <c r="GI263" s="83"/>
      <c r="GJ263" s="83"/>
      <c r="GK263" s="83"/>
      <c r="GL263" s="83"/>
      <c r="GM263" s="83"/>
      <c r="GN263" s="83"/>
      <c r="GO263" s="83"/>
      <c r="GP263" s="83"/>
      <c r="GQ263" s="83"/>
      <c r="GR263" s="83"/>
      <c r="GS263" s="83"/>
      <c r="GT263" s="83"/>
      <c r="GU263" s="83"/>
      <c r="GV263" s="83"/>
      <c r="GW263" s="83"/>
      <c r="GX263" s="83"/>
      <c r="GY263" s="83"/>
      <c r="GZ263" s="83"/>
      <c r="HA263" s="83"/>
      <c r="HB263" s="83"/>
      <c r="HC263" s="83"/>
      <c r="HD263" s="83"/>
      <c r="HE263" s="83"/>
      <c r="HF263" s="83"/>
      <c r="HG263" s="83"/>
      <c r="HH263" s="83"/>
      <c r="HI263" s="83"/>
      <c r="HJ263" s="83"/>
      <c r="HK263" s="83"/>
      <c r="HL263" s="83"/>
      <c r="HM263" s="83"/>
      <c r="HN263" s="83"/>
      <c r="HO263" s="83"/>
      <c r="HP263" s="83"/>
      <c r="HQ263" s="83"/>
      <c r="HR263" s="83"/>
      <c r="HS263" s="83"/>
      <c r="HT263" s="83"/>
      <c r="HU263" s="83"/>
      <c r="HV263" s="83"/>
      <c r="HW263" s="83"/>
      <c r="HX263" s="83"/>
      <c r="HY263" s="83"/>
      <c r="HZ263" s="83"/>
      <c r="IA263" s="83"/>
      <c r="IB263" s="83"/>
      <c r="IC263" s="83"/>
      <c r="ID263" s="83"/>
      <c r="IE263" s="83"/>
      <c r="IF263" s="83"/>
      <c r="IG263" s="83"/>
    </row>
    <row r="264" spans="1:241" x14ac:dyDescent="0.3">
      <c r="A264" s="83"/>
      <c r="B264" s="12" t="s">
        <v>218</v>
      </c>
      <c r="C264" s="1"/>
      <c r="D264" s="31"/>
      <c r="E264" s="13"/>
      <c r="F264" s="70">
        <v>1.83</v>
      </c>
      <c r="G264" s="1"/>
      <c r="H264" s="1"/>
      <c r="I264" s="1"/>
      <c r="J264" s="1"/>
      <c r="K264" s="1"/>
      <c r="L264" s="1"/>
      <c r="M264" s="1"/>
      <c r="N264" s="1"/>
      <c r="O264" s="1"/>
      <c r="P264" s="1"/>
      <c r="Q264" s="1"/>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c r="DD264" s="83"/>
      <c r="DE264" s="83"/>
      <c r="DF264" s="83"/>
      <c r="DG264" s="83"/>
      <c r="DH264" s="83"/>
      <c r="DI264" s="83"/>
      <c r="DJ264" s="83"/>
      <c r="DK264" s="83"/>
      <c r="DL264" s="83"/>
      <c r="DM264" s="83"/>
      <c r="DN264" s="83"/>
      <c r="DO264" s="83"/>
      <c r="DP264" s="83"/>
      <c r="DQ264" s="83"/>
      <c r="DR264" s="83"/>
      <c r="DS264" s="83"/>
      <c r="DT264" s="83"/>
      <c r="DU264" s="83"/>
      <c r="DV264" s="83"/>
      <c r="DW264" s="83"/>
      <c r="DX264" s="83"/>
      <c r="DY264" s="83"/>
      <c r="DZ264" s="83"/>
      <c r="EA264" s="83"/>
      <c r="EB264" s="83"/>
      <c r="EC264" s="83"/>
      <c r="ED264" s="83"/>
      <c r="EE264" s="83"/>
      <c r="EF264" s="83"/>
      <c r="EG264" s="83"/>
      <c r="EH264" s="83"/>
      <c r="EI264" s="83"/>
      <c r="EJ264" s="83"/>
      <c r="EK264" s="83"/>
      <c r="EL264" s="83"/>
      <c r="EM264" s="83"/>
      <c r="EN264" s="83"/>
      <c r="EO264" s="83"/>
      <c r="EP264" s="83"/>
      <c r="EQ264" s="83"/>
      <c r="ER264" s="83"/>
      <c r="ES264" s="83"/>
      <c r="ET264" s="83"/>
      <c r="EU264" s="83"/>
      <c r="EV264" s="83"/>
      <c r="EW264" s="83"/>
      <c r="EX264" s="83"/>
      <c r="EY264" s="83"/>
      <c r="EZ264" s="83"/>
      <c r="FA264" s="83"/>
      <c r="FB264" s="83"/>
      <c r="FC264" s="83"/>
      <c r="FD264" s="83"/>
      <c r="FE264" s="83"/>
      <c r="FF264" s="83"/>
      <c r="FG264" s="83"/>
      <c r="FH264" s="83"/>
      <c r="FI264" s="83"/>
      <c r="FJ264" s="83"/>
      <c r="FK264" s="83"/>
      <c r="FL264" s="83"/>
      <c r="FM264" s="83"/>
      <c r="FN264" s="83"/>
      <c r="FO264" s="83"/>
      <c r="FP264" s="83"/>
      <c r="FQ264" s="83"/>
      <c r="FR264" s="83"/>
      <c r="FS264" s="83"/>
      <c r="FT264" s="83"/>
      <c r="FU264" s="83"/>
      <c r="FV264" s="83"/>
      <c r="FW264" s="83"/>
      <c r="FX264" s="83"/>
      <c r="FY264" s="83"/>
      <c r="FZ264" s="83"/>
      <c r="GA264" s="83"/>
      <c r="GB264" s="83"/>
      <c r="GC264" s="83"/>
      <c r="GD264" s="83"/>
      <c r="GE264" s="83"/>
      <c r="GF264" s="83"/>
      <c r="GG264" s="83"/>
      <c r="GH264" s="83"/>
      <c r="GI264" s="83"/>
      <c r="GJ264" s="83"/>
      <c r="GK264" s="83"/>
      <c r="GL264" s="83"/>
      <c r="GM264" s="83"/>
      <c r="GN264" s="83"/>
      <c r="GO264" s="83"/>
      <c r="GP264" s="83"/>
      <c r="GQ264" s="83"/>
      <c r="GR264" s="83"/>
      <c r="GS264" s="83"/>
      <c r="GT264" s="83"/>
      <c r="GU264" s="83"/>
      <c r="GV264" s="83"/>
      <c r="GW264" s="83"/>
      <c r="GX264" s="83"/>
      <c r="GY264" s="83"/>
      <c r="GZ264" s="83"/>
      <c r="HA264" s="83"/>
      <c r="HB264" s="83"/>
      <c r="HC264" s="83"/>
      <c r="HD264" s="83"/>
      <c r="HE264" s="83"/>
      <c r="HF264" s="83"/>
      <c r="HG264" s="83"/>
      <c r="HH264" s="83"/>
      <c r="HI264" s="83"/>
      <c r="HJ264" s="83"/>
      <c r="HK264" s="83"/>
      <c r="HL264" s="83"/>
      <c r="HM264" s="83"/>
      <c r="HN264" s="83"/>
      <c r="HO264" s="83"/>
      <c r="HP264" s="83"/>
      <c r="HQ264" s="83"/>
      <c r="HR264" s="83"/>
      <c r="HS264" s="83"/>
      <c r="HT264" s="83"/>
      <c r="HU264" s="83"/>
      <c r="HV264" s="83"/>
      <c r="HW264" s="83"/>
      <c r="HX264" s="83"/>
      <c r="HY264" s="83"/>
      <c r="HZ264" s="83"/>
      <c r="IA264" s="83"/>
      <c r="IB264" s="83"/>
      <c r="IC264" s="83"/>
      <c r="ID264" s="83"/>
      <c r="IE264" s="83"/>
      <c r="IF264" s="83"/>
      <c r="IG264" s="83"/>
    </row>
    <row r="265" spans="1:241" x14ac:dyDescent="0.3">
      <c r="A265" s="83"/>
      <c r="B265" s="17" t="s">
        <v>219</v>
      </c>
      <c r="C265" s="79"/>
      <c r="D265" s="32">
        <v>5.58</v>
      </c>
      <c r="E265" s="18">
        <v>5.58</v>
      </c>
      <c r="F265" s="71">
        <v>5.58</v>
      </c>
      <c r="G265" s="1"/>
      <c r="H265" s="1"/>
      <c r="I265" s="1"/>
      <c r="J265" s="1"/>
      <c r="K265" s="1"/>
      <c r="L265" s="1"/>
      <c r="M265" s="1"/>
      <c r="N265" s="1"/>
      <c r="O265" s="1"/>
      <c r="P265" s="1"/>
      <c r="Q265" s="1"/>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c r="DD265" s="83"/>
      <c r="DE265" s="83"/>
      <c r="DF265" s="83"/>
      <c r="DG265" s="83"/>
      <c r="DH265" s="83"/>
      <c r="DI265" s="83"/>
      <c r="DJ265" s="83"/>
      <c r="DK265" s="83"/>
      <c r="DL265" s="83"/>
      <c r="DM265" s="83"/>
      <c r="DN265" s="83"/>
      <c r="DO265" s="83"/>
      <c r="DP265" s="83"/>
      <c r="DQ265" s="83"/>
      <c r="DR265" s="83"/>
      <c r="DS265" s="83"/>
      <c r="DT265" s="83"/>
      <c r="DU265" s="83"/>
      <c r="DV265" s="83"/>
      <c r="DW265" s="83"/>
      <c r="DX265" s="83"/>
      <c r="DY265" s="83"/>
      <c r="DZ265" s="83"/>
      <c r="EA265" s="83"/>
      <c r="EB265" s="83"/>
      <c r="EC265" s="83"/>
      <c r="ED265" s="83"/>
      <c r="EE265" s="83"/>
      <c r="EF265" s="83"/>
      <c r="EG265" s="83"/>
      <c r="EH265" s="83"/>
      <c r="EI265" s="83"/>
      <c r="EJ265" s="83"/>
      <c r="EK265" s="83"/>
      <c r="EL265" s="83"/>
      <c r="EM265" s="83"/>
      <c r="EN265" s="83"/>
      <c r="EO265" s="83"/>
      <c r="EP265" s="83"/>
      <c r="EQ265" s="83"/>
      <c r="ER265" s="83"/>
      <c r="ES265" s="83"/>
      <c r="ET265" s="83"/>
      <c r="EU265" s="83"/>
      <c r="EV265" s="83"/>
      <c r="EW265" s="83"/>
      <c r="EX265" s="83"/>
      <c r="EY265" s="83"/>
      <c r="EZ265" s="83"/>
      <c r="FA265" s="83"/>
      <c r="FB265" s="83"/>
      <c r="FC265" s="83"/>
      <c r="FD265" s="83"/>
      <c r="FE265" s="83"/>
      <c r="FF265" s="83"/>
      <c r="FG265" s="83"/>
      <c r="FH265" s="83"/>
      <c r="FI265" s="83"/>
      <c r="FJ265" s="83"/>
      <c r="FK265" s="83"/>
      <c r="FL265" s="83"/>
      <c r="FM265" s="83"/>
      <c r="FN265" s="83"/>
      <c r="FO265" s="83"/>
      <c r="FP265" s="83"/>
      <c r="FQ265" s="83"/>
      <c r="FR265" s="83"/>
      <c r="FS265" s="83"/>
      <c r="FT265" s="83"/>
      <c r="FU265" s="83"/>
      <c r="FV265" s="83"/>
      <c r="FW265" s="83"/>
      <c r="FX265" s="83"/>
      <c r="FY265" s="83"/>
      <c r="FZ265" s="83"/>
      <c r="GA265" s="83"/>
      <c r="GB265" s="83"/>
      <c r="GC265" s="83"/>
      <c r="GD265" s="83"/>
      <c r="GE265" s="83"/>
      <c r="GF265" s="83"/>
      <c r="GG265" s="83"/>
      <c r="GH265" s="83"/>
      <c r="GI265" s="83"/>
      <c r="GJ265" s="83"/>
      <c r="GK265" s="83"/>
      <c r="GL265" s="83"/>
      <c r="GM265" s="83"/>
      <c r="GN265" s="83"/>
      <c r="GO265" s="83"/>
      <c r="GP265" s="83"/>
      <c r="GQ265" s="83"/>
      <c r="GR265" s="83"/>
      <c r="GS265" s="83"/>
      <c r="GT265" s="83"/>
      <c r="GU265" s="83"/>
      <c r="GV265" s="83"/>
      <c r="GW265" s="83"/>
      <c r="GX265" s="83"/>
      <c r="GY265" s="83"/>
      <c r="GZ265" s="83"/>
      <c r="HA265" s="83"/>
      <c r="HB265" s="83"/>
      <c r="HC265" s="83"/>
      <c r="HD265" s="83"/>
      <c r="HE265" s="83"/>
      <c r="HF265" s="83"/>
      <c r="HG265" s="83"/>
      <c r="HH265" s="83"/>
      <c r="HI265" s="83"/>
      <c r="HJ265" s="83"/>
      <c r="HK265" s="83"/>
      <c r="HL265" s="83"/>
      <c r="HM265" s="83"/>
      <c r="HN265" s="83"/>
      <c r="HO265" s="83"/>
      <c r="HP265" s="83"/>
      <c r="HQ265" s="83"/>
      <c r="HR265" s="83"/>
      <c r="HS265" s="83"/>
      <c r="HT265" s="83"/>
      <c r="HU265" s="83"/>
      <c r="HV265" s="83"/>
      <c r="HW265" s="83"/>
      <c r="HX265" s="83"/>
      <c r="HY265" s="83"/>
      <c r="HZ265" s="83"/>
      <c r="IA265" s="83"/>
      <c r="IB265" s="83"/>
      <c r="IC265" s="83"/>
      <c r="ID265" s="83"/>
      <c r="IE265" s="83"/>
      <c r="IF265" s="83"/>
      <c r="IG265" s="83"/>
    </row>
    <row r="266" spans="1:241" x14ac:dyDescent="0.3">
      <c r="A266" s="83"/>
      <c r="B266" s="1"/>
      <c r="C266" s="1"/>
      <c r="D266" s="1"/>
      <c r="E266" s="1"/>
      <c r="F266" s="1"/>
      <c r="G266" s="1"/>
      <c r="H266" s="1"/>
      <c r="I266" s="1"/>
      <c r="J266" s="1"/>
      <c r="K266" s="1"/>
      <c r="L266" s="1"/>
      <c r="M266" s="1"/>
      <c r="N266" s="1"/>
      <c r="O266" s="1"/>
      <c r="P266" s="1"/>
      <c r="Q266" s="1"/>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c r="DD266" s="83"/>
      <c r="DE266" s="83"/>
      <c r="DF266" s="83"/>
      <c r="DG266" s="83"/>
      <c r="DH266" s="83"/>
      <c r="DI266" s="83"/>
      <c r="DJ266" s="83"/>
      <c r="DK266" s="83"/>
      <c r="DL266" s="83"/>
      <c r="DM266" s="83"/>
      <c r="DN266" s="83"/>
      <c r="DO266" s="83"/>
      <c r="DP266" s="83"/>
      <c r="DQ266" s="83"/>
      <c r="DR266" s="83"/>
      <c r="DS266" s="83"/>
      <c r="DT266" s="83"/>
      <c r="DU266" s="83"/>
      <c r="DV266" s="83"/>
      <c r="DW266" s="83"/>
      <c r="DX266" s="83"/>
      <c r="DY266" s="83"/>
      <c r="DZ266" s="83"/>
      <c r="EA266" s="83"/>
      <c r="EB266" s="83"/>
      <c r="EC266" s="83"/>
      <c r="ED266" s="83"/>
      <c r="EE266" s="83"/>
      <c r="EF266" s="83"/>
      <c r="EG266" s="83"/>
      <c r="EH266" s="83"/>
      <c r="EI266" s="83"/>
      <c r="EJ266" s="83"/>
      <c r="EK266" s="83"/>
      <c r="EL266" s="83"/>
      <c r="EM266" s="83"/>
      <c r="EN266" s="83"/>
      <c r="EO266" s="83"/>
      <c r="EP266" s="83"/>
      <c r="EQ266" s="83"/>
      <c r="ER266" s="83"/>
      <c r="ES266" s="83"/>
      <c r="ET266" s="83"/>
      <c r="EU266" s="83"/>
      <c r="EV266" s="83"/>
      <c r="EW266" s="83"/>
      <c r="EX266" s="83"/>
      <c r="EY266" s="83"/>
      <c r="EZ266" s="83"/>
      <c r="FA266" s="83"/>
      <c r="FB266" s="83"/>
      <c r="FC266" s="83"/>
      <c r="FD266" s="83"/>
      <c r="FE266" s="83"/>
      <c r="FF266" s="83"/>
      <c r="FG266" s="83"/>
      <c r="FH266" s="83"/>
      <c r="FI266" s="83"/>
      <c r="FJ266" s="83"/>
      <c r="FK266" s="83"/>
      <c r="FL266" s="83"/>
      <c r="FM266" s="83"/>
      <c r="FN266" s="83"/>
      <c r="FO266" s="83"/>
      <c r="FP266" s="83"/>
      <c r="FQ266" s="83"/>
      <c r="FR266" s="83"/>
      <c r="FS266" s="83"/>
      <c r="FT266" s="83"/>
      <c r="FU266" s="83"/>
      <c r="FV266" s="83"/>
      <c r="FW266" s="83"/>
      <c r="FX266" s="83"/>
      <c r="FY266" s="83"/>
      <c r="FZ266" s="83"/>
      <c r="GA266" s="83"/>
      <c r="GB266" s="83"/>
      <c r="GC266" s="83"/>
      <c r="GD266" s="83"/>
      <c r="GE266" s="83"/>
      <c r="GF266" s="83"/>
      <c r="GG266" s="83"/>
      <c r="GH266" s="83"/>
      <c r="GI266" s="83"/>
      <c r="GJ266" s="83"/>
      <c r="GK266" s="83"/>
      <c r="GL266" s="83"/>
      <c r="GM266" s="83"/>
      <c r="GN266" s="83"/>
      <c r="GO266" s="83"/>
      <c r="GP266" s="83"/>
      <c r="GQ266" s="83"/>
      <c r="GR266" s="83"/>
      <c r="GS266" s="83"/>
      <c r="GT266" s="83"/>
      <c r="GU266" s="83"/>
      <c r="GV266" s="83"/>
      <c r="GW266" s="83"/>
      <c r="GX266" s="83"/>
      <c r="GY266" s="83"/>
      <c r="GZ266" s="83"/>
      <c r="HA266" s="83"/>
      <c r="HB266" s="83"/>
      <c r="HC266" s="83"/>
      <c r="HD266" s="83"/>
      <c r="HE266" s="83"/>
      <c r="HF266" s="83"/>
      <c r="HG266" s="83"/>
      <c r="HH266" s="83"/>
      <c r="HI266" s="83"/>
      <c r="HJ266" s="83"/>
      <c r="HK266" s="83"/>
      <c r="HL266" s="83"/>
      <c r="HM266" s="83"/>
      <c r="HN266" s="83"/>
      <c r="HO266" s="83"/>
      <c r="HP266" s="83"/>
      <c r="HQ266" s="83"/>
      <c r="HR266" s="83"/>
      <c r="HS266" s="83"/>
      <c r="HT266" s="83"/>
      <c r="HU266" s="83"/>
      <c r="HV266" s="83"/>
      <c r="HW266" s="83"/>
      <c r="HX266" s="83"/>
      <c r="HY266" s="83"/>
      <c r="HZ266" s="83"/>
      <c r="IA266" s="83"/>
      <c r="IB266" s="83"/>
      <c r="IC266" s="83"/>
      <c r="ID266" s="83"/>
      <c r="IE266" s="83"/>
      <c r="IF266" s="83"/>
      <c r="IG266" s="83"/>
    </row>
    <row r="267" spans="1:241" x14ac:dyDescent="0.3">
      <c r="A267" s="83"/>
      <c r="B267" s="1" t="s">
        <v>220</v>
      </c>
      <c r="C267" s="1"/>
      <c r="D267" s="1"/>
      <c r="E267" s="1"/>
      <c r="F267" s="1"/>
      <c r="G267" s="1"/>
      <c r="H267" s="1"/>
      <c r="I267" s="1"/>
      <c r="J267" s="1"/>
      <c r="K267" s="1"/>
      <c r="L267" s="1"/>
      <c r="M267" s="1"/>
      <c r="N267" s="1"/>
      <c r="O267" s="1"/>
      <c r="P267" s="1"/>
      <c r="Q267" s="1"/>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c r="DD267" s="83"/>
      <c r="DE267" s="83"/>
      <c r="DF267" s="83"/>
      <c r="DG267" s="83"/>
      <c r="DH267" s="83"/>
      <c r="DI267" s="83"/>
      <c r="DJ267" s="83"/>
      <c r="DK267" s="83"/>
      <c r="DL267" s="83"/>
      <c r="DM267" s="83"/>
      <c r="DN267" s="83"/>
      <c r="DO267" s="83"/>
      <c r="DP267" s="83"/>
      <c r="DQ267" s="83"/>
      <c r="DR267" s="83"/>
      <c r="DS267" s="83"/>
      <c r="DT267" s="83"/>
      <c r="DU267" s="83"/>
      <c r="DV267" s="83"/>
      <c r="DW267" s="83"/>
      <c r="DX267" s="83"/>
      <c r="DY267" s="83"/>
      <c r="DZ267" s="83"/>
      <c r="EA267" s="83"/>
      <c r="EB267" s="83"/>
      <c r="EC267" s="83"/>
      <c r="ED267" s="83"/>
      <c r="EE267" s="83"/>
      <c r="EF267" s="83"/>
      <c r="EG267" s="83"/>
      <c r="EH267" s="83"/>
      <c r="EI267" s="83"/>
      <c r="EJ267" s="83"/>
      <c r="EK267" s="83"/>
      <c r="EL267" s="83"/>
      <c r="EM267" s="83"/>
      <c r="EN267" s="83"/>
      <c r="EO267" s="83"/>
      <c r="EP267" s="83"/>
      <c r="EQ267" s="83"/>
      <c r="ER267" s="83"/>
      <c r="ES267" s="83"/>
      <c r="ET267" s="83"/>
      <c r="EU267" s="83"/>
      <c r="EV267" s="83"/>
      <c r="EW267" s="83"/>
      <c r="EX267" s="83"/>
      <c r="EY267" s="83"/>
      <c r="EZ267" s="83"/>
      <c r="FA267" s="83"/>
      <c r="FB267" s="83"/>
      <c r="FC267" s="83"/>
      <c r="FD267" s="83"/>
      <c r="FE267" s="83"/>
      <c r="FF267" s="83"/>
      <c r="FG267" s="83"/>
      <c r="FH267" s="83"/>
      <c r="FI267" s="83"/>
      <c r="FJ267" s="83"/>
      <c r="FK267" s="83"/>
      <c r="FL267" s="83"/>
      <c r="FM267" s="83"/>
      <c r="FN267" s="83"/>
      <c r="FO267" s="83"/>
      <c r="FP267" s="83"/>
      <c r="FQ267" s="83"/>
      <c r="FR267" s="83"/>
      <c r="FS267" s="83"/>
      <c r="FT267" s="83"/>
      <c r="FU267" s="83"/>
      <c r="FV267" s="83"/>
      <c r="FW267" s="83"/>
      <c r="FX267" s="83"/>
      <c r="FY267" s="83"/>
      <c r="FZ267" s="83"/>
      <c r="GA267" s="83"/>
      <c r="GB267" s="83"/>
      <c r="GC267" s="83"/>
      <c r="GD267" s="83"/>
      <c r="GE267" s="83"/>
      <c r="GF267" s="83"/>
      <c r="GG267" s="83"/>
      <c r="GH267" s="83"/>
      <c r="GI267" s="83"/>
      <c r="GJ267" s="83"/>
      <c r="GK267" s="83"/>
      <c r="GL267" s="83"/>
      <c r="GM267" s="83"/>
      <c r="GN267" s="83"/>
      <c r="GO267" s="83"/>
      <c r="GP267" s="83"/>
      <c r="GQ267" s="83"/>
      <c r="GR267" s="83"/>
      <c r="GS267" s="83"/>
      <c r="GT267" s="83"/>
      <c r="GU267" s="83"/>
      <c r="GV267" s="83"/>
      <c r="GW267" s="83"/>
      <c r="GX267" s="83"/>
      <c r="GY267" s="83"/>
      <c r="GZ267" s="83"/>
      <c r="HA267" s="83"/>
      <c r="HB267" s="83"/>
      <c r="HC267" s="83"/>
      <c r="HD267" s="83"/>
      <c r="HE267" s="83"/>
      <c r="HF267" s="83"/>
      <c r="HG267" s="83"/>
      <c r="HH267" s="83"/>
      <c r="HI267" s="83"/>
      <c r="HJ267" s="83"/>
      <c r="HK267" s="83"/>
      <c r="HL267" s="83"/>
      <c r="HM267" s="83"/>
      <c r="HN267" s="83"/>
      <c r="HO267" s="83"/>
      <c r="HP267" s="83"/>
      <c r="HQ267" s="83"/>
      <c r="HR267" s="83"/>
      <c r="HS267" s="83"/>
      <c r="HT267" s="83"/>
      <c r="HU267" s="83"/>
      <c r="HV267" s="83"/>
      <c r="HW267" s="83"/>
      <c r="HX267" s="83"/>
      <c r="HY267" s="83"/>
      <c r="HZ267" s="83"/>
      <c r="IA267" s="83"/>
      <c r="IB267" s="83"/>
      <c r="IC267" s="83"/>
      <c r="ID267" s="83"/>
      <c r="IE267" s="83"/>
      <c r="IF267" s="83"/>
      <c r="IG267" s="83"/>
    </row>
    <row r="268" spans="1:241" x14ac:dyDescent="0.3">
      <c r="A268" s="83"/>
      <c r="B268" s="1"/>
      <c r="C268" s="1"/>
      <c r="D268" s="1"/>
      <c r="E268" s="1"/>
      <c r="F268" s="1"/>
      <c r="G268" s="1"/>
      <c r="H268" s="1"/>
      <c r="I268" s="1"/>
      <c r="J268" s="1"/>
      <c r="K268" s="1"/>
      <c r="L268" s="1"/>
      <c r="M268" s="1"/>
      <c r="N268" s="1"/>
      <c r="O268" s="1"/>
      <c r="P268" s="1"/>
      <c r="Q268" s="1"/>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c r="DD268" s="83"/>
      <c r="DE268" s="83"/>
      <c r="DF268" s="83"/>
      <c r="DG268" s="83"/>
      <c r="DH268" s="83"/>
      <c r="DI268" s="83"/>
      <c r="DJ268" s="83"/>
      <c r="DK268" s="83"/>
      <c r="DL268" s="83"/>
      <c r="DM268" s="83"/>
      <c r="DN268" s="83"/>
      <c r="DO268" s="83"/>
      <c r="DP268" s="83"/>
      <c r="DQ268" s="83"/>
      <c r="DR268" s="83"/>
      <c r="DS268" s="83"/>
      <c r="DT268" s="83"/>
      <c r="DU268" s="83"/>
      <c r="DV268" s="83"/>
      <c r="DW268" s="83"/>
      <c r="DX268" s="83"/>
      <c r="DY268" s="83"/>
      <c r="DZ268" s="83"/>
      <c r="EA268" s="83"/>
      <c r="EB268" s="83"/>
      <c r="EC268" s="83"/>
      <c r="ED268" s="83"/>
      <c r="EE268" s="83"/>
      <c r="EF268" s="83"/>
      <c r="EG268" s="83"/>
      <c r="EH268" s="83"/>
      <c r="EI268" s="83"/>
      <c r="EJ268" s="83"/>
      <c r="EK268" s="83"/>
      <c r="EL268" s="83"/>
      <c r="EM268" s="83"/>
      <c r="EN268" s="83"/>
      <c r="EO268" s="83"/>
      <c r="EP268" s="83"/>
      <c r="EQ268" s="83"/>
      <c r="ER268" s="83"/>
      <c r="ES268" s="83"/>
      <c r="ET268" s="83"/>
      <c r="EU268" s="83"/>
      <c r="EV268" s="83"/>
      <c r="EW268" s="83"/>
      <c r="EX268" s="83"/>
      <c r="EY268" s="83"/>
      <c r="EZ268" s="83"/>
      <c r="FA268" s="83"/>
      <c r="FB268" s="83"/>
      <c r="FC268" s="83"/>
      <c r="FD268" s="83"/>
      <c r="FE268" s="83"/>
      <c r="FF268" s="83"/>
      <c r="FG268" s="83"/>
      <c r="FH268" s="83"/>
      <c r="FI268" s="83"/>
      <c r="FJ268" s="83"/>
      <c r="FK268" s="83"/>
      <c r="FL268" s="83"/>
      <c r="FM268" s="83"/>
      <c r="FN268" s="83"/>
      <c r="FO268" s="83"/>
      <c r="FP268" s="83"/>
      <c r="FQ268" s="83"/>
      <c r="FR268" s="83"/>
      <c r="FS268" s="83"/>
      <c r="FT268" s="83"/>
      <c r="FU268" s="83"/>
      <c r="FV268" s="83"/>
      <c r="FW268" s="83"/>
      <c r="FX268" s="83"/>
      <c r="FY268" s="83"/>
      <c r="FZ268" s="83"/>
      <c r="GA268" s="83"/>
      <c r="GB268" s="83"/>
      <c r="GC268" s="83"/>
      <c r="GD268" s="83"/>
      <c r="GE268" s="83"/>
      <c r="GF268" s="83"/>
      <c r="GG268" s="83"/>
      <c r="GH268" s="83"/>
      <c r="GI268" s="83"/>
      <c r="GJ268" s="83"/>
      <c r="GK268" s="83"/>
      <c r="GL268" s="83"/>
      <c r="GM268" s="83"/>
      <c r="GN268" s="83"/>
      <c r="GO268" s="83"/>
      <c r="GP268" s="83"/>
      <c r="GQ268" s="83"/>
      <c r="GR268" s="83"/>
      <c r="GS268" s="83"/>
      <c r="GT268" s="83"/>
      <c r="GU268" s="83"/>
      <c r="GV268" s="83"/>
      <c r="GW268" s="83"/>
      <c r="GX268" s="83"/>
      <c r="GY268" s="83"/>
      <c r="GZ268" s="83"/>
      <c r="HA268" s="83"/>
      <c r="HB268" s="83"/>
      <c r="HC268" s="83"/>
      <c r="HD268" s="83"/>
      <c r="HE268" s="83"/>
      <c r="HF268" s="83"/>
      <c r="HG268" s="83"/>
      <c r="HH268" s="83"/>
      <c r="HI268" s="83"/>
      <c r="HJ268" s="83"/>
      <c r="HK268" s="83"/>
      <c r="HL268" s="83"/>
      <c r="HM268" s="83"/>
      <c r="HN268" s="83"/>
      <c r="HO268" s="83"/>
      <c r="HP268" s="83"/>
      <c r="HQ268" s="83"/>
      <c r="HR268" s="83"/>
      <c r="HS268" s="83"/>
      <c r="HT268" s="83"/>
      <c r="HU268" s="83"/>
      <c r="HV268" s="83"/>
      <c r="HW268" s="83"/>
      <c r="HX268" s="83"/>
      <c r="HY268" s="83"/>
      <c r="HZ268" s="83"/>
      <c r="IA268" s="83"/>
      <c r="IB268" s="83"/>
      <c r="IC268" s="83"/>
      <c r="ID268" s="83"/>
      <c r="IE268" s="83"/>
      <c r="IF268" s="83"/>
      <c r="IG268" s="83"/>
    </row>
    <row r="269" spans="1:241" x14ac:dyDescent="0.3">
      <c r="A269" s="83"/>
      <c r="B269" s="80" t="s">
        <v>221</v>
      </c>
      <c r="C269" s="80" t="s">
        <v>222</v>
      </c>
      <c r="D269" s="1"/>
      <c r="E269" s="1"/>
      <c r="F269" s="1"/>
      <c r="G269" s="1"/>
      <c r="H269" s="1"/>
      <c r="I269" s="1"/>
      <c r="J269" s="1"/>
      <c r="K269" s="1"/>
      <c r="L269" s="1"/>
      <c r="M269" s="1"/>
      <c r="N269" s="1"/>
      <c r="O269" s="1"/>
      <c r="P269" s="1"/>
      <c r="Q269" s="1"/>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c r="DD269" s="83"/>
      <c r="DE269" s="83"/>
      <c r="DF269" s="83"/>
      <c r="DG269" s="83"/>
      <c r="DH269" s="83"/>
      <c r="DI269" s="83"/>
      <c r="DJ269" s="83"/>
      <c r="DK269" s="83"/>
      <c r="DL269" s="83"/>
      <c r="DM269" s="83"/>
      <c r="DN269" s="83"/>
      <c r="DO269" s="83"/>
      <c r="DP269" s="83"/>
      <c r="DQ269" s="83"/>
      <c r="DR269" s="83"/>
      <c r="DS269" s="83"/>
      <c r="DT269" s="83"/>
      <c r="DU269" s="83"/>
      <c r="DV269" s="83"/>
      <c r="DW269" s="83"/>
      <c r="DX269" s="83"/>
      <c r="DY269" s="83"/>
      <c r="DZ269" s="83"/>
      <c r="EA269" s="83"/>
      <c r="EB269" s="83"/>
      <c r="EC269" s="83"/>
      <c r="ED269" s="83"/>
      <c r="EE269" s="83"/>
      <c r="EF269" s="83"/>
      <c r="EG269" s="83"/>
      <c r="EH269" s="83"/>
      <c r="EI269" s="83"/>
      <c r="EJ269" s="83"/>
      <c r="EK269" s="83"/>
      <c r="EL269" s="83"/>
      <c r="EM269" s="83"/>
      <c r="EN269" s="83"/>
      <c r="EO269" s="83"/>
      <c r="EP269" s="83"/>
      <c r="EQ269" s="83"/>
      <c r="ER269" s="83"/>
      <c r="ES269" s="83"/>
      <c r="ET269" s="83"/>
      <c r="EU269" s="83"/>
      <c r="EV269" s="83"/>
      <c r="EW269" s="83"/>
      <c r="EX269" s="83"/>
      <c r="EY269" s="83"/>
      <c r="EZ269" s="83"/>
      <c r="FA269" s="83"/>
      <c r="FB269" s="83"/>
      <c r="FC269" s="83"/>
      <c r="FD269" s="83"/>
      <c r="FE269" s="83"/>
      <c r="FF269" s="83"/>
      <c r="FG269" s="83"/>
      <c r="FH269" s="83"/>
      <c r="FI269" s="83"/>
      <c r="FJ269" s="83"/>
      <c r="FK269" s="83"/>
      <c r="FL269" s="83"/>
      <c r="FM269" s="83"/>
      <c r="FN269" s="83"/>
      <c r="FO269" s="83"/>
      <c r="FP269" s="83"/>
      <c r="FQ269" s="83"/>
      <c r="FR269" s="83"/>
      <c r="FS269" s="83"/>
      <c r="FT269" s="83"/>
      <c r="FU269" s="83"/>
      <c r="FV269" s="83"/>
      <c r="FW269" s="83"/>
      <c r="FX269" s="83"/>
      <c r="FY269" s="83"/>
      <c r="FZ269" s="83"/>
      <c r="GA269" s="83"/>
      <c r="GB269" s="83"/>
      <c r="GC269" s="83"/>
      <c r="GD269" s="83"/>
      <c r="GE269" s="83"/>
      <c r="GF269" s="83"/>
      <c r="GG269" s="83"/>
      <c r="GH269" s="83"/>
      <c r="GI269" s="83"/>
      <c r="GJ269" s="83"/>
      <c r="GK269" s="83"/>
      <c r="GL269" s="83"/>
      <c r="GM269" s="83"/>
      <c r="GN269" s="83"/>
      <c r="GO269" s="83"/>
      <c r="GP269" s="83"/>
      <c r="GQ269" s="83"/>
      <c r="GR269" s="83"/>
      <c r="GS269" s="83"/>
      <c r="GT269" s="83"/>
      <c r="GU269" s="83"/>
      <c r="GV269" s="83"/>
      <c r="GW269" s="83"/>
      <c r="GX269" s="83"/>
      <c r="GY269" s="83"/>
      <c r="GZ269" s="83"/>
      <c r="HA269" s="83"/>
      <c r="HB269" s="83"/>
      <c r="HC269" s="83"/>
      <c r="HD269" s="83"/>
      <c r="HE269" s="83"/>
      <c r="HF269" s="83"/>
      <c r="HG269" s="83"/>
      <c r="HH269" s="83"/>
      <c r="HI269" s="83"/>
      <c r="HJ269" s="83"/>
      <c r="HK269" s="83"/>
      <c r="HL269" s="83"/>
      <c r="HM269" s="83"/>
      <c r="HN269" s="83"/>
      <c r="HO269" s="83"/>
      <c r="HP269" s="83"/>
      <c r="HQ269" s="83"/>
      <c r="HR269" s="83"/>
      <c r="HS269" s="83"/>
      <c r="HT269" s="83"/>
      <c r="HU269" s="83"/>
      <c r="HV269" s="83"/>
      <c r="HW269" s="83"/>
      <c r="HX269" s="83"/>
      <c r="HY269" s="83"/>
      <c r="HZ269" s="83"/>
      <c r="IA269" s="83"/>
      <c r="IB269" s="83"/>
      <c r="IC269" s="83"/>
      <c r="ID269" s="83"/>
      <c r="IE269" s="83"/>
      <c r="IF269" s="83"/>
      <c r="IG269" s="83"/>
    </row>
    <row r="270" spans="1:241" x14ac:dyDescent="0.3">
      <c r="A270" s="83"/>
      <c r="B270" s="13">
        <v>1</v>
      </c>
      <c r="C270" s="15">
        <f t="shared" ref="C270:C278" si="0">10^(0.4771+0.08516*LOG10(B270)-0.3473*(LOG10(B270))^2)</f>
        <v>2.9998531811907938</v>
      </c>
      <c r="D270" s="1"/>
      <c r="E270" s="1"/>
      <c r="F270" s="1"/>
      <c r="G270" s="1"/>
      <c r="H270" s="1"/>
      <c r="I270" s="1"/>
      <c r="J270" s="1"/>
      <c r="K270" s="1"/>
      <c r="L270" s="1"/>
      <c r="M270" s="1"/>
      <c r="N270" s="1"/>
      <c r="O270" s="1"/>
      <c r="P270" s="1"/>
      <c r="Q270" s="1"/>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c r="DD270" s="83"/>
      <c r="DE270" s="83"/>
      <c r="DF270" s="83"/>
      <c r="DG270" s="83"/>
      <c r="DH270" s="83"/>
      <c r="DI270" s="83"/>
      <c r="DJ270" s="83"/>
      <c r="DK270" s="83"/>
      <c r="DL270" s="83"/>
      <c r="DM270" s="83"/>
      <c r="DN270" s="83"/>
      <c r="DO270" s="83"/>
      <c r="DP270" s="83"/>
      <c r="DQ270" s="83"/>
      <c r="DR270" s="83"/>
      <c r="DS270" s="83"/>
      <c r="DT270" s="83"/>
      <c r="DU270" s="83"/>
      <c r="DV270" s="83"/>
      <c r="DW270" s="83"/>
      <c r="DX270" s="83"/>
      <c r="DY270" s="83"/>
      <c r="DZ270" s="83"/>
      <c r="EA270" s="83"/>
      <c r="EB270" s="83"/>
      <c r="EC270" s="83"/>
      <c r="ED270" s="83"/>
      <c r="EE270" s="83"/>
      <c r="EF270" s="83"/>
      <c r="EG270" s="83"/>
      <c r="EH270" s="83"/>
      <c r="EI270" s="83"/>
      <c r="EJ270" s="83"/>
      <c r="EK270" s="83"/>
      <c r="EL270" s="83"/>
      <c r="EM270" s="83"/>
      <c r="EN270" s="83"/>
      <c r="EO270" s="83"/>
      <c r="EP270" s="83"/>
      <c r="EQ270" s="83"/>
      <c r="ER270" s="83"/>
      <c r="ES270" s="83"/>
      <c r="ET270" s="83"/>
      <c r="EU270" s="83"/>
      <c r="EV270" s="83"/>
      <c r="EW270" s="83"/>
      <c r="EX270" s="83"/>
      <c r="EY270" s="83"/>
      <c r="EZ270" s="83"/>
      <c r="FA270" s="83"/>
      <c r="FB270" s="83"/>
      <c r="FC270" s="83"/>
      <c r="FD270" s="83"/>
      <c r="FE270" s="83"/>
      <c r="FF270" s="83"/>
      <c r="FG270" s="83"/>
      <c r="FH270" s="83"/>
      <c r="FI270" s="83"/>
      <c r="FJ270" s="83"/>
      <c r="FK270" s="83"/>
      <c r="FL270" s="83"/>
      <c r="FM270" s="83"/>
      <c r="FN270" s="83"/>
      <c r="FO270" s="83"/>
      <c r="FP270" s="83"/>
      <c r="FQ270" s="83"/>
      <c r="FR270" s="83"/>
      <c r="FS270" s="83"/>
      <c r="FT270" s="83"/>
      <c r="FU270" s="83"/>
      <c r="FV270" s="83"/>
      <c r="FW270" s="83"/>
      <c r="FX270" s="83"/>
      <c r="FY270" s="83"/>
      <c r="FZ270" s="83"/>
      <c r="GA270" s="83"/>
      <c r="GB270" s="83"/>
      <c r="GC270" s="83"/>
      <c r="GD270" s="83"/>
      <c r="GE270" s="83"/>
      <c r="GF270" s="83"/>
      <c r="GG270" s="83"/>
      <c r="GH270" s="83"/>
      <c r="GI270" s="83"/>
      <c r="GJ270" s="83"/>
      <c r="GK270" s="83"/>
      <c r="GL270" s="83"/>
      <c r="GM270" s="83"/>
      <c r="GN270" s="83"/>
      <c r="GO270" s="83"/>
      <c r="GP270" s="83"/>
      <c r="GQ270" s="83"/>
      <c r="GR270" s="83"/>
      <c r="GS270" s="83"/>
      <c r="GT270" s="83"/>
      <c r="GU270" s="83"/>
      <c r="GV270" s="83"/>
      <c r="GW270" s="83"/>
      <c r="GX270" s="83"/>
      <c r="GY270" s="83"/>
      <c r="GZ270" s="83"/>
      <c r="HA270" s="83"/>
      <c r="HB270" s="83"/>
      <c r="HC270" s="83"/>
      <c r="HD270" s="83"/>
      <c r="HE270" s="83"/>
      <c r="HF270" s="83"/>
      <c r="HG270" s="83"/>
      <c r="HH270" s="83"/>
      <c r="HI270" s="83"/>
      <c r="HJ270" s="83"/>
      <c r="HK270" s="83"/>
      <c r="HL270" s="83"/>
      <c r="HM270" s="83"/>
      <c r="HN270" s="83"/>
      <c r="HO270" s="83"/>
      <c r="HP270" s="83"/>
      <c r="HQ270" s="83"/>
      <c r="HR270" s="83"/>
      <c r="HS270" s="83"/>
      <c r="HT270" s="83"/>
      <c r="HU270" s="83"/>
      <c r="HV270" s="83"/>
      <c r="HW270" s="83"/>
      <c r="HX270" s="83"/>
      <c r="HY270" s="83"/>
      <c r="HZ270" s="83"/>
      <c r="IA270" s="83"/>
      <c r="IB270" s="83"/>
      <c r="IC270" s="83"/>
      <c r="ID270" s="83"/>
      <c r="IE270" s="83"/>
      <c r="IF270" s="83"/>
      <c r="IG270" s="83"/>
    </row>
    <row r="271" spans="1:241" x14ac:dyDescent="0.3">
      <c r="A271" s="83"/>
      <c r="B271" s="13">
        <v>2</v>
      </c>
      <c r="C271" s="15">
        <f t="shared" si="0"/>
        <v>2.9598091980761878</v>
      </c>
      <c r="D271" s="1"/>
      <c r="E271" s="1"/>
      <c r="F271" s="1"/>
      <c r="G271" s="1"/>
      <c r="H271" s="1"/>
      <c r="I271" s="1"/>
      <c r="J271" s="1"/>
      <c r="K271" s="1"/>
      <c r="L271" s="1"/>
      <c r="M271" s="1"/>
      <c r="N271" s="1"/>
      <c r="O271" s="1"/>
      <c r="P271" s="1"/>
      <c r="Q271" s="1"/>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c r="DD271" s="83"/>
      <c r="DE271" s="83"/>
      <c r="DF271" s="83"/>
      <c r="DG271" s="83"/>
      <c r="DH271" s="83"/>
      <c r="DI271" s="83"/>
      <c r="DJ271" s="83"/>
      <c r="DK271" s="83"/>
      <c r="DL271" s="83"/>
      <c r="DM271" s="83"/>
      <c r="DN271" s="83"/>
      <c r="DO271" s="83"/>
      <c r="DP271" s="83"/>
      <c r="DQ271" s="83"/>
      <c r="DR271" s="83"/>
      <c r="DS271" s="83"/>
      <c r="DT271" s="83"/>
      <c r="DU271" s="83"/>
      <c r="DV271" s="83"/>
      <c r="DW271" s="83"/>
      <c r="DX271" s="83"/>
      <c r="DY271" s="83"/>
      <c r="DZ271" s="83"/>
      <c r="EA271" s="83"/>
      <c r="EB271" s="83"/>
      <c r="EC271" s="83"/>
      <c r="ED271" s="83"/>
      <c r="EE271" s="83"/>
      <c r="EF271" s="83"/>
      <c r="EG271" s="83"/>
      <c r="EH271" s="83"/>
      <c r="EI271" s="83"/>
      <c r="EJ271" s="83"/>
      <c r="EK271" s="83"/>
      <c r="EL271" s="83"/>
      <c r="EM271" s="83"/>
      <c r="EN271" s="83"/>
      <c r="EO271" s="83"/>
      <c r="EP271" s="83"/>
      <c r="EQ271" s="83"/>
      <c r="ER271" s="83"/>
      <c r="ES271" s="83"/>
      <c r="ET271" s="83"/>
      <c r="EU271" s="83"/>
      <c r="EV271" s="83"/>
      <c r="EW271" s="83"/>
      <c r="EX271" s="83"/>
      <c r="EY271" s="83"/>
      <c r="EZ271" s="83"/>
      <c r="FA271" s="83"/>
      <c r="FB271" s="83"/>
      <c r="FC271" s="83"/>
      <c r="FD271" s="83"/>
      <c r="FE271" s="83"/>
      <c r="FF271" s="83"/>
      <c r="FG271" s="83"/>
      <c r="FH271" s="83"/>
      <c r="FI271" s="83"/>
      <c r="FJ271" s="83"/>
      <c r="FK271" s="83"/>
      <c r="FL271" s="83"/>
      <c r="FM271" s="83"/>
      <c r="FN271" s="83"/>
      <c r="FO271" s="83"/>
      <c r="FP271" s="83"/>
      <c r="FQ271" s="83"/>
      <c r="FR271" s="83"/>
      <c r="FS271" s="83"/>
      <c r="FT271" s="83"/>
      <c r="FU271" s="83"/>
      <c r="FV271" s="83"/>
      <c r="FW271" s="83"/>
      <c r="FX271" s="83"/>
      <c r="FY271" s="83"/>
      <c r="FZ271" s="83"/>
      <c r="GA271" s="83"/>
      <c r="GB271" s="83"/>
      <c r="GC271" s="83"/>
      <c r="GD271" s="83"/>
      <c r="GE271" s="83"/>
      <c r="GF271" s="83"/>
      <c r="GG271" s="83"/>
      <c r="GH271" s="83"/>
      <c r="GI271" s="83"/>
      <c r="GJ271" s="83"/>
      <c r="GK271" s="83"/>
      <c r="GL271" s="83"/>
      <c r="GM271" s="83"/>
      <c r="GN271" s="83"/>
      <c r="GO271" s="83"/>
      <c r="GP271" s="83"/>
      <c r="GQ271" s="83"/>
      <c r="GR271" s="83"/>
      <c r="GS271" s="83"/>
      <c r="GT271" s="83"/>
      <c r="GU271" s="83"/>
      <c r="GV271" s="83"/>
      <c r="GW271" s="83"/>
      <c r="GX271" s="83"/>
      <c r="GY271" s="83"/>
      <c r="GZ271" s="83"/>
      <c r="HA271" s="83"/>
      <c r="HB271" s="83"/>
      <c r="HC271" s="83"/>
      <c r="HD271" s="83"/>
      <c r="HE271" s="83"/>
      <c r="HF271" s="83"/>
      <c r="HG271" s="83"/>
      <c r="HH271" s="83"/>
      <c r="HI271" s="83"/>
      <c r="HJ271" s="83"/>
      <c r="HK271" s="83"/>
      <c r="HL271" s="83"/>
      <c r="HM271" s="83"/>
      <c r="HN271" s="83"/>
      <c r="HO271" s="83"/>
      <c r="HP271" s="83"/>
      <c r="HQ271" s="83"/>
      <c r="HR271" s="83"/>
      <c r="HS271" s="83"/>
      <c r="HT271" s="83"/>
      <c r="HU271" s="83"/>
      <c r="HV271" s="83"/>
      <c r="HW271" s="83"/>
      <c r="HX271" s="83"/>
      <c r="HY271" s="83"/>
      <c r="HZ271" s="83"/>
      <c r="IA271" s="83"/>
      <c r="IB271" s="83"/>
      <c r="IC271" s="83"/>
      <c r="ID271" s="83"/>
      <c r="IE271" s="83"/>
      <c r="IF271" s="83"/>
      <c r="IG271" s="83"/>
    </row>
    <row r="272" spans="1:241" x14ac:dyDescent="0.3">
      <c r="A272" s="83"/>
      <c r="B272" s="13">
        <v>3</v>
      </c>
      <c r="C272" s="15">
        <f t="shared" si="0"/>
        <v>2.745811025949318</v>
      </c>
      <c r="D272" s="1"/>
      <c r="E272" s="1"/>
      <c r="F272" s="1"/>
      <c r="G272" s="1"/>
      <c r="H272" s="1"/>
      <c r="I272" s="1"/>
      <c r="J272" s="1"/>
      <c r="K272" s="1"/>
      <c r="L272" s="1"/>
      <c r="M272" s="1"/>
      <c r="N272" s="1"/>
      <c r="O272" s="1"/>
      <c r="P272" s="1"/>
      <c r="Q272" s="1"/>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c r="DD272" s="83"/>
      <c r="DE272" s="83"/>
      <c r="DF272" s="83"/>
      <c r="DG272" s="83"/>
      <c r="DH272" s="83"/>
      <c r="DI272" s="83"/>
      <c r="DJ272" s="83"/>
      <c r="DK272" s="83"/>
      <c r="DL272" s="83"/>
      <c r="DM272" s="83"/>
      <c r="DN272" s="83"/>
      <c r="DO272" s="83"/>
      <c r="DP272" s="83"/>
      <c r="DQ272" s="83"/>
      <c r="DR272" s="83"/>
      <c r="DS272" s="83"/>
      <c r="DT272" s="83"/>
      <c r="DU272" s="83"/>
      <c r="DV272" s="83"/>
      <c r="DW272" s="83"/>
      <c r="DX272" s="83"/>
      <c r="DY272" s="83"/>
      <c r="DZ272" s="83"/>
      <c r="EA272" s="83"/>
      <c r="EB272" s="83"/>
      <c r="EC272" s="83"/>
      <c r="ED272" s="83"/>
      <c r="EE272" s="83"/>
      <c r="EF272" s="83"/>
      <c r="EG272" s="83"/>
      <c r="EH272" s="83"/>
      <c r="EI272" s="83"/>
      <c r="EJ272" s="83"/>
      <c r="EK272" s="83"/>
      <c r="EL272" s="83"/>
      <c r="EM272" s="83"/>
      <c r="EN272" s="83"/>
      <c r="EO272" s="83"/>
      <c r="EP272" s="83"/>
      <c r="EQ272" s="83"/>
      <c r="ER272" s="83"/>
      <c r="ES272" s="83"/>
      <c r="ET272" s="83"/>
      <c r="EU272" s="83"/>
      <c r="EV272" s="83"/>
      <c r="EW272" s="83"/>
      <c r="EX272" s="83"/>
      <c r="EY272" s="83"/>
      <c r="EZ272" s="83"/>
      <c r="FA272" s="83"/>
      <c r="FB272" s="83"/>
      <c r="FC272" s="83"/>
      <c r="FD272" s="83"/>
      <c r="FE272" s="83"/>
      <c r="FF272" s="83"/>
      <c r="FG272" s="83"/>
      <c r="FH272" s="83"/>
      <c r="FI272" s="83"/>
      <c r="FJ272" s="83"/>
      <c r="FK272" s="83"/>
      <c r="FL272" s="83"/>
      <c r="FM272" s="83"/>
      <c r="FN272" s="83"/>
      <c r="FO272" s="83"/>
      <c r="FP272" s="83"/>
      <c r="FQ272" s="83"/>
      <c r="FR272" s="83"/>
      <c r="FS272" s="83"/>
      <c r="FT272" s="83"/>
      <c r="FU272" s="83"/>
      <c r="FV272" s="83"/>
      <c r="FW272" s="83"/>
      <c r="FX272" s="83"/>
      <c r="FY272" s="83"/>
      <c r="FZ272" s="83"/>
      <c r="GA272" s="83"/>
      <c r="GB272" s="83"/>
      <c r="GC272" s="83"/>
      <c r="GD272" s="83"/>
      <c r="GE272" s="83"/>
      <c r="GF272" s="83"/>
      <c r="GG272" s="83"/>
      <c r="GH272" s="83"/>
      <c r="GI272" s="83"/>
      <c r="GJ272" s="83"/>
      <c r="GK272" s="83"/>
      <c r="GL272" s="83"/>
      <c r="GM272" s="83"/>
      <c r="GN272" s="83"/>
      <c r="GO272" s="83"/>
      <c r="GP272" s="83"/>
      <c r="GQ272" s="83"/>
      <c r="GR272" s="83"/>
      <c r="GS272" s="83"/>
      <c r="GT272" s="83"/>
      <c r="GU272" s="83"/>
      <c r="GV272" s="83"/>
      <c r="GW272" s="83"/>
      <c r="GX272" s="83"/>
      <c r="GY272" s="83"/>
      <c r="GZ272" s="83"/>
      <c r="HA272" s="83"/>
      <c r="HB272" s="83"/>
      <c r="HC272" s="83"/>
      <c r="HD272" s="83"/>
      <c r="HE272" s="83"/>
      <c r="HF272" s="83"/>
      <c r="HG272" s="83"/>
      <c r="HH272" s="83"/>
      <c r="HI272" s="83"/>
      <c r="HJ272" s="83"/>
      <c r="HK272" s="83"/>
      <c r="HL272" s="83"/>
      <c r="HM272" s="83"/>
      <c r="HN272" s="83"/>
      <c r="HO272" s="83"/>
      <c r="HP272" s="83"/>
      <c r="HQ272" s="83"/>
      <c r="HR272" s="83"/>
      <c r="HS272" s="83"/>
      <c r="HT272" s="83"/>
      <c r="HU272" s="83"/>
      <c r="HV272" s="83"/>
      <c r="HW272" s="83"/>
      <c r="HX272" s="83"/>
      <c r="HY272" s="83"/>
      <c r="HZ272" s="83"/>
      <c r="IA272" s="83"/>
      <c r="IB272" s="83"/>
      <c r="IC272" s="83"/>
      <c r="ID272" s="83"/>
      <c r="IE272" s="83"/>
      <c r="IF272" s="83"/>
      <c r="IG272" s="83"/>
    </row>
    <row r="273" spans="1:241" x14ac:dyDescent="0.3">
      <c r="A273" s="83"/>
      <c r="B273" s="13">
        <v>4</v>
      </c>
      <c r="C273" s="15">
        <f t="shared" si="0"/>
        <v>2.5262913385408714</v>
      </c>
      <c r="D273" s="1"/>
      <c r="E273" s="1"/>
      <c r="F273" s="1"/>
      <c r="G273" s="1"/>
      <c r="H273" s="1"/>
      <c r="I273" s="1"/>
      <c r="J273" s="1"/>
      <c r="K273" s="1"/>
      <c r="L273" s="1"/>
      <c r="M273" s="1"/>
      <c r="N273" s="1"/>
      <c r="O273" s="1"/>
      <c r="P273" s="1"/>
      <c r="Q273" s="1"/>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c r="DD273" s="83"/>
      <c r="DE273" s="83"/>
      <c r="DF273" s="83"/>
      <c r="DG273" s="83"/>
      <c r="DH273" s="83"/>
      <c r="DI273" s="83"/>
      <c r="DJ273" s="83"/>
      <c r="DK273" s="83"/>
      <c r="DL273" s="83"/>
      <c r="DM273" s="83"/>
      <c r="DN273" s="83"/>
      <c r="DO273" s="83"/>
      <c r="DP273" s="83"/>
      <c r="DQ273" s="83"/>
      <c r="DR273" s="83"/>
      <c r="DS273" s="83"/>
      <c r="DT273" s="83"/>
      <c r="DU273" s="83"/>
      <c r="DV273" s="83"/>
      <c r="DW273" s="83"/>
      <c r="DX273" s="83"/>
      <c r="DY273" s="83"/>
      <c r="DZ273" s="83"/>
      <c r="EA273" s="83"/>
      <c r="EB273" s="83"/>
      <c r="EC273" s="83"/>
      <c r="ED273" s="83"/>
      <c r="EE273" s="83"/>
      <c r="EF273" s="83"/>
      <c r="EG273" s="83"/>
      <c r="EH273" s="83"/>
      <c r="EI273" s="83"/>
      <c r="EJ273" s="83"/>
      <c r="EK273" s="83"/>
      <c r="EL273" s="83"/>
      <c r="EM273" s="83"/>
      <c r="EN273" s="83"/>
      <c r="EO273" s="83"/>
      <c r="EP273" s="83"/>
      <c r="EQ273" s="83"/>
      <c r="ER273" s="83"/>
      <c r="ES273" s="83"/>
      <c r="ET273" s="83"/>
      <c r="EU273" s="83"/>
      <c r="EV273" s="83"/>
      <c r="EW273" s="83"/>
      <c r="EX273" s="83"/>
      <c r="EY273" s="83"/>
      <c r="EZ273" s="83"/>
      <c r="FA273" s="83"/>
      <c r="FB273" s="83"/>
      <c r="FC273" s="83"/>
      <c r="FD273" s="83"/>
      <c r="FE273" s="83"/>
      <c r="FF273" s="83"/>
      <c r="FG273" s="83"/>
      <c r="FH273" s="83"/>
      <c r="FI273" s="83"/>
      <c r="FJ273" s="83"/>
      <c r="FK273" s="83"/>
      <c r="FL273" s="83"/>
      <c r="FM273" s="83"/>
      <c r="FN273" s="83"/>
      <c r="FO273" s="83"/>
      <c r="FP273" s="83"/>
      <c r="FQ273" s="83"/>
      <c r="FR273" s="83"/>
      <c r="FS273" s="83"/>
      <c r="FT273" s="83"/>
      <c r="FU273" s="83"/>
      <c r="FV273" s="83"/>
      <c r="FW273" s="83"/>
      <c r="FX273" s="83"/>
      <c r="FY273" s="83"/>
      <c r="FZ273" s="83"/>
      <c r="GA273" s="83"/>
      <c r="GB273" s="83"/>
      <c r="GC273" s="83"/>
      <c r="GD273" s="83"/>
      <c r="GE273" s="83"/>
      <c r="GF273" s="83"/>
      <c r="GG273" s="83"/>
      <c r="GH273" s="83"/>
      <c r="GI273" s="83"/>
      <c r="GJ273" s="83"/>
      <c r="GK273" s="83"/>
      <c r="GL273" s="83"/>
      <c r="GM273" s="83"/>
      <c r="GN273" s="83"/>
      <c r="GO273" s="83"/>
      <c r="GP273" s="83"/>
      <c r="GQ273" s="83"/>
      <c r="GR273" s="83"/>
      <c r="GS273" s="83"/>
      <c r="GT273" s="83"/>
      <c r="GU273" s="83"/>
      <c r="GV273" s="83"/>
      <c r="GW273" s="83"/>
      <c r="GX273" s="83"/>
      <c r="GY273" s="83"/>
      <c r="GZ273" s="83"/>
      <c r="HA273" s="83"/>
      <c r="HB273" s="83"/>
      <c r="HC273" s="83"/>
      <c r="HD273" s="83"/>
      <c r="HE273" s="83"/>
      <c r="HF273" s="83"/>
      <c r="HG273" s="83"/>
      <c r="HH273" s="83"/>
      <c r="HI273" s="83"/>
      <c r="HJ273" s="83"/>
      <c r="HK273" s="83"/>
      <c r="HL273" s="83"/>
      <c r="HM273" s="83"/>
      <c r="HN273" s="83"/>
      <c r="HO273" s="83"/>
      <c r="HP273" s="83"/>
      <c r="HQ273" s="83"/>
      <c r="HR273" s="83"/>
      <c r="HS273" s="83"/>
      <c r="HT273" s="83"/>
      <c r="HU273" s="83"/>
      <c r="HV273" s="83"/>
      <c r="HW273" s="83"/>
      <c r="HX273" s="83"/>
      <c r="HY273" s="83"/>
      <c r="HZ273" s="83"/>
      <c r="IA273" s="83"/>
      <c r="IB273" s="83"/>
      <c r="IC273" s="83"/>
      <c r="ID273" s="83"/>
      <c r="IE273" s="83"/>
      <c r="IF273" s="83"/>
      <c r="IG273" s="83"/>
    </row>
    <row r="274" spans="1:241" x14ac:dyDescent="0.3">
      <c r="A274" s="83"/>
      <c r="B274" s="13">
        <v>5</v>
      </c>
      <c r="C274" s="15">
        <f t="shared" si="0"/>
        <v>2.3278110295375591</v>
      </c>
      <c r="D274" s="1"/>
      <c r="E274" s="1"/>
      <c r="F274" s="1"/>
      <c r="G274" s="1"/>
      <c r="H274" s="1"/>
      <c r="I274" s="1"/>
      <c r="J274" s="1"/>
      <c r="K274" s="1"/>
      <c r="L274" s="1"/>
      <c r="M274" s="1"/>
      <c r="N274" s="1"/>
      <c r="O274" s="1"/>
      <c r="P274" s="1"/>
      <c r="Q274" s="1"/>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c r="DD274" s="83"/>
      <c r="DE274" s="83"/>
      <c r="DF274" s="83"/>
      <c r="DG274" s="83"/>
      <c r="DH274" s="83"/>
      <c r="DI274" s="83"/>
      <c r="DJ274" s="83"/>
      <c r="DK274" s="83"/>
      <c r="DL274" s="83"/>
      <c r="DM274" s="83"/>
      <c r="DN274" s="83"/>
      <c r="DO274" s="83"/>
      <c r="DP274" s="83"/>
      <c r="DQ274" s="83"/>
      <c r="DR274" s="83"/>
      <c r="DS274" s="83"/>
      <c r="DT274" s="83"/>
      <c r="DU274" s="83"/>
      <c r="DV274" s="83"/>
      <c r="DW274" s="83"/>
      <c r="DX274" s="83"/>
      <c r="DY274" s="83"/>
      <c r="DZ274" s="83"/>
      <c r="EA274" s="83"/>
      <c r="EB274" s="83"/>
      <c r="EC274" s="83"/>
      <c r="ED274" s="83"/>
      <c r="EE274" s="83"/>
      <c r="EF274" s="83"/>
      <c r="EG274" s="83"/>
      <c r="EH274" s="83"/>
      <c r="EI274" s="83"/>
      <c r="EJ274" s="83"/>
      <c r="EK274" s="83"/>
      <c r="EL274" s="83"/>
      <c r="EM274" s="83"/>
      <c r="EN274" s="83"/>
      <c r="EO274" s="83"/>
      <c r="EP274" s="83"/>
      <c r="EQ274" s="83"/>
      <c r="ER274" s="83"/>
      <c r="ES274" s="83"/>
      <c r="ET274" s="83"/>
      <c r="EU274" s="83"/>
      <c r="EV274" s="83"/>
      <c r="EW274" s="83"/>
      <c r="EX274" s="83"/>
      <c r="EY274" s="83"/>
      <c r="EZ274" s="83"/>
      <c r="FA274" s="83"/>
      <c r="FB274" s="83"/>
      <c r="FC274" s="83"/>
      <c r="FD274" s="83"/>
      <c r="FE274" s="83"/>
      <c r="FF274" s="83"/>
      <c r="FG274" s="83"/>
      <c r="FH274" s="83"/>
      <c r="FI274" s="83"/>
      <c r="FJ274" s="83"/>
      <c r="FK274" s="83"/>
      <c r="FL274" s="83"/>
      <c r="FM274" s="83"/>
      <c r="FN274" s="83"/>
      <c r="FO274" s="83"/>
      <c r="FP274" s="83"/>
      <c r="FQ274" s="83"/>
      <c r="FR274" s="83"/>
      <c r="FS274" s="83"/>
      <c r="FT274" s="83"/>
      <c r="FU274" s="83"/>
      <c r="FV274" s="83"/>
      <c r="FW274" s="83"/>
      <c r="FX274" s="83"/>
      <c r="FY274" s="83"/>
      <c r="FZ274" s="83"/>
      <c r="GA274" s="83"/>
      <c r="GB274" s="83"/>
      <c r="GC274" s="83"/>
      <c r="GD274" s="83"/>
      <c r="GE274" s="83"/>
      <c r="GF274" s="83"/>
      <c r="GG274" s="83"/>
      <c r="GH274" s="83"/>
      <c r="GI274" s="83"/>
      <c r="GJ274" s="83"/>
      <c r="GK274" s="83"/>
      <c r="GL274" s="83"/>
      <c r="GM274" s="83"/>
      <c r="GN274" s="83"/>
      <c r="GO274" s="83"/>
      <c r="GP274" s="83"/>
      <c r="GQ274" s="83"/>
      <c r="GR274" s="83"/>
      <c r="GS274" s="83"/>
      <c r="GT274" s="83"/>
      <c r="GU274" s="83"/>
      <c r="GV274" s="83"/>
      <c r="GW274" s="83"/>
      <c r="GX274" s="83"/>
      <c r="GY274" s="83"/>
      <c r="GZ274" s="83"/>
      <c r="HA274" s="83"/>
      <c r="HB274" s="83"/>
      <c r="HC274" s="83"/>
      <c r="HD274" s="83"/>
      <c r="HE274" s="83"/>
      <c r="HF274" s="83"/>
      <c r="HG274" s="83"/>
      <c r="HH274" s="83"/>
      <c r="HI274" s="83"/>
      <c r="HJ274" s="83"/>
      <c r="HK274" s="83"/>
      <c r="HL274" s="83"/>
      <c r="HM274" s="83"/>
      <c r="HN274" s="83"/>
      <c r="HO274" s="83"/>
      <c r="HP274" s="83"/>
      <c r="HQ274" s="83"/>
      <c r="HR274" s="83"/>
      <c r="HS274" s="83"/>
      <c r="HT274" s="83"/>
      <c r="HU274" s="83"/>
      <c r="HV274" s="83"/>
      <c r="HW274" s="83"/>
      <c r="HX274" s="83"/>
      <c r="HY274" s="83"/>
      <c r="HZ274" s="83"/>
      <c r="IA274" s="83"/>
      <c r="IB274" s="83"/>
      <c r="IC274" s="83"/>
      <c r="ID274" s="83"/>
      <c r="IE274" s="83"/>
      <c r="IF274" s="83"/>
      <c r="IG274" s="83"/>
    </row>
    <row r="275" spans="1:241" x14ac:dyDescent="0.3">
      <c r="A275" s="83"/>
      <c r="B275" s="13">
        <v>8</v>
      </c>
      <c r="C275" s="15">
        <f t="shared" si="0"/>
        <v>1.8653449373966906</v>
      </c>
      <c r="D275" s="1"/>
      <c r="E275" s="1"/>
      <c r="F275" s="1"/>
      <c r="G275" s="1"/>
      <c r="H275" s="1"/>
      <c r="I275" s="1"/>
      <c r="J275" s="1"/>
      <c r="K275" s="1"/>
      <c r="L275" s="1"/>
      <c r="M275" s="1"/>
      <c r="N275" s="1"/>
      <c r="O275" s="1"/>
      <c r="P275" s="1"/>
      <c r="Q275" s="1"/>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c r="DD275" s="83"/>
      <c r="DE275" s="83"/>
      <c r="DF275" s="83"/>
      <c r="DG275" s="83"/>
      <c r="DH275" s="83"/>
      <c r="DI275" s="83"/>
      <c r="DJ275" s="83"/>
      <c r="DK275" s="83"/>
      <c r="DL275" s="83"/>
      <c r="DM275" s="83"/>
      <c r="DN275" s="83"/>
      <c r="DO275" s="83"/>
      <c r="DP275" s="83"/>
      <c r="DQ275" s="83"/>
      <c r="DR275" s="83"/>
      <c r="DS275" s="83"/>
      <c r="DT275" s="83"/>
      <c r="DU275" s="83"/>
      <c r="DV275" s="83"/>
      <c r="DW275" s="83"/>
      <c r="DX275" s="83"/>
      <c r="DY275" s="83"/>
      <c r="DZ275" s="83"/>
      <c r="EA275" s="83"/>
      <c r="EB275" s="83"/>
      <c r="EC275" s="83"/>
      <c r="ED275" s="83"/>
      <c r="EE275" s="83"/>
      <c r="EF275" s="83"/>
      <c r="EG275" s="83"/>
      <c r="EH275" s="83"/>
      <c r="EI275" s="83"/>
      <c r="EJ275" s="83"/>
      <c r="EK275" s="83"/>
      <c r="EL275" s="83"/>
      <c r="EM275" s="83"/>
      <c r="EN275" s="83"/>
      <c r="EO275" s="83"/>
      <c r="EP275" s="83"/>
      <c r="EQ275" s="83"/>
      <c r="ER275" s="83"/>
      <c r="ES275" s="83"/>
      <c r="ET275" s="83"/>
      <c r="EU275" s="83"/>
      <c r="EV275" s="83"/>
      <c r="EW275" s="83"/>
      <c r="EX275" s="83"/>
      <c r="EY275" s="83"/>
      <c r="EZ275" s="83"/>
      <c r="FA275" s="83"/>
      <c r="FB275" s="83"/>
      <c r="FC275" s="83"/>
      <c r="FD275" s="83"/>
      <c r="FE275" s="83"/>
      <c r="FF275" s="83"/>
      <c r="FG275" s="83"/>
      <c r="FH275" s="83"/>
      <c r="FI275" s="83"/>
      <c r="FJ275" s="83"/>
      <c r="FK275" s="83"/>
      <c r="FL275" s="83"/>
      <c r="FM275" s="83"/>
      <c r="FN275" s="83"/>
      <c r="FO275" s="83"/>
      <c r="FP275" s="83"/>
      <c r="FQ275" s="83"/>
      <c r="FR275" s="83"/>
      <c r="FS275" s="83"/>
      <c r="FT275" s="83"/>
      <c r="FU275" s="83"/>
      <c r="FV275" s="83"/>
      <c r="FW275" s="83"/>
      <c r="FX275" s="83"/>
      <c r="FY275" s="83"/>
      <c r="FZ275" s="83"/>
      <c r="GA275" s="83"/>
      <c r="GB275" s="83"/>
      <c r="GC275" s="83"/>
      <c r="GD275" s="83"/>
      <c r="GE275" s="83"/>
      <c r="GF275" s="83"/>
      <c r="GG275" s="83"/>
      <c r="GH275" s="83"/>
      <c r="GI275" s="83"/>
      <c r="GJ275" s="83"/>
      <c r="GK275" s="83"/>
      <c r="GL275" s="83"/>
      <c r="GM275" s="83"/>
      <c r="GN275" s="83"/>
      <c r="GO275" s="83"/>
      <c r="GP275" s="83"/>
      <c r="GQ275" s="83"/>
      <c r="GR275" s="83"/>
      <c r="GS275" s="83"/>
      <c r="GT275" s="83"/>
      <c r="GU275" s="83"/>
      <c r="GV275" s="83"/>
      <c r="GW275" s="83"/>
      <c r="GX275" s="83"/>
      <c r="GY275" s="83"/>
      <c r="GZ275" s="83"/>
      <c r="HA275" s="83"/>
      <c r="HB275" s="83"/>
      <c r="HC275" s="83"/>
      <c r="HD275" s="83"/>
      <c r="HE275" s="83"/>
      <c r="HF275" s="83"/>
      <c r="HG275" s="83"/>
      <c r="HH275" s="83"/>
      <c r="HI275" s="83"/>
      <c r="HJ275" s="83"/>
      <c r="HK275" s="83"/>
      <c r="HL275" s="83"/>
      <c r="HM275" s="83"/>
      <c r="HN275" s="83"/>
      <c r="HO275" s="83"/>
      <c r="HP275" s="83"/>
      <c r="HQ275" s="83"/>
      <c r="HR275" s="83"/>
      <c r="HS275" s="83"/>
      <c r="HT275" s="83"/>
      <c r="HU275" s="83"/>
      <c r="HV275" s="83"/>
      <c r="HW275" s="83"/>
      <c r="HX275" s="83"/>
      <c r="HY275" s="83"/>
      <c r="HZ275" s="83"/>
      <c r="IA275" s="83"/>
      <c r="IB275" s="83"/>
      <c r="IC275" s="83"/>
      <c r="ID275" s="83"/>
      <c r="IE275" s="83"/>
      <c r="IF275" s="83"/>
      <c r="IG275" s="83"/>
    </row>
    <row r="276" spans="1:241" x14ac:dyDescent="0.3">
      <c r="A276" s="83"/>
      <c r="B276" s="13">
        <v>10</v>
      </c>
      <c r="C276" s="15">
        <f t="shared" si="0"/>
        <v>1.6404386762556979</v>
      </c>
      <c r="D276" s="1"/>
      <c r="E276" s="1"/>
      <c r="F276" s="1"/>
      <c r="G276" s="1"/>
      <c r="H276" s="1"/>
      <c r="I276" s="1"/>
      <c r="J276" s="1"/>
      <c r="K276" s="1"/>
      <c r="L276" s="1"/>
      <c r="M276" s="1"/>
      <c r="N276" s="1"/>
      <c r="O276" s="1"/>
      <c r="P276" s="1"/>
      <c r="Q276" s="1"/>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c r="DD276" s="83"/>
      <c r="DE276" s="83"/>
      <c r="DF276" s="83"/>
      <c r="DG276" s="83"/>
      <c r="DH276" s="83"/>
      <c r="DI276" s="83"/>
      <c r="DJ276" s="83"/>
      <c r="DK276" s="83"/>
      <c r="DL276" s="83"/>
      <c r="DM276" s="83"/>
      <c r="DN276" s="83"/>
      <c r="DO276" s="83"/>
      <c r="DP276" s="83"/>
      <c r="DQ276" s="83"/>
      <c r="DR276" s="83"/>
      <c r="DS276" s="83"/>
      <c r="DT276" s="83"/>
      <c r="DU276" s="83"/>
      <c r="DV276" s="83"/>
      <c r="DW276" s="83"/>
      <c r="DX276" s="83"/>
      <c r="DY276" s="83"/>
      <c r="DZ276" s="83"/>
      <c r="EA276" s="83"/>
      <c r="EB276" s="83"/>
      <c r="EC276" s="83"/>
      <c r="ED276" s="83"/>
      <c r="EE276" s="83"/>
      <c r="EF276" s="83"/>
      <c r="EG276" s="83"/>
      <c r="EH276" s="83"/>
      <c r="EI276" s="83"/>
      <c r="EJ276" s="83"/>
      <c r="EK276" s="83"/>
      <c r="EL276" s="83"/>
      <c r="EM276" s="83"/>
      <c r="EN276" s="83"/>
      <c r="EO276" s="83"/>
      <c r="EP276" s="83"/>
      <c r="EQ276" s="83"/>
      <c r="ER276" s="83"/>
      <c r="ES276" s="83"/>
      <c r="ET276" s="83"/>
      <c r="EU276" s="83"/>
      <c r="EV276" s="83"/>
      <c r="EW276" s="83"/>
      <c r="EX276" s="83"/>
      <c r="EY276" s="83"/>
      <c r="EZ276" s="83"/>
      <c r="FA276" s="83"/>
      <c r="FB276" s="83"/>
      <c r="FC276" s="83"/>
      <c r="FD276" s="83"/>
      <c r="FE276" s="83"/>
      <c r="FF276" s="83"/>
      <c r="FG276" s="83"/>
      <c r="FH276" s="83"/>
      <c r="FI276" s="83"/>
      <c r="FJ276" s="83"/>
      <c r="FK276" s="83"/>
      <c r="FL276" s="83"/>
      <c r="FM276" s="83"/>
      <c r="FN276" s="83"/>
      <c r="FO276" s="83"/>
      <c r="FP276" s="83"/>
      <c r="FQ276" s="83"/>
      <c r="FR276" s="83"/>
      <c r="FS276" s="83"/>
      <c r="FT276" s="83"/>
      <c r="FU276" s="83"/>
      <c r="FV276" s="83"/>
      <c r="FW276" s="83"/>
      <c r="FX276" s="83"/>
      <c r="FY276" s="83"/>
      <c r="FZ276" s="83"/>
      <c r="GA276" s="83"/>
      <c r="GB276" s="83"/>
      <c r="GC276" s="83"/>
      <c r="GD276" s="83"/>
      <c r="GE276" s="83"/>
      <c r="GF276" s="83"/>
      <c r="GG276" s="83"/>
      <c r="GH276" s="83"/>
      <c r="GI276" s="83"/>
      <c r="GJ276" s="83"/>
      <c r="GK276" s="83"/>
      <c r="GL276" s="83"/>
      <c r="GM276" s="83"/>
      <c r="GN276" s="83"/>
      <c r="GO276" s="83"/>
      <c r="GP276" s="83"/>
      <c r="GQ276" s="83"/>
      <c r="GR276" s="83"/>
      <c r="GS276" s="83"/>
      <c r="GT276" s="83"/>
      <c r="GU276" s="83"/>
      <c r="GV276" s="83"/>
      <c r="GW276" s="83"/>
      <c r="GX276" s="83"/>
      <c r="GY276" s="83"/>
      <c r="GZ276" s="83"/>
      <c r="HA276" s="83"/>
      <c r="HB276" s="83"/>
      <c r="HC276" s="83"/>
      <c r="HD276" s="83"/>
      <c r="HE276" s="83"/>
      <c r="HF276" s="83"/>
      <c r="HG276" s="83"/>
      <c r="HH276" s="83"/>
      <c r="HI276" s="83"/>
      <c r="HJ276" s="83"/>
      <c r="HK276" s="83"/>
      <c r="HL276" s="83"/>
      <c r="HM276" s="83"/>
      <c r="HN276" s="83"/>
      <c r="HO276" s="83"/>
      <c r="HP276" s="83"/>
      <c r="HQ276" s="83"/>
      <c r="HR276" s="83"/>
      <c r="HS276" s="83"/>
      <c r="HT276" s="83"/>
      <c r="HU276" s="83"/>
      <c r="HV276" s="83"/>
      <c r="HW276" s="83"/>
      <c r="HX276" s="83"/>
      <c r="HY276" s="83"/>
      <c r="HZ276" s="83"/>
      <c r="IA276" s="83"/>
      <c r="IB276" s="83"/>
      <c r="IC276" s="83"/>
      <c r="ID276" s="83"/>
      <c r="IE276" s="83"/>
      <c r="IF276" s="83"/>
      <c r="IG276" s="83"/>
    </row>
    <row r="277" spans="1:241" x14ac:dyDescent="0.3">
      <c r="A277" s="83"/>
      <c r="B277" s="13">
        <v>15</v>
      </c>
      <c r="C277" s="15">
        <f t="shared" si="0"/>
        <v>1.2498958296278693</v>
      </c>
      <c r="D277" s="1"/>
      <c r="E277" s="1"/>
      <c r="F277" s="1"/>
      <c r="G277" s="1"/>
      <c r="H277" s="1"/>
      <c r="I277" s="1"/>
      <c r="J277" s="1"/>
      <c r="K277" s="1"/>
      <c r="L277" s="1"/>
      <c r="M277" s="1"/>
      <c r="N277" s="1"/>
      <c r="O277" s="1"/>
      <c r="P277" s="1"/>
      <c r="Q277" s="1"/>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c r="DD277" s="83"/>
      <c r="DE277" s="83"/>
      <c r="DF277" s="83"/>
      <c r="DG277" s="83"/>
      <c r="DH277" s="83"/>
      <c r="DI277" s="83"/>
      <c r="DJ277" s="83"/>
      <c r="DK277" s="83"/>
      <c r="DL277" s="83"/>
      <c r="DM277" s="83"/>
      <c r="DN277" s="83"/>
      <c r="DO277" s="83"/>
      <c r="DP277" s="83"/>
      <c r="DQ277" s="83"/>
      <c r="DR277" s="83"/>
      <c r="DS277" s="83"/>
      <c r="DT277" s="83"/>
      <c r="DU277" s="83"/>
      <c r="DV277" s="83"/>
      <c r="DW277" s="83"/>
      <c r="DX277" s="83"/>
      <c r="DY277" s="83"/>
      <c r="DZ277" s="83"/>
      <c r="EA277" s="83"/>
      <c r="EB277" s="83"/>
      <c r="EC277" s="83"/>
      <c r="ED277" s="83"/>
      <c r="EE277" s="83"/>
      <c r="EF277" s="83"/>
      <c r="EG277" s="83"/>
      <c r="EH277" s="83"/>
      <c r="EI277" s="83"/>
      <c r="EJ277" s="83"/>
      <c r="EK277" s="83"/>
      <c r="EL277" s="83"/>
      <c r="EM277" s="83"/>
      <c r="EN277" s="83"/>
      <c r="EO277" s="83"/>
      <c r="EP277" s="83"/>
      <c r="EQ277" s="83"/>
      <c r="ER277" s="83"/>
      <c r="ES277" s="83"/>
      <c r="ET277" s="83"/>
      <c r="EU277" s="83"/>
      <c r="EV277" s="83"/>
      <c r="EW277" s="83"/>
      <c r="EX277" s="83"/>
      <c r="EY277" s="83"/>
      <c r="EZ277" s="83"/>
      <c r="FA277" s="83"/>
      <c r="FB277" s="83"/>
      <c r="FC277" s="83"/>
      <c r="FD277" s="83"/>
      <c r="FE277" s="83"/>
      <c r="FF277" s="83"/>
      <c r="FG277" s="83"/>
      <c r="FH277" s="83"/>
      <c r="FI277" s="83"/>
      <c r="FJ277" s="83"/>
      <c r="FK277" s="83"/>
      <c r="FL277" s="83"/>
      <c r="FM277" s="83"/>
      <c r="FN277" s="83"/>
      <c r="FO277" s="83"/>
      <c r="FP277" s="83"/>
      <c r="FQ277" s="83"/>
      <c r="FR277" s="83"/>
      <c r="FS277" s="83"/>
      <c r="FT277" s="83"/>
      <c r="FU277" s="83"/>
      <c r="FV277" s="83"/>
      <c r="FW277" s="83"/>
      <c r="FX277" s="83"/>
      <c r="FY277" s="83"/>
      <c r="FZ277" s="83"/>
      <c r="GA277" s="83"/>
      <c r="GB277" s="83"/>
      <c r="GC277" s="83"/>
      <c r="GD277" s="83"/>
      <c r="GE277" s="83"/>
      <c r="GF277" s="83"/>
      <c r="GG277" s="83"/>
      <c r="GH277" s="83"/>
      <c r="GI277" s="83"/>
      <c r="GJ277" s="83"/>
      <c r="GK277" s="83"/>
      <c r="GL277" s="83"/>
      <c r="GM277" s="83"/>
      <c r="GN277" s="83"/>
      <c r="GO277" s="83"/>
      <c r="GP277" s="83"/>
      <c r="GQ277" s="83"/>
      <c r="GR277" s="83"/>
      <c r="GS277" s="83"/>
      <c r="GT277" s="83"/>
      <c r="GU277" s="83"/>
      <c r="GV277" s="83"/>
      <c r="GW277" s="83"/>
      <c r="GX277" s="83"/>
      <c r="GY277" s="83"/>
      <c r="GZ277" s="83"/>
      <c r="HA277" s="83"/>
      <c r="HB277" s="83"/>
      <c r="HC277" s="83"/>
      <c r="HD277" s="83"/>
      <c r="HE277" s="83"/>
      <c r="HF277" s="83"/>
      <c r="HG277" s="83"/>
      <c r="HH277" s="83"/>
      <c r="HI277" s="83"/>
      <c r="HJ277" s="83"/>
      <c r="HK277" s="83"/>
      <c r="HL277" s="83"/>
      <c r="HM277" s="83"/>
      <c r="HN277" s="83"/>
      <c r="HO277" s="83"/>
      <c r="HP277" s="83"/>
      <c r="HQ277" s="83"/>
      <c r="HR277" s="83"/>
      <c r="HS277" s="83"/>
      <c r="HT277" s="83"/>
      <c r="HU277" s="83"/>
      <c r="HV277" s="83"/>
      <c r="HW277" s="83"/>
      <c r="HX277" s="83"/>
      <c r="HY277" s="83"/>
      <c r="HZ277" s="83"/>
      <c r="IA277" s="83"/>
      <c r="IB277" s="83"/>
      <c r="IC277" s="83"/>
      <c r="ID277" s="83"/>
      <c r="IE277" s="83"/>
      <c r="IF277" s="83"/>
      <c r="IG277" s="83"/>
    </row>
    <row r="278" spans="1:241" x14ac:dyDescent="0.3">
      <c r="A278" s="83"/>
      <c r="B278" s="13">
        <v>20</v>
      </c>
      <c r="C278" s="15">
        <f t="shared" si="0"/>
        <v>1.0000651203747728</v>
      </c>
      <c r="D278" s="1"/>
      <c r="E278" s="1"/>
      <c r="F278" s="1"/>
      <c r="G278" s="1"/>
      <c r="H278" s="1"/>
      <c r="I278" s="1"/>
      <c r="J278" s="1"/>
      <c r="K278" s="1"/>
      <c r="L278" s="1"/>
      <c r="M278" s="1"/>
      <c r="N278" s="1"/>
      <c r="O278" s="1"/>
      <c r="P278" s="1"/>
      <c r="Q278" s="1"/>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c r="DD278" s="83"/>
      <c r="DE278" s="83"/>
      <c r="DF278" s="83"/>
      <c r="DG278" s="83"/>
      <c r="DH278" s="83"/>
      <c r="DI278" s="83"/>
      <c r="DJ278" s="83"/>
      <c r="DK278" s="83"/>
      <c r="DL278" s="83"/>
      <c r="DM278" s="83"/>
      <c r="DN278" s="83"/>
      <c r="DO278" s="83"/>
      <c r="DP278" s="83"/>
      <c r="DQ278" s="83"/>
      <c r="DR278" s="83"/>
      <c r="DS278" s="83"/>
      <c r="DT278" s="83"/>
      <c r="DU278" s="83"/>
      <c r="DV278" s="83"/>
      <c r="DW278" s="83"/>
      <c r="DX278" s="83"/>
      <c r="DY278" s="83"/>
      <c r="DZ278" s="83"/>
      <c r="EA278" s="83"/>
      <c r="EB278" s="83"/>
      <c r="EC278" s="83"/>
      <c r="ED278" s="83"/>
      <c r="EE278" s="83"/>
      <c r="EF278" s="83"/>
      <c r="EG278" s="83"/>
      <c r="EH278" s="83"/>
      <c r="EI278" s="83"/>
      <c r="EJ278" s="83"/>
      <c r="EK278" s="83"/>
      <c r="EL278" s="83"/>
      <c r="EM278" s="83"/>
      <c r="EN278" s="83"/>
      <c r="EO278" s="83"/>
      <c r="EP278" s="83"/>
      <c r="EQ278" s="83"/>
      <c r="ER278" s="83"/>
      <c r="ES278" s="83"/>
      <c r="ET278" s="83"/>
      <c r="EU278" s="83"/>
      <c r="EV278" s="83"/>
      <c r="EW278" s="83"/>
      <c r="EX278" s="83"/>
      <c r="EY278" s="83"/>
      <c r="EZ278" s="83"/>
      <c r="FA278" s="83"/>
      <c r="FB278" s="83"/>
      <c r="FC278" s="83"/>
      <c r="FD278" s="83"/>
      <c r="FE278" s="83"/>
      <c r="FF278" s="83"/>
      <c r="FG278" s="83"/>
      <c r="FH278" s="83"/>
      <c r="FI278" s="83"/>
      <c r="FJ278" s="83"/>
      <c r="FK278" s="83"/>
      <c r="FL278" s="83"/>
      <c r="FM278" s="83"/>
      <c r="FN278" s="83"/>
      <c r="FO278" s="83"/>
      <c r="FP278" s="83"/>
      <c r="FQ278" s="83"/>
      <c r="FR278" s="83"/>
      <c r="FS278" s="83"/>
      <c r="FT278" s="83"/>
      <c r="FU278" s="83"/>
      <c r="FV278" s="83"/>
      <c r="FW278" s="83"/>
      <c r="FX278" s="83"/>
      <c r="FY278" s="83"/>
      <c r="FZ278" s="83"/>
      <c r="GA278" s="83"/>
      <c r="GB278" s="83"/>
      <c r="GC278" s="83"/>
      <c r="GD278" s="83"/>
      <c r="GE278" s="83"/>
      <c r="GF278" s="83"/>
      <c r="GG278" s="83"/>
      <c r="GH278" s="83"/>
      <c r="GI278" s="83"/>
      <c r="GJ278" s="83"/>
      <c r="GK278" s="83"/>
      <c r="GL278" s="83"/>
      <c r="GM278" s="83"/>
      <c r="GN278" s="83"/>
      <c r="GO278" s="83"/>
      <c r="GP278" s="83"/>
      <c r="GQ278" s="83"/>
      <c r="GR278" s="83"/>
      <c r="GS278" s="83"/>
      <c r="GT278" s="83"/>
      <c r="GU278" s="83"/>
      <c r="GV278" s="83"/>
      <c r="GW278" s="83"/>
      <c r="GX278" s="83"/>
      <c r="GY278" s="83"/>
      <c r="GZ278" s="83"/>
      <c r="HA278" s="83"/>
      <c r="HB278" s="83"/>
      <c r="HC278" s="83"/>
      <c r="HD278" s="83"/>
      <c r="HE278" s="83"/>
      <c r="HF278" s="83"/>
      <c r="HG278" s="83"/>
      <c r="HH278" s="83"/>
      <c r="HI278" s="83"/>
      <c r="HJ278" s="83"/>
      <c r="HK278" s="83"/>
      <c r="HL278" s="83"/>
      <c r="HM278" s="83"/>
      <c r="HN278" s="83"/>
      <c r="HO278" s="83"/>
      <c r="HP278" s="83"/>
      <c r="HQ278" s="83"/>
      <c r="HR278" s="83"/>
      <c r="HS278" s="83"/>
      <c r="HT278" s="83"/>
      <c r="HU278" s="83"/>
      <c r="HV278" s="83"/>
      <c r="HW278" s="83"/>
      <c r="HX278" s="83"/>
      <c r="HY278" s="83"/>
      <c r="HZ278" s="83"/>
      <c r="IA278" s="83"/>
      <c r="IB278" s="83"/>
      <c r="IC278" s="83"/>
      <c r="ID278" s="83"/>
      <c r="IE278" s="83"/>
      <c r="IF278" s="83"/>
      <c r="IG278" s="83"/>
    </row>
    <row r="279" spans="1:241" x14ac:dyDescent="0.3">
      <c r="A279" s="83"/>
      <c r="B279" s="1"/>
      <c r="C279" s="1"/>
      <c r="D279" s="1"/>
      <c r="E279" s="1"/>
      <c r="F279" s="1"/>
      <c r="G279" s="1"/>
      <c r="H279" s="1"/>
      <c r="I279" s="1"/>
      <c r="J279" s="1"/>
      <c r="K279" s="1"/>
      <c r="L279" s="1"/>
      <c r="M279" s="1"/>
      <c r="N279" s="1"/>
      <c r="O279" s="1"/>
      <c r="P279" s="1"/>
      <c r="Q279" s="1"/>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c r="DD279" s="83"/>
      <c r="DE279" s="83"/>
      <c r="DF279" s="83"/>
      <c r="DG279" s="83"/>
      <c r="DH279" s="83"/>
      <c r="DI279" s="83"/>
      <c r="DJ279" s="83"/>
      <c r="DK279" s="83"/>
      <c r="DL279" s="83"/>
      <c r="DM279" s="83"/>
      <c r="DN279" s="83"/>
      <c r="DO279" s="83"/>
      <c r="DP279" s="83"/>
      <c r="DQ279" s="83"/>
      <c r="DR279" s="83"/>
      <c r="DS279" s="83"/>
      <c r="DT279" s="83"/>
      <c r="DU279" s="83"/>
      <c r="DV279" s="83"/>
      <c r="DW279" s="83"/>
      <c r="DX279" s="83"/>
      <c r="DY279" s="83"/>
      <c r="DZ279" s="83"/>
      <c r="EA279" s="83"/>
      <c r="EB279" s="83"/>
      <c r="EC279" s="83"/>
      <c r="ED279" s="83"/>
      <c r="EE279" s="83"/>
      <c r="EF279" s="83"/>
      <c r="EG279" s="83"/>
      <c r="EH279" s="83"/>
      <c r="EI279" s="83"/>
      <c r="EJ279" s="83"/>
      <c r="EK279" s="83"/>
      <c r="EL279" s="83"/>
      <c r="EM279" s="83"/>
      <c r="EN279" s="83"/>
      <c r="EO279" s="83"/>
      <c r="EP279" s="83"/>
      <c r="EQ279" s="83"/>
      <c r="ER279" s="83"/>
      <c r="ES279" s="83"/>
      <c r="ET279" s="83"/>
      <c r="EU279" s="83"/>
      <c r="EV279" s="83"/>
      <c r="EW279" s="83"/>
      <c r="EX279" s="83"/>
      <c r="EY279" s="83"/>
      <c r="EZ279" s="83"/>
      <c r="FA279" s="83"/>
      <c r="FB279" s="83"/>
      <c r="FC279" s="83"/>
      <c r="FD279" s="83"/>
      <c r="FE279" s="83"/>
      <c r="FF279" s="83"/>
      <c r="FG279" s="83"/>
      <c r="FH279" s="83"/>
      <c r="FI279" s="83"/>
      <c r="FJ279" s="83"/>
      <c r="FK279" s="83"/>
      <c r="FL279" s="83"/>
      <c r="FM279" s="83"/>
      <c r="FN279" s="83"/>
      <c r="FO279" s="83"/>
      <c r="FP279" s="83"/>
      <c r="FQ279" s="83"/>
      <c r="FR279" s="83"/>
      <c r="FS279" s="83"/>
      <c r="FT279" s="83"/>
      <c r="FU279" s="83"/>
      <c r="FV279" s="83"/>
      <c r="FW279" s="83"/>
      <c r="FX279" s="83"/>
      <c r="FY279" s="83"/>
      <c r="FZ279" s="83"/>
      <c r="GA279" s="83"/>
      <c r="GB279" s="83"/>
      <c r="GC279" s="83"/>
      <c r="GD279" s="83"/>
      <c r="GE279" s="83"/>
      <c r="GF279" s="83"/>
      <c r="GG279" s="83"/>
      <c r="GH279" s="83"/>
      <c r="GI279" s="83"/>
      <c r="GJ279" s="83"/>
      <c r="GK279" s="83"/>
      <c r="GL279" s="83"/>
      <c r="GM279" s="83"/>
      <c r="GN279" s="83"/>
      <c r="GO279" s="83"/>
      <c r="GP279" s="83"/>
      <c r="GQ279" s="83"/>
      <c r="GR279" s="83"/>
      <c r="GS279" s="83"/>
      <c r="GT279" s="83"/>
      <c r="GU279" s="83"/>
      <c r="GV279" s="83"/>
      <c r="GW279" s="83"/>
      <c r="GX279" s="83"/>
      <c r="GY279" s="83"/>
      <c r="GZ279" s="83"/>
      <c r="HA279" s="83"/>
      <c r="HB279" s="83"/>
      <c r="HC279" s="83"/>
      <c r="HD279" s="83"/>
      <c r="HE279" s="83"/>
      <c r="HF279" s="83"/>
      <c r="HG279" s="83"/>
      <c r="HH279" s="83"/>
      <c r="HI279" s="83"/>
      <c r="HJ279" s="83"/>
      <c r="HK279" s="83"/>
      <c r="HL279" s="83"/>
      <c r="HM279" s="83"/>
      <c r="HN279" s="83"/>
      <c r="HO279" s="83"/>
      <c r="HP279" s="83"/>
      <c r="HQ279" s="83"/>
      <c r="HR279" s="83"/>
      <c r="HS279" s="83"/>
      <c r="HT279" s="83"/>
      <c r="HU279" s="83"/>
      <c r="HV279" s="83"/>
      <c r="HW279" s="83"/>
      <c r="HX279" s="83"/>
      <c r="HY279" s="83"/>
      <c r="HZ279" s="83"/>
      <c r="IA279" s="83"/>
      <c r="IB279" s="83"/>
      <c r="IC279" s="83"/>
      <c r="ID279" s="83"/>
      <c r="IE279" s="83"/>
      <c r="IF279" s="83"/>
      <c r="IG279" s="83"/>
    </row>
    <row r="280" spans="1:241" x14ac:dyDescent="0.3">
      <c r="A280" s="83"/>
      <c r="B280" s="1"/>
      <c r="C280" s="1"/>
      <c r="D280" s="1"/>
      <c r="E280" s="1"/>
      <c r="F280" s="1"/>
      <c r="G280" s="1"/>
      <c r="H280" s="1"/>
      <c r="I280" s="1"/>
      <c r="J280" s="1"/>
      <c r="K280" s="1"/>
      <c r="L280" s="1"/>
      <c r="M280" s="1"/>
      <c r="N280" s="1"/>
      <c r="O280" s="1"/>
      <c r="P280" s="1"/>
      <c r="Q280" s="1"/>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c r="DD280" s="83"/>
      <c r="DE280" s="83"/>
      <c r="DF280" s="83"/>
      <c r="DG280" s="83"/>
      <c r="DH280" s="83"/>
      <c r="DI280" s="83"/>
      <c r="DJ280" s="83"/>
      <c r="DK280" s="83"/>
      <c r="DL280" s="83"/>
      <c r="DM280" s="83"/>
      <c r="DN280" s="83"/>
      <c r="DO280" s="83"/>
      <c r="DP280" s="83"/>
      <c r="DQ280" s="83"/>
      <c r="DR280" s="83"/>
      <c r="DS280" s="83"/>
      <c r="DT280" s="83"/>
      <c r="DU280" s="83"/>
      <c r="DV280" s="83"/>
      <c r="DW280" s="83"/>
      <c r="DX280" s="83"/>
      <c r="DY280" s="83"/>
      <c r="DZ280" s="83"/>
      <c r="EA280" s="83"/>
      <c r="EB280" s="83"/>
      <c r="EC280" s="83"/>
      <c r="ED280" s="83"/>
      <c r="EE280" s="83"/>
      <c r="EF280" s="83"/>
      <c r="EG280" s="83"/>
      <c r="EH280" s="83"/>
      <c r="EI280" s="83"/>
      <c r="EJ280" s="83"/>
      <c r="EK280" s="83"/>
      <c r="EL280" s="83"/>
      <c r="EM280" s="83"/>
      <c r="EN280" s="83"/>
      <c r="EO280" s="83"/>
      <c r="EP280" s="83"/>
      <c r="EQ280" s="83"/>
      <c r="ER280" s="83"/>
      <c r="ES280" s="83"/>
      <c r="ET280" s="83"/>
      <c r="EU280" s="83"/>
      <c r="EV280" s="83"/>
      <c r="EW280" s="83"/>
      <c r="EX280" s="83"/>
      <c r="EY280" s="83"/>
      <c r="EZ280" s="83"/>
      <c r="FA280" s="83"/>
      <c r="FB280" s="83"/>
      <c r="FC280" s="83"/>
      <c r="FD280" s="83"/>
      <c r="FE280" s="83"/>
      <c r="FF280" s="83"/>
      <c r="FG280" s="83"/>
      <c r="FH280" s="83"/>
      <c r="FI280" s="83"/>
      <c r="FJ280" s="83"/>
      <c r="FK280" s="83"/>
      <c r="FL280" s="83"/>
      <c r="FM280" s="83"/>
      <c r="FN280" s="83"/>
      <c r="FO280" s="83"/>
      <c r="FP280" s="83"/>
      <c r="FQ280" s="83"/>
      <c r="FR280" s="83"/>
      <c r="FS280" s="83"/>
      <c r="FT280" s="83"/>
      <c r="FU280" s="83"/>
      <c r="FV280" s="83"/>
      <c r="FW280" s="83"/>
      <c r="FX280" s="83"/>
      <c r="FY280" s="83"/>
      <c r="FZ280" s="83"/>
      <c r="GA280" s="83"/>
      <c r="GB280" s="83"/>
      <c r="GC280" s="83"/>
      <c r="GD280" s="83"/>
      <c r="GE280" s="83"/>
      <c r="GF280" s="83"/>
      <c r="GG280" s="83"/>
      <c r="GH280" s="83"/>
      <c r="GI280" s="83"/>
      <c r="GJ280" s="83"/>
      <c r="GK280" s="83"/>
      <c r="GL280" s="83"/>
      <c r="GM280" s="83"/>
      <c r="GN280" s="83"/>
      <c r="GO280" s="83"/>
      <c r="GP280" s="83"/>
      <c r="GQ280" s="83"/>
      <c r="GR280" s="83"/>
      <c r="GS280" s="83"/>
      <c r="GT280" s="83"/>
      <c r="GU280" s="83"/>
      <c r="GV280" s="83"/>
      <c r="GW280" s="83"/>
      <c r="GX280" s="83"/>
      <c r="GY280" s="83"/>
      <c r="GZ280" s="83"/>
      <c r="HA280" s="83"/>
      <c r="HB280" s="83"/>
      <c r="HC280" s="83"/>
      <c r="HD280" s="83"/>
      <c r="HE280" s="83"/>
      <c r="HF280" s="83"/>
      <c r="HG280" s="83"/>
      <c r="HH280" s="83"/>
      <c r="HI280" s="83"/>
      <c r="HJ280" s="83"/>
      <c r="HK280" s="83"/>
      <c r="HL280" s="83"/>
      <c r="HM280" s="83"/>
      <c r="HN280" s="83"/>
      <c r="HO280" s="83"/>
      <c r="HP280" s="83"/>
      <c r="HQ280" s="83"/>
      <c r="HR280" s="83"/>
      <c r="HS280" s="83"/>
      <c r="HT280" s="83"/>
      <c r="HU280" s="83"/>
      <c r="HV280" s="83"/>
      <c r="HW280" s="83"/>
      <c r="HX280" s="83"/>
      <c r="HY280" s="83"/>
      <c r="HZ280" s="83"/>
      <c r="IA280" s="83"/>
      <c r="IB280" s="83"/>
      <c r="IC280" s="83"/>
      <c r="ID280" s="83"/>
      <c r="IE280" s="83"/>
      <c r="IF280" s="83"/>
      <c r="IG280" s="83"/>
    </row>
    <row r="281" spans="1:241" x14ac:dyDescent="0.3">
      <c r="A281" s="83"/>
      <c r="B281" s="2" t="s">
        <v>536</v>
      </c>
      <c r="C281" s="1"/>
      <c r="D281" s="1"/>
      <c r="E281" s="1"/>
      <c r="F281" s="1"/>
      <c r="G281" s="1"/>
      <c r="H281" s="1"/>
      <c r="I281" s="1"/>
      <c r="J281" s="1"/>
      <c r="K281" s="1"/>
      <c r="L281" s="1"/>
      <c r="M281" s="1"/>
      <c r="N281" s="1"/>
      <c r="O281" s="1"/>
      <c r="P281" s="1"/>
      <c r="Q281" s="1"/>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c r="DD281" s="83"/>
      <c r="DE281" s="83"/>
      <c r="DF281" s="83"/>
      <c r="DG281" s="83"/>
      <c r="DH281" s="83"/>
      <c r="DI281" s="83"/>
      <c r="DJ281" s="83"/>
      <c r="DK281" s="83"/>
      <c r="DL281" s="83"/>
      <c r="DM281" s="83"/>
      <c r="DN281" s="83"/>
      <c r="DO281" s="83"/>
      <c r="DP281" s="83"/>
      <c r="DQ281" s="83"/>
      <c r="DR281" s="83"/>
      <c r="DS281" s="83"/>
      <c r="DT281" s="83"/>
      <c r="DU281" s="83"/>
      <c r="DV281" s="83"/>
      <c r="DW281" s="83"/>
      <c r="DX281" s="83"/>
      <c r="DY281" s="83"/>
      <c r="DZ281" s="83"/>
      <c r="EA281" s="83"/>
      <c r="EB281" s="83"/>
      <c r="EC281" s="83"/>
      <c r="ED281" s="83"/>
      <c r="EE281" s="83"/>
      <c r="EF281" s="83"/>
      <c r="EG281" s="83"/>
      <c r="EH281" s="83"/>
      <c r="EI281" s="83"/>
      <c r="EJ281" s="83"/>
      <c r="EK281" s="83"/>
      <c r="EL281" s="83"/>
      <c r="EM281" s="83"/>
      <c r="EN281" s="83"/>
      <c r="EO281" s="83"/>
      <c r="EP281" s="83"/>
      <c r="EQ281" s="83"/>
      <c r="ER281" s="83"/>
      <c r="ES281" s="83"/>
      <c r="ET281" s="83"/>
      <c r="EU281" s="83"/>
      <c r="EV281" s="83"/>
      <c r="EW281" s="83"/>
      <c r="EX281" s="83"/>
      <c r="EY281" s="83"/>
      <c r="EZ281" s="83"/>
      <c r="FA281" s="83"/>
      <c r="FB281" s="83"/>
      <c r="FC281" s="83"/>
      <c r="FD281" s="83"/>
      <c r="FE281" s="83"/>
      <c r="FF281" s="83"/>
      <c r="FG281" s="83"/>
      <c r="FH281" s="83"/>
      <c r="FI281" s="83"/>
      <c r="FJ281" s="83"/>
      <c r="FK281" s="83"/>
      <c r="FL281" s="83"/>
      <c r="FM281" s="83"/>
      <c r="FN281" s="83"/>
      <c r="FO281" s="83"/>
      <c r="FP281" s="83"/>
      <c r="FQ281" s="83"/>
      <c r="FR281" s="83"/>
      <c r="FS281" s="83"/>
      <c r="FT281" s="83"/>
      <c r="FU281" s="83"/>
      <c r="FV281" s="83"/>
      <c r="FW281" s="83"/>
      <c r="FX281" s="83"/>
      <c r="FY281" s="83"/>
      <c r="FZ281" s="83"/>
      <c r="GA281" s="83"/>
      <c r="GB281" s="83"/>
      <c r="GC281" s="83"/>
      <c r="GD281" s="83"/>
      <c r="GE281" s="83"/>
      <c r="GF281" s="83"/>
      <c r="GG281" s="83"/>
      <c r="GH281" s="83"/>
      <c r="GI281" s="83"/>
      <c r="GJ281" s="83"/>
      <c r="GK281" s="83"/>
      <c r="GL281" s="83"/>
      <c r="GM281" s="83"/>
      <c r="GN281" s="83"/>
      <c r="GO281" s="83"/>
      <c r="GP281" s="83"/>
      <c r="GQ281" s="83"/>
      <c r="GR281" s="83"/>
      <c r="GS281" s="83"/>
      <c r="GT281" s="83"/>
      <c r="GU281" s="83"/>
      <c r="GV281" s="83"/>
      <c r="GW281" s="83"/>
      <c r="GX281" s="83"/>
      <c r="GY281" s="83"/>
      <c r="GZ281" s="83"/>
      <c r="HA281" s="83"/>
      <c r="HB281" s="83"/>
      <c r="HC281" s="83"/>
      <c r="HD281" s="83"/>
      <c r="HE281" s="83"/>
      <c r="HF281" s="83"/>
      <c r="HG281" s="83"/>
      <c r="HH281" s="83"/>
      <c r="HI281" s="83"/>
      <c r="HJ281" s="83"/>
      <c r="HK281" s="83"/>
      <c r="HL281" s="83"/>
      <c r="HM281" s="83"/>
      <c r="HN281" s="83"/>
      <c r="HO281" s="83"/>
      <c r="HP281" s="83"/>
      <c r="HQ281" s="83"/>
      <c r="HR281" s="83"/>
      <c r="HS281" s="83"/>
      <c r="HT281" s="83"/>
      <c r="HU281" s="83"/>
      <c r="HV281" s="83"/>
      <c r="HW281" s="83"/>
      <c r="HX281" s="83"/>
      <c r="HY281" s="83"/>
      <c r="HZ281" s="83"/>
      <c r="IA281" s="83"/>
      <c r="IB281" s="83"/>
      <c r="IC281" s="83"/>
      <c r="ID281" s="83"/>
      <c r="IE281" s="83"/>
      <c r="IF281" s="83"/>
      <c r="IG281" s="83"/>
    </row>
    <row r="282" spans="1:241" ht="16.8" x14ac:dyDescent="0.35">
      <c r="A282" s="83"/>
      <c r="B282" s="3" t="s">
        <v>202</v>
      </c>
      <c r="C282" s="8" t="s">
        <v>1</v>
      </c>
      <c r="D282" s="4" t="s">
        <v>2</v>
      </c>
      <c r="E282" s="4" t="s">
        <v>3</v>
      </c>
      <c r="F282" s="4" t="s">
        <v>223</v>
      </c>
      <c r="G282" s="37" t="s">
        <v>224</v>
      </c>
      <c r="H282" s="13" t="s">
        <v>225</v>
      </c>
      <c r="I282" s="1"/>
      <c r="J282" s="1"/>
      <c r="K282" s="1"/>
      <c r="L282" s="1"/>
      <c r="M282" s="1"/>
      <c r="N282" s="1"/>
      <c r="O282" s="1"/>
      <c r="P282" s="1"/>
      <c r="Q282" s="1"/>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c r="DD282" s="83"/>
      <c r="DE282" s="83"/>
      <c r="DF282" s="83"/>
      <c r="DG282" s="83"/>
      <c r="DH282" s="83"/>
      <c r="DI282" s="83"/>
      <c r="DJ282" s="83"/>
      <c r="DK282" s="83"/>
      <c r="DL282" s="83"/>
      <c r="DM282" s="83"/>
      <c r="DN282" s="83"/>
      <c r="DO282" s="83"/>
      <c r="DP282" s="83"/>
      <c r="DQ282" s="83"/>
      <c r="DR282" s="83"/>
      <c r="DS282" s="83"/>
      <c r="DT282" s="83"/>
      <c r="DU282" s="83"/>
      <c r="DV282" s="83"/>
      <c r="DW282" s="83"/>
      <c r="DX282" s="83"/>
      <c r="DY282" s="83"/>
      <c r="DZ282" s="83"/>
      <c r="EA282" s="83"/>
      <c r="EB282" s="83"/>
      <c r="EC282" s="83"/>
      <c r="ED282" s="83"/>
      <c r="EE282" s="83"/>
      <c r="EF282" s="83"/>
      <c r="EG282" s="83"/>
      <c r="EH282" s="83"/>
      <c r="EI282" s="83"/>
      <c r="EJ282" s="83"/>
      <c r="EK282" s="83"/>
      <c r="EL282" s="83"/>
      <c r="EM282" s="83"/>
      <c r="EN282" s="83"/>
      <c r="EO282" s="83"/>
      <c r="EP282" s="83"/>
      <c r="EQ282" s="83"/>
      <c r="ER282" s="83"/>
      <c r="ES282" s="83"/>
      <c r="ET282" s="83"/>
      <c r="EU282" s="83"/>
      <c r="EV282" s="83"/>
      <c r="EW282" s="83"/>
      <c r="EX282" s="83"/>
      <c r="EY282" s="83"/>
      <c r="EZ282" s="83"/>
      <c r="FA282" s="83"/>
      <c r="FB282" s="83"/>
      <c r="FC282" s="83"/>
      <c r="FD282" s="83"/>
      <c r="FE282" s="83"/>
      <c r="FF282" s="83"/>
      <c r="FG282" s="83"/>
      <c r="FH282" s="83"/>
      <c r="FI282" s="83"/>
      <c r="FJ282" s="83"/>
      <c r="FK282" s="83"/>
      <c r="FL282" s="83"/>
      <c r="FM282" s="83"/>
      <c r="FN282" s="83"/>
      <c r="FO282" s="83"/>
      <c r="FP282" s="83"/>
      <c r="FQ282" s="83"/>
      <c r="FR282" s="83"/>
      <c r="FS282" s="83"/>
      <c r="FT282" s="83"/>
      <c r="FU282" s="83"/>
      <c r="FV282" s="83"/>
      <c r="FW282" s="83"/>
      <c r="FX282" s="83"/>
      <c r="FY282" s="83"/>
      <c r="FZ282" s="83"/>
      <c r="GA282" s="83"/>
      <c r="GB282" s="83"/>
      <c r="GC282" s="83"/>
      <c r="GD282" s="83"/>
      <c r="GE282" s="83"/>
      <c r="GF282" s="83"/>
      <c r="GG282" s="83"/>
      <c r="GH282" s="83"/>
      <c r="GI282" s="83"/>
      <c r="GJ282" s="83"/>
      <c r="GK282" s="83"/>
      <c r="GL282" s="83"/>
      <c r="GM282" s="83"/>
      <c r="GN282" s="83"/>
      <c r="GO282" s="83"/>
      <c r="GP282" s="83"/>
      <c r="GQ282" s="83"/>
      <c r="GR282" s="83"/>
      <c r="GS282" s="83"/>
      <c r="GT282" s="83"/>
      <c r="GU282" s="83"/>
      <c r="GV282" s="83"/>
      <c r="GW282" s="83"/>
      <c r="GX282" s="83"/>
      <c r="GY282" s="83"/>
      <c r="GZ282" s="83"/>
      <c r="HA282" s="83"/>
      <c r="HB282" s="83"/>
      <c r="HC282" s="83"/>
      <c r="HD282" s="83"/>
      <c r="HE282" s="83"/>
      <c r="HF282" s="83"/>
      <c r="HG282" s="83"/>
      <c r="HH282" s="83"/>
      <c r="HI282" s="83"/>
      <c r="HJ282" s="83"/>
      <c r="HK282" s="83"/>
      <c r="HL282" s="83"/>
      <c r="HM282" s="83"/>
      <c r="HN282" s="83"/>
      <c r="HO282" s="83"/>
      <c r="HP282" s="83"/>
      <c r="HQ282" s="83"/>
      <c r="HR282" s="83"/>
      <c r="HS282" s="83"/>
      <c r="HT282" s="83"/>
      <c r="HU282" s="83"/>
      <c r="HV282" s="83"/>
      <c r="HW282" s="83"/>
      <c r="HX282" s="83"/>
      <c r="HY282" s="83"/>
      <c r="HZ282" s="83"/>
      <c r="IA282" s="83"/>
      <c r="IB282" s="83"/>
      <c r="IC282" s="83"/>
      <c r="ID282" s="83"/>
      <c r="IE282" s="83"/>
      <c r="IF282" s="83"/>
      <c r="IG282" s="83"/>
    </row>
    <row r="283" spans="1:241" x14ac:dyDescent="0.3">
      <c r="A283" s="83"/>
      <c r="B283" s="12" t="s">
        <v>226</v>
      </c>
      <c r="C283" s="49">
        <v>2.4493</v>
      </c>
      <c r="D283" s="1">
        <v>0.97440000000000004</v>
      </c>
      <c r="E283" s="1">
        <v>5.4999999999999997E-3</v>
      </c>
      <c r="F283" s="1">
        <v>0.03</v>
      </c>
      <c r="G283" s="81">
        <v>628</v>
      </c>
      <c r="H283" s="15">
        <v>4.1399999999999997</v>
      </c>
      <c r="I283" s="1"/>
      <c r="J283" s="1"/>
      <c r="K283" s="1"/>
      <c r="L283" s="1"/>
      <c r="M283" s="1"/>
      <c r="N283" s="1"/>
      <c r="O283" s="1"/>
      <c r="P283" s="1"/>
      <c r="Q283" s="1"/>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c r="DD283" s="83"/>
      <c r="DE283" s="83"/>
      <c r="DF283" s="83"/>
      <c r="DG283" s="83"/>
      <c r="DH283" s="83"/>
      <c r="DI283" s="83"/>
      <c r="DJ283" s="83"/>
      <c r="DK283" s="83"/>
      <c r="DL283" s="83"/>
      <c r="DM283" s="83"/>
      <c r="DN283" s="83"/>
      <c r="DO283" s="83"/>
      <c r="DP283" s="83"/>
      <c r="DQ283" s="83"/>
      <c r="DR283" s="83"/>
      <c r="DS283" s="83"/>
      <c r="DT283" s="83"/>
      <c r="DU283" s="83"/>
      <c r="DV283" s="83"/>
      <c r="DW283" s="83"/>
      <c r="DX283" s="83"/>
      <c r="DY283" s="83"/>
      <c r="DZ283" s="83"/>
      <c r="EA283" s="83"/>
      <c r="EB283" s="83"/>
      <c r="EC283" s="83"/>
      <c r="ED283" s="83"/>
      <c r="EE283" s="83"/>
      <c r="EF283" s="83"/>
      <c r="EG283" s="83"/>
      <c r="EH283" s="83"/>
      <c r="EI283" s="83"/>
      <c r="EJ283" s="83"/>
      <c r="EK283" s="83"/>
      <c r="EL283" s="83"/>
      <c r="EM283" s="83"/>
      <c r="EN283" s="83"/>
      <c r="EO283" s="83"/>
      <c r="EP283" s="83"/>
      <c r="EQ283" s="83"/>
      <c r="ER283" s="83"/>
      <c r="ES283" s="83"/>
      <c r="ET283" s="83"/>
      <c r="EU283" s="83"/>
      <c r="EV283" s="83"/>
      <c r="EW283" s="83"/>
      <c r="EX283" s="83"/>
      <c r="EY283" s="83"/>
      <c r="EZ283" s="83"/>
      <c r="FA283" s="83"/>
      <c r="FB283" s="83"/>
      <c r="FC283" s="83"/>
      <c r="FD283" s="83"/>
      <c r="FE283" s="83"/>
      <c r="FF283" s="83"/>
      <c r="FG283" s="83"/>
      <c r="FH283" s="83"/>
      <c r="FI283" s="83"/>
      <c r="FJ283" s="83"/>
      <c r="FK283" s="83"/>
      <c r="FL283" s="83"/>
      <c r="FM283" s="83"/>
      <c r="FN283" s="83"/>
      <c r="FO283" s="83"/>
      <c r="FP283" s="83"/>
      <c r="FQ283" s="83"/>
      <c r="FR283" s="83"/>
      <c r="FS283" s="83"/>
      <c r="FT283" s="83"/>
      <c r="FU283" s="83"/>
      <c r="FV283" s="83"/>
      <c r="FW283" s="83"/>
      <c r="FX283" s="83"/>
      <c r="FY283" s="83"/>
      <c r="FZ283" s="83"/>
      <c r="GA283" s="83"/>
      <c r="GB283" s="83"/>
      <c r="GC283" s="83"/>
      <c r="GD283" s="83"/>
      <c r="GE283" s="83"/>
      <c r="GF283" s="83"/>
      <c r="GG283" s="83"/>
      <c r="GH283" s="83"/>
      <c r="GI283" s="83"/>
      <c r="GJ283" s="83"/>
      <c r="GK283" s="83"/>
      <c r="GL283" s="83"/>
      <c r="GM283" s="83"/>
      <c r="GN283" s="83"/>
      <c r="GO283" s="83"/>
      <c r="GP283" s="83"/>
      <c r="GQ283" s="83"/>
      <c r="GR283" s="83"/>
      <c r="GS283" s="83"/>
      <c r="GT283" s="83"/>
      <c r="GU283" s="83"/>
      <c r="GV283" s="83"/>
      <c r="GW283" s="83"/>
      <c r="GX283" s="83"/>
      <c r="GY283" s="83"/>
      <c r="GZ283" s="83"/>
      <c r="HA283" s="83"/>
      <c r="HB283" s="83"/>
      <c r="HC283" s="83"/>
      <c r="HD283" s="83"/>
      <c r="HE283" s="83"/>
      <c r="HF283" s="83"/>
      <c r="HG283" s="83"/>
      <c r="HH283" s="83"/>
      <c r="HI283" s="83"/>
      <c r="HJ283" s="83"/>
      <c r="HK283" s="83"/>
      <c r="HL283" s="83"/>
      <c r="HM283" s="83"/>
      <c r="HN283" s="83"/>
      <c r="HO283" s="83"/>
      <c r="HP283" s="83"/>
      <c r="HQ283" s="83"/>
      <c r="HR283" s="83"/>
      <c r="HS283" s="83"/>
      <c r="HT283" s="83"/>
      <c r="HU283" s="83"/>
      <c r="HV283" s="83"/>
      <c r="HW283" s="83"/>
      <c r="HX283" s="83"/>
      <c r="HY283" s="83"/>
      <c r="HZ283" s="83"/>
      <c r="IA283" s="83"/>
      <c r="IB283" s="83"/>
      <c r="IC283" s="83"/>
      <c r="ID283" s="83"/>
      <c r="IE283" s="83"/>
      <c r="IF283" s="83"/>
      <c r="IG283" s="83"/>
    </row>
    <row r="284" spans="1:241" x14ac:dyDescent="0.3">
      <c r="A284" s="83"/>
      <c r="B284" s="12" t="s">
        <v>227</v>
      </c>
      <c r="C284" s="1">
        <v>2.4493</v>
      </c>
      <c r="D284" s="1">
        <v>0.97440000000000004</v>
      </c>
      <c r="E284" s="1">
        <v>5.4999999999999997E-3</v>
      </c>
      <c r="F284" s="1">
        <v>0.03</v>
      </c>
      <c r="G284" s="81">
        <v>628</v>
      </c>
      <c r="H284" s="15">
        <v>7.09</v>
      </c>
      <c r="I284" s="1"/>
      <c r="J284" s="1"/>
      <c r="K284" s="1"/>
      <c r="L284" s="1"/>
      <c r="M284" s="1"/>
      <c r="N284" s="1"/>
      <c r="O284" s="1"/>
      <c r="P284" s="1"/>
      <c r="Q284" s="1"/>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c r="DD284" s="83"/>
      <c r="DE284" s="83"/>
      <c r="DF284" s="83"/>
      <c r="DG284" s="83"/>
      <c r="DH284" s="83"/>
      <c r="DI284" s="83"/>
      <c r="DJ284" s="83"/>
      <c r="DK284" s="83"/>
      <c r="DL284" s="83"/>
      <c r="DM284" s="83"/>
      <c r="DN284" s="83"/>
      <c r="DO284" s="83"/>
      <c r="DP284" s="83"/>
      <c r="DQ284" s="83"/>
      <c r="DR284" s="83"/>
      <c r="DS284" s="83"/>
      <c r="DT284" s="83"/>
      <c r="DU284" s="83"/>
      <c r="DV284" s="83"/>
      <c r="DW284" s="83"/>
      <c r="DX284" s="83"/>
      <c r="DY284" s="83"/>
      <c r="DZ284" s="83"/>
      <c r="EA284" s="83"/>
      <c r="EB284" s="83"/>
      <c r="EC284" s="83"/>
      <c r="ED284" s="83"/>
      <c r="EE284" s="83"/>
      <c r="EF284" s="83"/>
      <c r="EG284" s="83"/>
      <c r="EH284" s="83"/>
      <c r="EI284" s="83"/>
      <c r="EJ284" s="83"/>
      <c r="EK284" s="83"/>
      <c r="EL284" s="83"/>
      <c r="EM284" s="83"/>
      <c r="EN284" s="83"/>
      <c r="EO284" s="83"/>
      <c r="EP284" s="83"/>
      <c r="EQ284" s="83"/>
      <c r="ER284" s="83"/>
      <c r="ES284" s="83"/>
      <c r="ET284" s="83"/>
      <c r="EU284" s="83"/>
      <c r="EV284" s="83"/>
      <c r="EW284" s="83"/>
      <c r="EX284" s="83"/>
      <c r="EY284" s="83"/>
      <c r="EZ284" s="83"/>
      <c r="FA284" s="83"/>
      <c r="FB284" s="83"/>
      <c r="FC284" s="83"/>
      <c r="FD284" s="83"/>
      <c r="FE284" s="83"/>
      <c r="FF284" s="83"/>
      <c r="FG284" s="83"/>
      <c r="FH284" s="83"/>
      <c r="FI284" s="83"/>
      <c r="FJ284" s="83"/>
      <c r="FK284" s="83"/>
      <c r="FL284" s="83"/>
      <c r="FM284" s="83"/>
      <c r="FN284" s="83"/>
      <c r="FO284" s="83"/>
      <c r="FP284" s="83"/>
      <c r="FQ284" s="83"/>
      <c r="FR284" s="83"/>
      <c r="FS284" s="83"/>
      <c r="FT284" s="83"/>
      <c r="FU284" s="83"/>
      <c r="FV284" s="83"/>
      <c r="FW284" s="83"/>
      <c r="FX284" s="83"/>
      <c r="FY284" s="83"/>
      <c r="FZ284" s="83"/>
      <c r="GA284" s="83"/>
      <c r="GB284" s="83"/>
      <c r="GC284" s="83"/>
      <c r="GD284" s="83"/>
      <c r="GE284" s="83"/>
      <c r="GF284" s="83"/>
      <c r="GG284" s="83"/>
      <c r="GH284" s="83"/>
      <c r="GI284" s="83"/>
      <c r="GJ284" s="83"/>
      <c r="GK284" s="83"/>
      <c r="GL284" s="83"/>
      <c r="GM284" s="83"/>
      <c r="GN284" s="83"/>
      <c r="GO284" s="83"/>
      <c r="GP284" s="83"/>
      <c r="GQ284" s="83"/>
      <c r="GR284" s="83"/>
      <c r="GS284" s="83"/>
      <c r="GT284" s="83"/>
      <c r="GU284" s="83"/>
      <c r="GV284" s="83"/>
      <c r="GW284" s="83"/>
      <c r="GX284" s="83"/>
      <c r="GY284" s="83"/>
      <c r="GZ284" s="83"/>
      <c r="HA284" s="83"/>
      <c r="HB284" s="83"/>
      <c r="HC284" s="83"/>
      <c r="HD284" s="83"/>
      <c r="HE284" s="83"/>
      <c r="HF284" s="83"/>
      <c r="HG284" s="83"/>
      <c r="HH284" s="83"/>
      <c r="HI284" s="83"/>
      <c r="HJ284" s="83"/>
      <c r="HK284" s="83"/>
      <c r="HL284" s="83"/>
      <c r="HM284" s="83"/>
      <c r="HN284" s="83"/>
      <c r="HO284" s="83"/>
      <c r="HP284" s="83"/>
      <c r="HQ284" s="83"/>
      <c r="HR284" s="83"/>
      <c r="HS284" s="83"/>
      <c r="HT284" s="83"/>
      <c r="HU284" s="83"/>
      <c r="HV284" s="83"/>
      <c r="HW284" s="83"/>
      <c r="HX284" s="83"/>
      <c r="HY284" s="83"/>
      <c r="HZ284" s="83"/>
      <c r="IA284" s="83"/>
      <c r="IB284" s="83"/>
      <c r="IC284" s="83"/>
      <c r="ID284" s="83"/>
      <c r="IE284" s="83"/>
      <c r="IF284" s="83"/>
      <c r="IG284" s="83"/>
    </row>
    <row r="285" spans="1:241" x14ac:dyDescent="0.3">
      <c r="A285" s="83"/>
      <c r="B285" s="17" t="s">
        <v>228</v>
      </c>
      <c r="C285" s="79">
        <v>2.4493</v>
      </c>
      <c r="D285" s="79">
        <v>0.97440000000000004</v>
      </c>
      <c r="E285" s="79">
        <v>5.4999999999999997E-3</v>
      </c>
      <c r="F285" s="79">
        <v>0.03</v>
      </c>
      <c r="G285" s="82">
        <v>628</v>
      </c>
      <c r="H285" s="15">
        <v>1</v>
      </c>
      <c r="I285" s="1"/>
      <c r="J285" s="1"/>
      <c r="K285" s="1"/>
      <c r="L285" s="1"/>
      <c r="M285" s="1"/>
      <c r="N285" s="1"/>
      <c r="O285" s="1"/>
      <c r="P285" s="1"/>
      <c r="Q285" s="1"/>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c r="DD285" s="83"/>
      <c r="DE285" s="83"/>
      <c r="DF285" s="83"/>
      <c r="DG285" s="83"/>
      <c r="DH285" s="83"/>
      <c r="DI285" s="83"/>
      <c r="DJ285" s="83"/>
      <c r="DK285" s="83"/>
      <c r="DL285" s="83"/>
      <c r="DM285" s="83"/>
      <c r="DN285" s="83"/>
      <c r="DO285" s="83"/>
      <c r="DP285" s="83"/>
      <c r="DQ285" s="83"/>
      <c r="DR285" s="83"/>
      <c r="DS285" s="83"/>
      <c r="DT285" s="83"/>
      <c r="DU285" s="83"/>
      <c r="DV285" s="83"/>
      <c r="DW285" s="83"/>
      <c r="DX285" s="83"/>
      <c r="DY285" s="83"/>
      <c r="DZ285" s="83"/>
      <c r="EA285" s="83"/>
      <c r="EB285" s="83"/>
      <c r="EC285" s="83"/>
      <c r="ED285" s="83"/>
      <c r="EE285" s="83"/>
      <c r="EF285" s="83"/>
      <c r="EG285" s="83"/>
      <c r="EH285" s="83"/>
      <c r="EI285" s="83"/>
      <c r="EJ285" s="83"/>
      <c r="EK285" s="83"/>
      <c r="EL285" s="83"/>
      <c r="EM285" s="83"/>
      <c r="EN285" s="83"/>
      <c r="EO285" s="83"/>
      <c r="EP285" s="83"/>
      <c r="EQ285" s="83"/>
      <c r="ER285" s="83"/>
      <c r="ES285" s="83"/>
      <c r="ET285" s="83"/>
      <c r="EU285" s="83"/>
      <c r="EV285" s="83"/>
      <c r="EW285" s="83"/>
      <c r="EX285" s="83"/>
      <c r="EY285" s="83"/>
      <c r="EZ285" s="83"/>
      <c r="FA285" s="83"/>
      <c r="FB285" s="83"/>
      <c r="FC285" s="83"/>
      <c r="FD285" s="83"/>
      <c r="FE285" s="83"/>
      <c r="FF285" s="83"/>
      <c r="FG285" s="83"/>
      <c r="FH285" s="83"/>
      <c r="FI285" s="83"/>
      <c r="FJ285" s="83"/>
      <c r="FK285" s="83"/>
      <c r="FL285" s="83"/>
      <c r="FM285" s="83"/>
      <c r="FN285" s="83"/>
      <c r="FO285" s="83"/>
      <c r="FP285" s="83"/>
      <c r="FQ285" s="83"/>
      <c r="FR285" s="83"/>
      <c r="FS285" s="83"/>
      <c r="FT285" s="83"/>
      <c r="FU285" s="83"/>
      <c r="FV285" s="83"/>
      <c r="FW285" s="83"/>
      <c r="FX285" s="83"/>
      <c r="FY285" s="83"/>
      <c r="FZ285" s="83"/>
      <c r="GA285" s="83"/>
      <c r="GB285" s="83"/>
      <c r="GC285" s="83"/>
      <c r="GD285" s="83"/>
      <c r="GE285" s="83"/>
      <c r="GF285" s="83"/>
      <c r="GG285" s="83"/>
      <c r="GH285" s="83"/>
      <c r="GI285" s="83"/>
      <c r="GJ285" s="83"/>
      <c r="GK285" s="83"/>
      <c r="GL285" s="83"/>
      <c r="GM285" s="83"/>
      <c r="GN285" s="83"/>
      <c r="GO285" s="83"/>
      <c r="GP285" s="83"/>
      <c r="GQ285" s="83"/>
      <c r="GR285" s="83"/>
      <c r="GS285" s="83"/>
      <c r="GT285" s="83"/>
      <c r="GU285" s="83"/>
      <c r="GV285" s="83"/>
      <c r="GW285" s="83"/>
      <c r="GX285" s="83"/>
      <c r="GY285" s="83"/>
      <c r="GZ285" s="83"/>
      <c r="HA285" s="83"/>
      <c r="HB285" s="83"/>
      <c r="HC285" s="83"/>
      <c r="HD285" s="83"/>
      <c r="HE285" s="83"/>
      <c r="HF285" s="83"/>
      <c r="HG285" s="83"/>
      <c r="HH285" s="83"/>
      <c r="HI285" s="83"/>
      <c r="HJ285" s="83"/>
      <c r="HK285" s="83"/>
      <c r="HL285" s="83"/>
      <c r="HM285" s="83"/>
      <c r="HN285" s="83"/>
      <c r="HO285" s="83"/>
      <c r="HP285" s="83"/>
      <c r="HQ285" s="83"/>
      <c r="HR285" s="83"/>
      <c r="HS285" s="83"/>
      <c r="HT285" s="83"/>
      <c r="HU285" s="83"/>
      <c r="HV285" s="83"/>
      <c r="HW285" s="83"/>
      <c r="HX285" s="83"/>
      <c r="HY285" s="83"/>
      <c r="HZ285" s="83"/>
      <c r="IA285" s="83"/>
      <c r="IB285" s="83"/>
      <c r="IC285" s="83"/>
      <c r="ID285" s="83"/>
      <c r="IE285" s="83"/>
      <c r="IF285" s="83"/>
      <c r="IG285" s="83"/>
    </row>
    <row r="286" spans="1:241"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c r="DD286" s="83"/>
      <c r="DE286" s="83"/>
      <c r="DF286" s="83"/>
      <c r="DG286" s="83"/>
      <c r="DH286" s="83"/>
      <c r="DI286" s="83"/>
      <c r="DJ286" s="83"/>
      <c r="DK286" s="83"/>
      <c r="DL286" s="83"/>
      <c r="DM286" s="83"/>
      <c r="DN286" s="83"/>
      <c r="DO286" s="83"/>
      <c r="DP286" s="83"/>
      <c r="DQ286" s="83"/>
      <c r="DR286" s="83"/>
      <c r="DS286" s="83"/>
      <c r="DT286" s="83"/>
      <c r="DU286" s="83"/>
      <c r="DV286" s="83"/>
      <c r="DW286" s="83"/>
      <c r="DX286" s="83"/>
      <c r="DY286" s="83"/>
      <c r="DZ286" s="83"/>
      <c r="EA286" s="83"/>
      <c r="EB286" s="83"/>
      <c r="EC286" s="83"/>
      <c r="ED286" s="83"/>
      <c r="EE286" s="83"/>
      <c r="EF286" s="83"/>
      <c r="EG286" s="83"/>
      <c r="EH286" s="83"/>
      <c r="EI286" s="83"/>
      <c r="EJ286" s="83"/>
      <c r="EK286" s="83"/>
      <c r="EL286" s="83"/>
      <c r="EM286" s="83"/>
      <c r="EN286" s="83"/>
      <c r="EO286" s="83"/>
      <c r="EP286" s="83"/>
      <c r="EQ286" s="83"/>
      <c r="ER286" s="83"/>
      <c r="ES286" s="83"/>
      <c r="ET286" s="83"/>
      <c r="EU286" s="83"/>
      <c r="EV286" s="83"/>
      <c r="EW286" s="83"/>
      <c r="EX286" s="83"/>
      <c r="EY286" s="83"/>
      <c r="EZ286" s="83"/>
      <c r="FA286" s="83"/>
      <c r="FB286" s="83"/>
      <c r="FC286" s="83"/>
      <c r="FD286" s="83"/>
      <c r="FE286" s="83"/>
      <c r="FF286" s="83"/>
      <c r="FG286" s="83"/>
      <c r="FH286" s="83"/>
      <c r="FI286" s="83"/>
      <c r="FJ286" s="83"/>
      <c r="FK286" s="83"/>
      <c r="FL286" s="83"/>
      <c r="FM286" s="83"/>
      <c r="FN286" s="83"/>
      <c r="FO286" s="83"/>
      <c r="FP286" s="83"/>
      <c r="FQ286" s="83"/>
      <c r="FR286" s="83"/>
      <c r="FS286" s="83"/>
      <c r="FT286" s="83"/>
      <c r="FU286" s="83"/>
      <c r="FV286" s="83"/>
      <c r="FW286" s="83"/>
      <c r="FX286" s="83"/>
      <c r="FY286" s="83"/>
      <c r="FZ286" s="83"/>
      <c r="GA286" s="83"/>
      <c r="GB286" s="83"/>
      <c r="GC286" s="83"/>
      <c r="GD286" s="83"/>
      <c r="GE286" s="83"/>
      <c r="GF286" s="83"/>
      <c r="GG286" s="83"/>
      <c r="GH286" s="83"/>
      <c r="GI286" s="83"/>
      <c r="GJ286" s="83"/>
      <c r="GK286" s="83"/>
      <c r="GL286" s="83"/>
      <c r="GM286" s="83"/>
      <c r="GN286" s="83"/>
      <c r="GO286" s="83"/>
      <c r="GP286" s="83"/>
      <c r="GQ286" s="83"/>
      <c r="GR286" s="83"/>
      <c r="GS286" s="83"/>
      <c r="GT286" s="83"/>
      <c r="GU286" s="83"/>
      <c r="GV286" s="83"/>
      <c r="GW286" s="83"/>
      <c r="GX286" s="83"/>
      <c r="GY286" s="83"/>
      <c r="GZ286" s="83"/>
      <c r="HA286" s="83"/>
      <c r="HB286" s="83"/>
      <c r="HC286" s="83"/>
      <c r="HD286" s="83"/>
      <c r="HE286" s="83"/>
      <c r="HF286" s="83"/>
      <c r="HG286" s="83"/>
      <c r="HH286" s="83"/>
      <c r="HI286" s="83"/>
      <c r="HJ286" s="83"/>
      <c r="HK286" s="83"/>
      <c r="HL286" s="83"/>
      <c r="HM286" s="83"/>
      <c r="HN286" s="83"/>
      <c r="HO286" s="83"/>
      <c r="HP286" s="83"/>
      <c r="HQ286" s="83"/>
      <c r="HR286" s="83"/>
      <c r="HS286" s="83"/>
      <c r="HT286" s="83"/>
      <c r="HU286" s="83"/>
      <c r="HV286" s="83"/>
      <c r="HW286" s="83"/>
      <c r="HX286" s="83"/>
      <c r="HY286" s="83"/>
      <c r="HZ286" s="83"/>
      <c r="IA286" s="83"/>
      <c r="IB286" s="83"/>
      <c r="IC286" s="83"/>
      <c r="ID286" s="83"/>
      <c r="IE286" s="83"/>
      <c r="IF286" s="83"/>
      <c r="IG286" s="83"/>
    </row>
    <row r="287" spans="1:241"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c r="DD287" s="83"/>
      <c r="DE287" s="83"/>
      <c r="DF287" s="83"/>
      <c r="DG287" s="83"/>
      <c r="DH287" s="83"/>
      <c r="DI287" s="83"/>
      <c r="DJ287" s="83"/>
      <c r="DK287" s="83"/>
      <c r="DL287" s="83"/>
      <c r="DM287" s="83"/>
      <c r="DN287" s="83"/>
      <c r="DO287" s="83"/>
      <c r="DP287" s="83"/>
      <c r="DQ287" s="83"/>
      <c r="DR287" s="83"/>
      <c r="DS287" s="83"/>
      <c r="DT287" s="83"/>
      <c r="DU287" s="83"/>
      <c r="DV287" s="83"/>
      <c r="DW287" s="83"/>
      <c r="DX287" s="83"/>
      <c r="DY287" s="83"/>
      <c r="DZ287" s="83"/>
      <c r="EA287" s="83"/>
      <c r="EB287" s="83"/>
      <c r="EC287" s="83"/>
      <c r="ED287" s="83"/>
      <c r="EE287" s="83"/>
      <c r="EF287" s="83"/>
      <c r="EG287" s="83"/>
      <c r="EH287" s="83"/>
      <c r="EI287" s="83"/>
      <c r="EJ287" s="83"/>
      <c r="EK287" s="83"/>
      <c r="EL287" s="83"/>
      <c r="EM287" s="83"/>
      <c r="EN287" s="83"/>
      <c r="EO287" s="83"/>
      <c r="EP287" s="83"/>
      <c r="EQ287" s="83"/>
      <c r="ER287" s="83"/>
      <c r="ES287" s="83"/>
      <c r="ET287" s="83"/>
      <c r="EU287" s="83"/>
      <c r="EV287" s="83"/>
      <c r="EW287" s="83"/>
      <c r="EX287" s="83"/>
      <c r="EY287" s="83"/>
      <c r="EZ287" s="83"/>
      <c r="FA287" s="83"/>
      <c r="FB287" s="83"/>
      <c r="FC287" s="83"/>
      <c r="FD287" s="83"/>
      <c r="FE287" s="83"/>
      <c r="FF287" s="83"/>
      <c r="FG287" s="83"/>
      <c r="FH287" s="83"/>
      <c r="FI287" s="83"/>
      <c r="FJ287" s="83"/>
      <c r="FK287" s="83"/>
      <c r="FL287" s="83"/>
      <c r="FM287" s="83"/>
      <c r="FN287" s="83"/>
      <c r="FO287" s="83"/>
      <c r="FP287" s="83"/>
      <c r="FQ287" s="83"/>
      <c r="FR287" s="83"/>
      <c r="FS287" s="83"/>
      <c r="FT287" s="83"/>
      <c r="FU287" s="83"/>
      <c r="FV287" s="83"/>
      <c r="FW287" s="83"/>
      <c r="FX287" s="83"/>
      <c r="FY287" s="83"/>
      <c r="FZ287" s="83"/>
      <c r="GA287" s="83"/>
      <c r="GB287" s="83"/>
      <c r="GC287" s="83"/>
      <c r="GD287" s="83"/>
      <c r="GE287" s="83"/>
      <c r="GF287" s="83"/>
      <c r="GG287" s="83"/>
      <c r="GH287" s="83"/>
      <c r="GI287" s="83"/>
      <c r="GJ287" s="83"/>
      <c r="GK287" s="83"/>
      <c r="GL287" s="83"/>
      <c r="GM287" s="83"/>
      <c r="GN287" s="83"/>
      <c r="GO287" s="83"/>
      <c r="GP287" s="83"/>
      <c r="GQ287" s="83"/>
      <c r="GR287" s="83"/>
      <c r="GS287" s="83"/>
      <c r="GT287" s="83"/>
      <c r="GU287" s="83"/>
      <c r="GV287" s="83"/>
      <c r="GW287" s="83"/>
      <c r="GX287" s="83"/>
      <c r="GY287" s="83"/>
      <c r="GZ287" s="83"/>
      <c r="HA287" s="83"/>
      <c r="HB287" s="83"/>
      <c r="HC287" s="83"/>
      <c r="HD287" s="83"/>
      <c r="HE287" s="83"/>
      <c r="HF287" s="83"/>
      <c r="HG287" s="83"/>
      <c r="HH287" s="83"/>
      <c r="HI287" s="83"/>
      <c r="HJ287" s="83"/>
      <c r="HK287" s="83"/>
      <c r="HL287" s="83"/>
      <c r="HM287" s="83"/>
      <c r="HN287" s="83"/>
      <c r="HO287" s="83"/>
      <c r="HP287" s="83"/>
      <c r="HQ287" s="83"/>
      <c r="HR287" s="83"/>
      <c r="HS287" s="83"/>
      <c r="HT287" s="83"/>
      <c r="HU287" s="83"/>
      <c r="HV287" s="83"/>
      <c r="HW287" s="83"/>
      <c r="HX287" s="83"/>
      <c r="HY287" s="83"/>
      <c r="HZ287" s="83"/>
      <c r="IA287" s="83"/>
      <c r="IB287" s="83"/>
      <c r="IC287" s="83"/>
      <c r="ID287" s="83"/>
      <c r="IE287" s="83"/>
      <c r="IF287" s="83"/>
      <c r="IG287" s="83"/>
    </row>
    <row r="288" spans="1:241"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c r="DD288" s="83"/>
      <c r="DE288" s="83"/>
      <c r="DF288" s="83"/>
      <c r="DG288" s="83"/>
      <c r="DH288" s="83"/>
      <c r="DI288" s="83"/>
      <c r="DJ288" s="83"/>
      <c r="DK288" s="83"/>
      <c r="DL288" s="83"/>
      <c r="DM288" s="83"/>
      <c r="DN288" s="83"/>
      <c r="DO288" s="83"/>
      <c r="DP288" s="83"/>
      <c r="DQ288" s="83"/>
      <c r="DR288" s="83"/>
      <c r="DS288" s="83"/>
      <c r="DT288" s="83"/>
      <c r="DU288" s="83"/>
      <c r="DV288" s="83"/>
      <c r="DW288" s="83"/>
      <c r="DX288" s="83"/>
      <c r="DY288" s="83"/>
      <c r="DZ288" s="83"/>
      <c r="EA288" s="83"/>
      <c r="EB288" s="83"/>
      <c r="EC288" s="83"/>
      <c r="ED288" s="83"/>
      <c r="EE288" s="83"/>
      <c r="EF288" s="83"/>
      <c r="EG288" s="83"/>
      <c r="EH288" s="83"/>
      <c r="EI288" s="83"/>
      <c r="EJ288" s="83"/>
      <c r="EK288" s="83"/>
      <c r="EL288" s="83"/>
      <c r="EM288" s="83"/>
      <c r="EN288" s="83"/>
      <c r="EO288" s="83"/>
      <c r="EP288" s="83"/>
      <c r="EQ288" s="83"/>
      <c r="ER288" s="83"/>
      <c r="ES288" s="83"/>
      <c r="ET288" s="83"/>
      <c r="EU288" s="83"/>
      <c r="EV288" s="83"/>
      <c r="EW288" s="83"/>
      <c r="EX288" s="83"/>
      <c r="EY288" s="83"/>
      <c r="EZ288" s="83"/>
      <c r="FA288" s="83"/>
      <c r="FB288" s="83"/>
      <c r="FC288" s="83"/>
      <c r="FD288" s="83"/>
      <c r="FE288" s="83"/>
      <c r="FF288" s="83"/>
      <c r="FG288" s="83"/>
      <c r="FH288" s="83"/>
      <c r="FI288" s="83"/>
      <c r="FJ288" s="83"/>
      <c r="FK288" s="83"/>
      <c r="FL288" s="83"/>
      <c r="FM288" s="83"/>
      <c r="FN288" s="83"/>
      <c r="FO288" s="83"/>
      <c r="FP288" s="83"/>
      <c r="FQ288" s="83"/>
      <c r="FR288" s="83"/>
      <c r="FS288" s="83"/>
      <c r="FT288" s="83"/>
      <c r="FU288" s="83"/>
      <c r="FV288" s="83"/>
      <c r="FW288" s="83"/>
      <c r="FX288" s="83"/>
      <c r="FY288" s="83"/>
      <c r="FZ288" s="83"/>
      <c r="GA288" s="83"/>
      <c r="GB288" s="83"/>
      <c r="GC288" s="83"/>
      <c r="GD288" s="83"/>
      <c r="GE288" s="83"/>
      <c r="GF288" s="83"/>
      <c r="GG288" s="83"/>
      <c r="GH288" s="83"/>
      <c r="GI288" s="83"/>
      <c r="GJ288" s="83"/>
      <c r="GK288" s="83"/>
      <c r="GL288" s="83"/>
      <c r="GM288" s="83"/>
      <c r="GN288" s="83"/>
      <c r="GO288" s="83"/>
      <c r="GP288" s="83"/>
      <c r="GQ288" s="83"/>
      <c r="GR288" s="83"/>
      <c r="GS288" s="83"/>
      <c r="GT288" s="83"/>
      <c r="GU288" s="83"/>
      <c r="GV288" s="83"/>
      <c r="GW288" s="83"/>
      <c r="GX288" s="83"/>
      <c r="GY288" s="83"/>
      <c r="GZ288" s="83"/>
      <c r="HA288" s="83"/>
      <c r="HB288" s="83"/>
      <c r="HC288" s="83"/>
      <c r="HD288" s="83"/>
      <c r="HE288" s="83"/>
      <c r="HF288" s="83"/>
      <c r="HG288" s="83"/>
      <c r="HH288" s="83"/>
      <c r="HI288" s="83"/>
      <c r="HJ288" s="83"/>
      <c r="HK288" s="83"/>
      <c r="HL288" s="83"/>
      <c r="HM288" s="83"/>
      <c r="HN288" s="83"/>
      <c r="HO288" s="83"/>
      <c r="HP288" s="83"/>
      <c r="HQ288" s="83"/>
      <c r="HR288" s="83"/>
      <c r="HS288" s="83"/>
      <c r="HT288" s="83"/>
      <c r="HU288" s="83"/>
      <c r="HV288" s="83"/>
      <c r="HW288" s="83"/>
      <c r="HX288" s="83"/>
      <c r="HY288" s="83"/>
      <c r="HZ288" s="83"/>
      <c r="IA288" s="83"/>
      <c r="IB288" s="83"/>
      <c r="IC288" s="83"/>
      <c r="ID288" s="83"/>
      <c r="IE288" s="83"/>
      <c r="IF288" s="83"/>
      <c r="IG288" s="83"/>
    </row>
    <row r="289" spans="1:241"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c r="DD289" s="83"/>
      <c r="DE289" s="83"/>
      <c r="DF289" s="83"/>
      <c r="DG289" s="83"/>
      <c r="DH289" s="83"/>
      <c r="DI289" s="83"/>
      <c r="DJ289" s="83"/>
      <c r="DK289" s="83"/>
      <c r="DL289" s="83"/>
      <c r="DM289" s="83"/>
      <c r="DN289" s="83"/>
      <c r="DO289" s="83"/>
      <c r="DP289" s="83"/>
      <c r="DQ289" s="83"/>
      <c r="DR289" s="83"/>
      <c r="DS289" s="83"/>
      <c r="DT289" s="83"/>
      <c r="DU289" s="83"/>
      <c r="DV289" s="83"/>
      <c r="DW289" s="83"/>
      <c r="DX289" s="83"/>
      <c r="DY289" s="83"/>
      <c r="DZ289" s="83"/>
      <c r="EA289" s="83"/>
      <c r="EB289" s="83"/>
      <c r="EC289" s="83"/>
      <c r="ED289" s="83"/>
      <c r="EE289" s="83"/>
      <c r="EF289" s="83"/>
      <c r="EG289" s="83"/>
      <c r="EH289" s="83"/>
      <c r="EI289" s="83"/>
      <c r="EJ289" s="83"/>
      <c r="EK289" s="83"/>
      <c r="EL289" s="83"/>
      <c r="EM289" s="83"/>
      <c r="EN289" s="83"/>
      <c r="EO289" s="83"/>
      <c r="EP289" s="83"/>
      <c r="EQ289" s="83"/>
      <c r="ER289" s="83"/>
      <c r="ES289" s="83"/>
      <c r="ET289" s="83"/>
      <c r="EU289" s="83"/>
      <c r="EV289" s="83"/>
      <c r="EW289" s="83"/>
      <c r="EX289" s="83"/>
      <c r="EY289" s="83"/>
      <c r="EZ289" s="83"/>
      <c r="FA289" s="83"/>
      <c r="FB289" s="83"/>
      <c r="FC289" s="83"/>
      <c r="FD289" s="83"/>
      <c r="FE289" s="83"/>
      <c r="FF289" s="83"/>
      <c r="FG289" s="83"/>
      <c r="FH289" s="83"/>
      <c r="FI289" s="83"/>
      <c r="FJ289" s="83"/>
      <c r="FK289" s="83"/>
      <c r="FL289" s="83"/>
      <c r="FM289" s="83"/>
      <c r="FN289" s="83"/>
      <c r="FO289" s="83"/>
      <c r="FP289" s="83"/>
      <c r="FQ289" s="83"/>
      <c r="FR289" s="83"/>
      <c r="FS289" s="83"/>
      <c r="FT289" s="83"/>
      <c r="FU289" s="83"/>
      <c r="FV289" s="83"/>
      <c r="FW289" s="83"/>
      <c r="FX289" s="83"/>
      <c r="FY289" s="83"/>
      <c r="FZ289" s="83"/>
      <c r="GA289" s="83"/>
      <c r="GB289" s="83"/>
      <c r="GC289" s="83"/>
      <c r="GD289" s="83"/>
      <c r="GE289" s="83"/>
      <c r="GF289" s="83"/>
      <c r="GG289" s="83"/>
      <c r="GH289" s="83"/>
      <c r="GI289" s="83"/>
      <c r="GJ289" s="83"/>
      <c r="GK289" s="83"/>
      <c r="GL289" s="83"/>
      <c r="GM289" s="83"/>
      <c r="GN289" s="83"/>
      <c r="GO289" s="83"/>
      <c r="GP289" s="83"/>
      <c r="GQ289" s="83"/>
      <c r="GR289" s="83"/>
      <c r="GS289" s="83"/>
      <c r="GT289" s="83"/>
      <c r="GU289" s="83"/>
      <c r="GV289" s="83"/>
      <c r="GW289" s="83"/>
      <c r="GX289" s="83"/>
      <c r="GY289" s="83"/>
      <c r="GZ289" s="83"/>
      <c r="HA289" s="83"/>
      <c r="HB289" s="83"/>
      <c r="HC289" s="83"/>
      <c r="HD289" s="83"/>
      <c r="HE289" s="83"/>
      <c r="HF289" s="83"/>
      <c r="HG289" s="83"/>
      <c r="HH289" s="83"/>
      <c r="HI289" s="83"/>
      <c r="HJ289" s="83"/>
      <c r="HK289" s="83"/>
      <c r="HL289" s="83"/>
      <c r="HM289" s="83"/>
      <c r="HN289" s="83"/>
      <c r="HO289" s="83"/>
      <c r="HP289" s="83"/>
      <c r="HQ289" s="83"/>
      <c r="HR289" s="83"/>
      <c r="HS289" s="83"/>
      <c r="HT289" s="83"/>
      <c r="HU289" s="83"/>
      <c r="HV289" s="83"/>
      <c r="HW289" s="83"/>
      <c r="HX289" s="83"/>
      <c r="HY289" s="83"/>
      <c r="HZ289" s="83"/>
      <c r="IA289" s="83"/>
      <c r="IB289" s="83"/>
      <c r="IC289" s="83"/>
      <c r="ID289" s="83"/>
      <c r="IE289" s="83"/>
      <c r="IF289" s="83"/>
      <c r="IG289" s="83"/>
    </row>
    <row r="290" spans="1:241"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c r="DD290" s="83"/>
      <c r="DE290" s="83"/>
      <c r="DF290" s="83"/>
      <c r="DG290" s="83"/>
      <c r="DH290" s="83"/>
      <c r="DI290" s="83"/>
      <c r="DJ290" s="83"/>
      <c r="DK290" s="83"/>
      <c r="DL290" s="83"/>
      <c r="DM290" s="83"/>
      <c r="DN290" s="83"/>
      <c r="DO290" s="83"/>
      <c r="DP290" s="83"/>
      <c r="DQ290" s="83"/>
      <c r="DR290" s="83"/>
      <c r="DS290" s="83"/>
      <c r="DT290" s="83"/>
      <c r="DU290" s="83"/>
      <c r="DV290" s="83"/>
      <c r="DW290" s="83"/>
      <c r="DX290" s="83"/>
      <c r="DY290" s="83"/>
      <c r="DZ290" s="83"/>
      <c r="EA290" s="83"/>
      <c r="EB290" s="83"/>
      <c r="EC290" s="83"/>
      <c r="ED290" s="83"/>
      <c r="EE290" s="83"/>
      <c r="EF290" s="83"/>
      <c r="EG290" s="83"/>
      <c r="EH290" s="83"/>
      <c r="EI290" s="83"/>
      <c r="EJ290" s="83"/>
      <c r="EK290" s="83"/>
      <c r="EL290" s="83"/>
      <c r="EM290" s="83"/>
      <c r="EN290" s="83"/>
      <c r="EO290" s="83"/>
      <c r="EP290" s="83"/>
      <c r="EQ290" s="83"/>
      <c r="ER290" s="83"/>
      <c r="ES290" s="83"/>
      <c r="ET290" s="83"/>
      <c r="EU290" s="83"/>
      <c r="EV290" s="83"/>
      <c r="EW290" s="83"/>
      <c r="EX290" s="83"/>
      <c r="EY290" s="83"/>
      <c r="EZ290" s="83"/>
      <c r="FA290" s="83"/>
      <c r="FB290" s="83"/>
      <c r="FC290" s="83"/>
      <c r="FD290" s="83"/>
      <c r="FE290" s="83"/>
      <c r="FF290" s="83"/>
      <c r="FG290" s="83"/>
      <c r="FH290" s="83"/>
      <c r="FI290" s="83"/>
      <c r="FJ290" s="83"/>
      <c r="FK290" s="83"/>
      <c r="FL290" s="83"/>
      <c r="FM290" s="83"/>
      <c r="FN290" s="83"/>
      <c r="FO290" s="83"/>
      <c r="FP290" s="83"/>
      <c r="FQ290" s="83"/>
      <c r="FR290" s="83"/>
      <c r="FS290" s="83"/>
      <c r="FT290" s="83"/>
      <c r="FU290" s="83"/>
      <c r="FV290" s="83"/>
      <c r="FW290" s="83"/>
      <c r="FX290" s="83"/>
      <c r="FY290" s="83"/>
      <c r="FZ290" s="83"/>
      <c r="GA290" s="83"/>
      <c r="GB290" s="83"/>
      <c r="GC290" s="83"/>
      <c r="GD290" s="83"/>
      <c r="GE290" s="83"/>
      <c r="GF290" s="83"/>
      <c r="GG290" s="83"/>
      <c r="GH290" s="83"/>
      <c r="GI290" s="83"/>
      <c r="GJ290" s="83"/>
      <c r="GK290" s="83"/>
      <c r="GL290" s="83"/>
      <c r="GM290" s="83"/>
      <c r="GN290" s="83"/>
      <c r="GO290" s="83"/>
      <c r="GP290" s="83"/>
      <c r="GQ290" s="83"/>
      <c r="GR290" s="83"/>
      <c r="GS290" s="83"/>
      <c r="GT290" s="83"/>
      <c r="GU290" s="83"/>
      <c r="GV290" s="83"/>
      <c r="GW290" s="83"/>
      <c r="GX290" s="83"/>
      <c r="GY290" s="83"/>
      <c r="GZ290" s="83"/>
      <c r="HA290" s="83"/>
      <c r="HB290" s="83"/>
      <c r="HC290" s="83"/>
      <c r="HD290" s="83"/>
      <c r="HE290" s="83"/>
      <c r="HF290" s="83"/>
      <c r="HG290" s="83"/>
      <c r="HH290" s="83"/>
      <c r="HI290" s="83"/>
      <c r="HJ290" s="83"/>
      <c r="HK290" s="83"/>
      <c r="HL290" s="83"/>
      <c r="HM290" s="83"/>
      <c r="HN290" s="83"/>
      <c r="HO290" s="83"/>
      <c r="HP290" s="83"/>
      <c r="HQ290" s="83"/>
      <c r="HR290" s="83"/>
      <c r="HS290" s="83"/>
      <c r="HT290" s="83"/>
      <c r="HU290" s="83"/>
      <c r="HV290" s="83"/>
      <c r="HW290" s="83"/>
      <c r="HX290" s="83"/>
      <c r="HY290" s="83"/>
      <c r="HZ290" s="83"/>
      <c r="IA290" s="83"/>
      <c r="IB290" s="83"/>
      <c r="IC290" s="83"/>
      <c r="ID290" s="83"/>
      <c r="IE290" s="83"/>
      <c r="IF290" s="83"/>
      <c r="IG290" s="83"/>
    </row>
    <row r="291" spans="1:241"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c r="DD291" s="83"/>
      <c r="DE291" s="83"/>
      <c r="DF291" s="83"/>
      <c r="DG291" s="83"/>
      <c r="DH291" s="83"/>
      <c r="DI291" s="83"/>
      <c r="DJ291" s="83"/>
      <c r="DK291" s="83"/>
      <c r="DL291" s="83"/>
      <c r="DM291" s="83"/>
      <c r="DN291" s="83"/>
      <c r="DO291" s="83"/>
      <c r="DP291" s="83"/>
      <c r="DQ291" s="83"/>
      <c r="DR291" s="83"/>
      <c r="DS291" s="83"/>
      <c r="DT291" s="83"/>
      <c r="DU291" s="83"/>
      <c r="DV291" s="83"/>
      <c r="DW291" s="83"/>
      <c r="DX291" s="83"/>
      <c r="DY291" s="83"/>
      <c r="DZ291" s="83"/>
      <c r="EA291" s="83"/>
      <c r="EB291" s="83"/>
      <c r="EC291" s="83"/>
      <c r="ED291" s="83"/>
      <c r="EE291" s="83"/>
      <c r="EF291" s="83"/>
      <c r="EG291" s="83"/>
      <c r="EH291" s="83"/>
      <c r="EI291" s="83"/>
      <c r="EJ291" s="83"/>
      <c r="EK291" s="83"/>
      <c r="EL291" s="83"/>
      <c r="EM291" s="83"/>
      <c r="EN291" s="83"/>
      <c r="EO291" s="83"/>
      <c r="EP291" s="83"/>
      <c r="EQ291" s="83"/>
      <c r="ER291" s="83"/>
      <c r="ES291" s="83"/>
      <c r="ET291" s="83"/>
      <c r="EU291" s="83"/>
      <c r="EV291" s="83"/>
      <c r="EW291" s="83"/>
      <c r="EX291" s="83"/>
      <c r="EY291" s="83"/>
      <c r="EZ291" s="83"/>
      <c r="FA291" s="83"/>
      <c r="FB291" s="83"/>
      <c r="FC291" s="83"/>
      <c r="FD291" s="83"/>
      <c r="FE291" s="83"/>
      <c r="FF291" s="83"/>
      <c r="FG291" s="83"/>
      <c r="FH291" s="83"/>
      <c r="FI291" s="83"/>
      <c r="FJ291" s="83"/>
      <c r="FK291" s="83"/>
      <c r="FL291" s="83"/>
      <c r="FM291" s="83"/>
      <c r="FN291" s="83"/>
      <c r="FO291" s="83"/>
      <c r="FP291" s="83"/>
      <c r="FQ291" s="83"/>
      <c r="FR291" s="83"/>
      <c r="FS291" s="83"/>
      <c r="FT291" s="83"/>
      <c r="FU291" s="83"/>
      <c r="FV291" s="83"/>
      <c r="FW291" s="83"/>
      <c r="FX291" s="83"/>
      <c r="FY291" s="83"/>
      <c r="FZ291" s="83"/>
      <c r="GA291" s="83"/>
      <c r="GB291" s="83"/>
      <c r="GC291" s="83"/>
      <c r="GD291" s="83"/>
      <c r="GE291" s="83"/>
      <c r="GF291" s="83"/>
      <c r="GG291" s="83"/>
      <c r="GH291" s="83"/>
      <c r="GI291" s="83"/>
      <c r="GJ291" s="83"/>
      <c r="GK291" s="83"/>
      <c r="GL291" s="83"/>
      <c r="GM291" s="83"/>
      <c r="GN291" s="83"/>
      <c r="GO291" s="83"/>
      <c r="GP291" s="83"/>
      <c r="GQ291" s="83"/>
      <c r="GR291" s="83"/>
      <c r="GS291" s="83"/>
      <c r="GT291" s="83"/>
      <c r="GU291" s="83"/>
      <c r="GV291" s="83"/>
      <c r="GW291" s="83"/>
      <c r="GX291" s="83"/>
      <c r="GY291" s="83"/>
      <c r="GZ291" s="83"/>
      <c r="HA291" s="83"/>
      <c r="HB291" s="83"/>
      <c r="HC291" s="83"/>
      <c r="HD291" s="83"/>
      <c r="HE291" s="83"/>
      <c r="HF291" s="83"/>
      <c r="HG291" s="83"/>
      <c r="HH291" s="83"/>
      <c r="HI291" s="83"/>
      <c r="HJ291" s="83"/>
      <c r="HK291" s="83"/>
      <c r="HL291" s="83"/>
      <c r="HM291" s="83"/>
      <c r="HN291" s="83"/>
      <c r="HO291" s="83"/>
      <c r="HP291" s="83"/>
      <c r="HQ291" s="83"/>
      <c r="HR291" s="83"/>
      <c r="HS291" s="83"/>
      <c r="HT291" s="83"/>
      <c r="HU291" s="83"/>
      <c r="HV291" s="83"/>
      <c r="HW291" s="83"/>
      <c r="HX291" s="83"/>
      <c r="HY291" s="83"/>
      <c r="HZ291" s="83"/>
      <c r="IA291" s="83"/>
      <c r="IB291" s="83"/>
      <c r="IC291" s="83"/>
      <c r="ID291" s="83"/>
      <c r="IE291" s="83"/>
      <c r="IF291" s="83"/>
      <c r="IG291" s="83"/>
    </row>
    <row r="292" spans="1:241"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c r="DD292" s="83"/>
      <c r="DE292" s="83"/>
      <c r="DF292" s="83"/>
      <c r="DG292" s="83"/>
      <c r="DH292" s="83"/>
      <c r="DI292" s="83"/>
      <c r="DJ292" s="83"/>
      <c r="DK292" s="83"/>
      <c r="DL292" s="83"/>
      <c r="DM292" s="83"/>
      <c r="DN292" s="83"/>
      <c r="DO292" s="83"/>
      <c r="DP292" s="83"/>
      <c r="DQ292" s="83"/>
      <c r="DR292" s="83"/>
      <c r="DS292" s="83"/>
      <c r="DT292" s="83"/>
      <c r="DU292" s="83"/>
      <c r="DV292" s="83"/>
      <c r="DW292" s="83"/>
      <c r="DX292" s="83"/>
      <c r="DY292" s="83"/>
      <c r="DZ292" s="83"/>
      <c r="EA292" s="83"/>
      <c r="EB292" s="83"/>
      <c r="EC292" s="83"/>
      <c r="ED292" s="83"/>
      <c r="EE292" s="83"/>
      <c r="EF292" s="83"/>
      <c r="EG292" s="83"/>
      <c r="EH292" s="83"/>
      <c r="EI292" s="83"/>
      <c r="EJ292" s="83"/>
      <c r="EK292" s="83"/>
      <c r="EL292" s="83"/>
      <c r="EM292" s="83"/>
      <c r="EN292" s="83"/>
      <c r="EO292" s="83"/>
      <c r="EP292" s="83"/>
      <c r="EQ292" s="83"/>
      <c r="ER292" s="83"/>
      <c r="ES292" s="83"/>
      <c r="ET292" s="83"/>
      <c r="EU292" s="83"/>
      <c r="EV292" s="83"/>
      <c r="EW292" s="83"/>
      <c r="EX292" s="83"/>
      <c r="EY292" s="83"/>
      <c r="EZ292" s="83"/>
      <c r="FA292" s="83"/>
      <c r="FB292" s="83"/>
      <c r="FC292" s="83"/>
      <c r="FD292" s="83"/>
      <c r="FE292" s="83"/>
      <c r="FF292" s="83"/>
      <c r="FG292" s="83"/>
      <c r="FH292" s="83"/>
      <c r="FI292" s="83"/>
      <c r="FJ292" s="83"/>
      <c r="FK292" s="83"/>
      <c r="FL292" s="83"/>
      <c r="FM292" s="83"/>
      <c r="FN292" s="83"/>
      <c r="FO292" s="83"/>
      <c r="FP292" s="83"/>
      <c r="FQ292" s="83"/>
      <c r="FR292" s="83"/>
      <c r="FS292" s="83"/>
      <c r="FT292" s="83"/>
      <c r="FU292" s="83"/>
      <c r="FV292" s="83"/>
      <c r="FW292" s="83"/>
      <c r="FX292" s="83"/>
      <c r="FY292" s="83"/>
      <c r="FZ292" s="83"/>
      <c r="GA292" s="83"/>
      <c r="GB292" s="83"/>
      <c r="GC292" s="83"/>
      <c r="GD292" s="83"/>
      <c r="GE292" s="83"/>
      <c r="GF292" s="83"/>
      <c r="GG292" s="83"/>
      <c r="GH292" s="83"/>
      <c r="GI292" s="83"/>
      <c r="GJ292" s="83"/>
      <c r="GK292" s="83"/>
      <c r="GL292" s="83"/>
      <c r="GM292" s="83"/>
      <c r="GN292" s="83"/>
      <c r="GO292" s="83"/>
      <c r="GP292" s="83"/>
      <c r="GQ292" s="83"/>
      <c r="GR292" s="83"/>
      <c r="GS292" s="83"/>
      <c r="GT292" s="83"/>
      <c r="GU292" s="83"/>
      <c r="GV292" s="83"/>
      <c r="GW292" s="83"/>
      <c r="GX292" s="83"/>
      <c r="GY292" s="83"/>
      <c r="GZ292" s="83"/>
      <c r="HA292" s="83"/>
      <c r="HB292" s="83"/>
      <c r="HC292" s="83"/>
      <c r="HD292" s="83"/>
      <c r="HE292" s="83"/>
      <c r="HF292" s="83"/>
      <c r="HG292" s="83"/>
      <c r="HH292" s="83"/>
      <c r="HI292" s="83"/>
      <c r="HJ292" s="83"/>
      <c r="HK292" s="83"/>
      <c r="HL292" s="83"/>
      <c r="HM292" s="83"/>
      <c r="HN292" s="83"/>
      <c r="HO292" s="83"/>
      <c r="HP292" s="83"/>
      <c r="HQ292" s="83"/>
      <c r="HR292" s="83"/>
      <c r="HS292" s="83"/>
      <c r="HT292" s="83"/>
      <c r="HU292" s="83"/>
      <c r="HV292" s="83"/>
      <c r="HW292" s="83"/>
      <c r="HX292" s="83"/>
      <c r="HY292" s="83"/>
      <c r="HZ292" s="83"/>
      <c r="IA292" s="83"/>
      <c r="IB292" s="83"/>
      <c r="IC292" s="83"/>
      <c r="ID292" s="83"/>
      <c r="IE292" s="83"/>
      <c r="IF292" s="83"/>
      <c r="IG292" s="83"/>
    </row>
    <row r="293" spans="1:241"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c r="DD293" s="83"/>
      <c r="DE293" s="83"/>
      <c r="DF293" s="83"/>
      <c r="DG293" s="83"/>
      <c r="DH293" s="83"/>
      <c r="DI293" s="83"/>
      <c r="DJ293" s="83"/>
      <c r="DK293" s="83"/>
      <c r="DL293" s="83"/>
      <c r="DM293" s="83"/>
      <c r="DN293" s="83"/>
      <c r="DO293" s="83"/>
      <c r="DP293" s="83"/>
      <c r="DQ293" s="83"/>
      <c r="DR293" s="83"/>
      <c r="DS293" s="83"/>
      <c r="DT293" s="83"/>
      <c r="DU293" s="83"/>
      <c r="DV293" s="83"/>
      <c r="DW293" s="83"/>
      <c r="DX293" s="83"/>
      <c r="DY293" s="83"/>
      <c r="DZ293" s="83"/>
      <c r="EA293" s="83"/>
      <c r="EB293" s="83"/>
      <c r="EC293" s="83"/>
      <c r="ED293" s="83"/>
      <c r="EE293" s="83"/>
      <c r="EF293" s="83"/>
      <c r="EG293" s="83"/>
      <c r="EH293" s="83"/>
      <c r="EI293" s="83"/>
      <c r="EJ293" s="83"/>
      <c r="EK293" s="83"/>
      <c r="EL293" s="83"/>
      <c r="EM293" s="83"/>
      <c r="EN293" s="83"/>
      <c r="EO293" s="83"/>
      <c r="EP293" s="83"/>
      <c r="EQ293" s="83"/>
      <c r="ER293" s="83"/>
      <c r="ES293" s="83"/>
      <c r="ET293" s="83"/>
      <c r="EU293" s="83"/>
      <c r="EV293" s="83"/>
      <c r="EW293" s="83"/>
      <c r="EX293" s="83"/>
      <c r="EY293" s="83"/>
      <c r="EZ293" s="83"/>
      <c r="FA293" s="83"/>
      <c r="FB293" s="83"/>
      <c r="FC293" s="83"/>
      <c r="FD293" s="83"/>
      <c r="FE293" s="83"/>
      <c r="FF293" s="83"/>
      <c r="FG293" s="83"/>
      <c r="FH293" s="83"/>
      <c r="FI293" s="83"/>
      <c r="FJ293" s="83"/>
      <c r="FK293" s="83"/>
      <c r="FL293" s="83"/>
      <c r="FM293" s="83"/>
      <c r="FN293" s="83"/>
      <c r="FO293" s="83"/>
      <c r="FP293" s="83"/>
      <c r="FQ293" s="83"/>
      <c r="FR293" s="83"/>
      <c r="FS293" s="83"/>
      <c r="FT293" s="83"/>
      <c r="FU293" s="83"/>
      <c r="FV293" s="83"/>
      <c r="FW293" s="83"/>
      <c r="FX293" s="83"/>
      <c r="FY293" s="83"/>
      <c r="FZ293" s="83"/>
      <c r="GA293" s="83"/>
      <c r="GB293" s="83"/>
      <c r="GC293" s="83"/>
      <c r="GD293" s="83"/>
      <c r="GE293" s="83"/>
      <c r="GF293" s="83"/>
      <c r="GG293" s="83"/>
      <c r="GH293" s="83"/>
      <c r="GI293" s="83"/>
      <c r="GJ293" s="83"/>
      <c r="GK293" s="83"/>
      <c r="GL293" s="83"/>
      <c r="GM293" s="83"/>
      <c r="GN293" s="83"/>
      <c r="GO293" s="83"/>
      <c r="GP293" s="83"/>
      <c r="GQ293" s="83"/>
      <c r="GR293" s="83"/>
      <c r="GS293" s="83"/>
      <c r="GT293" s="83"/>
      <c r="GU293" s="83"/>
      <c r="GV293" s="83"/>
      <c r="GW293" s="83"/>
      <c r="GX293" s="83"/>
      <c r="GY293" s="83"/>
      <c r="GZ293" s="83"/>
      <c r="HA293" s="83"/>
      <c r="HB293" s="83"/>
      <c r="HC293" s="83"/>
      <c r="HD293" s="83"/>
      <c r="HE293" s="83"/>
      <c r="HF293" s="83"/>
      <c r="HG293" s="83"/>
      <c r="HH293" s="83"/>
      <c r="HI293" s="83"/>
      <c r="HJ293" s="83"/>
      <c r="HK293" s="83"/>
      <c r="HL293" s="83"/>
      <c r="HM293" s="83"/>
      <c r="HN293" s="83"/>
      <c r="HO293" s="83"/>
      <c r="HP293" s="83"/>
      <c r="HQ293" s="83"/>
      <c r="HR293" s="83"/>
      <c r="HS293" s="83"/>
      <c r="HT293" s="83"/>
      <c r="HU293" s="83"/>
      <c r="HV293" s="83"/>
      <c r="HW293" s="83"/>
      <c r="HX293" s="83"/>
      <c r="HY293" s="83"/>
      <c r="HZ293" s="83"/>
      <c r="IA293" s="83"/>
      <c r="IB293" s="83"/>
      <c r="IC293" s="83"/>
      <c r="ID293" s="83"/>
      <c r="IE293" s="83"/>
      <c r="IF293" s="83"/>
      <c r="IG293" s="83"/>
    </row>
    <row r="294" spans="1:241"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c r="DD294" s="83"/>
      <c r="DE294" s="83"/>
      <c r="DF294" s="83"/>
      <c r="DG294" s="83"/>
      <c r="DH294" s="83"/>
      <c r="DI294" s="83"/>
      <c r="DJ294" s="83"/>
      <c r="DK294" s="83"/>
      <c r="DL294" s="83"/>
      <c r="DM294" s="83"/>
      <c r="DN294" s="83"/>
      <c r="DO294" s="83"/>
      <c r="DP294" s="83"/>
      <c r="DQ294" s="83"/>
      <c r="DR294" s="83"/>
      <c r="DS294" s="83"/>
      <c r="DT294" s="83"/>
      <c r="DU294" s="83"/>
      <c r="DV294" s="83"/>
      <c r="DW294" s="83"/>
      <c r="DX294" s="83"/>
      <c r="DY294" s="83"/>
      <c r="DZ294" s="83"/>
      <c r="EA294" s="83"/>
      <c r="EB294" s="83"/>
      <c r="EC294" s="83"/>
      <c r="ED294" s="83"/>
      <c r="EE294" s="83"/>
      <c r="EF294" s="83"/>
      <c r="EG294" s="83"/>
      <c r="EH294" s="83"/>
      <c r="EI294" s="83"/>
      <c r="EJ294" s="83"/>
      <c r="EK294" s="83"/>
      <c r="EL294" s="83"/>
      <c r="EM294" s="83"/>
      <c r="EN294" s="83"/>
      <c r="EO294" s="83"/>
      <c r="EP294" s="83"/>
      <c r="EQ294" s="83"/>
      <c r="ER294" s="83"/>
      <c r="ES294" s="83"/>
      <c r="ET294" s="83"/>
      <c r="EU294" s="83"/>
      <c r="EV294" s="83"/>
      <c r="EW294" s="83"/>
      <c r="EX294" s="83"/>
      <c r="EY294" s="83"/>
      <c r="EZ294" s="83"/>
      <c r="FA294" s="83"/>
      <c r="FB294" s="83"/>
      <c r="FC294" s="83"/>
      <c r="FD294" s="83"/>
      <c r="FE294" s="83"/>
      <c r="FF294" s="83"/>
      <c r="FG294" s="83"/>
      <c r="FH294" s="83"/>
      <c r="FI294" s="83"/>
      <c r="FJ294" s="83"/>
      <c r="FK294" s="83"/>
      <c r="FL294" s="83"/>
      <c r="FM294" s="83"/>
      <c r="FN294" s="83"/>
      <c r="FO294" s="83"/>
      <c r="FP294" s="83"/>
      <c r="FQ294" s="83"/>
      <c r="FR294" s="83"/>
      <c r="FS294" s="83"/>
      <c r="FT294" s="83"/>
      <c r="FU294" s="83"/>
      <c r="FV294" s="83"/>
      <c r="FW294" s="83"/>
      <c r="FX294" s="83"/>
      <c r="FY294" s="83"/>
      <c r="FZ294" s="83"/>
      <c r="GA294" s="83"/>
      <c r="GB294" s="83"/>
      <c r="GC294" s="83"/>
      <c r="GD294" s="83"/>
      <c r="GE294" s="83"/>
      <c r="GF294" s="83"/>
      <c r="GG294" s="83"/>
      <c r="GH294" s="83"/>
      <c r="GI294" s="83"/>
      <c r="GJ294" s="83"/>
      <c r="GK294" s="83"/>
      <c r="GL294" s="83"/>
      <c r="GM294" s="83"/>
      <c r="GN294" s="83"/>
      <c r="GO294" s="83"/>
      <c r="GP294" s="83"/>
      <c r="GQ294" s="83"/>
      <c r="GR294" s="83"/>
      <c r="GS294" s="83"/>
      <c r="GT294" s="83"/>
      <c r="GU294" s="83"/>
      <c r="GV294" s="83"/>
      <c r="GW294" s="83"/>
      <c r="GX294" s="83"/>
      <c r="GY294" s="83"/>
      <c r="GZ294" s="83"/>
      <c r="HA294" s="83"/>
      <c r="HB294" s="83"/>
      <c r="HC294" s="83"/>
      <c r="HD294" s="83"/>
      <c r="HE294" s="83"/>
      <c r="HF294" s="83"/>
      <c r="HG294" s="83"/>
      <c r="HH294" s="83"/>
      <c r="HI294" s="83"/>
      <c r="HJ294" s="83"/>
      <c r="HK294" s="83"/>
      <c r="HL294" s="83"/>
      <c r="HM294" s="83"/>
      <c r="HN294" s="83"/>
      <c r="HO294" s="83"/>
      <c r="HP294" s="83"/>
      <c r="HQ294" s="83"/>
      <c r="HR294" s="83"/>
      <c r="HS294" s="83"/>
      <c r="HT294" s="83"/>
      <c r="HU294" s="83"/>
      <c r="HV294" s="83"/>
      <c r="HW294" s="83"/>
      <c r="HX294" s="83"/>
      <c r="HY294" s="83"/>
      <c r="HZ294" s="83"/>
      <c r="IA294" s="83"/>
      <c r="IB294" s="83"/>
      <c r="IC294" s="83"/>
      <c r="ID294" s="83"/>
      <c r="IE294" s="83"/>
      <c r="IF294" s="83"/>
      <c r="IG294" s="83"/>
    </row>
    <row r="295" spans="1:241"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c r="DD295" s="83"/>
      <c r="DE295" s="83"/>
      <c r="DF295" s="83"/>
      <c r="DG295" s="83"/>
      <c r="DH295" s="83"/>
      <c r="DI295" s="83"/>
      <c r="DJ295" s="83"/>
      <c r="DK295" s="83"/>
      <c r="DL295" s="83"/>
      <c r="DM295" s="83"/>
      <c r="DN295" s="83"/>
      <c r="DO295" s="83"/>
      <c r="DP295" s="83"/>
      <c r="DQ295" s="83"/>
      <c r="DR295" s="83"/>
      <c r="DS295" s="83"/>
      <c r="DT295" s="83"/>
      <c r="DU295" s="83"/>
      <c r="DV295" s="83"/>
      <c r="DW295" s="83"/>
      <c r="DX295" s="83"/>
      <c r="DY295" s="83"/>
      <c r="DZ295" s="83"/>
      <c r="EA295" s="83"/>
      <c r="EB295" s="83"/>
      <c r="EC295" s="83"/>
      <c r="ED295" s="83"/>
      <c r="EE295" s="83"/>
      <c r="EF295" s="83"/>
      <c r="EG295" s="83"/>
      <c r="EH295" s="83"/>
      <c r="EI295" s="83"/>
      <c r="EJ295" s="83"/>
      <c r="EK295" s="83"/>
      <c r="EL295" s="83"/>
      <c r="EM295" s="83"/>
      <c r="EN295" s="83"/>
      <c r="EO295" s="83"/>
      <c r="EP295" s="83"/>
      <c r="EQ295" s="83"/>
      <c r="ER295" s="83"/>
      <c r="ES295" s="83"/>
      <c r="ET295" s="83"/>
      <c r="EU295" s="83"/>
      <c r="EV295" s="83"/>
      <c r="EW295" s="83"/>
      <c r="EX295" s="83"/>
      <c r="EY295" s="83"/>
      <c r="EZ295" s="83"/>
      <c r="FA295" s="83"/>
      <c r="FB295" s="83"/>
      <c r="FC295" s="83"/>
      <c r="FD295" s="83"/>
      <c r="FE295" s="83"/>
      <c r="FF295" s="83"/>
      <c r="FG295" s="83"/>
      <c r="FH295" s="83"/>
      <c r="FI295" s="83"/>
      <c r="FJ295" s="83"/>
      <c r="FK295" s="83"/>
      <c r="FL295" s="83"/>
      <c r="FM295" s="83"/>
      <c r="FN295" s="83"/>
      <c r="FO295" s="83"/>
      <c r="FP295" s="83"/>
      <c r="FQ295" s="83"/>
      <c r="FR295" s="83"/>
      <c r="FS295" s="83"/>
      <c r="FT295" s="83"/>
      <c r="FU295" s="83"/>
      <c r="FV295" s="83"/>
      <c r="FW295" s="83"/>
      <c r="FX295" s="83"/>
      <c r="FY295" s="83"/>
      <c r="FZ295" s="83"/>
      <c r="GA295" s="83"/>
      <c r="GB295" s="83"/>
      <c r="GC295" s="83"/>
      <c r="GD295" s="83"/>
      <c r="GE295" s="83"/>
      <c r="GF295" s="83"/>
      <c r="GG295" s="83"/>
      <c r="GH295" s="83"/>
      <c r="GI295" s="83"/>
      <c r="GJ295" s="83"/>
      <c r="GK295" s="83"/>
      <c r="GL295" s="83"/>
      <c r="GM295" s="83"/>
      <c r="GN295" s="83"/>
      <c r="GO295" s="83"/>
      <c r="GP295" s="83"/>
      <c r="GQ295" s="83"/>
      <c r="GR295" s="83"/>
      <c r="GS295" s="83"/>
      <c r="GT295" s="83"/>
      <c r="GU295" s="83"/>
      <c r="GV295" s="83"/>
      <c r="GW295" s="83"/>
      <c r="GX295" s="83"/>
      <c r="GY295" s="83"/>
      <c r="GZ295" s="83"/>
      <c r="HA295" s="83"/>
      <c r="HB295" s="83"/>
      <c r="HC295" s="83"/>
      <c r="HD295" s="83"/>
      <c r="HE295" s="83"/>
      <c r="HF295" s="83"/>
      <c r="HG295" s="83"/>
      <c r="HH295" s="83"/>
      <c r="HI295" s="83"/>
      <c r="HJ295" s="83"/>
      <c r="HK295" s="83"/>
      <c r="HL295" s="83"/>
      <c r="HM295" s="83"/>
      <c r="HN295" s="83"/>
      <c r="HO295" s="83"/>
      <c r="HP295" s="83"/>
      <c r="HQ295" s="83"/>
      <c r="HR295" s="83"/>
      <c r="HS295" s="83"/>
      <c r="HT295" s="83"/>
      <c r="HU295" s="83"/>
      <c r="HV295" s="83"/>
      <c r="HW295" s="83"/>
      <c r="HX295" s="83"/>
      <c r="HY295" s="83"/>
      <c r="HZ295" s="83"/>
      <c r="IA295" s="83"/>
      <c r="IB295" s="83"/>
      <c r="IC295" s="83"/>
      <c r="ID295" s="83"/>
      <c r="IE295" s="83"/>
      <c r="IF295" s="83"/>
      <c r="IG295" s="83"/>
    </row>
    <row r="296" spans="1:241"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c r="DD296" s="83"/>
      <c r="DE296" s="83"/>
      <c r="DF296" s="83"/>
      <c r="DG296" s="83"/>
      <c r="DH296" s="83"/>
      <c r="DI296" s="83"/>
      <c r="DJ296" s="83"/>
      <c r="DK296" s="83"/>
      <c r="DL296" s="83"/>
      <c r="DM296" s="83"/>
      <c r="DN296" s="83"/>
      <c r="DO296" s="83"/>
      <c r="DP296" s="83"/>
      <c r="DQ296" s="83"/>
      <c r="DR296" s="83"/>
      <c r="DS296" s="83"/>
      <c r="DT296" s="83"/>
      <c r="DU296" s="83"/>
      <c r="DV296" s="83"/>
      <c r="DW296" s="83"/>
      <c r="DX296" s="83"/>
      <c r="DY296" s="83"/>
      <c r="DZ296" s="83"/>
      <c r="EA296" s="83"/>
      <c r="EB296" s="83"/>
      <c r="EC296" s="83"/>
      <c r="ED296" s="83"/>
      <c r="EE296" s="83"/>
      <c r="EF296" s="83"/>
      <c r="EG296" s="83"/>
      <c r="EH296" s="83"/>
      <c r="EI296" s="83"/>
      <c r="EJ296" s="83"/>
      <c r="EK296" s="83"/>
      <c r="EL296" s="83"/>
      <c r="EM296" s="83"/>
      <c r="EN296" s="83"/>
      <c r="EO296" s="83"/>
      <c r="EP296" s="83"/>
      <c r="EQ296" s="83"/>
      <c r="ER296" s="83"/>
      <c r="ES296" s="83"/>
      <c r="ET296" s="83"/>
      <c r="EU296" s="83"/>
      <c r="EV296" s="83"/>
      <c r="EW296" s="83"/>
      <c r="EX296" s="83"/>
      <c r="EY296" s="83"/>
      <c r="EZ296" s="83"/>
      <c r="FA296" s="83"/>
      <c r="FB296" s="83"/>
      <c r="FC296" s="83"/>
      <c r="FD296" s="83"/>
      <c r="FE296" s="83"/>
      <c r="FF296" s="83"/>
      <c r="FG296" s="83"/>
      <c r="FH296" s="83"/>
      <c r="FI296" s="83"/>
      <c r="FJ296" s="83"/>
      <c r="FK296" s="83"/>
      <c r="FL296" s="83"/>
      <c r="FM296" s="83"/>
      <c r="FN296" s="83"/>
      <c r="FO296" s="83"/>
      <c r="FP296" s="83"/>
      <c r="FQ296" s="83"/>
      <c r="FR296" s="83"/>
      <c r="FS296" s="83"/>
      <c r="FT296" s="83"/>
      <c r="FU296" s="83"/>
      <c r="FV296" s="83"/>
      <c r="FW296" s="83"/>
      <c r="FX296" s="83"/>
      <c r="FY296" s="83"/>
      <c r="FZ296" s="83"/>
      <c r="GA296" s="83"/>
      <c r="GB296" s="83"/>
      <c r="GC296" s="83"/>
      <c r="GD296" s="83"/>
      <c r="GE296" s="83"/>
      <c r="GF296" s="83"/>
      <c r="GG296" s="83"/>
      <c r="GH296" s="83"/>
      <c r="GI296" s="83"/>
      <c r="GJ296" s="83"/>
      <c r="GK296" s="83"/>
      <c r="GL296" s="83"/>
      <c r="GM296" s="83"/>
      <c r="GN296" s="83"/>
      <c r="GO296" s="83"/>
      <c r="GP296" s="83"/>
      <c r="GQ296" s="83"/>
      <c r="GR296" s="83"/>
      <c r="GS296" s="83"/>
      <c r="GT296" s="83"/>
      <c r="GU296" s="83"/>
      <c r="GV296" s="83"/>
      <c r="GW296" s="83"/>
      <c r="GX296" s="83"/>
      <c r="GY296" s="83"/>
      <c r="GZ296" s="83"/>
      <c r="HA296" s="83"/>
      <c r="HB296" s="83"/>
      <c r="HC296" s="83"/>
      <c r="HD296" s="83"/>
      <c r="HE296" s="83"/>
      <c r="HF296" s="83"/>
      <c r="HG296" s="83"/>
      <c r="HH296" s="83"/>
      <c r="HI296" s="83"/>
      <c r="HJ296" s="83"/>
      <c r="HK296" s="83"/>
      <c r="HL296" s="83"/>
      <c r="HM296" s="83"/>
      <c r="HN296" s="83"/>
      <c r="HO296" s="83"/>
      <c r="HP296" s="83"/>
      <c r="HQ296" s="83"/>
      <c r="HR296" s="83"/>
      <c r="HS296" s="83"/>
      <c r="HT296" s="83"/>
      <c r="HU296" s="83"/>
      <c r="HV296" s="83"/>
      <c r="HW296" s="83"/>
      <c r="HX296" s="83"/>
      <c r="HY296" s="83"/>
      <c r="HZ296" s="83"/>
      <c r="IA296" s="83"/>
      <c r="IB296" s="83"/>
      <c r="IC296" s="83"/>
      <c r="ID296" s="83"/>
      <c r="IE296" s="83"/>
      <c r="IF296" s="83"/>
      <c r="IG296" s="83"/>
    </row>
    <row r="297" spans="1:241"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c r="DD297" s="83"/>
      <c r="DE297" s="83"/>
      <c r="DF297" s="83"/>
      <c r="DG297" s="83"/>
      <c r="DH297" s="83"/>
      <c r="DI297" s="83"/>
      <c r="DJ297" s="83"/>
      <c r="DK297" s="83"/>
      <c r="DL297" s="83"/>
      <c r="DM297" s="83"/>
      <c r="DN297" s="83"/>
      <c r="DO297" s="83"/>
      <c r="DP297" s="83"/>
      <c r="DQ297" s="83"/>
      <c r="DR297" s="83"/>
      <c r="DS297" s="83"/>
      <c r="DT297" s="83"/>
      <c r="DU297" s="83"/>
      <c r="DV297" s="83"/>
      <c r="DW297" s="83"/>
      <c r="DX297" s="83"/>
      <c r="DY297" s="83"/>
      <c r="DZ297" s="83"/>
      <c r="EA297" s="83"/>
      <c r="EB297" s="83"/>
      <c r="EC297" s="83"/>
      <c r="ED297" s="83"/>
      <c r="EE297" s="83"/>
      <c r="EF297" s="83"/>
      <c r="EG297" s="83"/>
      <c r="EH297" s="83"/>
      <c r="EI297" s="83"/>
      <c r="EJ297" s="83"/>
      <c r="EK297" s="83"/>
      <c r="EL297" s="83"/>
      <c r="EM297" s="83"/>
      <c r="EN297" s="83"/>
      <c r="EO297" s="83"/>
      <c r="EP297" s="83"/>
      <c r="EQ297" s="83"/>
      <c r="ER297" s="83"/>
      <c r="ES297" s="83"/>
      <c r="ET297" s="83"/>
      <c r="EU297" s="83"/>
      <c r="EV297" s="83"/>
      <c r="EW297" s="83"/>
      <c r="EX297" s="83"/>
      <c r="EY297" s="83"/>
      <c r="EZ297" s="83"/>
      <c r="FA297" s="83"/>
      <c r="FB297" s="83"/>
      <c r="FC297" s="83"/>
      <c r="FD297" s="83"/>
      <c r="FE297" s="83"/>
      <c r="FF297" s="83"/>
      <c r="FG297" s="83"/>
      <c r="FH297" s="83"/>
      <c r="FI297" s="83"/>
      <c r="FJ297" s="83"/>
      <c r="FK297" s="83"/>
      <c r="FL297" s="83"/>
      <c r="FM297" s="83"/>
      <c r="FN297" s="83"/>
      <c r="FO297" s="83"/>
      <c r="FP297" s="83"/>
      <c r="FQ297" s="83"/>
      <c r="FR297" s="83"/>
      <c r="FS297" s="83"/>
      <c r="FT297" s="83"/>
      <c r="FU297" s="83"/>
      <c r="FV297" s="83"/>
      <c r="FW297" s="83"/>
      <c r="FX297" s="83"/>
      <c r="FY297" s="83"/>
      <c r="FZ297" s="83"/>
      <c r="GA297" s="83"/>
      <c r="GB297" s="83"/>
      <c r="GC297" s="83"/>
      <c r="GD297" s="83"/>
      <c r="GE297" s="83"/>
      <c r="GF297" s="83"/>
      <c r="GG297" s="83"/>
      <c r="GH297" s="83"/>
      <c r="GI297" s="83"/>
      <c r="GJ297" s="83"/>
      <c r="GK297" s="83"/>
      <c r="GL297" s="83"/>
      <c r="GM297" s="83"/>
      <c r="GN297" s="83"/>
      <c r="GO297" s="83"/>
      <c r="GP297" s="83"/>
      <c r="GQ297" s="83"/>
      <c r="GR297" s="83"/>
      <c r="GS297" s="83"/>
      <c r="GT297" s="83"/>
      <c r="GU297" s="83"/>
      <c r="GV297" s="83"/>
      <c r="GW297" s="83"/>
      <c r="GX297" s="83"/>
      <c r="GY297" s="83"/>
      <c r="GZ297" s="83"/>
      <c r="HA297" s="83"/>
      <c r="HB297" s="83"/>
      <c r="HC297" s="83"/>
      <c r="HD297" s="83"/>
      <c r="HE297" s="83"/>
      <c r="HF297" s="83"/>
      <c r="HG297" s="83"/>
      <c r="HH297" s="83"/>
      <c r="HI297" s="83"/>
      <c r="HJ297" s="83"/>
      <c r="HK297" s="83"/>
      <c r="HL297" s="83"/>
      <c r="HM297" s="83"/>
      <c r="HN297" s="83"/>
      <c r="HO297" s="83"/>
      <c r="HP297" s="83"/>
      <c r="HQ297" s="83"/>
      <c r="HR297" s="83"/>
      <c r="HS297" s="83"/>
      <c r="HT297" s="83"/>
      <c r="HU297" s="83"/>
      <c r="HV297" s="83"/>
      <c r="HW297" s="83"/>
      <c r="HX297" s="83"/>
      <c r="HY297" s="83"/>
      <c r="HZ297" s="83"/>
      <c r="IA297" s="83"/>
      <c r="IB297" s="83"/>
      <c r="IC297" s="83"/>
      <c r="ID297" s="83"/>
      <c r="IE297" s="83"/>
      <c r="IF297" s="83"/>
      <c r="IG297" s="83"/>
    </row>
    <row r="298" spans="1:241"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c r="DD298" s="83"/>
      <c r="DE298" s="83"/>
      <c r="DF298" s="83"/>
      <c r="DG298" s="83"/>
      <c r="DH298" s="83"/>
      <c r="DI298" s="83"/>
      <c r="DJ298" s="83"/>
      <c r="DK298" s="83"/>
      <c r="DL298" s="83"/>
      <c r="DM298" s="83"/>
      <c r="DN298" s="83"/>
      <c r="DO298" s="83"/>
      <c r="DP298" s="83"/>
      <c r="DQ298" s="83"/>
      <c r="DR298" s="83"/>
      <c r="DS298" s="83"/>
      <c r="DT298" s="83"/>
      <c r="DU298" s="83"/>
      <c r="DV298" s="83"/>
      <c r="DW298" s="83"/>
      <c r="DX298" s="83"/>
      <c r="DY298" s="83"/>
      <c r="DZ298" s="83"/>
      <c r="EA298" s="83"/>
      <c r="EB298" s="83"/>
      <c r="EC298" s="83"/>
      <c r="ED298" s="83"/>
      <c r="EE298" s="83"/>
      <c r="EF298" s="83"/>
      <c r="EG298" s="83"/>
      <c r="EH298" s="83"/>
      <c r="EI298" s="83"/>
      <c r="EJ298" s="83"/>
      <c r="EK298" s="83"/>
      <c r="EL298" s="83"/>
      <c r="EM298" s="83"/>
      <c r="EN298" s="83"/>
      <c r="EO298" s="83"/>
      <c r="EP298" s="83"/>
      <c r="EQ298" s="83"/>
      <c r="ER298" s="83"/>
      <c r="ES298" s="83"/>
      <c r="ET298" s="83"/>
      <c r="EU298" s="83"/>
      <c r="EV298" s="83"/>
      <c r="EW298" s="83"/>
      <c r="EX298" s="83"/>
      <c r="EY298" s="83"/>
      <c r="EZ298" s="83"/>
      <c r="FA298" s="83"/>
      <c r="FB298" s="83"/>
      <c r="FC298" s="83"/>
      <c r="FD298" s="83"/>
      <c r="FE298" s="83"/>
      <c r="FF298" s="83"/>
      <c r="FG298" s="83"/>
      <c r="FH298" s="83"/>
      <c r="FI298" s="83"/>
      <c r="FJ298" s="83"/>
      <c r="FK298" s="83"/>
      <c r="FL298" s="83"/>
      <c r="FM298" s="83"/>
      <c r="FN298" s="83"/>
      <c r="FO298" s="83"/>
      <c r="FP298" s="83"/>
      <c r="FQ298" s="83"/>
      <c r="FR298" s="83"/>
      <c r="FS298" s="83"/>
      <c r="FT298" s="83"/>
      <c r="FU298" s="83"/>
      <c r="FV298" s="83"/>
      <c r="FW298" s="83"/>
      <c r="FX298" s="83"/>
      <c r="FY298" s="83"/>
      <c r="FZ298" s="83"/>
      <c r="GA298" s="83"/>
      <c r="GB298" s="83"/>
      <c r="GC298" s="83"/>
      <c r="GD298" s="83"/>
      <c r="GE298" s="83"/>
      <c r="GF298" s="83"/>
      <c r="GG298" s="83"/>
      <c r="GH298" s="83"/>
      <c r="GI298" s="83"/>
      <c r="GJ298" s="83"/>
      <c r="GK298" s="83"/>
      <c r="GL298" s="83"/>
      <c r="GM298" s="83"/>
      <c r="GN298" s="83"/>
      <c r="GO298" s="83"/>
      <c r="GP298" s="83"/>
      <c r="GQ298" s="83"/>
      <c r="GR298" s="83"/>
      <c r="GS298" s="83"/>
      <c r="GT298" s="83"/>
      <c r="GU298" s="83"/>
      <c r="GV298" s="83"/>
      <c r="GW298" s="83"/>
      <c r="GX298" s="83"/>
      <c r="GY298" s="83"/>
      <c r="GZ298" s="83"/>
      <c r="HA298" s="83"/>
      <c r="HB298" s="83"/>
      <c r="HC298" s="83"/>
      <c r="HD298" s="83"/>
      <c r="HE298" s="83"/>
      <c r="HF298" s="83"/>
      <c r="HG298" s="83"/>
      <c r="HH298" s="83"/>
      <c r="HI298" s="83"/>
      <c r="HJ298" s="83"/>
      <c r="HK298" s="83"/>
      <c r="HL298" s="83"/>
      <c r="HM298" s="83"/>
      <c r="HN298" s="83"/>
      <c r="HO298" s="83"/>
      <c r="HP298" s="83"/>
      <c r="HQ298" s="83"/>
      <c r="HR298" s="83"/>
      <c r="HS298" s="83"/>
      <c r="HT298" s="83"/>
      <c r="HU298" s="83"/>
      <c r="HV298" s="83"/>
      <c r="HW298" s="83"/>
      <c r="HX298" s="83"/>
      <c r="HY298" s="83"/>
      <c r="HZ298" s="83"/>
      <c r="IA298" s="83"/>
      <c r="IB298" s="83"/>
      <c r="IC298" s="83"/>
      <c r="ID298" s="83"/>
      <c r="IE298" s="83"/>
      <c r="IF298" s="83"/>
      <c r="IG298" s="83"/>
    </row>
    <row r="299" spans="1:241"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c r="DD299" s="83"/>
      <c r="DE299" s="83"/>
      <c r="DF299" s="83"/>
      <c r="DG299" s="83"/>
      <c r="DH299" s="83"/>
      <c r="DI299" s="83"/>
      <c r="DJ299" s="83"/>
      <c r="DK299" s="83"/>
      <c r="DL299" s="83"/>
      <c r="DM299" s="83"/>
      <c r="DN299" s="83"/>
      <c r="DO299" s="83"/>
      <c r="DP299" s="83"/>
      <c r="DQ299" s="83"/>
      <c r="DR299" s="83"/>
      <c r="DS299" s="83"/>
      <c r="DT299" s="83"/>
      <c r="DU299" s="83"/>
      <c r="DV299" s="83"/>
      <c r="DW299" s="83"/>
      <c r="DX299" s="83"/>
      <c r="DY299" s="83"/>
      <c r="DZ299" s="83"/>
      <c r="EA299" s="83"/>
      <c r="EB299" s="83"/>
      <c r="EC299" s="83"/>
      <c r="ED299" s="83"/>
      <c r="EE299" s="83"/>
      <c r="EF299" s="83"/>
      <c r="EG299" s="83"/>
      <c r="EH299" s="83"/>
      <c r="EI299" s="83"/>
      <c r="EJ299" s="83"/>
      <c r="EK299" s="83"/>
      <c r="EL299" s="83"/>
      <c r="EM299" s="83"/>
      <c r="EN299" s="83"/>
      <c r="EO299" s="83"/>
      <c r="EP299" s="83"/>
      <c r="EQ299" s="83"/>
      <c r="ER299" s="83"/>
      <c r="ES299" s="83"/>
      <c r="ET299" s="83"/>
      <c r="EU299" s="83"/>
      <c r="EV299" s="83"/>
      <c r="EW299" s="83"/>
      <c r="EX299" s="83"/>
      <c r="EY299" s="83"/>
      <c r="EZ299" s="83"/>
      <c r="FA299" s="83"/>
      <c r="FB299" s="83"/>
      <c r="FC299" s="83"/>
      <c r="FD299" s="83"/>
      <c r="FE299" s="83"/>
      <c r="FF299" s="83"/>
      <c r="FG299" s="83"/>
      <c r="FH299" s="83"/>
      <c r="FI299" s="83"/>
      <c r="FJ299" s="83"/>
      <c r="FK299" s="83"/>
      <c r="FL299" s="83"/>
      <c r="FM299" s="83"/>
      <c r="FN299" s="83"/>
      <c r="FO299" s="83"/>
      <c r="FP299" s="83"/>
      <c r="FQ299" s="83"/>
      <c r="FR299" s="83"/>
      <c r="FS299" s="83"/>
      <c r="FT299" s="83"/>
      <c r="FU299" s="83"/>
      <c r="FV299" s="83"/>
      <c r="FW299" s="83"/>
      <c r="FX299" s="83"/>
      <c r="FY299" s="83"/>
      <c r="FZ299" s="83"/>
      <c r="GA299" s="83"/>
      <c r="GB299" s="83"/>
      <c r="GC299" s="83"/>
      <c r="GD299" s="83"/>
      <c r="GE299" s="83"/>
      <c r="GF299" s="83"/>
      <c r="GG299" s="83"/>
      <c r="GH299" s="83"/>
      <c r="GI299" s="83"/>
      <c r="GJ299" s="83"/>
      <c r="GK299" s="83"/>
      <c r="GL299" s="83"/>
      <c r="GM299" s="83"/>
      <c r="GN299" s="83"/>
      <c r="GO299" s="83"/>
      <c r="GP299" s="83"/>
      <c r="GQ299" s="83"/>
      <c r="GR299" s="83"/>
      <c r="GS299" s="83"/>
      <c r="GT299" s="83"/>
      <c r="GU299" s="83"/>
      <c r="GV299" s="83"/>
      <c r="GW299" s="83"/>
      <c r="GX299" s="83"/>
      <c r="GY299" s="83"/>
      <c r="GZ299" s="83"/>
      <c r="HA299" s="83"/>
      <c r="HB299" s="83"/>
      <c r="HC299" s="83"/>
      <c r="HD299" s="83"/>
      <c r="HE299" s="83"/>
      <c r="HF299" s="83"/>
      <c r="HG299" s="83"/>
      <c r="HH299" s="83"/>
      <c r="HI299" s="83"/>
      <c r="HJ299" s="83"/>
      <c r="HK299" s="83"/>
      <c r="HL299" s="83"/>
      <c r="HM299" s="83"/>
      <c r="HN299" s="83"/>
      <c r="HO299" s="83"/>
      <c r="HP299" s="83"/>
      <c r="HQ299" s="83"/>
      <c r="HR299" s="83"/>
      <c r="HS299" s="83"/>
      <c r="HT299" s="83"/>
      <c r="HU299" s="83"/>
      <c r="HV299" s="83"/>
      <c r="HW299" s="83"/>
      <c r="HX299" s="83"/>
      <c r="HY299" s="83"/>
      <c r="HZ299" s="83"/>
      <c r="IA299" s="83"/>
      <c r="IB299" s="83"/>
      <c r="IC299" s="83"/>
      <c r="ID299" s="83"/>
      <c r="IE299" s="83"/>
      <c r="IF299" s="83"/>
      <c r="IG299" s="83"/>
    </row>
    <row r="300" spans="1:241"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c r="DD300" s="83"/>
      <c r="DE300" s="83"/>
      <c r="DF300" s="83"/>
      <c r="DG300" s="83"/>
      <c r="DH300" s="83"/>
      <c r="DI300" s="83"/>
      <c r="DJ300" s="83"/>
      <c r="DK300" s="83"/>
      <c r="DL300" s="83"/>
      <c r="DM300" s="83"/>
      <c r="DN300" s="83"/>
      <c r="DO300" s="83"/>
      <c r="DP300" s="83"/>
      <c r="DQ300" s="83"/>
      <c r="DR300" s="83"/>
      <c r="DS300" s="83"/>
      <c r="DT300" s="83"/>
      <c r="DU300" s="83"/>
      <c r="DV300" s="83"/>
      <c r="DW300" s="83"/>
      <c r="DX300" s="83"/>
      <c r="DY300" s="83"/>
      <c r="DZ300" s="83"/>
      <c r="EA300" s="83"/>
      <c r="EB300" s="83"/>
      <c r="EC300" s="83"/>
      <c r="ED300" s="83"/>
      <c r="EE300" s="83"/>
      <c r="EF300" s="83"/>
      <c r="EG300" s="83"/>
      <c r="EH300" s="83"/>
      <c r="EI300" s="83"/>
      <c r="EJ300" s="83"/>
      <c r="EK300" s="83"/>
      <c r="EL300" s="83"/>
      <c r="EM300" s="83"/>
      <c r="EN300" s="83"/>
      <c r="EO300" s="83"/>
      <c r="EP300" s="83"/>
      <c r="EQ300" s="83"/>
      <c r="ER300" s="83"/>
      <c r="ES300" s="83"/>
      <c r="ET300" s="83"/>
      <c r="EU300" s="83"/>
      <c r="EV300" s="83"/>
      <c r="EW300" s="83"/>
      <c r="EX300" s="83"/>
      <c r="EY300" s="83"/>
      <c r="EZ300" s="83"/>
      <c r="FA300" s="83"/>
      <c r="FB300" s="83"/>
      <c r="FC300" s="83"/>
      <c r="FD300" s="83"/>
      <c r="FE300" s="83"/>
      <c r="FF300" s="83"/>
      <c r="FG300" s="83"/>
      <c r="FH300" s="83"/>
      <c r="FI300" s="83"/>
      <c r="FJ300" s="83"/>
      <c r="FK300" s="83"/>
      <c r="FL300" s="83"/>
      <c r="FM300" s="83"/>
      <c r="FN300" s="83"/>
      <c r="FO300" s="83"/>
      <c r="FP300" s="83"/>
      <c r="FQ300" s="83"/>
      <c r="FR300" s="83"/>
      <c r="FS300" s="83"/>
      <c r="FT300" s="83"/>
      <c r="FU300" s="83"/>
      <c r="FV300" s="83"/>
      <c r="FW300" s="83"/>
      <c r="FX300" s="83"/>
      <c r="FY300" s="83"/>
      <c r="FZ300" s="83"/>
      <c r="GA300" s="83"/>
      <c r="GB300" s="83"/>
      <c r="GC300" s="83"/>
      <c r="GD300" s="83"/>
      <c r="GE300" s="83"/>
      <c r="GF300" s="83"/>
      <c r="GG300" s="83"/>
      <c r="GH300" s="83"/>
      <c r="GI300" s="83"/>
      <c r="GJ300" s="83"/>
      <c r="GK300" s="83"/>
      <c r="GL300" s="83"/>
      <c r="GM300" s="83"/>
      <c r="GN300" s="83"/>
      <c r="GO300" s="83"/>
      <c r="GP300" s="83"/>
      <c r="GQ300" s="83"/>
      <c r="GR300" s="83"/>
      <c r="GS300" s="83"/>
      <c r="GT300" s="83"/>
      <c r="GU300" s="83"/>
      <c r="GV300" s="83"/>
      <c r="GW300" s="83"/>
      <c r="GX300" s="83"/>
      <c r="GY300" s="83"/>
      <c r="GZ300" s="83"/>
      <c r="HA300" s="83"/>
      <c r="HB300" s="83"/>
      <c r="HC300" s="83"/>
      <c r="HD300" s="83"/>
      <c r="HE300" s="83"/>
      <c r="HF300" s="83"/>
      <c r="HG300" s="83"/>
      <c r="HH300" s="83"/>
      <c r="HI300" s="83"/>
      <c r="HJ300" s="83"/>
      <c r="HK300" s="83"/>
      <c r="HL300" s="83"/>
      <c r="HM300" s="83"/>
      <c r="HN300" s="83"/>
      <c r="HO300" s="83"/>
      <c r="HP300" s="83"/>
      <c r="HQ300" s="83"/>
      <c r="HR300" s="83"/>
      <c r="HS300" s="83"/>
      <c r="HT300" s="83"/>
      <c r="HU300" s="83"/>
      <c r="HV300" s="83"/>
      <c r="HW300" s="83"/>
      <c r="HX300" s="83"/>
      <c r="HY300" s="83"/>
      <c r="HZ300" s="83"/>
      <c r="IA300" s="83"/>
      <c r="IB300" s="83"/>
      <c r="IC300" s="83"/>
      <c r="ID300" s="83"/>
      <c r="IE300" s="83"/>
      <c r="IF300" s="83"/>
      <c r="IG300" s="83"/>
    </row>
    <row r="301" spans="1:241"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c r="DD301" s="83"/>
      <c r="DE301" s="83"/>
      <c r="DF301" s="83"/>
      <c r="DG301" s="83"/>
      <c r="DH301" s="83"/>
      <c r="DI301" s="83"/>
      <c r="DJ301" s="83"/>
      <c r="DK301" s="83"/>
      <c r="DL301" s="83"/>
      <c r="DM301" s="83"/>
      <c r="DN301" s="83"/>
      <c r="DO301" s="83"/>
      <c r="DP301" s="83"/>
      <c r="DQ301" s="83"/>
      <c r="DR301" s="83"/>
      <c r="DS301" s="83"/>
      <c r="DT301" s="83"/>
      <c r="DU301" s="83"/>
      <c r="DV301" s="83"/>
      <c r="DW301" s="83"/>
      <c r="DX301" s="83"/>
      <c r="DY301" s="83"/>
      <c r="DZ301" s="83"/>
      <c r="EA301" s="83"/>
      <c r="EB301" s="83"/>
      <c r="EC301" s="83"/>
      <c r="ED301" s="83"/>
      <c r="EE301" s="83"/>
      <c r="EF301" s="83"/>
      <c r="EG301" s="83"/>
      <c r="EH301" s="83"/>
      <c r="EI301" s="83"/>
      <c r="EJ301" s="83"/>
      <c r="EK301" s="83"/>
      <c r="EL301" s="83"/>
      <c r="EM301" s="83"/>
      <c r="EN301" s="83"/>
      <c r="EO301" s="83"/>
      <c r="EP301" s="83"/>
      <c r="EQ301" s="83"/>
      <c r="ER301" s="83"/>
      <c r="ES301" s="83"/>
      <c r="ET301" s="83"/>
      <c r="EU301" s="83"/>
      <c r="EV301" s="83"/>
      <c r="EW301" s="83"/>
      <c r="EX301" s="83"/>
      <c r="EY301" s="83"/>
      <c r="EZ301" s="83"/>
      <c r="FA301" s="83"/>
      <c r="FB301" s="83"/>
      <c r="FC301" s="83"/>
      <c r="FD301" s="83"/>
      <c r="FE301" s="83"/>
      <c r="FF301" s="83"/>
      <c r="FG301" s="83"/>
      <c r="FH301" s="83"/>
      <c r="FI301" s="83"/>
      <c r="FJ301" s="83"/>
      <c r="FK301" s="83"/>
      <c r="FL301" s="83"/>
      <c r="FM301" s="83"/>
      <c r="FN301" s="83"/>
      <c r="FO301" s="83"/>
      <c r="FP301" s="83"/>
      <c r="FQ301" s="83"/>
      <c r="FR301" s="83"/>
      <c r="FS301" s="83"/>
      <c r="FT301" s="83"/>
      <c r="FU301" s="83"/>
      <c r="FV301" s="83"/>
      <c r="FW301" s="83"/>
      <c r="FX301" s="83"/>
      <c r="FY301" s="83"/>
      <c r="FZ301" s="83"/>
      <c r="GA301" s="83"/>
      <c r="GB301" s="83"/>
      <c r="GC301" s="83"/>
      <c r="GD301" s="83"/>
      <c r="GE301" s="83"/>
      <c r="GF301" s="83"/>
      <c r="GG301" s="83"/>
      <c r="GH301" s="83"/>
      <c r="GI301" s="83"/>
      <c r="GJ301" s="83"/>
      <c r="GK301" s="83"/>
      <c r="GL301" s="83"/>
      <c r="GM301" s="83"/>
      <c r="GN301" s="83"/>
      <c r="GO301" s="83"/>
      <c r="GP301" s="83"/>
      <c r="GQ301" s="83"/>
      <c r="GR301" s="83"/>
      <c r="GS301" s="83"/>
      <c r="GT301" s="83"/>
      <c r="GU301" s="83"/>
      <c r="GV301" s="83"/>
      <c r="GW301" s="83"/>
      <c r="GX301" s="83"/>
      <c r="GY301" s="83"/>
      <c r="GZ301" s="83"/>
      <c r="HA301" s="83"/>
      <c r="HB301" s="83"/>
      <c r="HC301" s="83"/>
      <c r="HD301" s="83"/>
      <c r="HE301" s="83"/>
      <c r="HF301" s="83"/>
      <c r="HG301" s="83"/>
      <c r="HH301" s="83"/>
      <c r="HI301" s="83"/>
      <c r="HJ301" s="83"/>
      <c r="HK301" s="83"/>
      <c r="HL301" s="83"/>
      <c r="HM301" s="83"/>
      <c r="HN301" s="83"/>
      <c r="HO301" s="83"/>
      <c r="HP301" s="83"/>
      <c r="HQ301" s="83"/>
      <c r="HR301" s="83"/>
      <c r="HS301" s="83"/>
      <c r="HT301" s="83"/>
      <c r="HU301" s="83"/>
      <c r="HV301" s="83"/>
      <c r="HW301" s="83"/>
      <c r="HX301" s="83"/>
      <c r="HY301" s="83"/>
      <c r="HZ301" s="83"/>
      <c r="IA301" s="83"/>
      <c r="IB301" s="83"/>
      <c r="IC301" s="83"/>
      <c r="ID301" s="83"/>
      <c r="IE301" s="83"/>
      <c r="IF301" s="83"/>
      <c r="IG301" s="83"/>
    </row>
    <row r="302" spans="1:241"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c r="DD302" s="83"/>
      <c r="DE302" s="83"/>
      <c r="DF302" s="83"/>
      <c r="DG302" s="83"/>
      <c r="DH302" s="83"/>
      <c r="DI302" s="83"/>
      <c r="DJ302" s="83"/>
      <c r="DK302" s="83"/>
      <c r="DL302" s="83"/>
      <c r="DM302" s="83"/>
      <c r="DN302" s="83"/>
      <c r="DO302" s="83"/>
      <c r="DP302" s="83"/>
      <c r="DQ302" s="83"/>
      <c r="DR302" s="83"/>
      <c r="DS302" s="83"/>
      <c r="DT302" s="83"/>
      <c r="DU302" s="83"/>
      <c r="DV302" s="83"/>
      <c r="DW302" s="83"/>
      <c r="DX302" s="83"/>
      <c r="DY302" s="83"/>
      <c r="DZ302" s="83"/>
      <c r="EA302" s="83"/>
      <c r="EB302" s="83"/>
      <c r="EC302" s="83"/>
      <c r="ED302" s="83"/>
      <c r="EE302" s="83"/>
      <c r="EF302" s="83"/>
      <c r="EG302" s="83"/>
      <c r="EH302" s="83"/>
      <c r="EI302" s="83"/>
      <c r="EJ302" s="83"/>
      <c r="EK302" s="83"/>
      <c r="EL302" s="83"/>
      <c r="EM302" s="83"/>
      <c r="EN302" s="83"/>
      <c r="EO302" s="83"/>
      <c r="EP302" s="83"/>
      <c r="EQ302" s="83"/>
      <c r="ER302" s="83"/>
      <c r="ES302" s="83"/>
      <c r="ET302" s="83"/>
      <c r="EU302" s="83"/>
      <c r="EV302" s="83"/>
      <c r="EW302" s="83"/>
      <c r="EX302" s="83"/>
      <c r="EY302" s="83"/>
      <c r="EZ302" s="83"/>
      <c r="FA302" s="83"/>
      <c r="FB302" s="83"/>
      <c r="FC302" s="83"/>
      <c r="FD302" s="83"/>
      <c r="FE302" s="83"/>
      <c r="FF302" s="83"/>
      <c r="FG302" s="83"/>
      <c r="FH302" s="83"/>
      <c r="FI302" s="83"/>
      <c r="FJ302" s="83"/>
      <c r="FK302" s="83"/>
      <c r="FL302" s="83"/>
      <c r="FM302" s="83"/>
      <c r="FN302" s="83"/>
      <c r="FO302" s="83"/>
      <c r="FP302" s="83"/>
      <c r="FQ302" s="83"/>
      <c r="FR302" s="83"/>
      <c r="FS302" s="83"/>
      <c r="FT302" s="83"/>
      <c r="FU302" s="83"/>
      <c r="FV302" s="83"/>
      <c r="FW302" s="83"/>
      <c r="FX302" s="83"/>
      <c r="FY302" s="83"/>
      <c r="FZ302" s="83"/>
      <c r="GA302" s="83"/>
      <c r="GB302" s="83"/>
      <c r="GC302" s="83"/>
      <c r="GD302" s="83"/>
      <c r="GE302" s="83"/>
      <c r="GF302" s="83"/>
      <c r="GG302" s="83"/>
      <c r="GH302" s="83"/>
      <c r="GI302" s="83"/>
      <c r="GJ302" s="83"/>
      <c r="GK302" s="83"/>
      <c r="GL302" s="83"/>
      <c r="GM302" s="83"/>
      <c r="GN302" s="83"/>
      <c r="GO302" s="83"/>
      <c r="GP302" s="83"/>
      <c r="GQ302" s="83"/>
      <c r="GR302" s="83"/>
      <c r="GS302" s="83"/>
      <c r="GT302" s="83"/>
      <c r="GU302" s="83"/>
      <c r="GV302" s="83"/>
      <c r="GW302" s="83"/>
      <c r="GX302" s="83"/>
      <c r="GY302" s="83"/>
      <c r="GZ302" s="83"/>
      <c r="HA302" s="83"/>
      <c r="HB302" s="83"/>
      <c r="HC302" s="83"/>
      <c r="HD302" s="83"/>
      <c r="HE302" s="83"/>
      <c r="HF302" s="83"/>
      <c r="HG302" s="83"/>
      <c r="HH302" s="83"/>
      <c r="HI302" s="83"/>
      <c r="HJ302" s="83"/>
      <c r="HK302" s="83"/>
      <c r="HL302" s="83"/>
      <c r="HM302" s="83"/>
      <c r="HN302" s="83"/>
      <c r="HO302" s="83"/>
      <c r="HP302" s="83"/>
      <c r="HQ302" s="83"/>
      <c r="HR302" s="83"/>
      <c r="HS302" s="83"/>
      <c r="HT302" s="83"/>
      <c r="HU302" s="83"/>
      <c r="HV302" s="83"/>
      <c r="HW302" s="83"/>
      <c r="HX302" s="83"/>
      <c r="HY302" s="83"/>
      <c r="HZ302" s="83"/>
      <c r="IA302" s="83"/>
      <c r="IB302" s="83"/>
      <c r="IC302" s="83"/>
      <c r="ID302" s="83"/>
      <c r="IE302" s="83"/>
      <c r="IF302" s="83"/>
      <c r="IG302" s="83"/>
    </row>
    <row r="303" spans="1:241"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c r="DD303" s="83"/>
      <c r="DE303" s="83"/>
      <c r="DF303" s="83"/>
      <c r="DG303" s="83"/>
      <c r="DH303" s="83"/>
      <c r="DI303" s="83"/>
      <c r="DJ303" s="83"/>
      <c r="DK303" s="83"/>
      <c r="DL303" s="83"/>
      <c r="DM303" s="83"/>
      <c r="DN303" s="83"/>
      <c r="DO303" s="83"/>
      <c r="DP303" s="83"/>
      <c r="DQ303" s="83"/>
      <c r="DR303" s="83"/>
      <c r="DS303" s="83"/>
      <c r="DT303" s="83"/>
      <c r="DU303" s="83"/>
      <c r="DV303" s="83"/>
      <c r="DW303" s="83"/>
      <c r="DX303" s="83"/>
      <c r="DY303" s="83"/>
      <c r="DZ303" s="83"/>
      <c r="EA303" s="83"/>
      <c r="EB303" s="83"/>
      <c r="EC303" s="83"/>
      <c r="ED303" s="83"/>
      <c r="EE303" s="83"/>
      <c r="EF303" s="83"/>
      <c r="EG303" s="83"/>
      <c r="EH303" s="83"/>
      <c r="EI303" s="83"/>
      <c r="EJ303" s="83"/>
      <c r="EK303" s="83"/>
      <c r="EL303" s="83"/>
      <c r="EM303" s="83"/>
      <c r="EN303" s="83"/>
      <c r="EO303" s="83"/>
      <c r="EP303" s="83"/>
      <c r="EQ303" s="83"/>
      <c r="ER303" s="83"/>
      <c r="ES303" s="83"/>
      <c r="ET303" s="83"/>
      <c r="EU303" s="83"/>
      <c r="EV303" s="83"/>
      <c r="EW303" s="83"/>
      <c r="EX303" s="83"/>
      <c r="EY303" s="83"/>
      <c r="EZ303" s="83"/>
      <c r="FA303" s="83"/>
      <c r="FB303" s="83"/>
      <c r="FC303" s="83"/>
      <c r="FD303" s="83"/>
      <c r="FE303" s="83"/>
      <c r="FF303" s="83"/>
      <c r="FG303" s="83"/>
      <c r="FH303" s="83"/>
      <c r="FI303" s="83"/>
      <c r="FJ303" s="83"/>
      <c r="FK303" s="83"/>
      <c r="FL303" s="83"/>
      <c r="FM303" s="83"/>
      <c r="FN303" s="83"/>
      <c r="FO303" s="83"/>
      <c r="FP303" s="83"/>
      <c r="FQ303" s="83"/>
      <c r="FR303" s="83"/>
      <c r="FS303" s="83"/>
      <c r="FT303" s="83"/>
      <c r="FU303" s="83"/>
      <c r="FV303" s="83"/>
      <c r="FW303" s="83"/>
      <c r="FX303" s="83"/>
      <c r="FY303" s="83"/>
      <c r="FZ303" s="83"/>
      <c r="GA303" s="83"/>
      <c r="GB303" s="83"/>
      <c r="GC303" s="83"/>
      <c r="GD303" s="83"/>
      <c r="GE303" s="83"/>
      <c r="GF303" s="83"/>
      <c r="GG303" s="83"/>
      <c r="GH303" s="83"/>
      <c r="GI303" s="83"/>
      <c r="GJ303" s="83"/>
      <c r="GK303" s="83"/>
      <c r="GL303" s="83"/>
      <c r="GM303" s="83"/>
      <c r="GN303" s="83"/>
      <c r="GO303" s="83"/>
      <c r="GP303" s="83"/>
      <c r="GQ303" s="83"/>
      <c r="GR303" s="83"/>
      <c r="GS303" s="83"/>
      <c r="GT303" s="83"/>
      <c r="GU303" s="83"/>
      <c r="GV303" s="83"/>
      <c r="GW303" s="83"/>
      <c r="GX303" s="83"/>
      <c r="GY303" s="83"/>
      <c r="GZ303" s="83"/>
      <c r="HA303" s="83"/>
      <c r="HB303" s="83"/>
      <c r="HC303" s="83"/>
      <c r="HD303" s="83"/>
      <c r="HE303" s="83"/>
      <c r="HF303" s="83"/>
      <c r="HG303" s="83"/>
      <c r="HH303" s="83"/>
      <c r="HI303" s="83"/>
      <c r="HJ303" s="83"/>
      <c r="HK303" s="83"/>
      <c r="HL303" s="83"/>
      <c r="HM303" s="83"/>
      <c r="HN303" s="83"/>
      <c r="HO303" s="83"/>
      <c r="HP303" s="83"/>
      <c r="HQ303" s="83"/>
      <c r="HR303" s="83"/>
      <c r="HS303" s="83"/>
      <c r="HT303" s="83"/>
      <c r="HU303" s="83"/>
      <c r="HV303" s="83"/>
      <c r="HW303" s="83"/>
      <c r="HX303" s="83"/>
      <c r="HY303" s="83"/>
      <c r="HZ303" s="83"/>
      <c r="IA303" s="83"/>
      <c r="IB303" s="83"/>
      <c r="IC303" s="83"/>
      <c r="ID303" s="83"/>
      <c r="IE303" s="83"/>
      <c r="IF303" s="83"/>
      <c r="IG303" s="83"/>
    </row>
    <row r="304" spans="1:241"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c r="DD304" s="83"/>
      <c r="DE304" s="83"/>
      <c r="DF304" s="83"/>
      <c r="DG304" s="83"/>
      <c r="DH304" s="83"/>
      <c r="DI304" s="83"/>
      <c r="DJ304" s="83"/>
      <c r="DK304" s="83"/>
      <c r="DL304" s="83"/>
      <c r="DM304" s="83"/>
      <c r="DN304" s="83"/>
      <c r="DO304" s="83"/>
      <c r="DP304" s="83"/>
      <c r="DQ304" s="83"/>
      <c r="DR304" s="83"/>
      <c r="DS304" s="83"/>
      <c r="DT304" s="83"/>
      <c r="DU304" s="83"/>
      <c r="DV304" s="83"/>
      <c r="DW304" s="83"/>
      <c r="DX304" s="83"/>
      <c r="DY304" s="83"/>
      <c r="DZ304" s="83"/>
      <c r="EA304" s="83"/>
      <c r="EB304" s="83"/>
      <c r="EC304" s="83"/>
      <c r="ED304" s="83"/>
      <c r="EE304" s="83"/>
      <c r="EF304" s="83"/>
      <c r="EG304" s="83"/>
      <c r="EH304" s="83"/>
      <c r="EI304" s="83"/>
      <c r="EJ304" s="83"/>
      <c r="EK304" s="83"/>
      <c r="EL304" s="83"/>
      <c r="EM304" s="83"/>
      <c r="EN304" s="83"/>
      <c r="EO304" s="83"/>
      <c r="EP304" s="83"/>
      <c r="EQ304" s="83"/>
      <c r="ER304" s="83"/>
      <c r="ES304" s="83"/>
      <c r="ET304" s="83"/>
      <c r="EU304" s="83"/>
      <c r="EV304" s="83"/>
      <c r="EW304" s="83"/>
      <c r="EX304" s="83"/>
      <c r="EY304" s="83"/>
      <c r="EZ304" s="83"/>
      <c r="FA304" s="83"/>
      <c r="FB304" s="83"/>
      <c r="FC304" s="83"/>
      <c r="FD304" s="83"/>
      <c r="FE304" s="83"/>
      <c r="FF304" s="83"/>
      <c r="FG304" s="83"/>
      <c r="FH304" s="83"/>
      <c r="FI304" s="83"/>
      <c r="FJ304" s="83"/>
      <c r="FK304" s="83"/>
      <c r="FL304" s="83"/>
      <c r="FM304" s="83"/>
      <c r="FN304" s="83"/>
      <c r="FO304" s="83"/>
      <c r="FP304" s="83"/>
      <c r="FQ304" s="83"/>
      <c r="FR304" s="83"/>
      <c r="FS304" s="83"/>
      <c r="FT304" s="83"/>
      <c r="FU304" s="83"/>
      <c r="FV304" s="83"/>
      <c r="FW304" s="83"/>
      <c r="FX304" s="83"/>
      <c r="FY304" s="83"/>
      <c r="FZ304" s="83"/>
      <c r="GA304" s="83"/>
      <c r="GB304" s="83"/>
      <c r="GC304" s="83"/>
      <c r="GD304" s="83"/>
      <c r="GE304" s="83"/>
      <c r="GF304" s="83"/>
      <c r="GG304" s="83"/>
      <c r="GH304" s="83"/>
      <c r="GI304" s="83"/>
      <c r="GJ304" s="83"/>
      <c r="GK304" s="83"/>
      <c r="GL304" s="83"/>
      <c r="GM304" s="83"/>
      <c r="GN304" s="83"/>
      <c r="GO304" s="83"/>
      <c r="GP304" s="83"/>
      <c r="GQ304" s="83"/>
      <c r="GR304" s="83"/>
      <c r="GS304" s="83"/>
      <c r="GT304" s="83"/>
      <c r="GU304" s="83"/>
      <c r="GV304" s="83"/>
      <c r="GW304" s="83"/>
      <c r="GX304" s="83"/>
      <c r="GY304" s="83"/>
      <c r="GZ304" s="83"/>
      <c r="HA304" s="83"/>
      <c r="HB304" s="83"/>
      <c r="HC304" s="83"/>
      <c r="HD304" s="83"/>
      <c r="HE304" s="83"/>
      <c r="HF304" s="83"/>
      <c r="HG304" s="83"/>
      <c r="HH304" s="83"/>
      <c r="HI304" s="83"/>
      <c r="HJ304" s="83"/>
      <c r="HK304" s="83"/>
      <c r="HL304" s="83"/>
      <c r="HM304" s="83"/>
      <c r="HN304" s="83"/>
      <c r="HO304" s="83"/>
      <c r="HP304" s="83"/>
      <c r="HQ304" s="83"/>
      <c r="HR304" s="83"/>
      <c r="HS304" s="83"/>
      <c r="HT304" s="83"/>
      <c r="HU304" s="83"/>
      <c r="HV304" s="83"/>
      <c r="HW304" s="83"/>
      <c r="HX304" s="83"/>
      <c r="HY304" s="83"/>
      <c r="HZ304" s="83"/>
      <c r="IA304" s="83"/>
      <c r="IB304" s="83"/>
      <c r="IC304" s="83"/>
      <c r="ID304" s="83"/>
      <c r="IE304" s="83"/>
      <c r="IF304" s="83"/>
      <c r="IG304" s="83"/>
    </row>
    <row r="305" spans="1:241"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c r="DD305" s="83"/>
      <c r="DE305" s="83"/>
      <c r="DF305" s="83"/>
      <c r="DG305" s="83"/>
      <c r="DH305" s="83"/>
      <c r="DI305" s="83"/>
      <c r="DJ305" s="83"/>
      <c r="DK305" s="83"/>
      <c r="DL305" s="83"/>
      <c r="DM305" s="83"/>
      <c r="DN305" s="83"/>
      <c r="DO305" s="83"/>
      <c r="DP305" s="83"/>
      <c r="DQ305" s="83"/>
      <c r="DR305" s="83"/>
      <c r="DS305" s="83"/>
      <c r="DT305" s="83"/>
      <c r="DU305" s="83"/>
      <c r="DV305" s="83"/>
      <c r="DW305" s="83"/>
      <c r="DX305" s="83"/>
      <c r="DY305" s="83"/>
      <c r="DZ305" s="83"/>
      <c r="EA305" s="83"/>
      <c r="EB305" s="83"/>
      <c r="EC305" s="83"/>
      <c r="ED305" s="83"/>
      <c r="EE305" s="83"/>
      <c r="EF305" s="83"/>
      <c r="EG305" s="83"/>
      <c r="EH305" s="83"/>
      <c r="EI305" s="83"/>
      <c r="EJ305" s="83"/>
      <c r="EK305" s="83"/>
      <c r="EL305" s="83"/>
      <c r="EM305" s="83"/>
      <c r="EN305" s="83"/>
      <c r="EO305" s="83"/>
      <c r="EP305" s="83"/>
      <c r="EQ305" s="83"/>
      <c r="ER305" s="83"/>
      <c r="ES305" s="83"/>
      <c r="ET305" s="83"/>
      <c r="EU305" s="83"/>
      <c r="EV305" s="83"/>
      <c r="EW305" s="83"/>
      <c r="EX305" s="83"/>
      <c r="EY305" s="83"/>
      <c r="EZ305" s="83"/>
      <c r="FA305" s="83"/>
      <c r="FB305" s="83"/>
      <c r="FC305" s="83"/>
      <c r="FD305" s="83"/>
      <c r="FE305" s="83"/>
      <c r="FF305" s="83"/>
      <c r="FG305" s="83"/>
      <c r="FH305" s="83"/>
      <c r="FI305" s="83"/>
      <c r="FJ305" s="83"/>
      <c r="FK305" s="83"/>
      <c r="FL305" s="83"/>
      <c r="FM305" s="83"/>
      <c r="FN305" s="83"/>
      <c r="FO305" s="83"/>
      <c r="FP305" s="83"/>
      <c r="FQ305" s="83"/>
      <c r="FR305" s="83"/>
      <c r="FS305" s="83"/>
      <c r="FT305" s="83"/>
      <c r="FU305" s="83"/>
      <c r="FV305" s="83"/>
      <c r="FW305" s="83"/>
      <c r="FX305" s="83"/>
      <c r="FY305" s="83"/>
      <c r="FZ305" s="83"/>
      <c r="GA305" s="83"/>
      <c r="GB305" s="83"/>
      <c r="GC305" s="83"/>
      <c r="GD305" s="83"/>
      <c r="GE305" s="83"/>
      <c r="GF305" s="83"/>
      <c r="GG305" s="83"/>
      <c r="GH305" s="83"/>
      <c r="GI305" s="83"/>
      <c r="GJ305" s="83"/>
      <c r="GK305" s="83"/>
      <c r="GL305" s="83"/>
      <c r="GM305" s="83"/>
      <c r="GN305" s="83"/>
      <c r="GO305" s="83"/>
      <c r="GP305" s="83"/>
      <c r="GQ305" s="83"/>
      <c r="GR305" s="83"/>
      <c r="GS305" s="83"/>
      <c r="GT305" s="83"/>
      <c r="GU305" s="83"/>
      <c r="GV305" s="83"/>
      <c r="GW305" s="83"/>
      <c r="GX305" s="83"/>
      <c r="GY305" s="83"/>
      <c r="GZ305" s="83"/>
      <c r="HA305" s="83"/>
      <c r="HB305" s="83"/>
      <c r="HC305" s="83"/>
      <c r="HD305" s="83"/>
      <c r="HE305" s="83"/>
      <c r="HF305" s="83"/>
      <c r="HG305" s="83"/>
      <c r="HH305" s="83"/>
      <c r="HI305" s="83"/>
      <c r="HJ305" s="83"/>
      <c r="HK305" s="83"/>
      <c r="HL305" s="83"/>
      <c r="HM305" s="83"/>
      <c r="HN305" s="83"/>
      <c r="HO305" s="83"/>
      <c r="HP305" s="83"/>
      <c r="HQ305" s="83"/>
      <c r="HR305" s="83"/>
      <c r="HS305" s="83"/>
      <c r="HT305" s="83"/>
      <c r="HU305" s="83"/>
      <c r="HV305" s="83"/>
      <c r="HW305" s="83"/>
      <c r="HX305" s="83"/>
      <c r="HY305" s="83"/>
      <c r="HZ305" s="83"/>
      <c r="IA305" s="83"/>
      <c r="IB305" s="83"/>
      <c r="IC305" s="83"/>
      <c r="ID305" s="83"/>
      <c r="IE305" s="83"/>
      <c r="IF305" s="83"/>
      <c r="IG305" s="83"/>
    </row>
    <row r="306" spans="1:241"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c r="DD306" s="83"/>
      <c r="DE306" s="83"/>
      <c r="DF306" s="83"/>
      <c r="DG306" s="83"/>
      <c r="DH306" s="83"/>
      <c r="DI306" s="83"/>
      <c r="DJ306" s="83"/>
      <c r="DK306" s="83"/>
      <c r="DL306" s="83"/>
      <c r="DM306" s="83"/>
      <c r="DN306" s="83"/>
      <c r="DO306" s="83"/>
      <c r="DP306" s="83"/>
      <c r="DQ306" s="83"/>
      <c r="DR306" s="83"/>
      <c r="DS306" s="83"/>
      <c r="DT306" s="83"/>
      <c r="DU306" s="83"/>
      <c r="DV306" s="83"/>
      <c r="DW306" s="83"/>
      <c r="DX306" s="83"/>
      <c r="DY306" s="83"/>
      <c r="DZ306" s="83"/>
      <c r="EA306" s="83"/>
      <c r="EB306" s="83"/>
      <c r="EC306" s="83"/>
      <c r="ED306" s="83"/>
      <c r="EE306" s="83"/>
      <c r="EF306" s="83"/>
      <c r="EG306" s="83"/>
      <c r="EH306" s="83"/>
      <c r="EI306" s="83"/>
      <c r="EJ306" s="83"/>
      <c r="EK306" s="83"/>
      <c r="EL306" s="83"/>
      <c r="EM306" s="83"/>
      <c r="EN306" s="83"/>
      <c r="EO306" s="83"/>
      <c r="EP306" s="83"/>
      <c r="EQ306" s="83"/>
      <c r="ER306" s="83"/>
      <c r="ES306" s="83"/>
      <c r="ET306" s="83"/>
      <c r="EU306" s="83"/>
      <c r="EV306" s="83"/>
      <c r="EW306" s="83"/>
      <c r="EX306" s="83"/>
      <c r="EY306" s="83"/>
      <c r="EZ306" s="83"/>
      <c r="FA306" s="83"/>
      <c r="FB306" s="83"/>
      <c r="FC306" s="83"/>
      <c r="FD306" s="83"/>
      <c r="FE306" s="83"/>
      <c r="FF306" s="83"/>
      <c r="FG306" s="83"/>
      <c r="FH306" s="83"/>
      <c r="FI306" s="83"/>
      <c r="FJ306" s="83"/>
      <c r="FK306" s="83"/>
      <c r="FL306" s="83"/>
      <c r="FM306" s="83"/>
      <c r="FN306" s="83"/>
      <c r="FO306" s="83"/>
      <c r="FP306" s="83"/>
      <c r="FQ306" s="83"/>
      <c r="FR306" s="83"/>
      <c r="FS306" s="83"/>
      <c r="FT306" s="83"/>
      <c r="FU306" s="83"/>
      <c r="FV306" s="83"/>
      <c r="FW306" s="83"/>
      <c r="FX306" s="83"/>
      <c r="FY306" s="83"/>
      <c r="FZ306" s="83"/>
      <c r="GA306" s="83"/>
      <c r="GB306" s="83"/>
      <c r="GC306" s="83"/>
      <c r="GD306" s="83"/>
      <c r="GE306" s="83"/>
      <c r="GF306" s="83"/>
      <c r="GG306" s="83"/>
      <c r="GH306" s="83"/>
      <c r="GI306" s="83"/>
      <c r="GJ306" s="83"/>
      <c r="GK306" s="83"/>
      <c r="GL306" s="83"/>
      <c r="GM306" s="83"/>
      <c r="GN306" s="83"/>
      <c r="GO306" s="83"/>
      <c r="GP306" s="83"/>
      <c r="GQ306" s="83"/>
      <c r="GR306" s="83"/>
      <c r="GS306" s="83"/>
      <c r="GT306" s="83"/>
      <c r="GU306" s="83"/>
      <c r="GV306" s="83"/>
      <c r="GW306" s="83"/>
      <c r="GX306" s="83"/>
      <c r="GY306" s="83"/>
      <c r="GZ306" s="83"/>
      <c r="HA306" s="83"/>
      <c r="HB306" s="83"/>
      <c r="HC306" s="83"/>
      <c r="HD306" s="83"/>
      <c r="HE306" s="83"/>
      <c r="HF306" s="83"/>
      <c r="HG306" s="83"/>
      <c r="HH306" s="83"/>
      <c r="HI306" s="83"/>
      <c r="HJ306" s="83"/>
      <c r="HK306" s="83"/>
      <c r="HL306" s="83"/>
      <c r="HM306" s="83"/>
      <c r="HN306" s="83"/>
      <c r="HO306" s="83"/>
      <c r="HP306" s="83"/>
      <c r="HQ306" s="83"/>
      <c r="HR306" s="83"/>
      <c r="HS306" s="83"/>
      <c r="HT306" s="83"/>
      <c r="HU306" s="83"/>
      <c r="HV306" s="83"/>
      <c r="HW306" s="83"/>
      <c r="HX306" s="83"/>
      <c r="HY306" s="83"/>
      <c r="HZ306" s="83"/>
      <c r="IA306" s="83"/>
      <c r="IB306" s="83"/>
      <c r="IC306" s="83"/>
      <c r="ID306" s="83"/>
      <c r="IE306" s="83"/>
      <c r="IF306" s="83"/>
      <c r="IG306" s="83"/>
    </row>
    <row r="307" spans="1:241"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c r="DD307" s="83"/>
      <c r="DE307" s="83"/>
      <c r="DF307" s="83"/>
      <c r="DG307" s="83"/>
      <c r="DH307" s="83"/>
      <c r="DI307" s="83"/>
      <c r="DJ307" s="83"/>
      <c r="DK307" s="83"/>
      <c r="DL307" s="83"/>
      <c r="DM307" s="83"/>
      <c r="DN307" s="83"/>
      <c r="DO307" s="83"/>
      <c r="DP307" s="83"/>
      <c r="DQ307" s="83"/>
      <c r="DR307" s="83"/>
      <c r="DS307" s="83"/>
      <c r="DT307" s="83"/>
      <c r="DU307" s="83"/>
      <c r="DV307" s="83"/>
      <c r="DW307" s="83"/>
      <c r="DX307" s="83"/>
      <c r="DY307" s="83"/>
      <c r="DZ307" s="83"/>
      <c r="EA307" s="83"/>
      <c r="EB307" s="83"/>
      <c r="EC307" s="83"/>
      <c r="ED307" s="83"/>
      <c r="EE307" s="83"/>
      <c r="EF307" s="83"/>
      <c r="EG307" s="83"/>
      <c r="EH307" s="83"/>
      <c r="EI307" s="83"/>
      <c r="EJ307" s="83"/>
      <c r="EK307" s="83"/>
      <c r="EL307" s="83"/>
      <c r="EM307" s="83"/>
      <c r="EN307" s="83"/>
      <c r="EO307" s="83"/>
      <c r="EP307" s="83"/>
      <c r="EQ307" s="83"/>
      <c r="ER307" s="83"/>
      <c r="ES307" s="83"/>
      <c r="ET307" s="83"/>
      <c r="EU307" s="83"/>
      <c r="EV307" s="83"/>
      <c r="EW307" s="83"/>
      <c r="EX307" s="83"/>
      <c r="EY307" s="83"/>
      <c r="EZ307" s="83"/>
      <c r="FA307" s="83"/>
      <c r="FB307" s="83"/>
      <c r="FC307" s="83"/>
      <c r="FD307" s="83"/>
      <c r="FE307" s="83"/>
      <c r="FF307" s="83"/>
      <c r="FG307" s="83"/>
      <c r="FH307" s="83"/>
      <c r="FI307" s="83"/>
      <c r="FJ307" s="83"/>
      <c r="FK307" s="83"/>
      <c r="FL307" s="83"/>
      <c r="FM307" s="83"/>
      <c r="FN307" s="83"/>
      <c r="FO307" s="83"/>
      <c r="FP307" s="83"/>
      <c r="FQ307" s="83"/>
      <c r="FR307" s="83"/>
      <c r="FS307" s="83"/>
      <c r="FT307" s="83"/>
      <c r="FU307" s="83"/>
      <c r="FV307" s="83"/>
      <c r="FW307" s="83"/>
      <c r="FX307" s="83"/>
      <c r="FY307" s="83"/>
      <c r="FZ307" s="83"/>
      <c r="GA307" s="83"/>
      <c r="GB307" s="83"/>
      <c r="GC307" s="83"/>
      <c r="GD307" s="83"/>
      <c r="GE307" s="83"/>
      <c r="GF307" s="83"/>
      <c r="GG307" s="83"/>
      <c r="GH307" s="83"/>
      <c r="GI307" s="83"/>
      <c r="GJ307" s="83"/>
      <c r="GK307" s="83"/>
      <c r="GL307" s="83"/>
      <c r="GM307" s="83"/>
      <c r="GN307" s="83"/>
      <c r="GO307" s="83"/>
      <c r="GP307" s="83"/>
      <c r="GQ307" s="83"/>
      <c r="GR307" s="83"/>
      <c r="GS307" s="83"/>
      <c r="GT307" s="83"/>
      <c r="GU307" s="83"/>
      <c r="GV307" s="83"/>
      <c r="GW307" s="83"/>
      <c r="GX307" s="83"/>
      <c r="GY307" s="83"/>
      <c r="GZ307" s="83"/>
      <c r="HA307" s="83"/>
      <c r="HB307" s="83"/>
      <c r="HC307" s="83"/>
      <c r="HD307" s="83"/>
      <c r="HE307" s="83"/>
      <c r="HF307" s="83"/>
      <c r="HG307" s="83"/>
      <c r="HH307" s="83"/>
      <c r="HI307" s="83"/>
      <c r="HJ307" s="83"/>
      <c r="HK307" s="83"/>
      <c r="HL307" s="83"/>
      <c r="HM307" s="83"/>
      <c r="HN307" s="83"/>
      <c r="HO307" s="83"/>
      <c r="HP307" s="83"/>
      <c r="HQ307" s="83"/>
      <c r="HR307" s="83"/>
      <c r="HS307" s="83"/>
      <c r="HT307" s="83"/>
      <c r="HU307" s="83"/>
      <c r="HV307" s="83"/>
      <c r="HW307" s="83"/>
      <c r="HX307" s="83"/>
      <c r="HY307" s="83"/>
      <c r="HZ307" s="83"/>
      <c r="IA307" s="83"/>
      <c r="IB307" s="83"/>
      <c r="IC307" s="83"/>
      <c r="ID307" s="83"/>
      <c r="IE307" s="83"/>
      <c r="IF307" s="83"/>
      <c r="IG307" s="83"/>
    </row>
    <row r="308" spans="1:241"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c r="DD308" s="83"/>
      <c r="DE308" s="83"/>
      <c r="DF308" s="83"/>
      <c r="DG308" s="83"/>
      <c r="DH308" s="83"/>
      <c r="DI308" s="83"/>
      <c r="DJ308" s="83"/>
      <c r="DK308" s="83"/>
      <c r="DL308" s="83"/>
      <c r="DM308" s="83"/>
      <c r="DN308" s="83"/>
      <c r="DO308" s="83"/>
      <c r="DP308" s="83"/>
      <c r="DQ308" s="83"/>
      <c r="DR308" s="83"/>
      <c r="DS308" s="83"/>
      <c r="DT308" s="83"/>
      <c r="DU308" s="83"/>
      <c r="DV308" s="83"/>
      <c r="DW308" s="83"/>
      <c r="DX308" s="83"/>
      <c r="DY308" s="83"/>
      <c r="DZ308" s="83"/>
      <c r="EA308" s="83"/>
      <c r="EB308" s="83"/>
      <c r="EC308" s="83"/>
      <c r="ED308" s="83"/>
      <c r="EE308" s="83"/>
      <c r="EF308" s="83"/>
      <c r="EG308" s="83"/>
      <c r="EH308" s="83"/>
      <c r="EI308" s="83"/>
      <c r="EJ308" s="83"/>
      <c r="EK308" s="83"/>
      <c r="EL308" s="83"/>
      <c r="EM308" s="83"/>
      <c r="EN308" s="83"/>
      <c r="EO308" s="83"/>
      <c r="EP308" s="83"/>
      <c r="EQ308" s="83"/>
      <c r="ER308" s="83"/>
      <c r="ES308" s="83"/>
      <c r="ET308" s="83"/>
      <c r="EU308" s="83"/>
      <c r="EV308" s="83"/>
      <c r="EW308" s="83"/>
      <c r="EX308" s="83"/>
      <c r="EY308" s="83"/>
      <c r="EZ308" s="83"/>
      <c r="FA308" s="83"/>
      <c r="FB308" s="83"/>
      <c r="FC308" s="83"/>
      <c r="FD308" s="83"/>
      <c r="FE308" s="83"/>
      <c r="FF308" s="83"/>
      <c r="FG308" s="83"/>
      <c r="FH308" s="83"/>
      <c r="FI308" s="83"/>
      <c r="FJ308" s="83"/>
      <c r="FK308" s="83"/>
      <c r="FL308" s="83"/>
      <c r="FM308" s="83"/>
      <c r="FN308" s="83"/>
      <c r="FO308" s="83"/>
      <c r="FP308" s="83"/>
      <c r="FQ308" s="83"/>
      <c r="FR308" s="83"/>
      <c r="FS308" s="83"/>
      <c r="FT308" s="83"/>
      <c r="FU308" s="83"/>
      <c r="FV308" s="83"/>
      <c r="FW308" s="83"/>
      <c r="FX308" s="83"/>
      <c r="FY308" s="83"/>
      <c r="FZ308" s="83"/>
      <c r="GA308" s="83"/>
      <c r="GB308" s="83"/>
      <c r="GC308" s="83"/>
      <c r="GD308" s="83"/>
      <c r="GE308" s="83"/>
      <c r="GF308" s="83"/>
      <c r="GG308" s="83"/>
      <c r="GH308" s="83"/>
      <c r="GI308" s="83"/>
      <c r="GJ308" s="83"/>
      <c r="GK308" s="83"/>
      <c r="GL308" s="83"/>
      <c r="GM308" s="83"/>
      <c r="GN308" s="83"/>
      <c r="GO308" s="83"/>
      <c r="GP308" s="83"/>
      <c r="GQ308" s="83"/>
      <c r="GR308" s="83"/>
      <c r="GS308" s="83"/>
      <c r="GT308" s="83"/>
      <c r="GU308" s="83"/>
      <c r="GV308" s="83"/>
      <c r="GW308" s="83"/>
      <c r="GX308" s="83"/>
      <c r="GY308" s="83"/>
      <c r="GZ308" s="83"/>
      <c r="HA308" s="83"/>
      <c r="HB308" s="83"/>
      <c r="HC308" s="83"/>
      <c r="HD308" s="83"/>
      <c r="HE308" s="83"/>
      <c r="HF308" s="83"/>
      <c r="HG308" s="83"/>
      <c r="HH308" s="83"/>
      <c r="HI308" s="83"/>
      <c r="HJ308" s="83"/>
      <c r="HK308" s="83"/>
      <c r="HL308" s="83"/>
      <c r="HM308" s="83"/>
      <c r="HN308" s="83"/>
      <c r="HO308" s="83"/>
      <c r="HP308" s="83"/>
      <c r="HQ308" s="83"/>
      <c r="HR308" s="83"/>
      <c r="HS308" s="83"/>
      <c r="HT308" s="83"/>
      <c r="HU308" s="83"/>
      <c r="HV308" s="83"/>
      <c r="HW308" s="83"/>
      <c r="HX308" s="83"/>
      <c r="HY308" s="83"/>
      <c r="HZ308" s="83"/>
      <c r="IA308" s="83"/>
      <c r="IB308" s="83"/>
      <c r="IC308" s="83"/>
      <c r="ID308" s="83"/>
      <c r="IE308" s="83"/>
      <c r="IF308" s="83"/>
      <c r="IG308" s="83"/>
    </row>
    <row r="309" spans="1:241"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c r="DD309" s="83"/>
      <c r="DE309" s="83"/>
      <c r="DF309" s="83"/>
      <c r="DG309" s="83"/>
      <c r="DH309" s="83"/>
      <c r="DI309" s="83"/>
      <c r="DJ309" s="83"/>
      <c r="DK309" s="83"/>
      <c r="DL309" s="83"/>
      <c r="DM309" s="83"/>
      <c r="DN309" s="83"/>
      <c r="DO309" s="83"/>
      <c r="DP309" s="83"/>
      <c r="DQ309" s="83"/>
      <c r="DR309" s="83"/>
      <c r="DS309" s="83"/>
      <c r="DT309" s="83"/>
      <c r="DU309" s="83"/>
      <c r="DV309" s="83"/>
      <c r="DW309" s="83"/>
      <c r="DX309" s="83"/>
      <c r="DY309" s="83"/>
      <c r="DZ309" s="83"/>
      <c r="EA309" s="83"/>
      <c r="EB309" s="83"/>
      <c r="EC309" s="83"/>
      <c r="ED309" s="83"/>
      <c r="EE309" s="83"/>
      <c r="EF309" s="83"/>
      <c r="EG309" s="83"/>
      <c r="EH309" s="83"/>
      <c r="EI309" s="83"/>
      <c r="EJ309" s="83"/>
      <c r="EK309" s="83"/>
      <c r="EL309" s="83"/>
      <c r="EM309" s="83"/>
      <c r="EN309" s="83"/>
      <c r="EO309" s="83"/>
      <c r="EP309" s="83"/>
      <c r="EQ309" s="83"/>
      <c r="ER309" s="83"/>
      <c r="ES309" s="83"/>
      <c r="ET309" s="83"/>
      <c r="EU309" s="83"/>
      <c r="EV309" s="83"/>
      <c r="EW309" s="83"/>
      <c r="EX309" s="83"/>
      <c r="EY309" s="83"/>
      <c r="EZ309" s="83"/>
      <c r="FA309" s="83"/>
      <c r="FB309" s="83"/>
      <c r="FC309" s="83"/>
      <c r="FD309" s="83"/>
      <c r="FE309" s="83"/>
      <c r="FF309" s="83"/>
      <c r="FG309" s="83"/>
      <c r="FH309" s="83"/>
      <c r="FI309" s="83"/>
      <c r="FJ309" s="83"/>
      <c r="FK309" s="83"/>
      <c r="FL309" s="83"/>
      <c r="FM309" s="83"/>
      <c r="FN309" s="83"/>
      <c r="FO309" s="83"/>
      <c r="FP309" s="83"/>
      <c r="FQ309" s="83"/>
      <c r="FR309" s="83"/>
      <c r="FS309" s="83"/>
      <c r="FT309" s="83"/>
      <c r="FU309" s="83"/>
      <c r="FV309" s="83"/>
      <c r="FW309" s="83"/>
      <c r="FX309" s="83"/>
      <c r="FY309" s="83"/>
      <c r="FZ309" s="83"/>
      <c r="GA309" s="83"/>
      <c r="GB309" s="83"/>
      <c r="GC309" s="83"/>
      <c r="GD309" s="83"/>
      <c r="GE309" s="83"/>
      <c r="GF309" s="83"/>
      <c r="GG309" s="83"/>
      <c r="GH309" s="83"/>
      <c r="GI309" s="83"/>
      <c r="GJ309" s="83"/>
      <c r="GK309" s="83"/>
      <c r="GL309" s="83"/>
      <c r="GM309" s="83"/>
      <c r="GN309" s="83"/>
      <c r="GO309" s="83"/>
      <c r="GP309" s="83"/>
      <c r="GQ309" s="83"/>
      <c r="GR309" s="83"/>
      <c r="GS309" s="83"/>
      <c r="GT309" s="83"/>
      <c r="GU309" s="83"/>
      <c r="GV309" s="83"/>
      <c r="GW309" s="83"/>
      <c r="GX309" s="83"/>
      <c r="GY309" s="83"/>
      <c r="GZ309" s="83"/>
      <c r="HA309" s="83"/>
      <c r="HB309" s="83"/>
      <c r="HC309" s="83"/>
      <c r="HD309" s="83"/>
      <c r="HE309" s="83"/>
      <c r="HF309" s="83"/>
      <c r="HG309" s="83"/>
      <c r="HH309" s="83"/>
      <c r="HI309" s="83"/>
      <c r="HJ309" s="83"/>
      <c r="HK309" s="83"/>
      <c r="HL309" s="83"/>
      <c r="HM309" s="83"/>
      <c r="HN309" s="83"/>
      <c r="HO309" s="83"/>
      <c r="HP309" s="83"/>
      <c r="HQ309" s="83"/>
      <c r="HR309" s="83"/>
      <c r="HS309" s="83"/>
      <c r="HT309" s="83"/>
      <c r="HU309" s="83"/>
      <c r="HV309" s="83"/>
      <c r="HW309" s="83"/>
      <c r="HX309" s="83"/>
      <c r="HY309" s="83"/>
      <c r="HZ309" s="83"/>
      <c r="IA309" s="83"/>
      <c r="IB309" s="83"/>
      <c r="IC309" s="83"/>
      <c r="ID309" s="83"/>
      <c r="IE309" s="83"/>
      <c r="IF309" s="83"/>
      <c r="IG309" s="83"/>
    </row>
    <row r="310" spans="1:241"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c r="DD310" s="83"/>
      <c r="DE310" s="83"/>
      <c r="DF310" s="83"/>
      <c r="DG310" s="83"/>
      <c r="DH310" s="83"/>
      <c r="DI310" s="83"/>
      <c r="DJ310" s="83"/>
      <c r="DK310" s="83"/>
      <c r="DL310" s="83"/>
      <c r="DM310" s="83"/>
      <c r="DN310" s="83"/>
      <c r="DO310" s="83"/>
      <c r="DP310" s="83"/>
      <c r="DQ310" s="83"/>
      <c r="DR310" s="83"/>
      <c r="DS310" s="83"/>
      <c r="DT310" s="83"/>
      <c r="DU310" s="83"/>
      <c r="DV310" s="83"/>
      <c r="DW310" s="83"/>
      <c r="DX310" s="83"/>
      <c r="DY310" s="83"/>
      <c r="DZ310" s="83"/>
      <c r="EA310" s="83"/>
      <c r="EB310" s="83"/>
      <c r="EC310" s="83"/>
      <c r="ED310" s="83"/>
      <c r="EE310" s="83"/>
      <c r="EF310" s="83"/>
      <c r="EG310" s="83"/>
      <c r="EH310" s="83"/>
      <c r="EI310" s="83"/>
      <c r="EJ310" s="83"/>
      <c r="EK310" s="83"/>
      <c r="EL310" s="83"/>
      <c r="EM310" s="83"/>
      <c r="EN310" s="83"/>
      <c r="EO310" s="83"/>
      <c r="EP310" s="83"/>
      <c r="EQ310" s="83"/>
      <c r="ER310" s="83"/>
      <c r="ES310" s="83"/>
      <c r="ET310" s="83"/>
      <c r="EU310" s="83"/>
      <c r="EV310" s="83"/>
      <c r="EW310" s="83"/>
      <c r="EX310" s="83"/>
      <c r="EY310" s="83"/>
      <c r="EZ310" s="83"/>
      <c r="FA310" s="83"/>
      <c r="FB310" s="83"/>
      <c r="FC310" s="83"/>
      <c r="FD310" s="83"/>
      <c r="FE310" s="83"/>
      <c r="FF310" s="83"/>
      <c r="FG310" s="83"/>
      <c r="FH310" s="83"/>
      <c r="FI310" s="83"/>
      <c r="FJ310" s="83"/>
      <c r="FK310" s="83"/>
      <c r="FL310" s="83"/>
      <c r="FM310" s="83"/>
      <c r="FN310" s="83"/>
      <c r="FO310" s="83"/>
      <c r="FP310" s="83"/>
      <c r="FQ310" s="83"/>
      <c r="FR310" s="83"/>
      <c r="FS310" s="83"/>
      <c r="FT310" s="83"/>
      <c r="FU310" s="83"/>
      <c r="FV310" s="83"/>
      <c r="FW310" s="83"/>
      <c r="FX310" s="83"/>
      <c r="FY310" s="83"/>
      <c r="FZ310" s="83"/>
      <c r="GA310" s="83"/>
      <c r="GB310" s="83"/>
      <c r="GC310" s="83"/>
      <c r="GD310" s="83"/>
      <c r="GE310" s="83"/>
      <c r="GF310" s="83"/>
      <c r="GG310" s="83"/>
      <c r="GH310" s="83"/>
      <c r="GI310" s="83"/>
      <c r="GJ310" s="83"/>
      <c r="GK310" s="83"/>
      <c r="GL310" s="83"/>
      <c r="GM310" s="83"/>
      <c r="GN310" s="83"/>
      <c r="GO310" s="83"/>
      <c r="GP310" s="83"/>
      <c r="GQ310" s="83"/>
      <c r="GR310" s="83"/>
      <c r="GS310" s="83"/>
      <c r="GT310" s="83"/>
      <c r="GU310" s="83"/>
      <c r="GV310" s="83"/>
      <c r="GW310" s="83"/>
      <c r="GX310" s="83"/>
      <c r="GY310" s="83"/>
      <c r="GZ310" s="83"/>
      <c r="HA310" s="83"/>
      <c r="HB310" s="83"/>
      <c r="HC310" s="83"/>
      <c r="HD310" s="83"/>
      <c r="HE310" s="83"/>
      <c r="HF310" s="83"/>
      <c r="HG310" s="83"/>
      <c r="HH310" s="83"/>
      <c r="HI310" s="83"/>
      <c r="HJ310" s="83"/>
      <c r="HK310" s="83"/>
      <c r="HL310" s="83"/>
      <c r="HM310" s="83"/>
      <c r="HN310" s="83"/>
      <c r="HO310" s="83"/>
      <c r="HP310" s="83"/>
      <c r="HQ310" s="83"/>
      <c r="HR310" s="83"/>
      <c r="HS310" s="83"/>
      <c r="HT310" s="83"/>
      <c r="HU310" s="83"/>
      <c r="HV310" s="83"/>
      <c r="HW310" s="83"/>
      <c r="HX310" s="83"/>
      <c r="HY310" s="83"/>
      <c r="HZ310" s="83"/>
      <c r="IA310" s="83"/>
      <c r="IB310" s="83"/>
      <c r="IC310" s="83"/>
      <c r="ID310" s="83"/>
      <c r="IE310" s="83"/>
      <c r="IF310" s="83"/>
      <c r="IG310" s="83"/>
    </row>
    <row r="311" spans="1:241"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c r="DD311" s="83"/>
      <c r="DE311" s="83"/>
      <c r="DF311" s="83"/>
      <c r="DG311" s="83"/>
      <c r="DH311" s="83"/>
      <c r="DI311" s="83"/>
      <c r="DJ311" s="83"/>
      <c r="DK311" s="83"/>
      <c r="DL311" s="83"/>
      <c r="DM311" s="83"/>
      <c r="DN311" s="83"/>
      <c r="DO311" s="83"/>
      <c r="DP311" s="83"/>
      <c r="DQ311" s="83"/>
      <c r="DR311" s="83"/>
      <c r="DS311" s="83"/>
      <c r="DT311" s="83"/>
      <c r="DU311" s="83"/>
      <c r="DV311" s="83"/>
      <c r="DW311" s="83"/>
      <c r="DX311" s="83"/>
      <c r="DY311" s="83"/>
      <c r="DZ311" s="83"/>
      <c r="EA311" s="83"/>
      <c r="EB311" s="83"/>
      <c r="EC311" s="83"/>
      <c r="ED311" s="83"/>
      <c r="EE311" s="83"/>
      <c r="EF311" s="83"/>
      <c r="EG311" s="83"/>
      <c r="EH311" s="83"/>
      <c r="EI311" s="83"/>
      <c r="EJ311" s="83"/>
      <c r="EK311" s="83"/>
      <c r="EL311" s="83"/>
      <c r="EM311" s="83"/>
      <c r="EN311" s="83"/>
      <c r="EO311" s="83"/>
      <c r="EP311" s="83"/>
      <c r="EQ311" s="83"/>
      <c r="ER311" s="83"/>
      <c r="ES311" s="83"/>
      <c r="ET311" s="83"/>
      <c r="EU311" s="83"/>
      <c r="EV311" s="83"/>
      <c r="EW311" s="83"/>
      <c r="EX311" s="83"/>
      <c r="EY311" s="83"/>
      <c r="EZ311" s="83"/>
      <c r="FA311" s="83"/>
      <c r="FB311" s="83"/>
      <c r="FC311" s="83"/>
      <c r="FD311" s="83"/>
      <c r="FE311" s="83"/>
      <c r="FF311" s="83"/>
      <c r="FG311" s="83"/>
      <c r="FH311" s="83"/>
      <c r="FI311" s="83"/>
      <c r="FJ311" s="83"/>
      <c r="FK311" s="83"/>
      <c r="FL311" s="83"/>
      <c r="FM311" s="83"/>
      <c r="FN311" s="83"/>
      <c r="FO311" s="83"/>
      <c r="FP311" s="83"/>
      <c r="FQ311" s="83"/>
      <c r="FR311" s="83"/>
      <c r="FS311" s="83"/>
      <c r="FT311" s="83"/>
      <c r="FU311" s="83"/>
      <c r="FV311" s="83"/>
      <c r="FW311" s="83"/>
      <c r="FX311" s="83"/>
      <c r="FY311" s="83"/>
      <c r="FZ311" s="83"/>
      <c r="GA311" s="83"/>
      <c r="GB311" s="83"/>
      <c r="GC311" s="83"/>
      <c r="GD311" s="83"/>
      <c r="GE311" s="83"/>
      <c r="GF311" s="83"/>
      <c r="GG311" s="83"/>
      <c r="GH311" s="83"/>
      <c r="GI311" s="83"/>
      <c r="GJ311" s="83"/>
      <c r="GK311" s="83"/>
      <c r="GL311" s="83"/>
      <c r="GM311" s="83"/>
      <c r="GN311" s="83"/>
      <c r="GO311" s="83"/>
      <c r="GP311" s="83"/>
      <c r="GQ311" s="83"/>
      <c r="GR311" s="83"/>
      <c r="GS311" s="83"/>
      <c r="GT311" s="83"/>
      <c r="GU311" s="83"/>
      <c r="GV311" s="83"/>
      <c r="GW311" s="83"/>
      <c r="GX311" s="83"/>
      <c r="GY311" s="83"/>
      <c r="GZ311" s="83"/>
      <c r="HA311" s="83"/>
      <c r="HB311" s="83"/>
      <c r="HC311" s="83"/>
      <c r="HD311" s="83"/>
      <c r="HE311" s="83"/>
      <c r="HF311" s="83"/>
      <c r="HG311" s="83"/>
      <c r="HH311" s="83"/>
      <c r="HI311" s="83"/>
      <c r="HJ311" s="83"/>
      <c r="HK311" s="83"/>
      <c r="HL311" s="83"/>
      <c r="HM311" s="83"/>
      <c r="HN311" s="83"/>
      <c r="HO311" s="83"/>
      <c r="HP311" s="83"/>
      <c r="HQ311" s="83"/>
      <c r="HR311" s="83"/>
      <c r="HS311" s="83"/>
      <c r="HT311" s="83"/>
      <c r="HU311" s="83"/>
      <c r="HV311" s="83"/>
      <c r="HW311" s="83"/>
      <c r="HX311" s="83"/>
      <c r="HY311" s="83"/>
      <c r="HZ311" s="83"/>
      <c r="IA311" s="83"/>
      <c r="IB311" s="83"/>
      <c r="IC311" s="83"/>
      <c r="ID311" s="83"/>
      <c r="IE311" s="83"/>
      <c r="IF311" s="83"/>
      <c r="IG311" s="83"/>
    </row>
    <row r="312" spans="1:241"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c r="DD312" s="83"/>
      <c r="DE312" s="83"/>
      <c r="DF312" s="83"/>
      <c r="DG312" s="83"/>
      <c r="DH312" s="83"/>
      <c r="DI312" s="83"/>
      <c r="DJ312" s="83"/>
      <c r="DK312" s="83"/>
      <c r="DL312" s="83"/>
      <c r="DM312" s="83"/>
      <c r="DN312" s="83"/>
      <c r="DO312" s="83"/>
      <c r="DP312" s="83"/>
      <c r="DQ312" s="83"/>
      <c r="DR312" s="83"/>
      <c r="DS312" s="83"/>
      <c r="DT312" s="83"/>
      <c r="DU312" s="83"/>
      <c r="DV312" s="83"/>
      <c r="DW312" s="83"/>
      <c r="DX312" s="83"/>
      <c r="DY312" s="83"/>
      <c r="DZ312" s="83"/>
      <c r="EA312" s="83"/>
      <c r="EB312" s="83"/>
      <c r="EC312" s="83"/>
      <c r="ED312" s="83"/>
      <c r="EE312" s="83"/>
      <c r="EF312" s="83"/>
      <c r="EG312" s="83"/>
      <c r="EH312" s="83"/>
      <c r="EI312" s="83"/>
      <c r="EJ312" s="83"/>
      <c r="EK312" s="83"/>
      <c r="EL312" s="83"/>
      <c r="EM312" s="83"/>
      <c r="EN312" s="83"/>
      <c r="EO312" s="83"/>
      <c r="EP312" s="83"/>
      <c r="EQ312" s="83"/>
      <c r="ER312" s="83"/>
      <c r="ES312" s="83"/>
      <c r="ET312" s="83"/>
      <c r="EU312" s="83"/>
      <c r="EV312" s="83"/>
      <c r="EW312" s="83"/>
      <c r="EX312" s="83"/>
      <c r="EY312" s="83"/>
      <c r="EZ312" s="83"/>
      <c r="FA312" s="83"/>
      <c r="FB312" s="83"/>
      <c r="FC312" s="83"/>
      <c r="FD312" s="83"/>
      <c r="FE312" s="83"/>
      <c r="FF312" s="83"/>
      <c r="FG312" s="83"/>
      <c r="FH312" s="83"/>
      <c r="FI312" s="83"/>
      <c r="FJ312" s="83"/>
      <c r="FK312" s="83"/>
      <c r="FL312" s="83"/>
      <c r="FM312" s="83"/>
      <c r="FN312" s="83"/>
      <c r="FO312" s="83"/>
      <c r="FP312" s="83"/>
      <c r="FQ312" s="83"/>
      <c r="FR312" s="83"/>
      <c r="FS312" s="83"/>
      <c r="FT312" s="83"/>
      <c r="FU312" s="83"/>
      <c r="FV312" s="83"/>
      <c r="FW312" s="83"/>
      <c r="FX312" s="83"/>
      <c r="FY312" s="83"/>
      <c r="FZ312" s="83"/>
      <c r="GA312" s="83"/>
      <c r="GB312" s="83"/>
      <c r="GC312" s="83"/>
      <c r="GD312" s="83"/>
      <c r="GE312" s="83"/>
      <c r="GF312" s="83"/>
      <c r="GG312" s="83"/>
      <c r="GH312" s="83"/>
      <c r="GI312" s="83"/>
      <c r="GJ312" s="83"/>
      <c r="GK312" s="83"/>
      <c r="GL312" s="83"/>
      <c r="GM312" s="83"/>
      <c r="GN312" s="83"/>
      <c r="GO312" s="83"/>
      <c r="GP312" s="83"/>
      <c r="GQ312" s="83"/>
      <c r="GR312" s="83"/>
      <c r="GS312" s="83"/>
      <c r="GT312" s="83"/>
      <c r="GU312" s="83"/>
      <c r="GV312" s="83"/>
      <c r="GW312" s="83"/>
      <c r="GX312" s="83"/>
      <c r="GY312" s="83"/>
      <c r="GZ312" s="83"/>
      <c r="HA312" s="83"/>
      <c r="HB312" s="83"/>
      <c r="HC312" s="83"/>
      <c r="HD312" s="83"/>
      <c r="HE312" s="83"/>
      <c r="HF312" s="83"/>
      <c r="HG312" s="83"/>
      <c r="HH312" s="83"/>
      <c r="HI312" s="83"/>
      <c r="HJ312" s="83"/>
      <c r="HK312" s="83"/>
      <c r="HL312" s="83"/>
      <c r="HM312" s="83"/>
      <c r="HN312" s="83"/>
      <c r="HO312" s="83"/>
      <c r="HP312" s="83"/>
      <c r="HQ312" s="83"/>
      <c r="HR312" s="83"/>
      <c r="HS312" s="83"/>
      <c r="HT312" s="83"/>
      <c r="HU312" s="83"/>
      <c r="HV312" s="83"/>
      <c r="HW312" s="83"/>
      <c r="HX312" s="83"/>
      <c r="HY312" s="83"/>
      <c r="HZ312" s="83"/>
      <c r="IA312" s="83"/>
      <c r="IB312" s="83"/>
      <c r="IC312" s="83"/>
      <c r="ID312" s="83"/>
      <c r="IE312" s="83"/>
      <c r="IF312" s="83"/>
      <c r="IG312" s="83"/>
    </row>
    <row r="313" spans="1:241"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c r="DD313" s="83"/>
      <c r="DE313" s="83"/>
      <c r="DF313" s="83"/>
      <c r="DG313" s="83"/>
      <c r="DH313" s="83"/>
      <c r="DI313" s="83"/>
      <c r="DJ313" s="83"/>
      <c r="DK313" s="83"/>
      <c r="DL313" s="83"/>
      <c r="DM313" s="83"/>
      <c r="DN313" s="83"/>
      <c r="DO313" s="83"/>
      <c r="DP313" s="83"/>
      <c r="DQ313" s="83"/>
      <c r="DR313" s="83"/>
      <c r="DS313" s="83"/>
      <c r="DT313" s="83"/>
      <c r="DU313" s="83"/>
      <c r="DV313" s="83"/>
      <c r="DW313" s="83"/>
      <c r="DX313" s="83"/>
      <c r="DY313" s="83"/>
      <c r="DZ313" s="83"/>
      <c r="EA313" s="83"/>
      <c r="EB313" s="83"/>
      <c r="EC313" s="83"/>
      <c r="ED313" s="83"/>
      <c r="EE313" s="83"/>
      <c r="EF313" s="83"/>
      <c r="EG313" s="83"/>
      <c r="EH313" s="83"/>
      <c r="EI313" s="83"/>
      <c r="EJ313" s="83"/>
      <c r="EK313" s="83"/>
      <c r="EL313" s="83"/>
      <c r="EM313" s="83"/>
      <c r="EN313" s="83"/>
      <c r="EO313" s="83"/>
      <c r="EP313" s="83"/>
      <c r="EQ313" s="83"/>
      <c r="ER313" s="83"/>
      <c r="ES313" s="83"/>
      <c r="ET313" s="83"/>
      <c r="EU313" s="83"/>
      <c r="EV313" s="83"/>
      <c r="EW313" s="83"/>
      <c r="EX313" s="83"/>
      <c r="EY313" s="83"/>
      <c r="EZ313" s="83"/>
      <c r="FA313" s="83"/>
      <c r="FB313" s="83"/>
      <c r="FC313" s="83"/>
      <c r="FD313" s="83"/>
      <c r="FE313" s="83"/>
      <c r="FF313" s="83"/>
      <c r="FG313" s="83"/>
      <c r="FH313" s="83"/>
      <c r="FI313" s="83"/>
      <c r="FJ313" s="83"/>
      <c r="FK313" s="83"/>
      <c r="FL313" s="83"/>
      <c r="FM313" s="83"/>
      <c r="FN313" s="83"/>
      <c r="FO313" s="83"/>
      <c r="FP313" s="83"/>
      <c r="FQ313" s="83"/>
      <c r="FR313" s="83"/>
      <c r="FS313" s="83"/>
      <c r="FT313" s="83"/>
      <c r="FU313" s="83"/>
      <c r="FV313" s="83"/>
      <c r="FW313" s="83"/>
      <c r="FX313" s="83"/>
      <c r="FY313" s="83"/>
      <c r="FZ313" s="83"/>
      <c r="GA313" s="83"/>
      <c r="GB313" s="83"/>
      <c r="GC313" s="83"/>
      <c r="GD313" s="83"/>
      <c r="GE313" s="83"/>
      <c r="GF313" s="83"/>
      <c r="GG313" s="83"/>
      <c r="GH313" s="83"/>
      <c r="GI313" s="83"/>
      <c r="GJ313" s="83"/>
      <c r="GK313" s="83"/>
      <c r="GL313" s="83"/>
      <c r="GM313" s="83"/>
      <c r="GN313" s="83"/>
      <c r="GO313" s="83"/>
      <c r="GP313" s="83"/>
      <c r="GQ313" s="83"/>
      <c r="GR313" s="83"/>
      <c r="GS313" s="83"/>
      <c r="GT313" s="83"/>
      <c r="GU313" s="83"/>
      <c r="GV313" s="83"/>
      <c r="GW313" s="83"/>
      <c r="GX313" s="83"/>
      <c r="GY313" s="83"/>
      <c r="GZ313" s="83"/>
      <c r="HA313" s="83"/>
      <c r="HB313" s="83"/>
      <c r="HC313" s="83"/>
      <c r="HD313" s="83"/>
      <c r="HE313" s="83"/>
      <c r="HF313" s="83"/>
      <c r="HG313" s="83"/>
      <c r="HH313" s="83"/>
      <c r="HI313" s="83"/>
      <c r="HJ313" s="83"/>
      <c r="HK313" s="83"/>
      <c r="HL313" s="83"/>
      <c r="HM313" s="83"/>
      <c r="HN313" s="83"/>
      <c r="HO313" s="83"/>
      <c r="HP313" s="83"/>
      <c r="HQ313" s="83"/>
      <c r="HR313" s="83"/>
      <c r="HS313" s="83"/>
      <c r="HT313" s="83"/>
      <c r="HU313" s="83"/>
      <c r="HV313" s="83"/>
      <c r="HW313" s="83"/>
      <c r="HX313" s="83"/>
      <c r="HY313" s="83"/>
      <c r="HZ313" s="83"/>
      <c r="IA313" s="83"/>
      <c r="IB313" s="83"/>
      <c r="IC313" s="83"/>
      <c r="ID313" s="83"/>
      <c r="IE313" s="83"/>
      <c r="IF313" s="83"/>
      <c r="IG313" s="83"/>
    </row>
    <row r="314" spans="1:241"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c r="DD314" s="83"/>
      <c r="DE314" s="83"/>
      <c r="DF314" s="83"/>
      <c r="DG314" s="83"/>
      <c r="DH314" s="83"/>
      <c r="DI314" s="83"/>
      <c r="DJ314" s="83"/>
      <c r="DK314" s="83"/>
      <c r="DL314" s="83"/>
      <c r="DM314" s="83"/>
      <c r="DN314" s="83"/>
      <c r="DO314" s="83"/>
      <c r="DP314" s="83"/>
      <c r="DQ314" s="83"/>
      <c r="DR314" s="83"/>
      <c r="DS314" s="83"/>
      <c r="DT314" s="83"/>
      <c r="DU314" s="83"/>
      <c r="DV314" s="83"/>
      <c r="DW314" s="83"/>
      <c r="DX314" s="83"/>
      <c r="DY314" s="83"/>
      <c r="DZ314" s="83"/>
      <c r="EA314" s="83"/>
      <c r="EB314" s="83"/>
      <c r="EC314" s="83"/>
      <c r="ED314" s="83"/>
      <c r="EE314" s="83"/>
      <c r="EF314" s="83"/>
      <c r="EG314" s="83"/>
      <c r="EH314" s="83"/>
      <c r="EI314" s="83"/>
      <c r="EJ314" s="83"/>
      <c r="EK314" s="83"/>
      <c r="EL314" s="83"/>
      <c r="EM314" s="83"/>
      <c r="EN314" s="83"/>
      <c r="EO314" s="83"/>
      <c r="EP314" s="83"/>
      <c r="EQ314" s="83"/>
      <c r="ER314" s="83"/>
      <c r="ES314" s="83"/>
      <c r="ET314" s="83"/>
      <c r="EU314" s="83"/>
      <c r="EV314" s="83"/>
      <c r="EW314" s="83"/>
      <c r="EX314" s="83"/>
      <c r="EY314" s="83"/>
      <c r="EZ314" s="83"/>
      <c r="FA314" s="83"/>
      <c r="FB314" s="83"/>
      <c r="FC314" s="83"/>
      <c r="FD314" s="83"/>
      <c r="FE314" s="83"/>
      <c r="FF314" s="83"/>
      <c r="FG314" s="83"/>
      <c r="FH314" s="83"/>
      <c r="FI314" s="83"/>
      <c r="FJ314" s="83"/>
      <c r="FK314" s="83"/>
      <c r="FL314" s="83"/>
      <c r="FM314" s="83"/>
      <c r="FN314" s="83"/>
      <c r="FO314" s="83"/>
      <c r="FP314" s="83"/>
      <c r="FQ314" s="83"/>
      <c r="FR314" s="83"/>
      <c r="FS314" s="83"/>
      <c r="FT314" s="83"/>
      <c r="FU314" s="83"/>
      <c r="FV314" s="83"/>
      <c r="FW314" s="83"/>
      <c r="FX314" s="83"/>
      <c r="FY314" s="83"/>
      <c r="FZ314" s="83"/>
      <c r="GA314" s="83"/>
      <c r="GB314" s="83"/>
      <c r="GC314" s="83"/>
      <c r="GD314" s="83"/>
      <c r="GE314" s="83"/>
      <c r="GF314" s="83"/>
      <c r="GG314" s="83"/>
      <c r="GH314" s="83"/>
      <c r="GI314" s="83"/>
      <c r="GJ314" s="83"/>
      <c r="GK314" s="83"/>
      <c r="GL314" s="83"/>
      <c r="GM314" s="83"/>
      <c r="GN314" s="83"/>
      <c r="GO314" s="83"/>
      <c r="GP314" s="83"/>
      <c r="GQ314" s="83"/>
      <c r="GR314" s="83"/>
      <c r="GS314" s="83"/>
      <c r="GT314" s="83"/>
      <c r="GU314" s="83"/>
      <c r="GV314" s="83"/>
      <c r="GW314" s="83"/>
      <c r="GX314" s="83"/>
      <c r="GY314" s="83"/>
      <c r="GZ314" s="83"/>
      <c r="HA314" s="83"/>
      <c r="HB314" s="83"/>
      <c r="HC314" s="83"/>
      <c r="HD314" s="83"/>
      <c r="HE314" s="83"/>
      <c r="HF314" s="83"/>
      <c r="HG314" s="83"/>
      <c r="HH314" s="83"/>
      <c r="HI314" s="83"/>
      <c r="HJ314" s="83"/>
      <c r="HK314" s="83"/>
      <c r="HL314" s="83"/>
      <c r="HM314" s="83"/>
      <c r="HN314" s="83"/>
      <c r="HO314" s="83"/>
      <c r="HP314" s="83"/>
      <c r="HQ314" s="83"/>
      <c r="HR314" s="83"/>
      <c r="HS314" s="83"/>
      <c r="HT314" s="83"/>
      <c r="HU314" s="83"/>
      <c r="HV314" s="83"/>
      <c r="HW314" s="83"/>
      <c r="HX314" s="83"/>
      <c r="HY314" s="83"/>
      <c r="HZ314" s="83"/>
      <c r="IA314" s="83"/>
      <c r="IB314" s="83"/>
      <c r="IC314" s="83"/>
      <c r="ID314" s="83"/>
      <c r="IE314" s="83"/>
      <c r="IF314" s="83"/>
      <c r="IG314" s="83"/>
    </row>
    <row r="315" spans="1:241"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c r="DD315" s="83"/>
      <c r="DE315" s="83"/>
      <c r="DF315" s="83"/>
      <c r="DG315" s="83"/>
      <c r="DH315" s="83"/>
      <c r="DI315" s="83"/>
      <c r="DJ315" s="83"/>
      <c r="DK315" s="83"/>
      <c r="DL315" s="83"/>
      <c r="DM315" s="83"/>
      <c r="DN315" s="83"/>
      <c r="DO315" s="83"/>
      <c r="DP315" s="83"/>
      <c r="DQ315" s="83"/>
      <c r="DR315" s="83"/>
      <c r="DS315" s="83"/>
      <c r="DT315" s="83"/>
      <c r="DU315" s="83"/>
      <c r="DV315" s="83"/>
      <c r="DW315" s="83"/>
      <c r="DX315" s="83"/>
      <c r="DY315" s="83"/>
      <c r="DZ315" s="83"/>
      <c r="EA315" s="83"/>
      <c r="EB315" s="83"/>
      <c r="EC315" s="83"/>
      <c r="ED315" s="83"/>
      <c r="EE315" s="83"/>
      <c r="EF315" s="83"/>
      <c r="EG315" s="83"/>
      <c r="EH315" s="83"/>
      <c r="EI315" s="83"/>
      <c r="EJ315" s="83"/>
      <c r="EK315" s="83"/>
      <c r="EL315" s="83"/>
      <c r="EM315" s="83"/>
      <c r="EN315" s="83"/>
      <c r="EO315" s="83"/>
      <c r="EP315" s="83"/>
      <c r="EQ315" s="83"/>
      <c r="ER315" s="83"/>
      <c r="ES315" s="83"/>
      <c r="ET315" s="83"/>
      <c r="EU315" s="83"/>
      <c r="EV315" s="83"/>
      <c r="EW315" s="83"/>
      <c r="EX315" s="83"/>
      <c r="EY315" s="83"/>
      <c r="EZ315" s="83"/>
      <c r="FA315" s="83"/>
      <c r="FB315" s="83"/>
      <c r="FC315" s="83"/>
      <c r="FD315" s="83"/>
      <c r="FE315" s="83"/>
      <c r="FF315" s="83"/>
      <c r="FG315" s="83"/>
      <c r="FH315" s="83"/>
      <c r="FI315" s="83"/>
      <c r="FJ315" s="83"/>
      <c r="FK315" s="83"/>
      <c r="FL315" s="83"/>
      <c r="FM315" s="83"/>
      <c r="FN315" s="83"/>
      <c r="FO315" s="83"/>
      <c r="FP315" s="83"/>
      <c r="FQ315" s="83"/>
      <c r="FR315" s="83"/>
      <c r="FS315" s="83"/>
      <c r="FT315" s="83"/>
      <c r="FU315" s="83"/>
      <c r="FV315" s="83"/>
      <c r="FW315" s="83"/>
      <c r="FX315" s="83"/>
      <c r="FY315" s="83"/>
      <c r="FZ315" s="83"/>
      <c r="GA315" s="83"/>
      <c r="GB315" s="83"/>
      <c r="GC315" s="83"/>
      <c r="GD315" s="83"/>
      <c r="GE315" s="83"/>
      <c r="GF315" s="83"/>
      <c r="GG315" s="83"/>
      <c r="GH315" s="83"/>
      <c r="GI315" s="83"/>
      <c r="GJ315" s="83"/>
      <c r="GK315" s="83"/>
      <c r="GL315" s="83"/>
      <c r="GM315" s="83"/>
      <c r="GN315" s="83"/>
      <c r="GO315" s="83"/>
      <c r="GP315" s="83"/>
      <c r="GQ315" s="83"/>
      <c r="GR315" s="83"/>
      <c r="GS315" s="83"/>
      <c r="GT315" s="83"/>
      <c r="GU315" s="83"/>
      <c r="GV315" s="83"/>
      <c r="GW315" s="83"/>
      <c r="GX315" s="83"/>
      <c r="GY315" s="83"/>
      <c r="GZ315" s="83"/>
      <c r="HA315" s="83"/>
      <c r="HB315" s="83"/>
      <c r="HC315" s="83"/>
      <c r="HD315" s="83"/>
      <c r="HE315" s="83"/>
      <c r="HF315" s="83"/>
      <c r="HG315" s="83"/>
      <c r="HH315" s="83"/>
      <c r="HI315" s="83"/>
      <c r="HJ315" s="83"/>
      <c r="HK315" s="83"/>
      <c r="HL315" s="83"/>
      <c r="HM315" s="83"/>
      <c r="HN315" s="83"/>
      <c r="HO315" s="83"/>
      <c r="HP315" s="83"/>
      <c r="HQ315" s="83"/>
      <c r="HR315" s="83"/>
      <c r="HS315" s="83"/>
      <c r="HT315" s="83"/>
      <c r="HU315" s="83"/>
      <c r="HV315" s="83"/>
      <c r="HW315" s="83"/>
      <c r="HX315" s="83"/>
      <c r="HY315" s="83"/>
      <c r="HZ315" s="83"/>
      <c r="IA315" s="83"/>
      <c r="IB315" s="83"/>
      <c r="IC315" s="83"/>
      <c r="ID315" s="83"/>
      <c r="IE315" s="83"/>
      <c r="IF315" s="83"/>
      <c r="IG315" s="83"/>
    </row>
    <row r="316" spans="1:241"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c r="DD316" s="83"/>
      <c r="DE316" s="83"/>
      <c r="DF316" s="83"/>
      <c r="DG316" s="83"/>
      <c r="DH316" s="83"/>
      <c r="DI316" s="83"/>
      <c r="DJ316" s="83"/>
      <c r="DK316" s="83"/>
      <c r="DL316" s="83"/>
      <c r="DM316" s="83"/>
      <c r="DN316" s="83"/>
      <c r="DO316" s="83"/>
      <c r="DP316" s="83"/>
      <c r="DQ316" s="83"/>
      <c r="DR316" s="83"/>
      <c r="DS316" s="83"/>
      <c r="DT316" s="83"/>
      <c r="DU316" s="83"/>
      <c r="DV316" s="83"/>
      <c r="DW316" s="83"/>
      <c r="DX316" s="83"/>
      <c r="DY316" s="83"/>
      <c r="DZ316" s="83"/>
      <c r="EA316" s="83"/>
      <c r="EB316" s="83"/>
      <c r="EC316" s="83"/>
      <c r="ED316" s="83"/>
      <c r="EE316" s="83"/>
      <c r="EF316" s="83"/>
      <c r="EG316" s="83"/>
      <c r="EH316" s="83"/>
      <c r="EI316" s="83"/>
      <c r="EJ316" s="83"/>
      <c r="EK316" s="83"/>
      <c r="EL316" s="83"/>
      <c r="EM316" s="83"/>
      <c r="EN316" s="83"/>
      <c r="EO316" s="83"/>
      <c r="EP316" s="83"/>
      <c r="EQ316" s="83"/>
      <c r="ER316" s="83"/>
      <c r="ES316" s="83"/>
      <c r="ET316" s="83"/>
      <c r="EU316" s="83"/>
      <c r="EV316" s="83"/>
      <c r="EW316" s="83"/>
      <c r="EX316" s="83"/>
      <c r="EY316" s="83"/>
      <c r="EZ316" s="83"/>
      <c r="FA316" s="83"/>
      <c r="FB316" s="83"/>
      <c r="FC316" s="83"/>
      <c r="FD316" s="83"/>
      <c r="FE316" s="83"/>
      <c r="FF316" s="83"/>
      <c r="FG316" s="83"/>
      <c r="FH316" s="83"/>
      <c r="FI316" s="83"/>
      <c r="FJ316" s="83"/>
      <c r="FK316" s="83"/>
      <c r="FL316" s="83"/>
      <c r="FM316" s="83"/>
      <c r="FN316" s="83"/>
      <c r="FO316" s="83"/>
      <c r="FP316" s="83"/>
      <c r="FQ316" s="83"/>
      <c r="FR316" s="83"/>
      <c r="FS316" s="83"/>
      <c r="FT316" s="83"/>
      <c r="FU316" s="83"/>
      <c r="FV316" s="83"/>
      <c r="FW316" s="83"/>
      <c r="FX316" s="83"/>
      <c r="FY316" s="83"/>
      <c r="FZ316" s="83"/>
      <c r="GA316" s="83"/>
      <c r="GB316" s="83"/>
      <c r="GC316" s="83"/>
      <c r="GD316" s="83"/>
      <c r="GE316" s="83"/>
      <c r="GF316" s="83"/>
      <c r="GG316" s="83"/>
      <c r="GH316" s="83"/>
      <c r="GI316" s="83"/>
      <c r="GJ316" s="83"/>
      <c r="GK316" s="83"/>
      <c r="GL316" s="83"/>
      <c r="GM316" s="83"/>
      <c r="GN316" s="83"/>
      <c r="GO316" s="83"/>
      <c r="GP316" s="83"/>
      <c r="GQ316" s="83"/>
      <c r="GR316" s="83"/>
      <c r="GS316" s="83"/>
      <c r="GT316" s="83"/>
      <c r="GU316" s="83"/>
      <c r="GV316" s="83"/>
      <c r="GW316" s="83"/>
      <c r="GX316" s="83"/>
      <c r="GY316" s="83"/>
      <c r="GZ316" s="83"/>
      <c r="HA316" s="83"/>
      <c r="HB316" s="83"/>
      <c r="HC316" s="83"/>
      <c r="HD316" s="83"/>
      <c r="HE316" s="83"/>
      <c r="HF316" s="83"/>
      <c r="HG316" s="83"/>
      <c r="HH316" s="83"/>
      <c r="HI316" s="83"/>
      <c r="HJ316" s="83"/>
      <c r="HK316" s="83"/>
      <c r="HL316" s="83"/>
      <c r="HM316" s="83"/>
      <c r="HN316" s="83"/>
      <c r="HO316" s="83"/>
      <c r="HP316" s="83"/>
      <c r="HQ316" s="83"/>
      <c r="HR316" s="83"/>
      <c r="HS316" s="83"/>
      <c r="HT316" s="83"/>
      <c r="HU316" s="83"/>
      <c r="HV316" s="83"/>
      <c r="HW316" s="83"/>
      <c r="HX316" s="83"/>
      <c r="HY316" s="83"/>
      <c r="HZ316" s="83"/>
      <c r="IA316" s="83"/>
      <c r="IB316" s="83"/>
      <c r="IC316" s="83"/>
      <c r="ID316" s="83"/>
      <c r="IE316" s="83"/>
      <c r="IF316" s="83"/>
      <c r="IG316" s="83"/>
    </row>
    <row r="317" spans="1:241"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c r="DD317" s="83"/>
      <c r="DE317" s="83"/>
      <c r="DF317" s="83"/>
      <c r="DG317" s="83"/>
      <c r="DH317" s="83"/>
      <c r="DI317" s="83"/>
      <c r="DJ317" s="83"/>
      <c r="DK317" s="83"/>
      <c r="DL317" s="83"/>
      <c r="DM317" s="83"/>
      <c r="DN317" s="83"/>
      <c r="DO317" s="83"/>
      <c r="DP317" s="83"/>
      <c r="DQ317" s="83"/>
      <c r="DR317" s="83"/>
      <c r="DS317" s="83"/>
      <c r="DT317" s="83"/>
      <c r="DU317" s="83"/>
      <c r="DV317" s="83"/>
      <c r="DW317" s="83"/>
      <c r="DX317" s="83"/>
      <c r="DY317" s="83"/>
      <c r="DZ317" s="83"/>
      <c r="EA317" s="83"/>
      <c r="EB317" s="83"/>
      <c r="EC317" s="83"/>
      <c r="ED317" s="83"/>
      <c r="EE317" s="83"/>
      <c r="EF317" s="83"/>
      <c r="EG317" s="83"/>
      <c r="EH317" s="83"/>
      <c r="EI317" s="83"/>
      <c r="EJ317" s="83"/>
      <c r="EK317" s="83"/>
      <c r="EL317" s="83"/>
      <c r="EM317" s="83"/>
      <c r="EN317" s="83"/>
      <c r="EO317" s="83"/>
      <c r="EP317" s="83"/>
      <c r="EQ317" s="83"/>
      <c r="ER317" s="83"/>
      <c r="ES317" s="83"/>
      <c r="ET317" s="83"/>
      <c r="EU317" s="83"/>
      <c r="EV317" s="83"/>
      <c r="EW317" s="83"/>
      <c r="EX317" s="83"/>
      <c r="EY317" s="83"/>
      <c r="EZ317" s="83"/>
      <c r="FA317" s="83"/>
      <c r="FB317" s="83"/>
      <c r="FC317" s="83"/>
      <c r="FD317" s="83"/>
      <c r="FE317" s="83"/>
      <c r="FF317" s="83"/>
      <c r="FG317" s="83"/>
      <c r="FH317" s="83"/>
      <c r="FI317" s="83"/>
      <c r="FJ317" s="83"/>
      <c r="FK317" s="83"/>
      <c r="FL317" s="83"/>
      <c r="FM317" s="83"/>
      <c r="FN317" s="83"/>
      <c r="FO317" s="83"/>
      <c r="FP317" s="83"/>
      <c r="FQ317" s="83"/>
      <c r="FR317" s="83"/>
      <c r="FS317" s="83"/>
      <c r="FT317" s="83"/>
      <c r="FU317" s="83"/>
      <c r="FV317" s="83"/>
      <c r="FW317" s="83"/>
      <c r="FX317" s="83"/>
      <c r="FY317" s="83"/>
      <c r="FZ317" s="83"/>
      <c r="GA317" s="83"/>
      <c r="GB317" s="83"/>
      <c r="GC317" s="83"/>
      <c r="GD317" s="83"/>
      <c r="GE317" s="83"/>
      <c r="GF317" s="83"/>
      <c r="GG317" s="83"/>
      <c r="GH317" s="83"/>
      <c r="GI317" s="83"/>
      <c r="GJ317" s="83"/>
      <c r="GK317" s="83"/>
      <c r="GL317" s="83"/>
      <c r="GM317" s="83"/>
      <c r="GN317" s="83"/>
      <c r="GO317" s="83"/>
      <c r="GP317" s="83"/>
      <c r="GQ317" s="83"/>
      <c r="GR317" s="83"/>
      <c r="GS317" s="83"/>
      <c r="GT317" s="83"/>
      <c r="GU317" s="83"/>
      <c r="GV317" s="83"/>
      <c r="GW317" s="83"/>
      <c r="GX317" s="83"/>
      <c r="GY317" s="83"/>
      <c r="GZ317" s="83"/>
      <c r="HA317" s="83"/>
      <c r="HB317" s="83"/>
      <c r="HC317" s="83"/>
      <c r="HD317" s="83"/>
      <c r="HE317" s="83"/>
      <c r="HF317" s="83"/>
      <c r="HG317" s="83"/>
      <c r="HH317" s="83"/>
      <c r="HI317" s="83"/>
      <c r="HJ317" s="83"/>
      <c r="HK317" s="83"/>
      <c r="HL317" s="83"/>
      <c r="HM317" s="83"/>
      <c r="HN317" s="83"/>
      <c r="HO317" s="83"/>
      <c r="HP317" s="83"/>
      <c r="HQ317" s="83"/>
      <c r="HR317" s="83"/>
      <c r="HS317" s="83"/>
      <c r="HT317" s="83"/>
      <c r="HU317" s="83"/>
      <c r="HV317" s="83"/>
      <c r="HW317" s="83"/>
      <c r="HX317" s="83"/>
      <c r="HY317" s="83"/>
      <c r="HZ317" s="83"/>
      <c r="IA317" s="83"/>
      <c r="IB317" s="83"/>
      <c r="IC317" s="83"/>
      <c r="ID317" s="83"/>
      <c r="IE317" s="83"/>
      <c r="IF317" s="83"/>
      <c r="IG317" s="83"/>
    </row>
    <row r="318" spans="1:241"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c r="DD318" s="83"/>
      <c r="DE318" s="83"/>
      <c r="DF318" s="83"/>
      <c r="DG318" s="83"/>
      <c r="DH318" s="83"/>
      <c r="DI318" s="83"/>
      <c r="DJ318" s="83"/>
      <c r="DK318" s="83"/>
      <c r="DL318" s="83"/>
      <c r="DM318" s="83"/>
      <c r="DN318" s="83"/>
      <c r="DO318" s="83"/>
      <c r="DP318" s="83"/>
      <c r="DQ318" s="83"/>
      <c r="DR318" s="83"/>
      <c r="DS318" s="83"/>
      <c r="DT318" s="83"/>
      <c r="DU318" s="83"/>
      <c r="DV318" s="83"/>
      <c r="DW318" s="83"/>
      <c r="DX318" s="83"/>
      <c r="DY318" s="83"/>
      <c r="DZ318" s="83"/>
      <c r="EA318" s="83"/>
      <c r="EB318" s="83"/>
      <c r="EC318" s="83"/>
      <c r="ED318" s="83"/>
      <c r="EE318" s="83"/>
      <c r="EF318" s="83"/>
      <c r="EG318" s="83"/>
      <c r="EH318" s="83"/>
      <c r="EI318" s="83"/>
      <c r="EJ318" s="83"/>
      <c r="EK318" s="83"/>
      <c r="EL318" s="83"/>
      <c r="EM318" s="83"/>
      <c r="EN318" s="83"/>
      <c r="EO318" s="83"/>
      <c r="EP318" s="83"/>
      <c r="EQ318" s="83"/>
      <c r="ER318" s="83"/>
      <c r="ES318" s="83"/>
      <c r="ET318" s="83"/>
      <c r="EU318" s="83"/>
      <c r="EV318" s="83"/>
      <c r="EW318" s="83"/>
      <c r="EX318" s="83"/>
      <c r="EY318" s="83"/>
      <c r="EZ318" s="83"/>
      <c r="FA318" s="83"/>
      <c r="FB318" s="83"/>
      <c r="FC318" s="83"/>
      <c r="FD318" s="83"/>
      <c r="FE318" s="83"/>
      <c r="FF318" s="83"/>
      <c r="FG318" s="83"/>
      <c r="FH318" s="83"/>
      <c r="FI318" s="83"/>
      <c r="FJ318" s="83"/>
      <c r="FK318" s="83"/>
      <c r="FL318" s="83"/>
      <c r="FM318" s="83"/>
      <c r="FN318" s="83"/>
      <c r="FO318" s="83"/>
      <c r="FP318" s="83"/>
      <c r="FQ318" s="83"/>
      <c r="FR318" s="83"/>
      <c r="FS318" s="83"/>
      <c r="FT318" s="83"/>
      <c r="FU318" s="83"/>
      <c r="FV318" s="83"/>
      <c r="FW318" s="83"/>
      <c r="FX318" s="83"/>
      <c r="FY318" s="83"/>
      <c r="FZ318" s="83"/>
      <c r="GA318" s="83"/>
      <c r="GB318" s="83"/>
      <c r="GC318" s="83"/>
      <c r="GD318" s="83"/>
      <c r="GE318" s="83"/>
      <c r="GF318" s="83"/>
      <c r="GG318" s="83"/>
      <c r="GH318" s="83"/>
      <c r="GI318" s="83"/>
      <c r="GJ318" s="83"/>
      <c r="GK318" s="83"/>
      <c r="GL318" s="83"/>
      <c r="GM318" s="83"/>
      <c r="GN318" s="83"/>
      <c r="GO318" s="83"/>
      <c r="GP318" s="83"/>
      <c r="GQ318" s="83"/>
      <c r="GR318" s="83"/>
      <c r="GS318" s="83"/>
      <c r="GT318" s="83"/>
      <c r="GU318" s="83"/>
      <c r="GV318" s="83"/>
      <c r="GW318" s="83"/>
      <c r="GX318" s="83"/>
      <c r="GY318" s="83"/>
      <c r="GZ318" s="83"/>
      <c r="HA318" s="83"/>
      <c r="HB318" s="83"/>
      <c r="HC318" s="83"/>
      <c r="HD318" s="83"/>
      <c r="HE318" s="83"/>
      <c r="HF318" s="83"/>
      <c r="HG318" s="83"/>
      <c r="HH318" s="83"/>
      <c r="HI318" s="83"/>
      <c r="HJ318" s="83"/>
      <c r="HK318" s="83"/>
      <c r="HL318" s="83"/>
      <c r="HM318" s="83"/>
      <c r="HN318" s="83"/>
      <c r="HO318" s="83"/>
      <c r="HP318" s="83"/>
      <c r="HQ318" s="83"/>
      <c r="HR318" s="83"/>
      <c r="HS318" s="83"/>
      <c r="HT318" s="83"/>
      <c r="HU318" s="83"/>
      <c r="HV318" s="83"/>
      <c r="HW318" s="83"/>
      <c r="HX318" s="83"/>
      <c r="HY318" s="83"/>
      <c r="HZ318" s="83"/>
      <c r="IA318" s="83"/>
      <c r="IB318" s="83"/>
      <c r="IC318" s="83"/>
      <c r="ID318" s="83"/>
      <c r="IE318" s="83"/>
      <c r="IF318" s="83"/>
      <c r="IG318" s="83"/>
    </row>
    <row r="319" spans="1:241"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c r="DD319" s="83"/>
      <c r="DE319" s="83"/>
      <c r="DF319" s="83"/>
      <c r="DG319" s="83"/>
      <c r="DH319" s="83"/>
      <c r="DI319" s="83"/>
      <c r="DJ319" s="83"/>
      <c r="DK319" s="83"/>
      <c r="DL319" s="83"/>
      <c r="DM319" s="83"/>
      <c r="DN319" s="83"/>
      <c r="DO319" s="83"/>
      <c r="DP319" s="83"/>
      <c r="DQ319" s="83"/>
      <c r="DR319" s="83"/>
      <c r="DS319" s="83"/>
      <c r="DT319" s="83"/>
      <c r="DU319" s="83"/>
      <c r="DV319" s="83"/>
      <c r="DW319" s="83"/>
      <c r="DX319" s="83"/>
      <c r="DY319" s="83"/>
      <c r="DZ319" s="83"/>
      <c r="EA319" s="83"/>
      <c r="EB319" s="83"/>
      <c r="EC319" s="83"/>
      <c r="ED319" s="83"/>
      <c r="EE319" s="83"/>
      <c r="EF319" s="83"/>
      <c r="EG319" s="83"/>
      <c r="EH319" s="83"/>
      <c r="EI319" s="83"/>
      <c r="EJ319" s="83"/>
      <c r="EK319" s="83"/>
      <c r="EL319" s="83"/>
      <c r="EM319" s="83"/>
      <c r="EN319" s="83"/>
      <c r="EO319" s="83"/>
      <c r="EP319" s="83"/>
      <c r="EQ319" s="83"/>
      <c r="ER319" s="83"/>
      <c r="ES319" s="83"/>
      <c r="ET319" s="83"/>
      <c r="EU319" s="83"/>
      <c r="EV319" s="83"/>
      <c r="EW319" s="83"/>
      <c r="EX319" s="83"/>
      <c r="EY319" s="83"/>
      <c r="EZ319" s="83"/>
      <c r="FA319" s="83"/>
      <c r="FB319" s="83"/>
      <c r="FC319" s="83"/>
      <c r="FD319" s="83"/>
      <c r="FE319" s="83"/>
      <c r="FF319" s="83"/>
      <c r="FG319" s="83"/>
      <c r="FH319" s="83"/>
      <c r="FI319" s="83"/>
      <c r="FJ319" s="83"/>
      <c r="FK319" s="83"/>
      <c r="FL319" s="83"/>
      <c r="FM319" s="83"/>
      <c r="FN319" s="83"/>
      <c r="FO319" s="83"/>
      <c r="FP319" s="83"/>
      <c r="FQ319" s="83"/>
      <c r="FR319" s="83"/>
      <c r="FS319" s="83"/>
      <c r="FT319" s="83"/>
      <c r="FU319" s="83"/>
      <c r="FV319" s="83"/>
      <c r="FW319" s="83"/>
      <c r="FX319" s="83"/>
      <c r="FY319" s="83"/>
      <c r="FZ319" s="83"/>
      <c r="GA319" s="83"/>
      <c r="GB319" s="83"/>
      <c r="GC319" s="83"/>
      <c r="GD319" s="83"/>
      <c r="GE319" s="83"/>
      <c r="GF319" s="83"/>
      <c r="GG319" s="83"/>
      <c r="GH319" s="83"/>
      <c r="GI319" s="83"/>
      <c r="GJ319" s="83"/>
      <c r="GK319" s="83"/>
      <c r="GL319" s="83"/>
      <c r="GM319" s="83"/>
      <c r="GN319" s="83"/>
      <c r="GO319" s="83"/>
      <c r="GP319" s="83"/>
      <c r="GQ319" s="83"/>
      <c r="GR319" s="83"/>
      <c r="GS319" s="83"/>
      <c r="GT319" s="83"/>
      <c r="GU319" s="83"/>
      <c r="GV319" s="83"/>
      <c r="GW319" s="83"/>
      <c r="GX319" s="83"/>
      <c r="GY319" s="83"/>
      <c r="GZ319" s="83"/>
      <c r="HA319" s="83"/>
      <c r="HB319" s="83"/>
      <c r="HC319" s="83"/>
      <c r="HD319" s="83"/>
      <c r="HE319" s="83"/>
      <c r="HF319" s="83"/>
      <c r="HG319" s="83"/>
      <c r="HH319" s="83"/>
      <c r="HI319" s="83"/>
      <c r="HJ319" s="83"/>
      <c r="HK319" s="83"/>
      <c r="HL319" s="83"/>
      <c r="HM319" s="83"/>
      <c r="HN319" s="83"/>
      <c r="HO319" s="83"/>
      <c r="HP319" s="83"/>
      <c r="HQ319" s="83"/>
      <c r="HR319" s="83"/>
      <c r="HS319" s="83"/>
      <c r="HT319" s="83"/>
      <c r="HU319" s="83"/>
      <c r="HV319" s="83"/>
      <c r="HW319" s="83"/>
      <c r="HX319" s="83"/>
      <c r="HY319" s="83"/>
      <c r="HZ319" s="83"/>
      <c r="IA319" s="83"/>
      <c r="IB319" s="83"/>
      <c r="IC319" s="83"/>
      <c r="ID319" s="83"/>
      <c r="IE319" s="83"/>
      <c r="IF319" s="83"/>
      <c r="IG319" s="83"/>
    </row>
    <row r="320" spans="1:241"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c r="DD320" s="83"/>
      <c r="DE320" s="83"/>
      <c r="DF320" s="83"/>
      <c r="DG320" s="83"/>
      <c r="DH320" s="83"/>
      <c r="DI320" s="83"/>
      <c r="DJ320" s="83"/>
      <c r="DK320" s="83"/>
      <c r="DL320" s="83"/>
      <c r="DM320" s="83"/>
      <c r="DN320" s="83"/>
      <c r="DO320" s="83"/>
      <c r="DP320" s="83"/>
      <c r="DQ320" s="83"/>
      <c r="DR320" s="83"/>
      <c r="DS320" s="83"/>
      <c r="DT320" s="83"/>
      <c r="DU320" s="83"/>
      <c r="DV320" s="83"/>
      <c r="DW320" s="83"/>
      <c r="DX320" s="83"/>
      <c r="DY320" s="83"/>
      <c r="DZ320" s="83"/>
      <c r="EA320" s="83"/>
      <c r="EB320" s="83"/>
      <c r="EC320" s="83"/>
      <c r="ED320" s="83"/>
      <c r="EE320" s="83"/>
      <c r="EF320" s="83"/>
      <c r="EG320" s="83"/>
      <c r="EH320" s="83"/>
      <c r="EI320" s="83"/>
      <c r="EJ320" s="83"/>
      <c r="EK320" s="83"/>
      <c r="EL320" s="83"/>
      <c r="EM320" s="83"/>
      <c r="EN320" s="83"/>
      <c r="EO320" s="83"/>
      <c r="EP320" s="83"/>
      <c r="EQ320" s="83"/>
      <c r="ER320" s="83"/>
      <c r="ES320" s="83"/>
      <c r="ET320" s="83"/>
      <c r="EU320" s="83"/>
      <c r="EV320" s="83"/>
      <c r="EW320" s="83"/>
      <c r="EX320" s="83"/>
      <c r="EY320" s="83"/>
      <c r="EZ320" s="83"/>
      <c r="FA320" s="83"/>
      <c r="FB320" s="83"/>
      <c r="FC320" s="83"/>
      <c r="FD320" s="83"/>
      <c r="FE320" s="83"/>
      <c r="FF320" s="83"/>
      <c r="FG320" s="83"/>
      <c r="FH320" s="83"/>
      <c r="FI320" s="83"/>
      <c r="FJ320" s="83"/>
      <c r="FK320" s="83"/>
      <c r="FL320" s="83"/>
      <c r="FM320" s="83"/>
      <c r="FN320" s="83"/>
      <c r="FO320" s="83"/>
      <c r="FP320" s="83"/>
      <c r="FQ320" s="83"/>
      <c r="FR320" s="83"/>
      <c r="FS320" s="83"/>
      <c r="FT320" s="83"/>
      <c r="FU320" s="83"/>
      <c r="FV320" s="83"/>
      <c r="FW320" s="83"/>
      <c r="FX320" s="83"/>
      <c r="FY320" s="83"/>
      <c r="FZ320" s="83"/>
      <c r="GA320" s="83"/>
      <c r="GB320" s="83"/>
      <c r="GC320" s="83"/>
      <c r="GD320" s="83"/>
      <c r="GE320" s="83"/>
      <c r="GF320" s="83"/>
      <c r="GG320" s="83"/>
      <c r="GH320" s="83"/>
      <c r="GI320" s="83"/>
      <c r="GJ320" s="83"/>
      <c r="GK320" s="83"/>
      <c r="GL320" s="83"/>
      <c r="GM320" s="83"/>
      <c r="GN320" s="83"/>
      <c r="GO320" s="83"/>
      <c r="GP320" s="83"/>
      <c r="GQ320" s="83"/>
      <c r="GR320" s="83"/>
      <c r="GS320" s="83"/>
      <c r="GT320" s="83"/>
      <c r="GU320" s="83"/>
      <c r="GV320" s="83"/>
      <c r="GW320" s="83"/>
      <c r="GX320" s="83"/>
      <c r="GY320" s="83"/>
      <c r="GZ320" s="83"/>
      <c r="HA320" s="83"/>
      <c r="HB320" s="83"/>
      <c r="HC320" s="83"/>
      <c r="HD320" s="83"/>
      <c r="HE320" s="83"/>
      <c r="HF320" s="83"/>
      <c r="HG320" s="83"/>
      <c r="HH320" s="83"/>
      <c r="HI320" s="83"/>
      <c r="HJ320" s="83"/>
      <c r="HK320" s="83"/>
      <c r="HL320" s="83"/>
      <c r="HM320" s="83"/>
      <c r="HN320" s="83"/>
      <c r="HO320" s="83"/>
      <c r="HP320" s="83"/>
      <c r="HQ320" s="83"/>
      <c r="HR320" s="83"/>
      <c r="HS320" s="83"/>
      <c r="HT320" s="83"/>
      <c r="HU320" s="83"/>
      <c r="HV320" s="83"/>
      <c r="HW320" s="83"/>
      <c r="HX320" s="83"/>
      <c r="HY320" s="83"/>
      <c r="HZ320" s="83"/>
      <c r="IA320" s="83"/>
      <c r="IB320" s="83"/>
      <c r="IC320" s="83"/>
      <c r="ID320" s="83"/>
      <c r="IE320" s="83"/>
      <c r="IF320" s="83"/>
      <c r="IG320" s="83"/>
    </row>
    <row r="321" spans="1:241"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c r="DD321" s="83"/>
      <c r="DE321" s="83"/>
      <c r="DF321" s="83"/>
      <c r="DG321" s="83"/>
      <c r="DH321" s="83"/>
      <c r="DI321" s="83"/>
      <c r="DJ321" s="83"/>
      <c r="DK321" s="83"/>
      <c r="DL321" s="83"/>
      <c r="DM321" s="83"/>
      <c r="DN321" s="83"/>
      <c r="DO321" s="83"/>
      <c r="DP321" s="83"/>
      <c r="DQ321" s="83"/>
      <c r="DR321" s="83"/>
      <c r="DS321" s="83"/>
      <c r="DT321" s="83"/>
      <c r="DU321" s="83"/>
      <c r="DV321" s="83"/>
      <c r="DW321" s="83"/>
      <c r="DX321" s="83"/>
      <c r="DY321" s="83"/>
      <c r="DZ321" s="83"/>
      <c r="EA321" s="83"/>
      <c r="EB321" s="83"/>
      <c r="EC321" s="83"/>
      <c r="ED321" s="83"/>
      <c r="EE321" s="83"/>
      <c r="EF321" s="83"/>
      <c r="EG321" s="83"/>
      <c r="EH321" s="83"/>
      <c r="EI321" s="83"/>
      <c r="EJ321" s="83"/>
      <c r="EK321" s="83"/>
      <c r="EL321" s="83"/>
      <c r="EM321" s="83"/>
      <c r="EN321" s="83"/>
      <c r="EO321" s="83"/>
      <c r="EP321" s="83"/>
      <c r="EQ321" s="83"/>
      <c r="ER321" s="83"/>
      <c r="ES321" s="83"/>
      <c r="ET321" s="83"/>
      <c r="EU321" s="83"/>
      <c r="EV321" s="83"/>
      <c r="EW321" s="83"/>
      <c r="EX321" s="83"/>
      <c r="EY321" s="83"/>
      <c r="EZ321" s="83"/>
      <c r="FA321" s="83"/>
      <c r="FB321" s="83"/>
      <c r="FC321" s="83"/>
      <c r="FD321" s="83"/>
      <c r="FE321" s="83"/>
      <c r="FF321" s="83"/>
      <c r="FG321" s="83"/>
      <c r="FH321" s="83"/>
      <c r="FI321" s="83"/>
      <c r="FJ321" s="83"/>
      <c r="FK321" s="83"/>
      <c r="FL321" s="83"/>
      <c r="FM321" s="83"/>
      <c r="FN321" s="83"/>
      <c r="FO321" s="83"/>
      <c r="FP321" s="83"/>
      <c r="FQ321" s="83"/>
      <c r="FR321" s="83"/>
      <c r="FS321" s="83"/>
      <c r="FT321" s="83"/>
      <c r="FU321" s="83"/>
      <c r="FV321" s="83"/>
      <c r="FW321" s="83"/>
      <c r="FX321" s="83"/>
      <c r="FY321" s="83"/>
      <c r="FZ321" s="83"/>
      <c r="GA321" s="83"/>
      <c r="GB321" s="83"/>
      <c r="GC321" s="83"/>
      <c r="GD321" s="83"/>
      <c r="GE321" s="83"/>
      <c r="GF321" s="83"/>
      <c r="GG321" s="83"/>
      <c r="GH321" s="83"/>
      <c r="GI321" s="83"/>
      <c r="GJ321" s="83"/>
      <c r="GK321" s="83"/>
      <c r="GL321" s="83"/>
      <c r="GM321" s="83"/>
      <c r="GN321" s="83"/>
      <c r="GO321" s="83"/>
      <c r="GP321" s="83"/>
      <c r="GQ321" s="83"/>
      <c r="GR321" s="83"/>
      <c r="GS321" s="83"/>
      <c r="GT321" s="83"/>
      <c r="GU321" s="83"/>
      <c r="GV321" s="83"/>
      <c r="GW321" s="83"/>
      <c r="GX321" s="83"/>
      <c r="GY321" s="83"/>
      <c r="GZ321" s="83"/>
      <c r="HA321" s="83"/>
      <c r="HB321" s="83"/>
      <c r="HC321" s="83"/>
      <c r="HD321" s="83"/>
      <c r="HE321" s="83"/>
      <c r="HF321" s="83"/>
      <c r="HG321" s="83"/>
      <c r="HH321" s="83"/>
      <c r="HI321" s="83"/>
      <c r="HJ321" s="83"/>
      <c r="HK321" s="83"/>
      <c r="HL321" s="83"/>
      <c r="HM321" s="83"/>
      <c r="HN321" s="83"/>
      <c r="HO321" s="83"/>
      <c r="HP321" s="83"/>
      <c r="HQ321" s="83"/>
      <c r="HR321" s="83"/>
      <c r="HS321" s="83"/>
      <c r="HT321" s="83"/>
      <c r="HU321" s="83"/>
      <c r="HV321" s="83"/>
      <c r="HW321" s="83"/>
      <c r="HX321" s="83"/>
      <c r="HY321" s="83"/>
      <c r="HZ321" s="83"/>
      <c r="IA321" s="83"/>
      <c r="IB321" s="83"/>
      <c r="IC321" s="83"/>
      <c r="ID321" s="83"/>
      <c r="IE321" s="83"/>
      <c r="IF321" s="83"/>
      <c r="IG321" s="83"/>
    </row>
    <row r="322" spans="1:241"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c r="DD322" s="83"/>
      <c r="DE322" s="83"/>
      <c r="DF322" s="83"/>
      <c r="DG322" s="83"/>
      <c r="DH322" s="83"/>
      <c r="DI322" s="83"/>
      <c r="DJ322" s="83"/>
      <c r="DK322" s="83"/>
      <c r="DL322" s="83"/>
      <c r="DM322" s="83"/>
      <c r="DN322" s="83"/>
      <c r="DO322" s="83"/>
      <c r="DP322" s="83"/>
      <c r="DQ322" s="83"/>
      <c r="DR322" s="83"/>
      <c r="DS322" s="83"/>
      <c r="DT322" s="83"/>
      <c r="DU322" s="83"/>
      <c r="DV322" s="83"/>
      <c r="DW322" s="83"/>
      <c r="DX322" s="83"/>
      <c r="DY322" s="83"/>
      <c r="DZ322" s="83"/>
      <c r="EA322" s="83"/>
      <c r="EB322" s="83"/>
      <c r="EC322" s="83"/>
      <c r="ED322" s="83"/>
      <c r="EE322" s="83"/>
      <c r="EF322" s="83"/>
      <c r="EG322" s="83"/>
      <c r="EH322" s="83"/>
      <c r="EI322" s="83"/>
      <c r="EJ322" s="83"/>
      <c r="EK322" s="83"/>
      <c r="EL322" s="83"/>
      <c r="EM322" s="83"/>
      <c r="EN322" s="83"/>
      <c r="EO322" s="83"/>
      <c r="EP322" s="83"/>
      <c r="EQ322" s="83"/>
      <c r="ER322" s="83"/>
      <c r="ES322" s="83"/>
      <c r="ET322" s="83"/>
      <c r="EU322" s="83"/>
      <c r="EV322" s="83"/>
      <c r="EW322" s="83"/>
      <c r="EX322" s="83"/>
      <c r="EY322" s="83"/>
      <c r="EZ322" s="83"/>
      <c r="FA322" s="83"/>
      <c r="FB322" s="83"/>
      <c r="FC322" s="83"/>
      <c r="FD322" s="83"/>
      <c r="FE322" s="83"/>
      <c r="FF322" s="83"/>
      <c r="FG322" s="83"/>
      <c r="FH322" s="83"/>
      <c r="FI322" s="83"/>
      <c r="FJ322" s="83"/>
      <c r="FK322" s="83"/>
      <c r="FL322" s="83"/>
      <c r="FM322" s="83"/>
      <c r="FN322" s="83"/>
      <c r="FO322" s="83"/>
      <c r="FP322" s="83"/>
      <c r="FQ322" s="83"/>
      <c r="FR322" s="83"/>
      <c r="FS322" s="83"/>
      <c r="FT322" s="83"/>
      <c r="FU322" s="83"/>
      <c r="FV322" s="83"/>
      <c r="FW322" s="83"/>
      <c r="FX322" s="83"/>
      <c r="FY322" s="83"/>
      <c r="FZ322" s="83"/>
      <c r="GA322" s="83"/>
      <c r="GB322" s="83"/>
      <c r="GC322" s="83"/>
      <c r="GD322" s="83"/>
      <c r="GE322" s="83"/>
      <c r="GF322" s="83"/>
      <c r="GG322" s="83"/>
      <c r="GH322" s="83"/>
      <c r="GI322" s="83"/>
      <c r="GJ322" s="83"/>
      <c r="GK322" s="83"/>
      <c r="GL322" s="83"/>
      <c r="GM322" s="83"/>
      <c r="GN322" s="83"/>
      <c r="GO322" s="83"/>
      <c r="GP322" s="83"/>
      <c r="GQ322" s="83"/>
      <c r="GR322" s="83"/>
      <c r="GS322" s="83"/>
      <c r="GT322" s="83"/>
      <c r="GU322" s="83"/>
      <c r="GV322" s="83"/>
      <c r="GW322" s="83"/>
      <c r="GX322" s="83"/>
      <c r="GY322" s="83"/>
      <c r="GZ322" s="83"/>
      <c r="HA322" s="83"/>
      <c r="HB322" s="83"/>
      <c r="HC322" s="83"/>
      <c r="HD322" s="83"/>
      <c r="HE322" s="83"/>
      <c r="HF322" s="83"/>
      <c r="HG322" s="83"/>
      <c r="HH322" s="83"/>
      <c r="HI322" s="83"/>
      <c r="HJ322" s="83"/>
      <c r="HK322" s="83"/>
      <c r="HL322" s="83"/>
      <c r="HM322" s="83"/>
      <c r="HN322" s="83"/>
      <c r="HO322" s="83"/>
      <c r="HP322" s="83"/>
      <c r="HQ322" s="83"/>
      <c r="HR322" s="83"/>
      <c r="HS322" s="83"/>
      <c r="HT322" s="83"/>
      <c r="HU322" s="83"/>
      <c r="HV322" s="83"/>
      <c r="HW322" s="83"/>
      <c r="HX322" s="83"/>
      <c r="HY322" s="83"/>
      <c r="HZ322" s="83"/>
      <c r="IA322" s="83"/>
      <c r="IB322" s="83"/>
      <c r="IC322" s="83"/>
      <c r="ID322" s="83"/>
      <c r="IE322" s="83"/>
      <c r="IF322" s="83"/>
      <c r="IG322" s="83"/>
    </row>
    <row r="323" spans="1:241"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c r="DD323" s="83"/>
      <c r="DE323" s="83"/>
      <c r="DF323" s="83"/>
      <c r="DG323" s="83"/>
      <c r="DH323" s="83"/>
      <c r="DI323" s="83"/>
      <c r="DJ323" s="83"/>
      <c r="DK323" s="83"/>
      <c r="DL323" s="83"/>
      <c r="DM323" s="83"/>
      <c r="DN323" s="83"/>
      <c r="DO323" s="83"/>
      <c r="DP323" s="83"/>
      <c r="DQ323" s="83"/>
      <c r="DR323" s="83"/>
      <c r="DS323" s="83"/>
      <c r="DT323" s="83"/>
      <c r="DU323" s="83"/>
      <c r="DV323" s="83"/>
      <c r="DW323" s="83"/>
      <c r="DX323" s="83"/>
      <c r="DY323" s="83"/>
      <c r="DZ323" s="83"/>
      <c r="EA323" s="83"/>
      <c r="EB323" s="83"/>
      <c r="EC323" s="83"/>
      <c r="ED323" s="83"/>
      <c r="EE323" s="83"/>
      <c r="EF323" s="83"/>
      <c r="EG323" s="83"/>
      <c r="EH323" s="83"/>
      <c r="EI323" s="83"/>
      <c r="EJ323" s="83"/>
      <c r="EK323" s="83"/>
      <c r="EL323" s="83"/>
      <c r="EM323" s="83"/>
      <c r="EN323" s="83"/>
      <c r="EO323" s="83"/>
      <c r="EP323" s="83"/>
      <c r="EQ323" s="83"/>
      <c r="ER323" s="83"/>
      <c r="ES323" s="83"/>
      <c r="ET323" s="83"/>
      <c r="EU323" s="83"/>
      <c r="EV323" s="83"/>
      <c r="EW323" s="83"/>
      <c r="EX323" s="83"/>
      <c r="EY323" s="83"/>
      <c r="EZ323" s="83"/>
      <c r="FA323" s="83"/>
      <c r="FB323" s="83"/>
      <c r="FC323" s="83"/>
      <c r="FD323" s="83"/>
      <c r="FE323" s="83"/>
      <c r="FF323" s="83"/>
      <c r="FG323" s="83"/>
      <c r="FH323" s="83"/>
      <c r="FI323" s="83"/>
      <c r="FJ323" s="83"/>
      <c r="FK323" s="83"/>
      <c r="FL323" s="83"/>
      <c r="FM323" s="83"/>
      <c r="FN323" s="83"/>
      <c r="FO323" s="83"/>
      <c r="FP323" s="83"/>
      <c r="FQ323" s="83"/>
      <c r="FR323" s="83"/>
      <c r="FS323" s="83"/>
      <c r="FT323" s="83"/>
      <c r="FU323" s="83"/>
      <c r="FV323" s="83"/>
      <c r="FW323" s="83"/>
      <c r="FX323" s="83"/>
      <c r="FY323" s="83"/>
      <c r="FZ323" s="83"/>
      <c r="GA323" s="83"/>
      <c r="GB323" s="83"/>
      <c r="GC323" s="83"/>
      <c r="GD323" s="83"/>
      <c r="GE323" s="83"/>
      <c r="GF323" s="83"/>
      <c r="GG323" s="83"/>
      <c r="GH323" s="83"/>
      <c r="GI323" s="83"/>
      <c r="GJ323" s="83"/>
      <c r="GK323" s="83"/>
      <c r="GL323" s="83"/>
      <c r="GM323" s="83"/>
      <c r="GN323" s="83"/>
      <c r="GO323" s="83"/>
      <c r="GP323" s="83"/>
      <c r="GQ323" s="83"/>
      <c r="GR323" s="83"/>
      <c r="GS323" s="83"/>
      <c r="GT323" s="83"/>
      <c r="GU323" s="83"/>
      <c r="GV323" s="83"/>
      <c r="GW323" s="83"/>
      <c r="GX323" s="83"/>
      <c r="GY323" s="83"/>
      <c r="GZ323" s="83"/>
      <c r="HA323" s="83"/>
      <c r="HB323" s="83"/>
      <c r="HC323" s="83"/>
      <c r="HD323" s="83"/>
      <c r="HE323" s="83"/>
      <c r="HF323" s="83"/>
      <c r="HG323" s="83"/>
      <c r="HH323" s="83"/>
      <c r="HI323" s="83"/>
      <c r="HJ323" s="83"/>
      <c r="HK323" s="83"/>
      <c r="HL323" s="83"/>
      <c r="HM323" s="83"/>
      <c r="HN323" s="83"/>
      <c r="HO323" s="83"/>
      <c r="HP323" s="83"/>
      <c r="HQ323" s="83"/>
      <c r="HR323" s="83"/>
      <c r="HS323" s="83"/>
      <c r="HT323" s="83"/>
      <c r="HU323" s="83"/>
      <c r="HV323" s="83"/>
      <c r="HW323" s="83"/>
      <c r="HX323" s="83"/>
      <c r="HY323" s="83"/>
      <c r="HZ323" s="83"/>
      <c r="IA323" s="83"/>
      <c r="IB323" s="83"/>
      <c r="IC323" s="83"/>
      <c r="ID323" s="83"/>
      <c r="IE323" s="83"/>
      <c r="IF323" s="83"/>
      <c r="IG323" s="83"/>
    </row>
    <row r="324" spans="1:241"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c r="DD324" s="83"/>
      <c r="DE324" s="83"/>
      <c r="DF324" s="83"/>
      <c r="DG324" s="83"/>
      <c r="DH324" s="83"/>
      <c r="DI324" s="83"/>
      <c r="DJ324" s="83"/>
      <c r="DK324" s="83"/>
      <c r="DL324" s="83"/>
      <c r="DM324" s="83"/>
      <c r="DN324" s="83"/>
      <c r="DO324" s="83"/>
      <c r="DP324" s="83"/>
      <c r="DQ324" s="83"/>
      <c r="DR324" s="83"/>
      <c r="DS324" s="83"/>
      <c r="DT324" s="83"/>
      <c r="DU324" s="83"/>
      <c r="DV324" s="83"/>
      <c r="DW324" s="83"/>
      <c r="DX324" s="83"/>
      <c r="DY324" s="83"/>
      <c r="DZ324" s="83"/>
      <c r="EA324" s="83"/>
      <c r="EB324" s="83"/>
      <c r="EC324" s="83"/>
      <c r="ED324" s="83"/>
      <c r="EE324" s="83"/>
      <c r="EF324" s="83"/>
      <c r="EG324" s="83"/>
      <c r="EH324" s="83"/>
      <c r="EI324" s="83"/>
      <c r="EJ324" s="83"/>
      <c r="EK324" s="83"/>
      <c r="EL324" s="83"/>
      <c r="EM324" s="83"/>
      <c r="EN324" s="83"/>
      <c r="EO324" s="83"/>
      <c r="EP324" s="83"/>
      <c r="EQ324" s="83"/>
      <c r="ER324" s="83"/>
      <c r="ES324" s="83"/>
      <c r="ET324" s="83"/>
      <c r="EU324" s="83"/>
      <c r="EV324" s="83"/>
      <c r="EW324" s="83"/>
      <c r="EX324" s="83"/>
      <c r="EY324" s="83"/>
      <c r="EZ324" s="83"/>
      <c r="FA324" s="83"/>
      <c r="FB324" s="83"/>
      <c r="FC324" s="83"/>
      <c r="FD324" s="83"/>
      <c r="FE324" s="83"/>
      <c r="FF324" s="83"/>
      <c r="FG324" s="83"/>
      <c r="FH324" s="83"/>
      <c r="FI324" s="83"/>
      <c r="FJ324" s="83"/>
      <c r="FK324" s="83"/>
      <c r="FL324" s="83"/>
      <c r="FM324" s="83"/>
      <c r="FN324" s="83"/>
      <c r="FO324" s="83"/>
      <c r="FP324" s="83"/>
      <c r="FQ324" s="83"/>
      <c r="FR324" s="83"/>
      <c r="FS324" s="83"/>
      <c r="FT324" s="83"/>
      <c r="FU324" s="83"/>
      <c r="FV324" s="83"/>
      <c r="FW324" s="83"/>
      <c r="FX324" s="83"/>
      <c r="FY324" s="83"/>
      <c r="FZ324" s="83"/>
      <c r="GA324" s="83"/>
      <c r="GB324" s="83"/>
      <c r="GC324" s="83"/>
      <c r="GD324" s="83"/>
      <c r="GE324" s="83"/>
      <c r="GF324" s="83"/>
      <c r="GG324" s="83"/>
      <c r="GH324" s="83"/>
      <c r="GI324" s="83"/>
      <c r="GJ324" s="83"/>
      <c r="GK324" s="83"/>
      <c r="GL324" s="83"/>
      <c r="GM324" s="83"/>
      <c r="GN324" s="83"/>
      <c r="GO324" s="83"/>
      <c r="GP324" s="83"/>
      <c r="GQ324" s="83"/>
      <c r="GR324" s="83"/>
      <c r="GS324" s="83"/>
      <c r="GT324" s="83"/>
      <c r="GU324" s="83"/>
      <c r="GV324" s="83"/>
      <c r="GW324" s="83"/>
      <c r="GX324" s="83"/>
      <c r="GY324" s="83"/>
      <c r="GZ324" s="83"/>
      <c r="HA324" s="83"/>
      <c r="HB324" s="83"/>
      <c r="HC324" s="83"/>
      <c r="HD324" s="83"/>
      <c r="HE324" s="83"/>
      <c r="HF324" s="83"/>
      <c r="HG324" s="83"/>
      <c r="HH324" s="83"/>
      <c r="HI324" s="83"/>
      <c r="HJ324" s="83"/>
      <c r="HK324" s="83"/>
      <c r="HL324" s="83"/>
      <c r="HM324" s="83"/>
      <c r="HN324" s="83"/>
      <c r="HO324" s="83"/>
      <c r="HP324" s="83"/>
      <c r="HQ324" s="83"/>
      <c r="HR324" s="83"/>
      <c r="HS324" s="83"/>
      <c r="HT324" s="83"/>
      <c r="HU324" s="83"/>
      <c r="HV324" s="83"/>
      <c r="HW324" s="83"/>
      <c r="HX324" s="83"/>
      <c r="HY324" s="83"/>
      <c r="HZ324" s="83"/>
      <c r="IA324" s="83"/>
      <c r="IB324" s="83"/>
      <c r="IC324" s="83"/>
      <c r="ID324" s="83"/>
      <c r="IE324" s="83"/>
      <c r="IF324" s="83"/>
      <c r="IG324" s="83"/>
    </row>
    <row r="325" spans="1:241"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c r="DD325" s="83"/>
      <c r="DE325" s="83"/>
      <c r="DF325" s="83"/>
      <c r="DG325" s="83"/>
      <c r="DH325" s="83"/>
      <c r="DI325" s="83"/>
      <c r="DJ325" s="83"/>
      <c r="DK325" s="83"/>
      <c r="DL325" s="83"/>
      <c r="DM325" s="83"/>
      <c r="DN325" s="83"/>
      <c r="DO325" s="83"/>
      <c r="DP325" s="83"/>
      <c r="DQ325" s="83"/>
      <c r="DR325" s="83"/>
      <c r="DS325" s="83"/>
      <c r="DT325" s="83"/>
      <c r="DU325" s="83"/>
      <c r="DV325" s="83"/>
      <c r="DW325" s="83"/>
      <c r="DX325" s="83"/>
      <c r="DY325" s="83"/>
      <c r="DZ325" s="83"/>
      <c r="EA325" s="83"/>
      <c r="EB325" s="83"/>
      <c r="EC325" s="83"/>
      <c r="ED325" s="83"/>
      <c r="EE325" s="83"/>
      <c r="EF325" s="83"/>
      <c r="EG325" s="83"/>
      <c r="EH325" s="83"/>
      <c r="EI325" s="83"/>
      <c r="EJ325" s="83"/>
      <c r="EK325" s="83"/>
      <c r="EL325" s="83"/>
      <c r="EM325" s="83"/>
      <c r="EN325" s="83"/>
      <c r="EO325" s="83"/>
      <c r="EP325" s="83"/>
      <c r="EQ325" s="83"/>
      <c r="ER325" s="83"/>
      <c r="ES325" s="83"/>
      <c r="ET325" s="83"/>
      <c r="EU325" s="83"/>
      <c r="EV325" s="83"/>
      <c r="EW325" s="83"/>
      <c r="EX325" s="83"/>
      <c r="EY325" s="83"/>
      <c r="EZ325" s="83"/>
      <c r="FA325" s="83"/>
      <c r="FB325" s="83"/>
      <c r="FC325" s="83"/>
      <c r="FD325" s="83"/>
      <c r="FE325" s="83"/>
      <c r="FF325" s="83"/>
      <c r="FG325" s="83"/>
      <c r="FH325" s="83"/>
      <c r="FI325" s="83"/>
      <c r="FJ325" s="83"/>
      <c r="FK325" s="83"/>
      <c r="FL325" s="83"/>
      <c r="FM325" s="83"/>
      <c r="FN325" s="83"/>
      <c r="FO325" s="83"/>
      <c r="FP325" s="83"/>
      <c r="FQ325" s="83"/>
      <c r="FR325" s="83"/>
      <c r="FS325" s="83"/>
      <c r="FT325" s="83"/>
      <c r="FU325" s="83"/>
      <c r="FV325" s="83"/>
      <c r="FW325" s="83"/>
      <c r="FX325" s="83"/>
      <c r="FY325" s="83"/>
      <c r="FZ325" s="83"/>
      <c r="GA325" s="83"/>
      <c r="GB325" s="83"/>
      <c r="GC325" s="83"/>
      <c r="GD325" s="83"/>
      <c r="GE325" s="83"/>
      <c r="GF325" s="83"/>
      <c r="GG325" s="83"/>
      <c r="GH325" s="83"/>
      <c r="GI325" s="83"/>
      <c r="GJ325" s="83"/>
      <c r="GK325" s="83"/>
      <c r="GL325" s="83"/>
      <c r="GM325" s="83"/>
      <c r="GN325" s="83"/>
      <c r="GO325" s="83"/>
      <c r="GP325" s="83"/>
      <c r="GQ325" s="83"/>
      <c r="GR325" s="83"/>
      <c r="GS325" s="83"/>
      <c r="GT325" s="83"/>
      <c r="GU325" s="83"/>
      <c r="GV325" s="83"/>
      <c r="GW325" s="83"/>
      <c r="GX325" s="83"/>
      <c r="GY325" s="83"/>
      <c r="GZ325" s="83"/>
      <c r="HA325" s="83"/>
      <c r="HB325" s="83"/>
      <c r="HC325" s="83"/>
      <c r="HD325" s="83"/>
      <c r="HE325" s="83"/>
      <c r="HF325" s="83"/>
      <c r="HG325" s="83"/>
      <c r="HH325" s="83"/>
      <c r="HI325" s="83"/>
      <c r="HJ325" s="83"/>
      <c r="HK325" s="83"/>
      <c r="HL325" s="83"/>
      <c r="HM325" s="83"/>
      <c r="HN325" s="83"/>
      <c r="HO325" s="83"/>
      <c r="HP325" s="83"/>
      <c r="HQ325" s="83"/>
      <c r="HR325" s="83"/>
      <c r="HS325" s="83"/>
      <c r="HT325" s="83"/>
      <c r="HU325" s="83"/>
      <c r="HV325" s="83"/>
      <c r="HW325" s="83"/>
      <c r="HX325" s="83"/>
      <c r="HY325" s="83"/>
      <c r="HZ325" s="83"/>
      <c r="IA325" s="83"/>
      <c r="IB325" s="83"/>
      <c r="IC325" s="83"/>
      <c r="ID325" s="83"/>
      <c r="IE325" s="83"/>
      <c r="IF325" s="83"/>
      <c r="IG325" s="83"/>
    </row>
    <row r="326" spans="1:241"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c r="DD326" s="83"/>
      <c r="DE326" s="83"/>
      <c r="DF326" s="83"/>
      <c r="DG326" s="83"/>
      <c r="DH326" s="83"/>
      <c r="DI326" s="83"/>
      <c r="DJ326" s="83"/>
      <c r="DK326" s="83"/>
      <c r="DL326" s="83"/>
      <c r="DM326" s="83"/>
      <c r="DN326" s="83"/>
      <c r="DO326" s="83"/>
      <c r="DP326" s="83"/>
      <c r="DQ326" s="83"/>
      <c r="DR326" s="83"/>
      <c r="DS326" s="83"/>
      <c r="DT326" s="83"/>
      <c r="DU326" s="83"/>
      <c r="DV326" s="83"/>
      <c r="DW326" s="83"/>
      <c r="DX326" s="83"/>
      <c r="DY326" s="83"/>
      <c r="DZ326" s="83"/>
      <c r="EA326" s="83"/>
      <c r="EB326" s="83"/>
      <c r="EC326" s="83"/>
      <c r="ED326" s="83"/>
      <c r="EE326" s="83"/>
      <c r="EF326" s="83"/>
      <c r="EG326" s="83"/>
      <c r="EH326" s="83"/>
      <c r="EI326" s="83"/>
      <c r="EJ326" s="83"/>
      <c r="EK326" s="83"/>
      <c r="EL326" s="83"/>
      <c r="EM326" s="83"/>
      <c r="EN326" s="83"/>
      <c r="EO326" s="83"/>
      <c r="EP326" s="83"/>
      <c r="EQ326" s="83"/>
      <c r="ER326" s="83"/>
      <c r="ES326" s="83"/>
      <c r="ET326" s="83"/>
      <c r="EU326" s="83"/>
      <c r="EV326" s="83"/>
      <c r="EW326" s="83"/>
      <c r="EX326" s="83"/>
      <c r="EY326" s="83"/>
      <c r="EZ326" s="83"/>
      <c r="FA326" s="83"/>
      <c r="FB326" s="83"/>
      <c r="FC326" s="83"/>
      <c r="FD326" s="83"/>
      <c r="FE326" s="83"/>
      <c r="FF326" s="83"/>
      <c r="FG326" s="83"/>
      <c r="FH326" s="83"/>
      <c r="FI326" s="83"/>
      <c r="FJ326" s="83"/>
      <c r="FK326" s="83"/>
      <c r="FL326" s="83"/>
      <c r="FM326" s="83"/>
      <c r="FN326" s="83"/>
      <c r="FO326" s="83"/>
      <c r="FP326" s="83"/>
      <c r="FQ326" s="83"/>
      <c r="FR326" s="83"/>
      <c r="FS326" s="83"/>
      <c r="FT326" s="83"/>
      <c r="FU326" s="83"/>
      <c r="FV326" s="83"/>
      <c r="FW326" s="83"/>
      <c r="FX326" s="83"/>
      <c r="FY326" s="83"/>
      <c r="FZ326" s="83"/>
      <c r="GA326" s="83"/>
      <c r="GB326" s="83"/>
      <c r="GC326" s="83"/>
      <c r="GD326" s="83"/>
      <c r="GE326" s="83"/>
      <c r="GF326" s="83"/>
      <c r="GG326" s="83"/>
      <c r="GH326" s="83"/>
      <c r="GI326" s="83"/>
      <c r="GJ326" s="83"/>
      <c r="GK326" s="83"/>
      <c r="GL326" s="83"/>
      <c r="GM326" s="83"/>
      <c r="GN326" s="83"/>
      <c r="GO326" s="83"/>
      <c r="GP326" s="83"/>
      <c r="GQ326" s="83"/>
      <c r="GR326" s="83"/>
      <c r="GS326" s="83"/>
      <c r="GT326" s="83"/>
      <c r="GU326" s="83"/>
      <c r="GV326" s="83"/>
      <c r="GW326" s="83"/>
      <c r="GX326" s="83"/>
      <c r="GY326" s="83"/>
      <c r="GZ326" s="83"/>
      <c r="HA326" s="83"/>
      <c r="HB326" s="83"/>
      <c r="HC326" s="83"/>
      <c r="HD326" s="83"/>
      <c r="HE326" s="83"/>
      <c r="HF326" s="83"/>
      <c r="HG326" s="83"/>
      <c r="HH326" s="83"/>
      <c r="HI326" s="83"/>
      <c r="HJ326" s="83"/>
      <c r="HK326" s="83"/>
      <c r="HL326" s="83"/>
      <c r="HM326" s="83"/>
      <c r="HN326" s="83"/>
      <c r="HO326" s="83"/>
      <c r="HP326" s="83"/>
      <c r="HQ326" s="83"/>
      <c r="HR326" s="83"/>
      <c r="HS326" s="83"/>
      <c r="HT326" s="83"/>
      <c r="HU326" s="83"/>
      <c r="HV326" s="83"/>
      <c r="HW326" s="83"/>
      <c r="HX326" s="83"/>
      <c r="HY326" s="83"/>
      <c r="HZ326" s="83"/>
      <c r="IA326" s="83"/>
      <c r="IB326" s="83"/>
      <c r="IC326" s="83"/>
      <c r="ID326" s="83"/>
      <c r="IE326" s="83"/>
      <c r="IF326" s="83"/>
      <c r="IG326" s="83"/>
    </row>
    <row r="327" spans="1:241"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c r="DD327" s="83"/>
      <c r="DE327" s="83"/>
      <c r="DF327" s="83"/>
      <c r="DG327" s="83"/>
      <c r="DH327" s="83"/>
      <c r="DI327" s="83"/>
      <c r="DJ327" s="83"/>
      <c r="DK327" s="83"/>
      <c r="DL327" s="83"/>
      <c r="DM327" s="83"/>
      <c r="DN327" s="83"/>
      <c r="DO327" s="83"/>
      <c r="DP327" s="83"/>
      <c r="DQ327" s="83"/>
      <c r="DR327" s="83"/>
      <c r="DS327" s="83"/>
      <c r="DT327" s="83"/>
      <c r="DU327" s="83"/>
      <c r="DV327" s="83"/>
      <c r="DW327" s="83"/>
      <c r="DX327" s="83"/>
      <c r="DY327" s="83"/>
      <c r="DZ327" s="83"/>
      <c r="EA327" s="83"/>
      <c r="EB327" s="83"/>
      <c r="EC327" s="83"/>
      <c r="ED327" s="83"/>
      <c r="EE327" s="83"/>
      <c r="EF327" s="83"/>
      <c r="EG327" s="83"/>
      <c r="EH327" s="83"/>
      <c r="EI327" s="83"/>
      <c r="EJ327" s="83"/>
      <c r="EK327" s="83"/>
      <c r="EL327" s="83"/>
      <c r="EM327" s="83"/>
      <c r="EN327" s="83"/>
      <c r="EO327" s="83"/>
      <c r="EP327" s="83"/>
      <c r="EQ327" s="83"/>
      <c r="ER327" s="83"/>
      <c r="ES327" s="83"/>
      <c r="ET327" s="83"/>
      <c r="EU327" s="83"/>
      <c r="EV327" s="83"/>
      <c r="EW327" s="83"/>
      <c r="EX327" s="83"/>
      <c r="EY327" s="83"/>
      <c r="EZ327" s="83"/>
      <c r="FA327" s="83"/>
      <c r="FB327" s="83"/>
      <c r="FC327" s="83"/>
      <c r="FD327" s="83"/>
      <c r="FE327" s="83"/>
      <c r="FF327" s="83"/>
      <c r="FG327" s="83"/>
      <c r="FH327" s="83"/>
      <c r="FI327" s="83"/>
      <c r="FJ327" s="83"/>
      <c r="FK327" s="83"/>
      <c r="FL327" s="83"/>
      <c r="FM327" s="83"/>
      <c r="FN327" s="83"/>
      <c r="FO327" s="83"/>
      <c r="FP327" s="83"/>
      <c r="FQ327" s="83"/>
      <c r="FR327" s="83"/>
      <c r="FS327" s="83"/>
      <c r="FT327" s="83"/>
      <c r="FU327" s="83"/>
      <c r="FV327" s="83"/>
      <c r="FW327" s="83"/>
      <c r="FX327" s="83"/>
      <c r="FY327" s="83"/>
      <c r="FZ327" s="83"/>
      <c r="GA327" s="83"/>
      <c r="GB327" s="83"/>
      <c r="GC327" s="83"/>
      <c r="GD327" s="83"/>
      <c r="GE327" s="83"/>
      <c r="GF327" s="83"/>
      <c r="GG327" s="83"/>
      <c r="GH327" s="83"/>
      <c r="GI327" s="83"/>
      <c r="GJ327" s="83"/>
      <c r="GK327" s="83"/>
      <c r="GL327" s="83"/>
      <c r="GM327" s="83"/>
      <c r="GN327" s="83"/>
      <c r="GO327" s="83"/>
      <c r="GP327" s="83"/>
      <c r="GQ327" s="83"/>
      <c r="GR327" s="83"/>
      <c r="GS327" s="83"/>
      <c r="GT327" s="83"/>
      <c r="GU327" s="83"/>
      <c r="GV327" s="83"/>
      <c r="GW327" s="83"/>
      <c r="GX327" s="83"/>
      <c r="GY327" s="83"/>
      <c r="GZ327" s="83"/>
      <c r="HA327" s="83"/>
      <c r="HB327" s="83"/>
      <c r="HC327" s="83"/>
      <c r="HD327" s="83"/>
      <c r="HE327" s="83"/>
      <c r="HF327" s="83"/>
      <c r="HG327" s="83"/>
      <c r="HH327" s="83"/>
      <c r="HI327" s="83"/>
      <c r="HJ327" s="83"/>
      <c r="HK327" s="83"/>
      <c r="HL327" s="83"/>
      <c r="HM327" s="83"/>
      <c r="HN327" s="83"/>
      <c r="HO327" s="83"/>
      <c r="HP327" s="83"/>
      <c r="HQ327" s="83"/>
      <c r="HR327" s="83"/>
      <c r="HS327" s="83"/>
      <c r="HT327" s="83"/>
      <c r="HU327" s="83"/>
      <c r="HV327" s="83"/>
      <c r="HW327" s="83"/>
      <c r="HX327" s="83"/>
      <c r="HY327" s="83"/>
      <c r="HZ327" s="83"/>
      <c r="IA327" s="83"/>
      <c r="IB327" s="83"/>
      <c r="IC327" s="83"/>
      <c r="ID327" s="83"/>
      <c r="IE327" s="83"/>
      <c r="IF327" s="83"/>
      <c r="IG327" s="83"/>
    </row>
    <row r="328" spans="1:241"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c r="DD328" s="83"/>
      <c r="DE328" s="83"/>
      <c r="DF328" s="83"/>
      <c r="DG328" s="83"/>
      <c r="DH328" s="83"/>
      <c r="DI328" s="83"/>
      <c r="DJ328" s="83"/>
      <c r="DK328" s="83"/>
      <c r="DL328" s="83"/>
      <c r="DM328" s="83"/>
      <c r="DN328" s="83"/>
      <c r="DO328" s="83"/>
      <c r="DP328" s="83"/>
      <c r="DQ328" s="83"/>
      <c r="DR328" s="83"/>
      <c r="DS328" s="83"/>
      <c r="DT328" s="83"/>
      <c r="DU328" s="83"/>
      <c r="DV328" s="83"/>
      <c r="DW328" s="83"/>
      <c r="DX328" s="83"/>
      <c r="DY328" s="83"/>
      <c r="DZ328" s="83"/>
      <c r="EA328" s="83"/>
      <c r="EB328" s="83"/>
      <c r="EC328" s="83"/>
      <c r="ED328" s="83"/>
      <c r="EE328" s="83"/>
      <c r="EF328" s="83"/>
      <c r="EG328" s="83"/>
      <c r="EH328" s="83"/>
      <c r="EI328" s="83"/>
      <c r="EJ328" s="83"/>
      <c r="EK328" s="83"/>
      <c r="EL328" s="83"/>
      <c r="EM328" s="83"/>
      <c r="EN328" s="83"/>
      <c r="EO328" s="83"/>
      <c r="EP328" s="83"/>
      <c r="EQ328" s="83"/>
      <c r="ER328" s="83"/>
      <c r="ES328" s="83"/>
      <c r="ET328" s="83"/>
      <c r="EU328" s="83"/>
      <c r="EV328" s="83"/>
      <c r="EW328" s="83"/>
      <c r="EX328" s="83"/>
      <c r="EY328" s="83"/>
      <c r="EZ328" s="83"/>
      <c r="FA328" s="83"/>
      <c r="FB328" s="83"/>
      <c r="FC328" s="83"/>
      <c r="FD328" s="83"/>
      <c r="FE328" s="83"/>
      <c r="FF328" s="83"/>
      <c r="FG328" s="83"/>
      <c r="FH328" s="83"/>
      <c r="FI328" s="83"/>
      <c r="FJ328" s="83"/>
      <c r="FK328" s="83"/>
      <c r="FL328" s="83"/>
      <c r="FM328" s="83"/>
      <c r="FN328" s="83"/>
      <c r="FO328" s="83"/>
      <c r="FP328" s="83"/>
      <c r="FQ328" s="83"/>
      <c r="FR328" s="83"/>
      <c r="FS328" s="83"/>
      <c r="FT328" s="83"/>
      <c r="FU328" s="83"/>
      <c r="FV328" s="83"/>
      <c r="FW328" s="83"/>
      <c r="FX328" s="83"/>
      <c r="FY328" s="83"/>
      <c r="FZ328" s="83"/>
      <c r="GA328" s="83"/>
      <c r="GB328" s="83"/>
      <c r="GC328" s="83"/>
      <c r="GD328" s="83"/>
      <c r="GE328" s="83"/>
      <c r="GF328" s="83"/>
      <c r="GG328" s="83"/>
      <c r="GH328" s="83"/>
      <c r="GI328" s="83"/>
      <c r="GJ328" s="83"/>
      <c r="GK328" s="83"/>
      <c r="GL328" s="83"/>
      <c r="GM328" s="83"/>
      <c r="GN328" s="83"/>
      <c r="GO328" s="83"/>
      <c r="GP328" s="83"/>
      <c r="GQ328" s="83"/>
      <c r="GR328" s="83"/>
      <c r="GS328" s="83"/>
      <c r="GT328" s="83"/>
      <c r="GU328" s="83"/>
      <c r="GV328" s="83"/>
      <c r="GW328" s="83"/>
      <c r="GX328" s="83"/>
      <c r="GY328" s="83"/>
      <c r="GZ328" s="83"/>
      <c r="HA328" s="83"/>
      <c r="HB328" s="83"/>
      <c r="HC328" s="83"/>
      <c r="HD328" s="83"/>
      <c r="HE328" s="83"/>
      <c r="HF328" s="83"/>
      <c r="HG328" s="83"/>
      <c r="HH328" s="83"/>
      <c r="HI328" s="83"/>
      <c r="HJ328" s="83"/>
      <c r="HK328" s="83"/>
      <c r="HL328" s="83"/>
      <c r="HM328" s="83"/>
      <c r="HN328" s="83"/>
      <c r="HO328" s="83"/>
      <c r="HP328" s="83"/>
      <c r="HQ328" s="83"/>
      <c r="HR328" s="83"/>
      <c r="HS328" s="83"/>
      <c r="HT328" s="83"/>
      <c r="HU328" s="83"/>
      <c r="HV328" s="83"/>
      <c r="HW328" s="83"/>
      <c r="HX328" s="83"/>
      <c r="HY328" s="83"/>
      <c r="HZ328" s="83"/>
      <c r="IA328" s="83"/>
      <c r="IB328" s="83"/>
      <c r="IC328" s="83"/>
      <c r="ID328" s="83"/>
      <c r="IE328" s="83"/>
      <c r="IF328" s="83"/>
      <c r="IG328" s="83"/>
    </row>
    <row r="329" spans="1:241"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c r="DD329" s="83"/>
      <c r="DE329" s="83"/>
      <c r="DF329" s="83"/>
      <c r="DG329" s="83"/>
      <c r="DH329" s="83"/>
      <c r="DI329" s="83"/>
      <c r="DJ329" s="83"/>
      <c r="DK329" s="83"/>
      <c r="DL329" s="83"/>
      <c r="DM329" s="83"/>
      <c r="DN329" s="83"/>
      <c r="DO329" s="83"/>
      <c r="DP329" s="83"/>
      <c r="DQ329" s="83"/>
      <c r="DR329" s="83"/>
      <c r="DS329" s="83"/>
      <c r="DT329" s="83"/>
      <c r="DU329" s="83"/>
      <c r="DV329" s="83"/>
      <c r="DW329" s="83"/>
      <c r="DX329" s="83"/>
      <c r="DY329" s="83"/>
      <c r="DZ329" s="83"/>
      <c r="EA329" s="83"/>
      <c r="EB329" s="83"/>
      <c r="EC329" s="83"/>
      <c r="ED329" s="83"/>
      <c r="EE329" s="83"/>
      <c r="EF329" s="83"/>
      <c r="EG329" s="83"/>
      <c r="EH329" s="83"/>
      <c r="EI329" s="83"/>
      <c r="EJ329" s="83"/>
      <c r="EK329" s="83"/>
      <c r="EL329" s="83"/>
      <c r="EM329" s="83"/>
      <c r="EN329" s="83"/>
      <c r="EO329" s="83"/>
      <c r="EP329" s="83"/>
      <c r="EQ329" s="83"/>
      <c r="ER329" s="83"/>
      <c r="ES329" s="83"/>
      <c r="ET329" s="83"/>
      <c r="EU329" s="83"/>
      <c r="EV329" s="83"/>
      <c r="EW329" s="83"/>
      <c r="EX329" s="83"/>
      <c r="EY329" s="83"/>
      <c r="EZ329" s="83"/>
      <c r="FA329" s="83"/>
      <c r="FB329" s="83"/>
      <c r="FC329" s="83"/>
      <c r="FD329" s="83"/>
      <c r="FE329" s="83"/>
      <c r="FF329" s="83"/>
      <c r="FG329" s="83"/>
      <c r="FH329" s="83"/>
      <c r="FI329" s="83"/>
      <c r="FJ329" s="83"/>
      <c r="FK329" s="83"/>
      <c r="FL329" s="83"/>
      <c r="FM329" s="83"/>
      <c r="FN329" s="83"/>
      <c r="FO329" s="83"/>
      <c r="FP329" s="83"/>
      <c r="FQ329" s="83"/>
      <c r="FR329" s="83"/>
      <c r="FS329" s="83"/>
      <c r="FT329" s="83"/>
      <c r="FU329" s="83"/>
      <c r="FV329" s="83"/>
      <c r="FW329" s="83"/>
      <c r="FX329" s="83"/>
      <c r="FY329" s="83"/>
      <c r="FZ329" s="83"/>
      <c r="GA329" s="83"/>
      <c r="GB329" s="83"/>
      <c r="GC329" s="83"/>
      <c r="GD329" s="83"/>
      <c r="GE329" s="83"/>
      <c r="GF329" s="83"/>
      <c r="GG329" s="83"/>
      <c r="GH329" s="83"/>
      <c r="GI329" s="83"/>
      <c r="GJ329" s="83"/>
      <c r="GK329" s="83"/>
      <c r="GL329" s="83"/>
      <c r="GM329" s="83"/>
      <c r="GN329" s="83"/>
      <c r="GO329" s="83"/>
      <c r="GP329" s="83"/>
      <c r="GQ329" s="83"/>
      <c r="GR329" s="83"/>
      <c r="GS329" s="83"/>
      <c r="GT329" s="83"/>
      <c r="GU329" s="83"/>
      <c r="GV329" s="83"/>
      <c r="GW329" s="83"/>
      <c r="GX329" s="83"/>
      <c r="GY329" s="83"/>
      <c r="GZ329" s="83"/>
      <c r="HA329" s="83"/>
      <c r="HB329" s="83"/>
      <c r="HC329" s="83"/>
      <c r="HD329" s="83"/>
      <c r="HE329" s="83"/>
      <c r="HF329" s="83"/>
      <c r="HG329" s="83"/>
      <c r="HH329" s="83"/>
      <c r="HI329" s="83"/>
      <c r="HJ329" s="83"/>
      <c r="HK329" s="83"/>
      <c r="HL329" s="83"/>
      <c r="HM329" s="83"/>
      <c r="HN329" s="83"/>
      <c r="HO329" s="83"/>
      <c r="HP329" s="83"/>
      <c r="HQ329" s="83"/>
      <c r="HR329" s="83"/>
      <c r="HS329" s="83"/>
      <c r="HT329" s="83"/>
      <c r="HU329" s="83"/>
      <c r="HV329" s="83"/>
      <c r="HW329" s="83"/>
      <c r="HX329" s="83"/>
      <c r="HY329" s="83"/>
      <c r="HZ329" s="83"/>
      <c r="IA329" s="83"/>
      <c r="IB329" s="83"/>
      <c r="IC329" s="83"/>
      <c r="ID329" s="83"/>
      <c r="IE329" s="83"/>
      <c r="IF329" s="83"/>
      <c r="IG329" s="83"/>
    </row>
    <row r="330" spans="1:241"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c r="DD330" s="83"/>
      <c r="DE330" s="83"/>
      <c r="DF330" s="83"/>
      <c r="DG330" s="83"/>
      <c r="DH330" s="83"/>
      <c r="DI330" s="83"/>
      <c r="DJ330" s="83"/>
      <c r="DK330" s="83"/>
      <c r="DL330" s="83"/>
      <c r="DM330" s="83"/>
      <c r="DN330" s="83"/>
      <c r="DO330" s="83"/>
      <c r="DP330" s="83"/>
      <c r="DQ330" s="83"/>
      <c r="DR330" s="83"/>
      <c r="DS330" s="83"/>
      <c r="DT330" s="83"/>
      <c r="DU330" s="83"/>
      <c r="DV330" s="83"/>
      <c r="DW330" s="83"/>
      <c r="DX330" s="83"/>
      <c r="DY330" s="83"/>
      <c r="DZ330" s="83"/>
      <c r="EA330" s="83"/>
      <c r="EB330" s="83"/>
      <c r="EC330" s="83"/>
      <c r="ED330" s="83"/>
      <c r="EE330" s="83"/>
      <c r="EF330" s="83"/>
      <c r="EG330" s="83"/>
      <c r="EH330" s="83"/>
      <c r="EI330" s="83"/>
      <c r="EJ330" s="83"/>
      <c r="EK330" s="83"/>
      <c r="EL330" s="83"/>
      <c r="EM330" s="83"/>
      <c r="EN330" s="83"/>
      <c r="EO330" s="83"/>
      <c r="EP330" s="83"/>
      <c r="EQ330" s="83"/>
      <c r="ER330" s="83"/>
      <c r="ES330" s="83"/>
      <c r="ET330" s="83"/>
      <c r="EU330" s="83"/>
      <c r="EV330" s="83"/>
      <c r="EW330" s="83"/>
      <c r="EX330" s="83"/>
      <c r="EY330" s="83"/>
      <c r="EZ330" s="83"/>
      <c r="FA330" s="83"/>
      <c r="FB330" s="83"/>
      <c r="FC330" s="83"/>
      <c r="FD330" s="83"/>
      <c r="FE330" s="83"/>
      <c r="FF330" s="83"/>
      <c r="FG330" s="83"/>
      <c r="FH330" s="83"/>
      <c r="FI330" s="83"/>
      <c r="FJ330" s="83"/>
      <c r="FK330" s="83"/>
      <c r="FL330" s="83"/>
      <c r="FM330" s="83"/>
      <c r="FN330" s="83"/>
      <c r="FO330" s="83"/>
      <c r="FP330" s="83"/>
      <c r="FQ330" s="83"/>
      <c r="FR330" s="83"/>
      <c r="FS330" s="83"/>
      <c r="FT330" s="83"/>
      <c r="FU330" s="83"/>
      <c r="FV330" s="83"/>
      <c r="FW330" s="83"/>
      <c r="FX330" s="83"/>
      <c r="FY330" s="83"/>
      <c r="FZ330" s="83"/>
      <c r="GA330" s="83"/>
      <c r="GB330" s="83"/>
      <c r="GC330" s="83"/>
      <c r="GD330" s="83"/>
      <c r="GE330" s="83"/>
      <c r="GF330" s="83"/>
      <c r="GG330" s="83"/>
      <c r="GH330" s="83"/>
      <c r="GI330" s="83"/>
      <c r="GJ330" s="83"/>
      <c r="GK330" s="83"/>
      <c r="GL330" s="83"/>
      <c r="GM330" s="83"/>
      <c r="GN330" s="83"/>
      <c r="GO330" s="83"/>
      <c r="GP330" s="83"/>
      <c r="GQ330" s="83"/>
      <c r="GR330" s="83"/>
      <c r="GS330" s="83"/>
      <c r="GT330" s="83"/>
      <c r="GU330" s="83"/>
      <c r="GV330" s="83"/>
      <c r="GW330" s="83"/>
      <c r="GX330" s="83"/>
      <c r="GY330" s="83"/>
      <c r="GZ330" s="83"/>
      <c r="HA330" s="83"/>
      <c r="HB330" s="83"/>
      <c r="HC330" s="83"/>
      <c r="HD330" s="83"/>
      <c r="HE330" s="83"/>
      <c r="HF330" s="83"/>
      <c r="HG330" s="83"/>
      <c r="HH330" s="83"/>
      <c r="HI330" s="83"/>
      <c r="HJ330" s="83"/>
      <c r="HK330" s="83"/>
      <c r="HL330" s="83"/>
      <c r="HM330" s="83"/>
      <c r="HN330" s="83"/>
      <c r="HO330" s="83"/>
      <c r="HP330" s="83"/>
      <c r="HQ330" s="83"/>
      <c r="HR330" s="83"/>
      <c r="HS330" s="83"/>
      <c r="HT330" s="83"/>
      <c r="HU330" s="83"/>
      <c r="HV330" s="83"/>
      <c r="HW330" s="83"/>
      <c r="HX330" s="83"/>
      <c r="HY330" s="83"/>
      <c r="HZ330" s="83"/>
      <c r="IA330" s="83"/>
      <c r="IB330" s="83"/>
      <c r="IC330" s="83"/>
      <c r="ID330" s="83"/>
      <c r="IE330" s="83"/>
      <c r="IF330" s="83"/>
      <c r="IG330" s="83"/>
    </row>
    <row r="331" spans="1:241"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c r="DD331" s="83"/>
      <c r="DE331" s="83"/>
      <c r="DF331" s="83"/>
      <c r="DG331" s="83"/>
      <c r="DH331" s="83"/>
      <c r="DI331" s="83"/>
      <c r="DJ331" s="83"/>
      <c r="DK331" s="83"/>
      <c r="DL331" s="83"/>
      <c r="DM331" s="83"/>
      <c r="DN331" s="83"/>
      <c r="DO331" s="83"/>
      <c r="DP331" s="83"/>
      <c r="DQ331" s="83"/>
      <c r="DR331" s="83"/>
      <c r="DS331" s="83"/>
      <c r="DT331" s="83"/>
      <c r="DU331" s="83"/>
      <c r="DV331" s="83"/>
      <c r="DW331" s="83"/>
      <c r="DX331" s="83"/>
      <c r="DY331" s="83"/>
      <c r="DZ331" s="83"/>
      <c r="EA331" s="83"/>
      <c r="EB331" s="83"/>
      <c r="EC331" s="83"/>
      <c r="ED331" s="83"/>
      <c r="EE331" s="83"/>
      <c r="EF331" s="83"/>
      <c r="EG331" s="83"/>
      <c r="EH331" s="83"/>
      <c r="EI331" s="83"/>
      <c r="EJ331" s="83"/>
      <c r="EK331" s="83"/>
      <c r="EL331" s="83"/>
      <c r="EM331" s="83"/>
      <c r="EN331" s="83"/>
      <c r="EO331" s="83"/>
      <c r="EP331" s="83"/>
      <c r="EQ331" s="83"/>
      <c r="ER331" s="83"/>
      <c r="ES331" s="83"/>
      <c r="ET331" s="83"/>
      <c r="EU331" s="83"/>
      <c r="EV331" s="83"/>
      <c r="EW331" s="83"/>
      <c r="EX331" s="83"/>
      <c r="EY331" s="83"/>
      <c r="EZ331" s="83"/>
      <c r="FA331" s="83"/>
      <c r="FB331" s="83"/>
      <c r="FC331" s="83"/>
      <c r="FD331" s="83"/>
      <c r="FE331" s="83"/>
      <c r="FF331" s="83"/>
      <c r="FG331" s="83"/>
      <c r="FH331" s="83"/>
      <c r="FI331" s="83"/>
      <c r="FJ331" s="83"/>
      <c r="FK331" s="83"/>
      <c r="FL331" s="83"/>
      <c r="FM331" s="83"/>
      <c r="FN331" s="83"/>
      <c r="FO331" s="83"/>
      <c r="FP331" s="83"/>
      <c r="FQ331" s="83"/>
      <c r="FR331" s="83"/>
      <c r="FS331" s="83"/>
      <c r="FT331" s="83"/>
      <c r="FU331" s="83"/>
      <c r="FV331" s="83"/>
      <c r="FW331" s="83"/>
      <c r="FX331" s="83"/>
      <c r="FY331" s="83"/>
      <c r="FZ331" s="83"/>
      <c r="GA331" s="83"/>
      <c r="GB331" s="83"/>
      <c r="GC331" s="83"/>
      <c r="GD331" s="83"/>
      <c r="GE331" s="83"/>
      <c r="GF331" s="83"/>
      <c r="GG331" s="83"/>
      <c r="GH331" s="83"/>
      <c r="GI331" s="83"/>
      <c r="GJ331" s="83"/>
      <c r="GK331" s="83"/>
      <c r="GL331" s="83"/>
      <c r="GM331" s="83"/>
      <c r="GN331" s="83"/>
      <c r="GO331" s="83"/>
      <c r="GP331" s="83"/>
      <c r="GQ331" s="83"/>
      <c r="GR331" s="83"/>
      <c r="GS331" s="83"/>
      <c r="GT331" s="83"/>
      <c r="GU331" s="83"/>
      <c r="GV331" s="83"/>
      <c r="GW331" s="83"/>
      <c r="GX331" s="83"/>
      <c r="GY331" s="83"/>
      <c r="GZ331" s="83"/>
      <c r="HA331" s="83"/>
      <c r="HB331" s="83"/>
      <c r="HC331" s="83"/>
      <c r="HD331" s="83"/>
      <c r="HE331" s="83"/>
      <c r="HF331" s="83"/>
      <c r="HG331" s="83"/>
      <c r="HH331" s="83"/>
      <c r="HI331" s="83"/>
      <c r="HJ331" s="83"/>
      <c r="HK331" s="83"/>
      <c r="HL331" s="83"/>
      <c r="HM331" s="83"/>
      <c r="HN331" s="83"/>
      <c r="HO331" s="83"/>
      <c r="HP331" s="83"/>
      <c r="HQ331" s="83"/>
      <c r="HR331" s="83"/>
      <c r="HS331" s="83"/>
      <c r="HT331" s="83"/>
      <c r="HU331" s="83"/>
      <c r="HV331" s="83"/>
      <c r="HW331" s="83"/>
      <c r="HX331" s="83"/>
      <c r="HY331" s="83"/>
      <c r="HZ331" s="83"/>
      <c r="IA331" s="83"/>
      <c r="IB331" s="83"/>
      <c r="IC331" s="83"/>
      <c r="ID331" s="83"/>
      <c r="IE331" s="83"/>
      <c r="IF331" s="83"/>
      <c r="IG331" s="83"/>
    </row>
    <row r="332" spans="1:241"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c r="DD332" s="83"/>
      <c r="DE332" s="83"/>
      <c r="DF332" s="83"/>
      <c r="DG332" s="83"/>
      <c r="DH332" s="83"/>
      <c r="DI332" s="83"/>
      <c r="DJ332" s="83"/>
      <c r="DK332" s="83"/>
      <c r="DL332" s="83"/>
      <c r="DM332" s="83"/>
      <c r="DN332" s="83"/>
      <c r="DO332" s="83"/>
      <c r="DP332" s="83"/>
      <c r="DQ332" s="83"/>
      <c r="DR332" s="83"/>
      <c r="DS332" s="83"/>
      <c r="DT332" s="83"/>
      <c r="DU332" s="83"/>
      <c r="DV332" s="83"/>
      <c r="DW332" s="83"/>
      <c r="DX332" s="83"/>
      <c r="DY332" s="83"/>
      <c r="DZ332" s="83"/>
      <c r="EA332" s="83"/>
      <c r="EB332" s="83"/>
      <c r="EC332" s="83"/>
      <c r="ED332" s="83"/>
      <c r="EE332" s="83"/>
      <c r="EF332" s="83"/>
      <c r="EG332" s="83"/>
      <c r="EH332" s="83"/>
      <c r="EI332" s="83"/>
      <c r="EJ332" s="83"/>
      <c r="EK332" s="83"/>
      <c r="EL332" s="83"/>
      <c r="EM332" s="83"/>
      <c r="EN332" s="83"/>
      <c r="EO332" s="83"/>
      <c r="EP332" s="83"/>
      <c r="EQ332" s="83"/>
      <c r="ER332" s="83"/>
      <c r="ES332" s="83"/>
      <c r="ET332" s="83"/>
      <c r="EU332" s="83"/>
      <c r="EV332" s="83"/>
      <c r="EW332" s="83"/>
      <c r="EX332" s="83"/>
      <c r="EY332" s="83"/>
      <c r="EZ332" s="83"/>
      <c r="FA332" s="83"/>
      <c r="FB332" s="83"/>
      <c r="FC332" s="83"/>
      <c r="FD332" s="83"/>
      <c r="FE332" s="83"/>
      <c r="FF332" s="83"/>
      <c r="FG332" s="83"/>
      <c r="FH332" s="83"/>
      <c r="FI332" s="83"/>
      <c r="FJ332" s="83"/>
      <c r="FK332" s="83"/>
      <c r="FL332" s="83"/>
      <c r="FM332" s="83"/>
      <c r="FN332" s="83"/>
      <c r="FO332" s="83"/>
      <c r="FP332" s="83"/>
      <c r="FQ332" s="83"/>
      <c r="FR332" s="83"/>
      <c r="FS332" s="83"/>
      <c r="FT332" s="83"/>
      <c r="FU332" s="83"/>
      <c r="FV332" s="83"/>
      <c r="FW332" s="83"/>
      <c r="FX332" s="83"/>
      <c r="FY332" s="83"/>
      <c r="FZ332" s="83"/>
      <c r="GA332" s="83"/>
      <c r="GB332" s="83"/>
      <c r="GC332" s="83"/>
      <c r="GD332" s="83"/>
      <c r="GE332" s="83"/>
      <c r="GF332" s="83"/>
      <c r="GG332" s="83"/>
      <c r="GH332" s="83"/>
      <c r="GI332" s="83"/>
      <c r="GJ332" s="83"/>
      <c r="GK332" s="83"/>
      <c r="GL332" s="83"/>
      <c r="GM332" s="83"/>
      <c r="GN332" s="83"/>
      <c r="GO332" s="83"/>
      <c r="GP332" s="83"/>
      <c r="GQ332" s="83"/>
      <c r="GR332" s="83"/>
      <c r="GS332" s="83"/>
      <c r="GT332" s="83"/>
      <c r="GU332" s="83"/>
      <c r="GV332" s="83"/>
      <c r="GW332" s="83"/>
      <c r="GX332" s="83"/>
      <c r="GY332" s="83"/>
      <c r="GZ332" s="83"/>
      <c r="HA332" s="83"/>
      <c r="HB332" s="83"/>
      <c r="HC332" s="83"/>
      <c r="HD332" s="83"/>
      <c r="HE332" s="83"/>
      <c r="HF332" s="83"/>
      <c r="HG332" s="83"/>
      <c r="HH332" s="83"/>
      <c r="HI332" s="83"/>
      <c r="HJ332" s="83"/>
      <c r="HK332" s="83"/>
      <c r="HL332" s="83"/>
      <c r="HM332" s="83"/>
      <c r="HN332" s="83"/>
      <c r="HO332" s="83"/>
      <c r="HP332" s="83"/>
      <c r="HQ332" s="83"/>
      <c r="HR332" s="83"/>
      <c r="HS332" s="83"/>
      <c r="HT332" s="83"/>
      <c r="HU332" s="83"/>
      <c r="HV332" s="83"/>
      <c r="HW332" s="83"/>
      <c r="HX332" s="83"/>
      <c r="HY332" s="83"/>
      <c r="HZ332" s="83"/>
      <c r="IA332" s="83"/>
      <c r="IB332" s="83"/>
      <c r="IC332" s="83"/>
      <c r="ID332" s="83"/>
      <c r="IE332" s="83"/>
      <c r="IF332" s="83"/>
      <c r="IG332" s="83"/>
    </row>
    <row r="333" spans="1:241"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c r="DD333" s="83"/>
      <c r="DE333" s="83"/>
      <c r="DF333" s="83"/>
      <c r="DG333" s="83"/>
      <c r="DH333" s="83"/>
      <c r="DI333" s="83"/>
      <c r="DJ333" s="83"/>
      <c r="DK333" s="83"/>
      <c r="DL333" s="83"/>
      <c r="DM333" s="83"/>
      <c r="DN333" s="83"/>
      <c r="DO333" s="83"/>
      <c r="DP333" s="83"/>
      <c r="DQ333" s="83"/>
      <c r="DR333" s="83"/>
      <c r="DS333" s="83"/>
      <c r="DT333" s="83"/>
      <c r="DU333" s="83"/>
      <c r="DV333" s="83"/>
      <c r="DW333" s="83"/>
      <c r="DX333" s="83"/>
      <c r="DY333" s="83"/>
      <c r="DZ333" s="83"/>
      <c r="EA333" s="83"/>
      <c r="EB333" s="83"/>
      <c r="EC333" s="83"/>
      <c r="ED333" s="83"/>
      <c r="EE333" s="83"/>
      <c r="EF333" s="83"/>
      <c r="EG333" s="83"/>
      <c r="EH333" s="83"/>
      <c r="EI333" s="83"/>
      <c r="EJ333" s="83"/>
      <c r="EK333" s="83"/>
      <c r="EL333" s="83"/>
      <c r="EM333" s="83"/>
      <c r="EN333" s="83"/>
      <c r="EO333" s="83"/>
      <c r="EP333" s="83"/>
      <c r="EQ333" s="83"/>
      <c r="ER333" s="83"/>
      <c r="ES333" s="83"/>
      <c r="ET333" s="83"/>
      <c r="EU333" s="83"/>
      <c r="EV333" s="83"/>
      <c r="EW333" s="83"/>
      <c r="EX333" s="83"/>
      <c r="EY333" s="83"/>
      <c r="EZ333" s="83"/>
      <c r="FA333" s="83"/>
      <c r="FB333" s="83"/>
      <c r="FC333" s="83"/>
      <c r="FD333" s="83"/>
      <c r="FE333" s="83"/>
      <c r="FF333" s="83"/>
      <c r="FG333" s="83"/>
      <c r="FH333" s="83"/>
      <c r="FI333" s="83"/>
      <c r="FJ333" s="83"/>
      <c r="FK333" s="83"/>
      <c r="FL333" s="83"/>
      <c r="FM333" s="83"/>
      <c r="FN333" s="83"/>
      <c r="FO333" s="83"/>
      <c r="FP333" s="83"/>
      <c r="FQ333" s="83"/>
      <c r="FR333" s="83"/>
      <c r="FS333" s="83"/>
      <c r="FT333" s="83"/>
      <c r="FU333" s="83"/>
      <c r="FV333" s="83"/>
      <c r="FW333" s="83"/>
      <c r="FX333" s="83"/>
      <c r="FY333" s="83"/>
      <c r="FZ333" s="83"/>
      <c r="GA333" s="83"/>
      <c r="GB333" s="83"/>
      <c r="GC333" s="83"/>
      <c r="GD333" s="83"/>
      <c r="GE333" s="83"/>
      <c r="GF333" s="83"/>
      <c r="GG333" s="83"/>
      <c r="GH333" s="83"/>
      <c r="GI333" s="83"/>
      <c r="GJ333" s="83"/>
      <c r="GK333" s="83"/>
      <c r="GL333" s="83"/>
      <c r="GM333" s="83"/>
      <c r="GN333" s="83"/>
      <c r="GO333" s="83"/>
      <c r="GP333" s="83"/>
      <c r="GQ333" s="83"/>
      <c r="GR333" s="83"/>
      <c r="GS333" s="83"/>
      <c r="GT333" s="83"/>
      <c r="GU333" s="83"/>
      <c r="GV333" s="83"/>
      <c r="GW333" s="83"/>
      <c r="GX333" s="83"/>
      <c r="GY333" s="83"/>
      <c r="GZ333" s="83"/>
      <c r="HA333" s="83"/>
      <c r="HB333" s="83"/>
      <c r="HC333" s="83"/>
      <c r="HD333" s="83"/>
      <c r="HE333" s="83"/>
      <c r="HF333" s="83"/>
      <c r="HG333" s="83"/>
      <c r="HH333" s="83"/>
      <c r="HI333" s="83"/>
      <c r="HJ333" s="83"/>
      <c r="HK333" s="83"/>
      <c r="HL333" s="83"/>
      <c r="HM333" s="83"/>
      <c r="HN333" s="83"/>
      <c r="HO333" s="83"/>
      <c r="HP333" s="83"/>
      <c r="HQ333" s="83"/>
      <c r="HR333" s="83"/>
      <c r="HS333" s="83"/>
      <c r="HT333" s="83"/>
      <c r="HU333" s="83"/>
      <c r="HV333" s="83"/>
      <c r="HW333" s="83"/>
      <c r="HX333" s="83"/>
      <c r="HY333" s="83"/>
      <c r="HZ333" s="83"/>
      <c r="IA333" s="83"/>
      <c r="IB333" s="83"/>
      <c r="IC333" s="83"/>
      <c r="ID333" s="83"/>
      <c r="IE333" s="83"/>
      <c r="IF333" s="83"/>
      <c r="IG333" s="83"/>
    </row>
    <row r="334" spans="1:241"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c r="DD334" s="83"/>
      <c r="DE334" s="83"/>
      <c r="DF334" s="83"/>
      <c r="DG334" s="83"/>
      <c r="DH334" s="83"/>
      <c r="DI334" s="83"/>
      <c r="DJ334" s="83"/>
      <c r="DK334" s="83"/>
      <c r="DL334" s="83"/>
      <c r="DM334" s="83"/>
      <c r="DN334" s="83"/>
      <c r="DO334" s="83"/>
      <c r="DP334" s="83"/>
      <c r="DQ334" s="83"/>
      <c r="DR334" s="83"/>
      <c r="DS334" s="83"/>
      <c r="DT334" s="83"/>
      <c r="DU334" s="83"/>
      <c r="DV334" s="83"/>
      <c r="DW334" s="83"/>
      <c r="DX334" s="83"/>
      <c r="DY334" s="83"/>
      <c r="DZ334" s="83"/>
      <c r="EA334" s="83"/>
      <c r="EB334" s="83"/>
      <c r="EC334" s="83"/>
      <c r="ED334" s="83"/>
      <c r="EE334" s="83"/>
      <c r="EF334" s="83"/>
      <c r="EG334" s="83"/>
      <c r="EH334" s="83"/>
      <c r="EI334" s="83"/>
      <c r="EJ334" s="83"/>
      <c r="EK334" s="83"/>
      <c r="EL334" s="83"/>
      <c r="EM334" s="83"/>
      <c r="EN334" s="83"/>
      <c r="EO334" s="83"/>
      <c r="EP334" s="83"/>
      <c r="EQ334" s="83"/>
      <c r="ER334" s="83"/>
      <c r="ES334" s="83"/>
      <c r="ET334" s="83"/>
      <c r="EU334" s="83"/>
      <c r="EV334" s="83"/>
      <c r="EW334" s="83"/>
      <c r="EX334" s="83"/>
      <c r="EY334" s="83"/>
      <c r="EZ334" s="83"/>
      <c r="FA334" s="83"/>
      <c r="FB334" s="83"/>
      <c r="FC334" s="83"/>
      <c r="FD334" s="83"/>
      <c r="FE334" s="83"/>
      <c r="FF334" s="83"/>
      <c r="FG334" s="83"/>
      <c r="FH334" s="83"/>
      <c r="FI334" s="83"/>
      <c r="FJ334" s="83"/>
      <c r="FK334" s="83"/>
      <c r="FL334" s="83"/>
      <c r="FM334" s="83"/>
      <c r="FN334" s="83"/>
      <c r="FO334" s="83"/>
      <c r="FP334" s="83"/>
      <c r="FQ334" s="83"/>
      <c r="FR334" s="83"/>
      <c r="FS334" s="83"/>
      <c r="FT334" s="83"/>
      <c r="FU334" s="83"/>
      <c r="FV334" s="83"/>
      <c r="FW334" s="83"/>
      <c r="FX334" s="83"/>
      <c r="FY334" s="83"/>
      <c r="FZ334" s="83"/>
      <c r="GA334" s="83"/>
      <c r="GB334" s="83"/>
      <c r="GC334" s="83"/>
      <c r="GD334" s="83"/>
      <c r="GE334" s="83"/>
      <c r="GF334" s="83"/>
      <c r="GG334" s="83"/>
      <c r="GH334" s="83"/>
      <c r="GI334" s="83"/>
      <c r="GJ334" s="83"/>
      <c r="GK334" s="83"/>
      <c r="GL334" s="83"/>
      <c r="GM334" s="83"/>
      <c r="GN334" s="83"/>
      <c r="GO334" s="83"/>
      <c r="GP334" s="83"/>
      <c r="GQ334" s="83"/>
      <c r="GR334" s="83"/>
      <c r="GS334" s="83"/>
      <c r="GT334" s="83"/>
      <c r="GU334" s="83"/>
      <c r="GV334" s="83"/>
      <c r="GW334" s="83"/>
      <c r="GX334" s="83"/>
      <c r="GY334" s="83"/>
      <c r="GZ334" s="83"/>
      <c r="HA334" s="83"/>
      <c r="HB334" s="83"/>
      <c r="HC334" s="83"/>
      <c r="HD334" s="83"/>
      <c r="HE334" s="83"/>
      <c r="HF334" s="83"/>
      <c r="HG334" s="83"/>
      <c r="HH334" s="83"/>
      <c r="HI334" s="83"/>
      <c r="HJ334" s="83"/>
      <c r="HK334" s="83"/>
      <c r="HL334" s="83"/>
      <c r="HM334" s="83"/>
      <c r="HN334" s="83"/>
      <c r="HO334" s="83"/>
      <c r="HP334" s="83"/>
      <c r="HQ334" s="83"/>
      <c r="HR334" s="83"/>
      <c r="HS334" s="83"/>
      <c r="HT334" s="83"/>
      <c r="HU334" s="83"/>
      <c r="HV334" s="83"/>
      <c r="HW334" s="83"/>
      <c r="HX334" s="83"/>
      <c r="HY334" s="83"/>
      <c r="HZ334" s="83"/>
      <c r="IA334" s="83"/>
      <c r="IB334" s="83"/>
      <c r="IC334" s="83"/>
      <c r="ID334" s="83"/>
      <c r="IE334" s="83"/>
      <c r="IF334" s="83"/>
      <c r="IG334" s="83"/>
    </row>
    <row r="335" spans="1:241"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c r="DD335" s="83"/>
      <c r="DE335" s="83"/>
      <c r="DF335" s="83"/>
      <c r="DG335" s="83"/>
      <c r="DH335" s="83"/>
      <c r="DI335" s="83"/>
      <c r="DJ335" s="83"/>
      <c r="DK335" s="83"/>
      <c r="DL335" s="83"/>
      <c r="DM335" s="83"/>
      <c r="DN335" s="83"/>
      <c r="DO335" s="83"/>
      <c r="DP335" s="83"/>
      <c r="DQ335" s="83"/>
      <c r="DR335" s="83"/>
      <c r="DS335" s="83"/>
      <c r="DT335" s="83"/>
      <c r="DU335" s="83"/>
      <c r="DV335" s="83"/>
      <c r="DW335" s="83"/>
      <c r="DX335" s="83"/>
      <c r="DY335" s="83"/>
      <c r="DZ335" s="83"/>
      <c r="EA335" s="83"/>
      <c r="EB335" s="83"/>
      <c r="EC335" s="83"/>
      <c r="ED335" s="83"/>
      <c r="EE335" s="83"/>
      <c r="EF335" s="83"/>
      <c r="EG335" s="83"/>
      <c r="EH335" s="83"/>
      <c r="EI335" s="83"/>
      <c r="EJ335" s="83"/>
      <c r="EK335" s="83"/>
      <c r="EL335" s="83"/>
      <c r="EM335" s="83"/>
      <c r="EN335" s="83"/>
      <c r="EO335" s="83"/>
      <c r="EP335" s="83"/>
      <c r="EQ335" s="83"/>
      <c r="ER335" s="83"/>
      <c r="ES335" s="83"/>
      <c r="ET335" s="83"/>
      <c r="EU335" s="83"/>
      <c r="EV335" s="83"/>
      <c r="EW335" s="83"/>
      <c r="EX335" s="83"/>
      <c r="EY335" s="83"/>
      <c r="EZ335" s="83"/>
      <c r="FA335" s="83"/>
      <c r="FB335" s="83"/>
      <c r="FC335" s="83"/>
      <c r="FD335" s="83"/>
      <c r="FE335" s="83"/>
      <c r="FF335" s="83"/>
      <c r="FG335" s="83"/>
      <c r="FH335" s="83"/>
      <c r="FI335" s="83"/>
      <c r="FJ335" s="83"/>
      <c r="FK335" s="83"/>
      <c r="FL335" s="83"/>
      <c r="FM335" s="83"/>
      <c r="FN335" s="83"/>
      <c r="FO335" s="83"/>
      <c r="FP335" s="83"/>
      <c r="FQ335" s="83"/>
      <c r="FR335" s="83"/>
      <c r="FS335" s="83"/>
      <c r="FT335" s="83"/>
      <c r="FU335" s="83"/>
      <c r="FV335" s="83"/>
      <c r="FW335" s="83"/>
      <c r="FX335" s="83"/>
      <c r="FY335" s="83"/>
      <c r="FZ335" s="83"/>
      <c r="GA335" s="83"/>
      <c r="GB335" s="83"/>
      <c r="GC335" s="83"/>
      <c r="GD335" s="83"/>
      <c r="GE335" s="83"/>
      <c r="GF335" s="83"/>
      <c r="GG335" s="83"/>
      <c r="GH335" s="83"/>
      <c r="GI335" s="83"/>
      <c r="GJ335" s="83"/>
      <c r="GK335" s="83"/>
      <c r="GL335" s="83"/>
      <c r="GM335" s="83"/>
      <c r="GN335" s="83"/>
      <c r="GO335" s="83"/>
      <c r="GP335" s="83"/>
      <c r="GQ335" s="83"/>
      <c r="GR335" s="83"/>
      <c r="GS335" s="83"/>
      <c r="GT335" s="83"/>
      <c r="GU335" s="83"/>
      <c r="GV335" s="83"/>
      <c r="GW335" s="83"/>
      <c r="GX335" s="83"/>
      <c r="GY335" s="83"/>
      <c r="GZ335" s="83"/>
      <c r="HA335" s="83"/>
      <c r="HB335" s="83"/>
      <c r="HC335" s="83"/>
      <c r="HD335" s="83"/>
      <c r="HE335" s="83"/>
      <c r="HF335" s="83"/>
      <c r="HG335" s="83"/>
      <c r="HH335" s="83"/>
      <c r="HI335" s="83"/>
      <c r="HJ335" s="83"/>
      <c r="HK335" s="83"/>
      <c r="HL335" s="83"/>
      <c r="HM335" s="83"/>
      <c r="HN335" s="83"/>
      <c r="HO335" s="83"/>
      <c r="HP335" s="83"/>
      <c r="HQ335" s="83"/>
      <c r="HR335" s="83"/>
      <c r="HS335" s="83"/>
      <c r="HT335" s="83"/>
      <c r="HU335" s="83"/>
      <c r="HV335" s="83"/>
      <c r="HW335" s="83"/>
      <c r="HX335" s="83"/>
      <c r="HY335" s="83"/>
      <c r="HZ335" s="83"/>
      <c r="IA335" s="83"/>
      <c r="IB335" s="83"/>
      <c r="IC335" s="83"/>
      <c r="ID335" s="83"/>
      <c r="IE335" s="83"/>
      <c r="IF335" s="83"/>
      <c r="IG335" s="83"/>
    </row>
    <row r="336" spans="1:241"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c r="DD336" s="83"/>
      <c r="DE336" s="83"/>
      <c r="DF336" s="83"/>
      <c r="DG336" s="83"/>
      <c r="DH336" s="83"/>
      <c r="DI336" s="83"/>
      <c r="DJ336" s="83"/>
      <c r="DK336" s="83"/>
      <c r="DL336" s="83"/>
      <c r="DM336" s="83"/>
      <c r="DN336" s="83"/>
      <c r="DO336" s="83"/>
      <c r="DP336" s="83"/>
      <c r="DQ336" s="83"/>
      <c r="DR336" s="83"/>
      <c r="DS336" s="83"/>
      <c r="DT336" s="83"/>
      <c r="DU336" s="83"/>
      <c r="DV336" s="83"/>
      <c r="DW336" s="83"/>
      <c r="DX336" s="83"/>
      <c r="DY336" s="83"/>
      <c r="DZ336" s="83"/>
      <c r="EA336" s="83"/>
      <c r="EB336" s="83"/>
      <c r="EC336" s="83"/>
      <c r="ED336" s="83"/>
      <c r="EE336" s="83"/>
      <c r="EF336" s="83"/>
      <c r="EG336" s="83"/>
      <c r="EH336" s="83"/>
      <c r="EI336" s="83"/>
      <c r="EJ336" s="83"/>
      <c r="EK336" s="83"/>
      <c r="EL336" s="83"/>
      <c r="EM336" s="83"/>
      <c r="EN336" s="83"/>
      <c r="EO336" s="83"/>
      <c r="EP336" s="83"/>
      <c r="EQ336" s="83"/>
      <c r="ER336" s="83"/>
      <c r="ES336" s="83"/>
      <c r="ET336" s="83"/>
      <c r="EU336" s="83"/>
      <c r="EV336" s="83"/>
      <c r="EW336" s="83"/>
      <c r="EX336" s="83"/>
      <c r="EY336" s="83"/>
      <c r="EZ336" s="83"/>
      <c r="FA336" s="83"/>
      <c r="FB336" s="83"/>
      <c r="FC336" s="83"/>
      <c r="FD336" s="83"/>
      <c r="FE336" s="83"/>
      <c r="FF336" s="83"/>
      <c r="FG336" s="83"/>
      <c r="FH336" s="83"/>
      <c r="FI336" s="83"/>
      <c r="FJ336" s="83"/>
      <c r="FK336" s="83"/>
      <c r="FL336" s="83"/>
      <c r="FM336" s="83"/>
      <c r="FN336" s="83"/>
      <c r="FO336" s="83"/>
      <c r="FP336" s="83"/>
      <c r="FQ336" s="83"/>
      <c r="FR336" s="83"/>
      <c r="FS336" s="83"/>
      <c r="FT336" s="83"/>
      <c r="FU336" s="83"/>
      <c r="FV336" s="83"/>
      <c r="FW336" s="83"/>
      <c r="FX336" s="83"/>
      <c r="FY336" s="83"/>
      <c r="FZ336" s="83"/>
      <c r="GA336" s="83"/>
      <c r="GB336" s="83"/>
      <c r="GC336" s="83"/>
      <c r="GD336" s="83"/>
      <c r="GE336" s="83"/>
      <c r="GF336" s="83"/>
      <c r="GG336" s="83"/>
      <c r="GH336" s="83"/>
      <c r="GI336" s="83"/>
      <c r="GJ336" s="83"/>
      <c r="GK336" s="83"/>
      <c r="GL336" s="83"/>
      <c r="GM336" s="83"/>
      <c r="GN336" s="83"/>
      <c r="GO336" s="83"/>
      <c r="GP336" s="83"/>
      <c r="GQ336" s="83"/>
      <c r="GR336" s="83"/>
      <c r="GS336" s="83"/>
      <c r="GT336" s="83"/>
      <c r="GU336" s="83"/>
      <c r="GV336" s="83"/>
      <c r="GW336" s="83"/>
      <c r="GX336" s="83"/>
      <c r="GY336" s="83"/>
      <c r="GZ336" s="83"/>
      <c r="HA336" s="83"/>
      <c r="HB336" s="83"/>
      <c r="HC336" s="83"/>
      <c r="HD336" s="83"/>
      <c r="HE336" s="83"/>
      <c r="HF336" s="83"/>
      <c r="HG336" s="83"/>
      <c r="HH336" s="83"/>
      <c r="HI336" s="83"/>
      <c r="HJ336" s="83"/>
      <c r="HK336" s="83"/>
      <c r="HL336" s="83"/>
      <c r="HM336" s="83"/>
      <c r="HN336" s="83"/>
      <c r="HO336" s="83"/>
      <c r="HP336" s="83"/>
      <c r="HQ336" s="83"/>
      <c r="HR336" s="83"/>
      <c r="HS336" s="83"/>
      <c r="HT336" s="83"/>
      <c r="HU336" s="83"/>
      <c r="HV336" s="83"/>
      <c r="HW336" s="83"/>
      <c r="HX336" s="83"/>
      <c r="HY336" s="83"/>
      <c r="HZ336" s="83"/>
      <c r="IA336" s="83"/>
      <c r="IB336" s="83"/>
      <c r="IC336" s="83"/>
      <c r="ID336" s="83"/>
      <c r="IE336" s="83"/>
      <c r="IF336" s="83"/>
      <c r="IG336" s="83"/>
    </row>
    <row r="337" spans="1:241"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c r="DD337" s="83"/>
      <c r="DE337" s="83"/>
      <c r="DF337" s="83"/>
      <c r="DG337" s="83"/>
      <c r="DH337" s="83"/>
      <c r="DI337" s="83"/>
      <c r="DJ337" s="83"/>
      <c r="DK337" s="83"/>
      <c r="DL337" s="83"/>
      <c r="DM337" s="83"/>
      <c r="DN337" s="83"/>
      <c r="DO337" s="83"/>
      <c r="DP337" s="83"/>
      <c r="DQ337" s="83"/>
      <c r="DR337" s="83"/>
      <c r="DS337" s="83"/>
      <c r="DT337" s="83"/>
      <c r="DU337" s="83"/>
      <c r="DV337" s="83"/>
      <c r="DW337" s="83"/>
      <c r="DX337" s="83"/>
      <c r="DY337" s="83"/>
      <c r="DZ337" s="83"/>
      <c r="EA337" s="83"/>
      <c r="EB337" s="83"/>
      <c r="EC337" s="83"/>
      <c r="ED337" s="83"/>
      <c r="EE337" s="83"/>
      <c r="EF337" s="83"/>
      <c r="EG337" s="83"/>
      <c r="EH337" s="83"/>
      <c r="EI337" s="83"/>
      <c r="EJ337" s="83"/>
      <c r="EK337" s="83"/>
      <c r="EL337" s="83"/>
      <c r="EM337" s="83"/>
      <c r="EN337" s="83"/>
      <c r="EO337" s="83"/>
      <c r="EP337" s="83"/>
      <c r="EQ337" s="83"/>
      <c r="ER337" s="83"/>
      <c r="ES337" s="83"/>
      <c r="ET337" s="83"/>
      <c r="EU337" s="83"/>
      <c r="EV337" s="83"/>
      <c r="EW337" s="83"/>
      <c r="EX337" s="83"/>
      <c r="EY337" s="83"/>
      <c r="EZ337" s="83"/>
      <c r="FA337" s="83"/>
      <c r="FB337" s="83"/>
      <c r="FC337" s="83"/>
      <c r="FD337" s="83"/>
      <c r="FE337" s="83"/>
      <c r="FF337" s="83"/>
      <c r="FG337" s="83"/>
      <c r="FH337" s="83"/>
      <c r="FI337" s="83"/>
      <c r="FJ337" s="83"/>
      <c r="FK337" s="83"/>
      <c r="FL337" s="83"/>
      <c r="FM337" s="83"/>
      <c r="FN337" s="83"/>
      <c r="FO337" s="83"/>
      <c r="FP337" s="83"/>
      <c r="FQ337" s="83"/>
      <c r="FR337" s="83"/>
      <c r="FS337" s="83"/>
      <c r="FT337" s="83"/>
      <c r="FU337" s="83"/>
      <c r="FV337" s="83"/>
      <c r="FW337" s="83"/>
      <c r="FX337" s="83"/>
      <c r="FY337" s="83"/>
      <c r="FZ337" s="83"/>
      <c r="GA337" s="83"/>
      <c r="GB337" s="83"/>
      <c r="GC337" s="83"/>
      <c r="GD337" s="83"/>
      <c r="GE337" s="83"/>
      <c r="GF337" s="83"/>
      <c r="GG337" s="83"/>
      <c r="GH337" s="83"/>
      <c r="GI337" s="83"/>
      <c r="GJ337" s="83"/>
      <c r="GK337" s="83"/>
      <c r="GL337" s="83"/>
      <c r="GM337" s="83"/>
      <c r="GN337" s="83"/>
      <c r="GO337" s="83"/>
      <c r="GP337" s="83"/>
      <c r="GQ337" s="83"/>
      <c r="GR337" s="83"/>
      <c r="GS337" s="83"/>
      <c r="GT337" s="83"/>
      <c r="GU337" s="83"/>
      <c r="GV337" s="83"/>
      <c r="GW337" s="83"/>
      <c r="GX337" s="83"/>
      <c r="GY337" s="83"/>
      <c r="GZ337" s="83"/>
      <c r="HA337" s="83"/>
      <c r="HB337" s="83"/>
      <c r="HC337" s="83"/>
      <c r="HD337" s="83"/>
      <c r="HE337" s="83"/>
      <c r="HF337" s="83"/>
      <c r="HG337" s="83"/>
      <c r="HH337" s="83"/>
      <c r="HI337" s="83"/>
      <c r="HJ337" s="83"/>
      <c r="HK337" s="83"/>
      <c r="HL337" s="83"/>
      <c r="HM337" s="83"/>
      <c r="HN337" s="83"/>
      <c r="HO337" s="83"/>
      <c r="HP337" s="83"/>
      <c r="HQ337" s="83"/>
      <c r="HR337" s="83"/>
      <c r="HS337" s="83"/>
      <c r="HT337" s="83"/>
      <c r="HU337" s="83"/>
      <c r="HV337" s="83"/>
      <c r="HW337" s="83"/>
      <c r="HX337" s="83"/>
      <c r="HY337" s="83"/>
      <c r="HZ337" s="83"/>
      <c r="IA337" s="83"/>
      <c r="IB337" s="83"/>
      <c r="IC337" s="83"/>
      <c r="ID337" s="83"/>
      <c r="IE337" s="83"/>
      <c r="IF337" s="83"/>
      <c r="IG337" s="83"/>
    </row>
    <row r="338" spans="1:241"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c r="DD338" s="83"/>
      <c r="DE338" s="83"/>
      <c r="DF338" s="83"/>
      <c r="DG338" s="83"/>
      <c r="DH338" s="83"/>
      <c r="DI338" s="83"/>
      <c r="DJ338" s="83"/>
      <c r="DK338" s="83"/>
      <c r="DL338" s="83"/>
      <c r="DM338" s="83"/>
      <c r="DN338" s="83"/>
      <c r="DO338" s="83"/>
      <c r="DP338" s="83"/>
      <c r="DQ338" s="83"/>
      <c r="DR338" s="83"/>
      <c r="DS338" s="83"/>
      <c r="DT338" s="83"/>
      <c r="DU338" s="83"/>
      <c r="DV338" s="83"/>
      <c r="DW338" s="83"/>
      <c r="DX338" s="83"/>
      <c r="DY338" s="83"/>
      <c r="DZ338" s="83"/>
      <c r="EA338" s="83"/>
      <c r="EB338" s="83"/>
      <c r="EC338" s="83"/>
      <c r="ED338" s="83"/>
      <c r="EE338" s="83"/>
      <c r="EF338" s="83"/>
      <c r="EG338" s="83"/>
      <c r="EH338" s="83"/>
      <c r="EI338" s="83"/>
      <c r="EJ338" s="83"/>
      <c r="EK338" s="83"/>
      <c r="EL338" s="83"/>
      <c r="EM338" s="83"/>
      <c r="EN338" s="83"/>
      <c r="EO338" s="83"/>
      <c r="EP338" s="83"/>
      <c r="EQ338" s="83"/>
      <c r="ER338" s="83"/>
      <c r="ES338" s="83"/>
      <c r="ET338" s="83"/>
      <c r="EU338" s="83"/>
      <c r="EV338" s="83"/>
      <c r="EW338" s="83"/>
      <c r="EX338" s="83"/>
      <c r="EY338" s="83"/>
      <c r="EZ338" s="83"/>
      <c r="FA338" s="83"/>
      <c r="FB338" s="83"/>
      <c r="FC338" s="83"/>
      <c r="FD338" s="83"/>
      <c r="FE338" s="83"/>
      <c r="FF338" s="83"/>
      <c r="FG338" s="83"/>
      <c r="FH338" s="83"/>
      <c r="FI338" s="83"/>
      <c r="FJ338" s="83"/>
      <c r="FK338" s="83"/>
      <c r="FL338" s="83"/>
      <c r="FM338" s="83"/>
      <c r="FN338" s="83"/>
      <c r="FO338" s="83"/>
      <c r="FP338" s="83"/>
      <c r="FQ338" s="83"/>
      <c r="FR338" s="83"/>
      <c r="FS338" s="83"/>
      <c r="FT338" s="83"/>
      <c r="FU338" s="83"/>
      <c r="FV338" s="83"/>
      <c r="FW338" s="83"/>
      <c r="FX338" s="83"/>
      <c r="FY338" s="83"/>
      <c r="FZ338" s="83"/>
      <c r="GA338" s="83"/>
      <c r="GB338" s="83"/>
      <c r="GC338" s="83"/>
      <c r="GD338" s="83"/>
      <c r="GE338" s="83"/>
      <c r="GF338" s="83"/>
      <c r="GG338" s="83"/>
      <c r="GH338" s="83"/>
      <c r="GI338" s="83"/>
      <c r="GJ338" s="83"/>
      <c r="GK338" s="83"/>
      <c r="GL338" s="83"/>
      <c r="GM338" s="83"/>
      <c r="GN338" s="83"/>
      <c r="GO338" s="83"/>
      <c r="GP338" s="83"/>
      <c r="GQ338" s="83"/>
      <c r="GR338" s="83"/>
      <c r="GS338" s="83"/>
      <c r="GT338" s="83"/>
      <c r="GU338" s="83"/>
      <c r="GV338" s="83"/>
      <c r="GW338" s="83"/>
      <c r="GX338" s="83"/>
      <c r="GY338" s="83"/>
      <c r="GZ338" s="83"/>
      <c r="HA338" s="83"/>
      <c r="HB338" s="83"/>
      <c r="HC338" s="83"/>
      <c r="HD338" s="83"/>
      <c r="HE338" s="83"/>
      <c r="HF338" s="83"/>
      <c r="HG338" s="83"/>
      <c r="HH338" s="83"/>
      <c r="HI338" s="83"/>
      <c r="HJ338" s="83"/>
      <c r="HK338" s="83"/>
      <c r="HL338" s="83"/>
      <c r="HM338" s="83"/>
      <c r="HN338" s="83"/>
      <c r="HO338" s="83"/>
      <c r="HP338" s="83"/>
      <c r="HQ338" s="83"/>
      <c r="HR338" s="83"/>
      <c r="HS338" s="83"/>
      <c r="HT338" s="83"/>
      <c r="HU338" s="83"/>
      <c r="HV338" s="83"/>
      <c r="HW338" s="83"/>
      <c r="HX338" s="83"/>
      <c r="HY338" s="83"/>
      <c r="HZ338" s="83"/>
      <c r="IA338" s="83"/>
      <c r="IB338" s="83"/>
      <c r="IC338" s="83"/>
      <c r="ID338" s="83"/>
      <c r="IE338" s="83"/>
      <c r="IF338" s="83"/>
      <c r="IG338" s="83"/>
    </row>
    <row r="339" spans="1:241"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c r="DD339" s="83"/>
      <c r="DE339" s="83"/>
      <c r="DF339" s="83"/>
      <c r="DG339" s="83"/>
      <c r="DH339" s="83"/>
      <c r="DI339" s="83"/>
      <c r="DJ339" s="83"/>
      <c r="DK339" s="83"/>
      <c r="DL339" s="83"/>
      <c r="DM339" s="83"/>
      <c r="DN339" s="83"/>
      <c r="DO339" s="83"/>
      <c r="DP339" s="83"/>
      <c r="DQ339" s="83"/>
      <c r="DR339" s="83"/>
      <c r="DS339" s="83"/>
      <c r="DT339" s="83"/>
      <c r="DU339" s="83"/>
      <c r="DV339" s="83"/>
      <c r="DW339" s="83"/>
      <c r="DX339" s="83"/>
      <c r="DY339" s="83"/>
      <c r="DZ339" s="83"/>
      <c r="EA339" s="83"/>
      <c r="EB339" s="83"/>
      <c r="EC339" s="83"/>
      <c r="ED339" s="83"/>
      <c r="EE339" s="83"/>
      <c r="EF339" s="83"/>
      <c r="EG339" s="83"/>
      <c r="EH339" s="83"/>
      <c r="EI339" s="83"/>
      <c r="EJ339" s="83"/>
      <c r="EK339" s="83"/>
      <c r="EL339" s="83"/>
      <c r="EM339" s="83"/>
      <c r="EN339" s="83"/>
      <c r="EO339" s="83"/>
      <c r="EP339" s="83"/>
      <c r="EQ339" s="83"/>
      <c r="ER339" s="83"/>
      <c r="ES339" s="83"/>
      <c r="ET339" s="83"/>
      <c r="EU339" s="83"/>
      <c r="EV339" s="83"/>
      <c r="EW339" s="83"/>
      <c r="EX339" s="83"/>
      <c r="EY339" s="83"/>
      <c r="EZ339" s="83"/>
      <c r="FA339" s="83"/>
      <c r="FB339" s="83"/>
      <c r="FC339" s="83"/>
      <c r="FD339" s="83"/>
      <c r="FE339" s="83"/>
      <c r="FF339" s="83"/>
      <c r="FG339" s="83"/>
      <c r="FH339" s="83"/>
      <c r="FI339" s="83"/>
      <c r="FJ339" s="83"/>
      <c r="FK339" s="83"/>
      <c r="FL339" s="83"/>
      <c r="FM339" s="83"/>
      <c r="FN339" s="83"/>
      <c r="FO339" s="83"/>
      <c r="FP339" s="83"/>
      <c r="FQ339" s="83"/>
      <c r="FR339" s="83"/>
      <c r="FS339" s="83"/>
      <c r="FT339" s="83"/>
      <c r="FU339" s="83"/>
      <c r="FV339" s="83"/>
      <c r="FW339" s="83"/>
      <c r="FX339" s="83"/>
      <c r="FY339" s="83"/>
      <c r="FZ339" s="83"/>
      <c r="GA339" s="83"/>
      <c r="GB339" s="83"/>
      <c r="GC339" s="83"/>
      <c r="GD339" s="83"/>
      <c r="GE339" s="83"/>
      <c r="GF339" s="83"/>
      <c r="GG339" s="83"/>
      <c r="GH339" s="83"/>
      <c r="GI339" s="83"/>
      <c r="GJ339" s="83"/>
      <c r="GK339" s="83"/>
      <c r="GL339" s="83"/>
      <c r="GM339" s="83"/>
      <c r="GN339" s="83"/>
      <c r="GO339" s="83"/>
      <c r="GP339" s="83"/>
      <c r="GQ339" s="83"/>
      <c r="GR339" s="83"/>
      <c r="GS339" s="83"/>
      <c r="GT339" s="83"/>
      <c r="GU339" s="83"/>
      <c r="GV339" s="83"/>
      <c r="GW339" s="83"/>
      <c r="GX339" s="83"/>
      <c r="GY339" s="83"/>
      <c r="GZ339" s="83"/>
      <c r="HA339" s="83"/>
      <c r="HB339" s="83"/>
      <c r="HC339" s="83"/>
      <c r="HD339" s="83"/>
      <c r="HE339" s="83"/>
      <c r="HF339" s="83"/>
      <c r="HG339" s="83"/>
      <c r="HH339" s="83"/>
      <c r="HI339" s="83"/>
      <c r="HJ339" s="83"/>
      <c r="HK339" s="83"/>
      <c r="HL339" s="83"/>
      <c r="HM339" s="83"/>
      <c r="HN339" s="83"/>
      <c r="HO339" s="83"/>
      <c r="HP339" s="83"/>
      <c r="HQ339" s="83"/>
      <c r="HR339" s="83"/>
      <c r="HS339" s="83"/>
      <c r="HT339" s="83"/>
      <c r="HU339" s="83"/>
      <c r="HV339" s="83"/>
      <c r="HW339" s="83"/>
      <c r="HX339" s="83"/>
      <c r="HY339" s="83"/>
      <c r="HZ339" s="83"/>
      <c r="IA339" s="83"/>
      <c r="IB339" s="83"/>
      <c r="IC339" s="83"/>
      <c r="ID339" s="83"/>
      <c r="IE339" s="83"/>
      <c r="IF339" s="83"/>
      <c r="IG339" s="83"/>
    </row>
    <row r="340" spans="1:241"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c r="DD340" s="83"/>
      <c r="DE340" s="83"/>
      <c r="DF340" s="83"/>
      <c r="DG340" s="83"/>
      <c r="DH340" s="83"/>
      <c r="DI340" s="83"/>
      <c r="DJ340" s="83"/>
      <c r="DK340" s="83"/>
      <c r="DL340" s="83"/>
      <c r="DM340" s="83"/>
      <c r="DN340" s="83"/>
      <c r="DO340" s="83"/>
      <c r="DP340" s="83"/>
      <c r="DQ340" s="83"/>
      <c r="DR340" s="83"/>
      <c r="DS340" s="83"/>
      <c r="DT340" s="83"/>
      <c r="DU340" s="83"/>
      <c r="DV340" s="83"/>
      <c r="DW340" s="83"/>
      <c r="DX340" s="83"/>
      <c r="DY340" s="83"/>
      <c r="DZ340" s="83"/>
      <c r="EA340" s="83"/>
      <c r="EB340" s="83"/>
      <c r="EC340" s="83"/>
      <c r="ED340" s="83"/>
      <c r="EE340" s="83"/>
      <c r="EF340" s="83"/>
      <c r="EG340" s="83"/>
      <c r="EH340" s="83"/>
      <c r="EI340" s="83"/>
      <c r="EJ340" s="83"/>
      <c r="EK340" s="83"/>
      <c r="EL340" s="83"/>
      <c r="EM340" s="83"/>
      <c r="EN340" s="83"/>
      <c r="EO340" s="83"/>
      <c r="EP340" s="83"/>
      <c r="EQ340" s="83"/>
      <c r="ER340" s="83"/>
      <c r="ES340" s="83"/>
      <c r="ET340" s="83"/>
      <c r="EU340" s="83"/>
      <c r="EV340" s="83"/>
      <c r="EW340" s="83"/>
      <c r="EX340" s="83"/>
      <c r="EY340" s="83"/>
      <c r="EZ340" s="83"/>
      <c r="FA340" s="83"/>
      <c r="FB340" s="83"/>
      <c r="FC340" s="83"/>
      <c r="FD340" s="83"/>
      <c r="FE340" s="83"/>
      <c r="FF340" s="83"/>
      <c r="FG340" s="83"/>
      <c r="FH340" s="83"/>
      <c r="FI340" s="83"/>
      <c r="FJ340" s="83"/>
      <c r="FK340" s="83"/>
      <c r="FL340" s="83"/>
      <c r="FM340" s="83"/>
      <c r="FN340" s="83"/>
      <c r="FO340" s="83"/>
      <c r="FP340" s="83"/>
      <c r="FQ340" s="83"/>
      <c r="FR340" s="83"/>
      <c r="FS340" s="83"/>
      <c r="FT340" s="83"/>
      <c r="FU340" s="83"/>
      <c r="FV340" s="83"/>
      <c r="FW340" s="83"/>
      <c r="FX340" s="83"/>
      <c r="FY340" s="83"/>
      <c r="FZ340" s="83"/>
      <c r="GA340" s="83"/>
      <c r="GB340" s="83"/>
      <c r="GC340" s="83"/>
      <c r="GD340" s="83"/>
      <c r="GE340" s="83"/>
      <c r="GF340" s="83"/>
      <c r="GG340" s="83"/>
      <c r="GH340" s="83"/>
      <c r="GI340" s="83"/>
      <c r="GJ340" s="83"/>
      <c r="GK340" s="83"/>
      <c r="GL340" s="83"/>
      <c r="GM340" s="83"/>
      <c r="GN340" s="83"/>
      <c r="GO340" s="83"/>
      <c r="GP340" s="83"/>
      <c r="GQ340" s="83"/>
      <c r="GR340" s="83"/>
      <c r="GS340" s="83"/>
      <c r="GT340" s="83"/>
      <c r="GU340" s="83"/>
      <c r="GV340" s="83"/>
      <c r="GW340" s="83"/>
      <c r="GX340" s="83"/>
      <c r="GY340" s="83"/>
      <c r="GZ340" s="83"/>
      <c r="HA340" s="83"/>
      <c r="HB340" s="83"/>
      <c r="HC340" s="83"/>
      <c r="HD340" s="83"/>
      <c r="HE340" s="83"/>
      <c r="HF340" s="83"/>
      <c r="HG340" s="83"/>
      <c r="HH340" s="83"/>
      <c r="HI340" s="83"/>
      <c r="HJ340" s="83"/>
      <c r="HK340" s="83"/>
      <c r="HL340" s="83"/>
      <c r="HM340" s="83"/>
      <c r="HN340" s="83"/>
      <c r="HO340" s="83"/>
      <c r="HP340" s="83"/>
      <c r="HQ340" s="83"/>
      <c r="HR340" s="83"/>
      <c r="HS340" s="83"/>
      <c r="HT340" s="83"/>
      <c r="HU340" s="83"/>
      <c r="HV340" s="83"/>
      <c r="HW340" s="83"/>
      <c r="HX340" s="83"/>
      <c r="HY340" s="83"/>
      <c r="HZ340" s="83"/>
      <c r="IA340" s="83"/>
      <c r="IB340" s="83"/>
      <c r="IC340" s="83"/>
      <c r="ID340" s="83"/>
      <c r="IE340" s="83"/>
      <c r="IF340" s="83"/>
      <c r="IG340" s="83"/>
    </row>
    <row r="341" spans="1:241"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c r="DD341" s="83"/>
      <c r="DE341" s="83"/>
      <c r="DF341" s="83"/>
      <c r="DG341" s="83"/>
      <c r="DH341" s="83"/>
      <c r="DI341" s="83"/>
      <c r="DJ341" s="83"/>
      <c r="DK341" s="83"/>
      <c r="DL341" s="83"/>
      <c r="DM341" s="83"/>
      <c r="DN341" s="83"/>
      <c r="DO341" s="83"/>
      <c r="DP341" s="83"/>
      <c r="DQ341" s="83"/>
      <c r="DR341" s="83"/>
      <c r="DS341" s="83"/>
      <c r="DT341" s="83"/>
      <c r="DU341" s="83"/>
      <c r="DV341" s="83"/>
      <c r="DW341" s="83"/>
      <c r="DX341" s="83"/>
      <c r="DY341" s="83"/>
      <c r="DZ341" s="83"/>
      <c r="EA341" s="83"/>
      <c r="EB341" s="83"/>
      <c r="EC341" s="83"/>
      <c r="ED341" s="83"/>
      <c r="EE341" s="83"/>
      <c r="EF341" s="83"/>
      <c r="EG341" s="83"/>
      <c r="EH341" s="83"/>
      <c r="EI341" s="83"/>
      <c r="EJ341" s="83"/>
      <c r="EK341" s="83"/>
      <c r="EL341" s="83"/>
      <c r="EM341" s="83"/>
      <c r="EN341" s="83"/>
      <c r="EO341" s="83"/>
      <c r="EP341" s="83"/>
      <c r="EQ341" s="83"/>
      <c r="ER341" s="83"/>
      <c r="ES341" s="83"/>
      <c r="ET341" s="83"/>
      <c r="EU341" s="83"/>
      <c r="EV341" s="83"/>
      <c r="EW341" s="83"/>
      <c r="EX341" s="83"/>
      <c r="EY341" s="83"/>
      <c r="EZ341" s="83"/>
      <c r="FA341" s="83"/>
      <c r="FB341" s="83"/>
      <c r="FC341" s="83"/>
      <c r="FD341" s="83"/>
      <c r="FE341" s="83"/>
      <c r="FF341" s="83"/>
      <c r="FG341" s="83"/>
      <c r="FH341" s="83"/>
      <c r="FI341" s="83"/>
      <c r="FJ341" s="83"/>
      <c r="FK341" s="83"/>
      <c r="FL341" s="83"/>
      <c r="FM341" s="83"/>
      <c r="FN341" s="83"/>
      <c r="FO341" s="83"/>
      <c r="FP341" s="83"/>
      <c r="FQ341" s="83"/>
      <c r="FR341" s="83"/>
      <c r="FS341" s="83"/>
      <c r="FT341" s="83"/>
      <c r="FU341" s="83"/>
      <c r="FV341" s="83"/>
      <c r="FW341" s="83"/>
      <c r="FX341" s="83"/>
      <c r="FY341" s="83"/>
      <c r="FZ341" s="83"/>
      <c r="GA341" s="83"/>
      <c r="GB341" s="83"/>
      <c r="GC341" s="83"/>
      <c r="GD341" s="83"/>
      <c r="GE341" s="83"/>
      <c r="GF341" s="83"/>
      <c r="GG341" s="83"/>
      <c r="GH341" s="83"/>
      <c r="GI341" s="83"/>
      <c r="GJ341" s="83"/>
      <c r="GK341" s="83"/>
      <c r="GL341" s="83"/>
      <c r="GM341" s="83"/>
      <c r="GN341" s="83"/>
      <c r="GO341" s="83"/>
      <c r="GP341" s="83"/>
      <c r="GQ341" s="83"/>
      <c r="GR341" s="83"/>
      <c r="GS341" s="83"/>
      <c r="GT341" s="83"/>
      <c r="GU341" s="83"/>
      <c r="GV341" s="83"/>
      <c r="GW341" s="83"/>
      <c r="GX341" s="83"/>
      <c r="GY341" s="83"/>
      <c r="GZ341" s="83"/>
      <c r="HA341" s="83"/>
      <c r="HB341" s="83"/>
      <c r="HC341" s="83"/>
      <c r="HD341" s="83"/>
      <c r="HE341" s="83"/>
      <c r="HF341" s="83"/>
      <c r="HG341" s="83"/>
      <c r="HH341" s="83"/>
      <c r="HI341" s="83"/>
      <c r="HJ341" s="83"/>
      <c r="HK341" s="83"/>
      <c r="HL341" s="83"/>
      <c r="HM341" s="83"/>
      <c r="HN341" s="83"/>
      <c r="HO341" s="83"/>
      <c r="HP341" s="83"/>
      <c r="HQ341" s="83"/>
      <c r="HR341" s="83"/>
      <c r="HS341" s="83"/>
      <c r="HT341" s="83"/>
      <c r="HU341" s="83"/>
      <c r="HV341" s="83"/>
      <c r="HW341" s="83"/>
      <c r="HX341" s="83"/>
      <c r="HY341" s="83"/>
      <c r="HZ341" s="83"/>
      <c r="IA341" s="83"/>
      <c r="IB341" s="83"/>
      <c r="IC341" s="83"/>
      <c r="ID341" s="83"/>
      <c r="IE341" s="83"/>
      <c r="IF341" s="83"/>
      <c r="IG341" s="83"/>
    </row>
    <row r="342" spans="1:241"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c r="DD342" s="83"/>
      <c r="DE342" s="83"/>
      <c r="DF342" s="83"/>
      <c r="DG342" s="83"/>
      <c r="DH342" s="83"/>
      <c r="DI342" s="83"/>
      <c r="DJ342" s="83"/>
      <c r="DK342" s="83"/>
      <c r="DL342" s="83"/>
      <c r="DM342" s="83"/>
      <c r="DN342" s="83"/>
      <c r="DO342" s="83"/>
      <c r="DP342" s="83"/>
      <c r="DQ342" s="83"/>
      <c r="DR342" s="83"/>
      <c r="DS342" s="83"/>
      <c r="DT342" s="83"/>
      <c r="DU342" s="83"/>
      <c r="DV342" s="83"/>
      <c r="DW342" s="83"/>
      <c r="DX342" s="83"/>
      <c r="DY342" s="83"/>
      <c r="DZ342" s="83"/>
      <c r="EA342" s="83"/>
      <c r="EB342" s="83"/>
      <c r="EC342" s="83"/>
      <c r="ED342" s="83"/>
      <c r="EE342" s="83"/>
      <c r="EF342" s="83"/>
      <c r="EG342" s="83"/>
      <c r="EH342" s="83"/>
      <c r="EI342" s="83"/>
      <c r="EJ342" s="83"/>
      <c r="EK342" s="83"/>
      <c r="EL342" s="83"/>
      <c r="EM342" s="83"/>
      <c r="EN342" s="83"/>
      <c r="EO342" s="83"/>
      <c r="EP342" s="83"/>
      <c r="EQ342" s="83"/>
      <c r="ER342" s="83"/>
      <c r="ES342" s="83"/>
      <c r="ET342" s="83"/>
      <c r="EU342" s="83"/>
      <c r="EV342" s="83"/>
      <c r="EW342" s="83"/>
      <c r="EX342" s="83"/>
      <c r="EY342" s="83"/>
      <c r="EZ342" s="83"/>
      <c r="FA342" s="83"/>
      <c r="FB342" s="83"/>
      <c r="FC342" s="83"/>
      <c r="FD342" s="83"/>
      <c r="FE342" s="83"/>
      <c r="FF342" s="83"/>
      <c r="FG342" s="83"/>
      <c r="FH342" s="83"/>
      <c r="FI342" s="83"/>
      <c r="FJ342" s="83"/>
      <c r="FK342" s="83"/>
      <c r="FL342" s="83"/>
      <c r="FM342" s="83"/>
      <c r="FN342" s="83"/>
      <c r="FO342" s="83"/>
      <c r="FP342" s="83"/>
      <c r="FQ342" s="83"/>
      <c r="FR342" s="83"/>
      <c r="FS342" s="83"/>
      <c r="FT342" s="83"/>
      <c r="FU342" s="83"/>
      <c r="FV342" s="83"/>
      <c r="FW342" s="83"/>
      <c r="FX342" s="83"/>
      <c r="FY342" s="83"/>
      <c r="FZ342" s="83"/>
      <c r="GA342" s="83"/>
      <c r="GB342" s="83"/>
      <c r="GC342" s="83"/>
      <c r="GD342" s="83"/>
      <c r="GE342" s="83"/>
      <c r="GF342" s="83"/>
      <c r="GG342" s="83"/>
      <c r="GH342" s="83"/>
      <c r="GI342" s="83"/>
      <c r="GJ342" s="83"/>
      <c r="GK342" s="83"/>
      <c r="GL342" s="83"/>
      <c r="GM342" s="83"/>
      <c r="GN342" s="83"/>
      <c r="GO342" s="83"/>
      <c r="GP342" s="83"/>
      <c r="GQ342" s="83"/>
      <c r="GR342" s="83"/>
      <c r="GS342" s="83"/>
      <c r="GT342" s="83"/>
      <c r="GU342" s="83"/>
      <c r="GV342" s="83"/>
      <c r="GW342" s="83"/>
      <c r="GX342" s="83"/>
      <c r="GY342" s="83"/>
      <c r="GZ342" s="83"/>
      <c r="HA342" s="83"/>
      <c r="HB342" s="83"/>
      <c r="HC342" s="83"/>
      <c r="HD342" s="83"/>
      <c r="HE342" s="83"/>
      <c r="HF342" s="83"/>
      <c r="HG342" s="83"/>
      <c r="HH342" s="83"/>
      <c r="HI342" s="83"/>
      <c r="HJ342" s="83"/>
      <c r="HK342" s="83"/>
      <c r="HL342" s="83"/>
      <c r="HM342" s="83"/>
      <c r="HN342" s="83"/>
      <c r="HO342" s="83"/>
      <c r="HP342" s="83"/>
      <c r="HQ342" s="83"/>
      <c r="HR342" s="83"/>
      <c r="HS342" s="83"/>
      <c r="HT342" s="83"/>
      <c r="HU342" s="83"/>
      <c r="HV342" s="83"/>
      <c r="HW342" s="83"/>
      <c r="HX342" s="83"/>
      <c r="HY342" s="83"/>
      <c r="HZ342" s="83"/>
      <c r="IA342" s="83"/>
      <c r="IB342" s="83"/>
      <c r="IC342" s="83"/>
      <c r="ID342" s="83"/>
      <c r="IE342" s="83"/>
      <c r="IF342" s="83"/>
      <c r="IG342" s="83"/>
    </row>
    <row r="343" spans="1:241"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c r="DD343" s="83"/>
      <c r="DE343" s="83"/>
      <c r="DF343" s="83"/>
      <c r="DG343" s="83"/>
      <c r="DH343" s="83"/>
      <c r="DI343" s="83"/>
      <c r="DJ343" s="83"/>
      <c r="DK343" s="83"/>
      <c r="DL343" s="83"/>
      <c r="DM343" s="83"/>
      <c r="DN343" s="83"/>
      <c r="DO343" s="83"/>
      <c r="DP343" s="83"/>
      <c r="DQ343" s="83"/>
      <c r="DR343" s="83"/>
      <c r="DS343" s="83"/>
      <c r="DT343" s="83"/>
      <c r="DU343" s="83"/>
      <c r="DV343" s="83"/>
      <c r="DW343" s="83"/>
      <c r="DX343" s="83"/>
      <c r="DY343" s="83"/>
      <c r="DZ343" s="83"/>
      <c r="EA343" s="83"/>
      <c r="EB343" s="83"/>
      <c r="EC343" s="83"/>
      <c r="ED343" s="83"/>
      <c r="EE343" s="83"/>
      <c r="EF343" s="83"/>
      <c r="EG343" s="83"/>
      <c r="EH343" s="83"/>
      <c r="EI343" s="83"/>
      <c r="EJ343" s="83"/>
      <c r="EK343" s="83"/>
      <c r="EL343" s="83"/>
      <c r="EM343" s="83"/>
      <c r="EN343" s="83"/>
      <c r="EO343" s="83"/>
      <c r="EP343" s="83"/>
      <c r="EQ343" s="83"/>
      <c r="ER343" s="83"/>
      <c r="ES343" s="83"/>
      <c r="ET343" s="83"/>
      <c r="EU343" s="83"/>
      <c r="EV343" s="83"/>
      <c r="EW343" s="83"/>
      <c r="EX343" s="83"/>
      <c r="EY343" s="83"/>
      <c r="EZ343" s="83"/>
      <c r="FA343" s="83"/>
      <c r="FB343" s="83"/>
      <c r="FC343" s="83"/>
      <c r="FD343" s="83"/>
      <c r="FE343" s="83"/>
      <c r="FF343" s="83"/>
      <c r="FG343" s="83"/>
      <c r="FH343" s="83"/>
      <c r="FI343" s="83"/>
      <c r="FJ343" s="83"/>
      <c r="FK343" s="83"/>
      <c r="FL343" s="83"/>
      <c r="FM343" s="83"/>
      <c r="FN343" s="83"/>
      <c r="FO343" s="83"/>
      <c r="FP343" s="83"/>
      <c r="FQ343" s="83"/>
      <c r="FR343" s="83"/>
      <c r="FS343" s="83"/>
      <c r="FT343" s="83"/>
      <c r="FU343" s="83"/>
      <c r="FV343" s="83"/>
      <c r="FW343" s="83"/>
      <c r="FX343" s="83"/>
      <c r="FY343" s="83"/>
      <c r="FZ343" s="83"/>
      <c r="GA343" s="83"/>
      <c r="GB343" s="83"/>
      <c r="GC343" s="83"/>
      <c r="GD343" s="83"/>
      <c r="GE343" s="83"/>
      <c r="GF343" s="83"/>
      <c r="GG343" s="83"/>
      <c r="GH343" s="83"/>
      <c r="GI343" s="83"/>
      <c r="GJ343" s="83"/>
      <c r="GK343" s="83"/>
      <c r="GL343" s="83"/>
      <c r="GM343" s="83"/>
      <c r="GN343" s="83"/>
      <c r="GO343" s="83"/>
      <c r="GP343" s="83"/>
      <c r="GQ343" s="83"/>
      <c r="GR343" s="83"/>
      <c r="GS343" s="83"/>
      <c r="GT343" s="83"/>
      <c r="GU343" s="83"/>
      <c r="GV343" s="83"/>
      <c r="GW343" s="83"/>
      <c r="GX343" s="83"/>
      <c r="GY343" s="83"/>
      <c r="GZ343" s="83"/>
      <c r="HA343" s="83"/>
      <c r="HB343" s="83"/>
      <c r="HC343" s="83"/>
      <c r="HD343" s="83"/>
      <c r="HE343" s="83"/>
      <c r="HF343" s="83"/>
      <c r="HG343" s="83"/>
      <c r="HH343" s="83"/>
      <c r="HI343" s="83"/>
      <c r="HJ343" s="83"/>
      <c r="HK343" s="83"/>
      <c r="HL343" s="83"/>
      <c r="HM343" s="83"/>
      <c r="HN343" s="83"/>
      <c r="HO343" s="83"/>
      <c r="HP343" s="83"/>
      <c r="HQ343" s="83"/>
      <c r="HR343" s="83"/>
      <c r="HS343" s="83"/>
      <c r="HT343" s="83"/>
      <c r="HU343" s="83"/>
      <c r="HV343" s="83"/>
      <c r="HW343" s="83"/>
      <c r="HX343" s="83"/>
      <c r="HY343" s="83"/>
      <c r="HZ343" s="83"/>
      <c r="IA343" s="83"/>
      <c r="IB343" s="83"/>
      <c r="IC343" s="83"/>
      <c r="ID343" s="83"/>
      <c r="IE343" s="83"/>
      <c r="IF343" s="83"/>
      <c r="IG343" s="83"/>
    </row>
    <row r="344" spans="1:241"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c r="DD344" s="83"/>
      <c r="DE344" s="83"/>
      <c r="DF344" s="83"/>
      <c r="DG344" s="83"/>
      <c r="DH344" s="83"/>
      <c r="DI344" s="83"/>
      <c r="DJ344" s="83"/>
      <c r="DK344" s="83"/>
      <c r="DL344" s="83"/>
      <c r="DM344" s="83"/>
      <c r="DN344" s="83"/>
      <c r="DO344" s="83"/>
      <c r="DP344" s="83"/>
      <c r="DQ344" s="83"/>
      <c r="DR344" s="83"/>
      <c r="DS344" s="83"/>
      <c r="DT344" s="83"/>
      <c r="DU344" s="83"/>
      <c r="DV344" s="83"/>
      <c r="DW344" s="83"/>
      <c r="DX344" s="83"/>
      <c r="DY344" s="83"/>
      <c r="DZ344" s="83"/>
      <c r="EA344" s="83"/>
      <c r="EB344" s="83"/>
      <c r="EC344" s="83"/>
      <c r="ED344" s="83"/>
      <c r="EE344" s="83"/>
      <c r="EF344" s="83"/>
      <c r="EG344" s="83"/>
      <c r="EH344" s="83"/>
      <c r="EI344" s="83"/>
      <c r="EJ344" s="83"/>
      <c r="EK344" s="83"/>
      <c r="EL344" s="83"/>
      <c r="EM344" s="83"/>
      <c r="EN344" s="83"/>
      <c r="EO344" s="83"/>
      <c r="EP344" s="83"/>
      <c r="EQ344" s="83"/>
      <c r="ER344" s="83"/>
      <c r="ES344" s="83"/>
      <c r="ET344" s="83"/>
      <c r="EU344" s="83"/>
      <c r="EV344" s="83"/>
      <c r="EW344" s="83"/>
      <c r="EX344" s="83"/>
      <c r="EY344" s="83"/>
      <c r="EZ344" s="83"/>
      <c r="FA344" s="83"/>
      <c r="FB344" s="83"/>
      <c r="FC344" s="83"/>
      <c r="FD344" s="83"/>
      <c r="FE344" s="83"/>
      <c r="FF344" s="83"/>
      <c r="FG344" s="83"/>
      <c r="FH344" s="83"/>
      <c r="FI344" s="83"/>
      <c r="FJ344" s="83"/>
      <c r="FK344" s="83"/>
      <c r="FL344" s="83"/>
      <c r="FM344" s="83"/>
      <c r="FN344" s="83"/>
      <c r="FO344" s="83"/>
      <c r="FP344" s="83"/>
      <c r="FQ344" s="83"/>
      <c r="FR344" s="83"/>
      <c r="FS344" s="83"/>
      <c r="FT344" s="83"/>
      <c r="FU344" s="83"/>
      <c r="FV344" s="83"/>
      <c r="FW344" s="83"/>
      <c r="FX344" s="83"/>
      <c r="FY344" s="83"/>
      <c r="FZ344" s="83"/>
      <c r="GA344" s="83"/>
      <c r="GB344" s="83"/>
      <c r="GC344" s="83"/>
      <c r="GD344" s="83"/>
      <c r="GE344" s="83"/>
      <c r="GF344" s="83"/>
      <c r="GG344" s="83"/>
      <c r="GH344" s="83"/>
      <c r="GI344" s="83"/>
      <c r="GJ344" s="83"/>
      <c r="GK344" s="83"/>
      <c r="GL344" s="83"/>
      <c r="GM344" s="83"/>
      <c r="GN344" s="83"/>
      <c r="GO344" s="83"/>
      <c r="GP344" s="83"/>
      <c r="GQ344" s="83"/>
      <c r="GR344" s="83"/>
      <c r="GS344" s="83"/>
      <c r="GT344" s="83"/>
      <c r="GU344" s="83"/>
      <c r="GV344" s="83"/>
      <c r="GW344" s="83"/>
      <c r="GX344" s="83"/>
      <c r="GY344" s="83"/>
      <c r="GZ344" s="83"/>
      <c r="HA344" s="83"/>
      <c r="HB344" s="83"/>
      <c r="HC344" s="83"/>
      <c r="HD344" s="83"/>
      <c r="HE344" s="83"/>
      <c r="HF344" s="83"/>
      <c r="HG344" s="83"/>
      <c r="HH344" s="83"/>
      <c r="HI344" s="83"/>
      <c r="HJ344" s="83"/>
      <c r="HK344" s="83"/>
      <c r="HL344" s="83"/>
      <c r="HM344" s="83"/>
      <c r="HN344" s="83"/>
      <c r="HO344" s="83"/>
      <c r="HP344" s="83"/>
      <c r="HQ344" s="83"/>
      <c r="HR344" s="83"/>
      <c r="HS344" s="83"/>
      <c r="HT344" s="83"/>
      <c r="HU344" s="83"/>
      <c r="HV344" s="83"/>
      <c r="HW344" s="83"/>
      <c r="HX344" s="83"/>
      <c r="HY344" s="83"/>
      <c r="HZ344" s="83"/>
      <c r="IA344" s="83"/>
      <c r="IB344" s="83"/>
      <c r="IC344" s="83"/>
      <c r="ID344" s="83"/>
      <c r="IE344" s="83"/>
      <c r="IF344" s="83"/>
      <c r="IG344" s="83"/>
    </row>
    <row r="345" spans="1:241"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c r="DD345" s="83"/>
      <c r="DE345" s="83"/>
      <c r="DF345" s="83"/>
      <c r="DG345" s="83"/>
      <c r="DH345" s="83"/>
      <c r="DI345" s="83"/>
      <c r="DJ345" s="83"/>
      <c r="DK345" s="83"/>
      <c r="DL345" s="83"/>
      <c r="DM345" s="83"/>
      <c r="DN345" s="83"/>
      <c r="DO345" s="83"/>
      <c r="DP345" s="83"/>
      <c r="DQ345" s="83"/>
      <c r="DR345" s="83"/>
      <c r="DS345" s="83"/>
      <c r="DT345" s="83"/>
      <c r="DU345" s="83"/>
      <c r="DV345" s="83"/>
      <c r="DW345" s="83"/>
      <c r="DX345" s="83"/>
      <c r="DY345" s="83"/>
      <c r="DZ345" s="83"/>
      <c r="EA345" s="83"/>
      <c r="EB345" s="83"/>
      <c r="EC345" s="83"/>
      <c r="ED345" s="83"/>
      <c r="EE345" s="83"/>
      <c r="EF345" s="83"/>
      <c r="EG345" s="83"/>
      <c r="EH345" s="83"/>
      <c r="EI345" s="83"/>
      <c r="EJ345" s="83"/>
      <c r="EK345" s="83"/>
      <c r="EL345" s="83"/>
      <c r="EM345" s="83"/>
      <c r="EN345" s="83"/>
      <c r="EO345" s="83"/>
      <c r="EP345" s="83"/>
      <c r="EQ345" s="83"/>
      <c r="ER345" s="83"/>
      <c r="ES345" s="83"/>
      <c r="ET345" s="83"/>
      <c r="EU345" s="83"/>
      <c r="EV345" s="83"/>
      <c r="EW345" s="83"/>
      <c r="EX345" s="83"/>
      <c r="EY345" s="83"/>
      <c r="EZ345" s="83"/>
      <c r="FA345" s="83"/>
      <c r="FB345" s="83"/>
      <c r="FC345" s="83"/>
      <c r="FD345" s="83"/>
      <c r="FE345" s="83"/>
      <c r="FF345" s="83"/>
      <c r="FG345" s="83"/>
      <c r="FH345" s="83"/>
      <c r="FI345" s="83"/>
      <c r="FJ345" s="83"/>
      <c r="FK345" s="83"/>
      <c r="FL345" s="83"/>
      <c r="FM345" s="83"/>
      <c r="FN345" s="83"/>
      <c r="FO345" s="83"/>
      <c r="FP345" s="83"/>
      <c r="FQ345" s="83"/>
      <c r="FR345" s="83"/>
      <c r="FS345" s="83"/>
      <c r="FT345" s="83"/>
      <c r="FU345" s="83"/>
      <c r="FV345" s="83"/>
      <c r="FW345" s="83"/>
      <c r="FX345" s="83"/>
      <c r="FY345" s="83"/>
      <c r="FZ345" s="83"/>
      <c r="GA345" s="83"/>
      <c r="GB345" s="83"/>
      <c r="GC345" s="83"/>
      <c r="GD345" s="83"/>
      <c r="GE345" s="83"/>
      <c r="GF345" s="83"/>
      <c r="GG345" s="83"/>
      <c r="GH345" s="83"/>
      <c r="GI345" s="83"/>
      <c r="GJ345" s="83"/>
      <c r="GK345" s="83"/>
      <c r="GL345" s="83"/>
      <c r="GM345" s="83"/>
      <c r="GN345" s="83"/>
      <c r="GO345" s="83"/>
      <c r="GP345" s="83"/>
      <c r="GQ345" s="83"/>
      <c r="GR345" s="83"/>
      <c r="GS345" s="83"/>
      <c r="GT345" s="83"/>
      <c r="GU345" s="83"/>
      <c r="GV345" s="83"/>
      <c r="GW345" s="83"/>
      <c r="GX345" s="83"/>
      <c r="GY345" s="83"/>
      <c r="GZ345" s="83"/>
      <c r="HA345" s="83"/>
      <c r="HB345" s="83"/>
      <c r="HC345" s="83"/>
      <c r="HD345" s="83"/>
      <c r="HE345" s="83"/>
      <c r="HF345" s="83"/>
      <c r="HG345" s="83"/>
      <c r="HH345" s="83"/>
      <c r="HI345" s="83"/>
      <c r="HJ345" s="83"/>
      <c r="HK345" s="83"/>
      <c r="HL345" s="83"/>
      <c r="HM345" s="83"/>
      <c r="HN345" s="83"/>
      <c r="HO345" s="83"/>
      <c r="HP345" s="83"/>
      <c r="HQ345" s="83"/>
      <c r="HR345" s="83"/>
      <c r="HS345" s="83"/>
      <c r="HT345" s="83"/>
      <c r="HU345" s="83"/>
      <c r="HV345" s="83"/>
      <c r="HW345" s="83"/>
      <c r="HX345" s="83"/>
      <c r="HY345" s="83"/>
      <c r="HZ345" s="83"/>
      <c r="IA345" s="83"/>
      <c r="IB345" s="83"/>
      <c r="IC345" s="83"/>
      <c r="ID345" s="83"/>
      <c r="IE345" s="83"/>
      <c r="IF345" s="83"/>
      <c r="IG345" s="83"/>
    </row>
    <row r="346" spans="1:241"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c r="DD346" s="83"/>
      <c r="DE346" s="83"/>
      <c r="DF346" s="83"/>
      <c r="DG346" s="83"/>
      <c r="DH346" s="83"/>
      <c r="DI346" s="83"/>
      <c r="DJ346" s="83"/>
      <c r="DK346" s="83"/>
      <c r="DL346" s="83"/>
      <c r="DM346" s="83"/>
      <c r="DN346" s="83"/>
      <c r="DO346" s="83"/>
      <c r="DP346" s="83"/>
      <c r="DQ346" s="83"/>
      <c r="DR346" s="83"/>
      <c r="DS346" s="83"/>
      <c r="DT346" s="83"/>
      <c r="DU346" s="83"/>
      <c r="DV346" s="83"/>
      <c r="DW346" s="83"/>
      <c r="DX346" s="83"/>
      <c r="DY346" s="83"/>
      <c r="DZ346" s="83"/>
      <c r="EA346" s="83"/>
      <c r="EB346" s="83"/>
      <c r="EC346" s="83"/>
      <c r="ED346" s="83"/>
      <c r="EE346" s="83"/>
      <c r="EF346" s="83"/>
      <c r="EG346" s="83"/>
      <c r="EH346" s="83"/>
      <c r="EI346" s="83"/>
      <c r="EJ346" s="83"/>
      <c r="EK346" s="83"/>
      <c r="EL346" s="83"/>
      <c r="EM346" s="83"/>
      <c r="EN346" s="83"/>
      <c r="EO346" s="83"/>
      <c r="EP346" s="83"/>
      <c r="EQ346" s="83"/>
      <c r="ER346" s="83"/>
      <c r="ES346" s="83"/>
      <c r="ET346" s="83"/>
      <c r="EU346" s="83"/>
      <c r="EV346" s="83"/>
      <c r="EW346" s="83"/>
      <c r="EX346" s="83"/>
      <c r="EY346" s="83"/>
      <c r="EZ346" s="83"/>
      <c r="FA346" s="83"/>
      <c r="FB346" s="83"/>
      <c r="FC346" s="83"/>
      <c r="FD346" s="83"/>
      <c r="FE346" s="83"/>
      <c r="FF346" s="83"/>
      <c r="FG346" s="83"/>
      <c r="FH346" s="83"/>
      <c r="FI346" s="83"/>
      <c r="FJ346" s="83"/>
      <c r="FK346" s="83"/>
      <c r="FL346" s="83"/>
      <c r="FM346" s="83"/>
      <c r="FN346" s="83"/>
      <c r="FO346" s="83"/>
      <c r="FP346" s="83"/>
      <c r="FQ346" s="83"/>
      <c r="FR346" s="83"/>
      <c r="FS346" s="83"/>
      <c r="FT346" s="83"/>
      <c r="FU346" s="83"/>
      <c r="FV346" s="83"/>
      <c r="FW346" s="83"/>
      <c r="FX346" s="83"/>
      <c r="FY346" s="83"/>
      <c r="FZ346" s="83"/>
      <c r="GA346" s="83"/>
      <c r="GB346" s="83"/>
      <c r="GC346" s="83"/>
      <c r="GD346" s="83"/>
      <c r="GE346" s="83"/>
      <c r="GF346" s="83"/>
      <c r="GG346" s="83"/>
      <c r="GH346" s="83"/>
      <c r="GI346" s="83"/>
      <c r="GJ346" s="83"/>
      <c r="GK346" s="83"/>
      <c r="GL346" s="83"/>
      <c r="GM346" s="83"/>
      <c r="GN346" s="83"/>
      <c r="GO346" s="83"/>
      <c r="GP346" s="83"/>
      <c r="GQ346" s="83"/>
      <c r="GR346" s="83"/>
      <c r="GS346" s="83"/>
      <c r="GT346" s="83"/>
      <c r="GU346" s="83"/>
      <c r="GV346" s="83"/>
      <c r="GW346" s="83"/>
      <c r="GX346" s="83"/>
      <c r="GY346" s="83"/>
      <c r="GZ346" s="83"/>
      <c r="HA346" s="83"/>
      <c r="HB346" s="83"/>
      <c r="HC346" s="83"/>
      <c r="HD346" s="83"/>
      <c r="HE346" s="83"/>
      <c r="HF346" s="83"/>
      <c r="HG346" s="83"/>
      <c r="HH346" s="83"/>
      <c r="HI346" s="83"/>
      <c r="HJ346" s="83"/>
      <c r="HK346" s="83"/>
      <c r="HL346" s="83"/>
      <c r="HM346" s="83"/>
      <c r="HN346" s="83"/>
      <c r="HO346" s="83"/>
      <c r="HP346" s="83"/>
      <c r="HQ346" s="83"/>
      <c r="HR346" s="83"/>
      <c r="HS346" s="83"/>
      <c r="HT346" s="83"/>
      <c r="HU346" s="83"/>
      <c r="HV346" s="83"/>
      <c r="HW346" s="83"/>
      <c r="HX346" s="83"/>
      <c r="HY346" s="83"/>
      <c r="HZ346" s="83"/>
      <c r="IA346" s="83"/>
      <c r="IB346" s="83"/>
      <c r="IC346" s="83"/>
      <c r="ID346" s="83"/>
      <c r="IE346" s="83"/>
      <c r="IF346" s="83"/>
      <c r="IG346" s="83"/>
    </row>
    <row r="347" spans="1:241"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c r="DD347" s="83"/>
      <c r="DE347" s="83"/>
      <c r="DF347" s="83"/>
      <c r="DG347" s="83"/>
      <c r="DH347" s="83"/>
      <c r="DI347" s="83"/>
      <c r="DJ347" s="83"/>
      <c r="DK347" s="83"/>
      <c r="DL347" s="83"/>
      <c r="DM347" s="83"/>
      <c r="DN347" s="83"/>
      <c r="DO347" s="83"/>
      <c r="DP347" s="83"/>
      <c r="DQ347" s="83"/>
      <c r="DR347" s="83"/>
      <c r="DS347" s="83"/>
      <c r="DT347" s="83"/>
      <c r="DU347" s="83"/>
      <c r="DV347" s="83"/>
      <c r="DW347" s="83"/>
      <c r="DX347" s="83"/>
      <c r="DY347" s="83"/>
      <c r="DZ347" s="83"/>
      <c r="EA347" s="83"/>
      <c r="EB347" s="83"/>
      <c r="EC347" s="83"/>
      <c r="ED347" s="83"/>
      <c r="EE347" s="83"/>
      <c r="EF347" s="83"/>
      <c r="EG347" s="83"/>
      <c r="EH347" s="83"/>
      <c r="EI347" s="83"/>
      <c r="EJ347" s="83"/>
      <c r="EK347" s="83"/>
      <c r="EL347" s="83"/>
      <c r="EM347" s="83"/>
      <c r="EN347" s="83"/>
      <c r="EO347" s="83"/>
      <c r="EP347" s="83"/>
      <c r="EQ347" s="83"/>
      <c r="ER347" s="83"/>
      <c r="ES347" s="83"/>
      <c r="ET347" s="83"/>
      <c r="EU347" s="83"/>
      <c r="EV347" s="83"/>
      <c r="EW347" s="83"/>
      <c r="EX347" s="83"/>
      <c r="EY347" s="83"/>
      <c r="EZ347" s="83"/>
      <c r="FA347" s="83"/>
      <c r="FB347" s="83"/>
      <c r="FC347" s="83"/>
      <c r="FD347" s="83"/>
      <c r="FE347" s="83"/>
      <c r="FF347" s="83"/>
      <c r="FG347" s="83"/>
      <c r="FH347" s="83"/>
      <c r="FI347" s="83"/>
      <c r="FJ347" s="83"/>
      <c r="FK347" s="83"/>
      <c r="FL347" s="83"/>
      <c r="FM347" s="83"/>
      <c r="FN347" s="83"/>
      <c r="FO347" s="83"/>
      <c r="FP347" s="83"/>
      <c r="FQ347" s="83"/>
      <c r="FR347" s="83"/>
      <c r="FS347" s="83"/>
      <c r="FT347" s="83"/>
      <c r="FU347" s="83"/>
      <c r="FV347" s="83"/>
      <c r="FW347" s="83"/>
      <c r="FX347" s="83"/>
      <c r="FY347" s="83"/>
      <c r="FZ347" s="83"/>
      <c r="GA347" s="83"/>
      <c r="GB347" s="83"/>
      <c r="GC347" s="83"/>
      <c r="GD347" s="83"/>
      <c r="GE347" s="83"/>
      <c r="GF347" s="83"/>
      <c r="GG347" s="83"/>
      <c r="GH347" s="83"/>
      <c r="GI347" s="83"/>
      <c r="GJ347" s="83"/>
      <c r="GK347" s="83"/>
      <c r="GL347" s="83"/>
      <c r="GM347" s="83"/>
      <c r="GN347" s="83"/>
      <c r="GO347" s="83"/>
      <c r="GP347" s="83"/>
      <c r="GQ347" s="83"/>
      <c r="GR347" s="83"/>
      <c r="GS347" s="83"/>
      <c r="GT347" s="83"/>
      <c r="GU347" s="83"/>
      <c r="GV347" s="83"/>
      <c r="GW347" s="83"/>
      <c r="GX347" s="83"/>
      <c r="GY347" s="83"/>
      <c r="GZ347" s="83"/>
      <c r="HA347" s="83"/>
      <c r="HB347" s="83"/>
      <c r="HC347" s="83"/>
      <c r="HD347" s="83"/>
      <c r="HE347" s="83"/>
      <c r="HF347" s="83"/>
      <c r="HG347" s="83"/>
      <c r="HH347" s="83"/>
      <c r="HI347" s="83"/>
      <c r="HJ347" s="83"/>
      <c r="HK347" s="83"/>
      <c r="HL347" s="83"/>
      <c r="HM347" s="83"/>
      <c r="HN347" s="83"/>
      <c r="HO347" s="83"/>
      <c r="HP347" s="83"/>
      <c r="HQ347" s="83"/>
      <c r="HR347" s="83"/>
      <c r="HS347" s="83"/>
      <c r="HT347" s="83"/>
      <c r="HU347" s="83"/>
      <c r="HV347" s="83"/>
      <c r="HW347" s="83"/>
      <c r="HX347" s="83"/>
      <c r="HY347" s="83"/>
      <c r="HZ347" s="83"/>
      <c r="IA347" s="83"/>
      <c r="IB347" s="83"/>
      <c r="IC347" s="83"/>
      <c r="ID347" s="83"/>
      <c r="IE347" s="83"/>
      <c r="IF347" s="83"/>
      <c r="IG347" s="83"/>
    </row>
    <row r="348" spans="1:241"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c r="DD348" s="83"/>
      <c r="DE348" s="83"/>
      <c r="DF348" s="83"/>
      <c r="DG348" s="83"/>
      <c r="DH348" s="83"/>
      <c r="DI348" s="83"/>
      <c r="DJ348" s="83"/>
      <c r="DK348" s="83"/>
      <c r="DL348" s="83"/>
      <c r="DM348" s="83"/>
      <c r="DN348" s="83"/>
      <c r="DO348" s="83"/>
      <c r="DP348" s="83"/>
      <c r="DQ348" s="83"/>
      <c r="DR348" s="83"/>
      <c r="DS348" s="83"/>
      <c r="DT348" s="83"/>
      <c r="DU348" s="83"/>
      <c r="DV348" s="83"/>
      <c r="DW348" s="83"/>
      <c r="DX348" s="83"/>
      <c r="DY348" s="83"/>
      <c r="DZ348" s="83"/>
      <c r="EA348" s="83"/>
      <c r="EB348" s="83"/>
      <c r="EC348" s="83"/>
      <c r="ED348" s="83"/>
      <c r="EE348" s="83"/>
      <c r="EF348" s="83"/>
      <c r="EG348" s="83"/>
      <c r="EH348" s="83"/>
      <c r="EI348" s="83"/>
      <c r="EJ348" s="83"/>
      <c r="EK348" s="83"/>
      <c r="EL348" s="83"/>
      <c r="EM348" s="83"/>
      <c r="EN348" s="83"/>
      <c r="EO348" s="83"/>
      <c r="EP348" s="83"/>
      <c r="EQ348" s="83"/>
      <c r="ER348" s="83"/>
      <c r="ES348" s="83"/>
      <c r="ET348" s="83"/>
      <c r="EU348" s="83"/>
      <c r="EV348" s="83"/>
      <c r="EW348" s="83"/>
      <c r="EX348" s="83"/>
      <c r="EY348" s="83"/>
      <c r="EZ348" s="83"/>
      <c r="FA348" s="83"/>
      <c r="FB348" s="83"/>
      <c r="FC348" s="83"/>
      <c r="FD348" s="83"/>
      <c r="FE348" s="83"/>
      <c r="FF348" s="83"/>
      <c r="FG348" s="83"/>
      <c r="FH348" s="83"/>
      <c r="FI348" s="83"/>
      <c r="FJ348" s="83"/>
      <c r="FK348" s="83"/>
      <c r="FL348" s="83"/>
      <c r="FM348" s="83"/>
      <c r="FN348" s="83"/>
      <c r="FO348" s="83"/>
      <c r="FP348" s="83"/>
      <c r="FQ348" s="83"/>
      <c r="FR348" s="83"/>
      <c r="FS348" s="83"/>
      <c r="FT348" s="83"/>
      <c r="FU348" s="83"/>
      <c r="FV348" s="83"/>
      <c r="FW348" s="83"/>
      <c r="FX348" s="83"/>
      <c r="FY348" s="83"/>
      <c r="FZ348" s="83"/>
      <c r="GA348" s="83"/>
      <c r="GB348" s="83"/>
      <c r="GC348" s="83"/>
      <c r="GD348" s="83"/>
      <c r="GE348" s="83"/>
      <c r="GF348" s="83"/>
      <c r="GG348" s="83"/>
      <c r="GH348" s="83"/>
      <c r="GI348" s="83"/>
      <c r="GJ348" s="83"/>
      <c r="GK348" s="83"/>
      <c r="GL348" s="83"/>
      <c r="GM348" s="83"/>
      <c r="GN348" s="83"/>
      <c r="GO348" s="83"/>
      <c r="GP348" s="83"/>
      <c r="GQ348" s="83"/>
      <c r="GR348" s="83"/>
      <c r="GS348" s="83"/>
      <c r="GT348" s="83"/>
      <c r="GU348" s="83"/>
      <c r="GV348" s="83"/>
      <c r="GW348" s="83"/>
      <c r="GX348" s="83"/>
      <c r="GY348" s="83"/>
      <c r="GZ348" s="83"/>
      <c r="HA348" s="83"/>
      <c r="HB348" s="83"/>
      <c r="HC348" s="83"/>
      <c r="HD348" s="83"/>
      <c r="HE348" s="83"/>
      <c r="HF348" s="83"/>
      <c r="HG348" s="83"/>
      <c r="HH348" s="83"/>
      <c r="HI348" s="83"/>
      <c r="HJ348" s="83"/>
      <c r="HK348" s="83"/>
      <c r="HL348" s="83"/>
      <c r="HM348" s="83"/>
      <c r="HN348" s="83"/>
      <c r="HO348" s="83"/>
      <c r="HP348" s="83"/>
      <c r="HQ348" s="83"/>
      <c r="HR348" s="83"/>
      <c r="HS348" s="83"/>
      <c r="HT348" s="83"/>
      <c r="HU348" s="83"/>
      <c r="HV348" s="83"/>
      <c r="HW348" s="83"/>
      <c r="HX348" s="83"/>
      <c r="HY348" s="83"/>
      <c r="HZ348" s="83"/>
      <c r="IA348" s="83"/>
      <c r="IB348" s="83"/>
      <c r="IC348" s="83"/>
      <c r="ID348" s="83"/>
      <c r="IE348" s="83"/>
      <c r="IF348" s="83"/>
      <c r="IG348" s="83"/>
    </row>
    <row r="349" spans="1:241"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c r="DD349" s="83"/>
      <c r="DE349" s="83"/>
      <c r="DF349" s="83"/>
      <c r="DG349" s="83"/>
      <c r="DH349" s="83"/>
      <c r="DI349" s="83"/>
      <c r="DJ349" s="83"/>
      <c r="DK349" s="83"/>
      <c r="DL349" s="83"/>
      <c r="DM349" s="83"/>
      <c r="DN349" s="83"/>
      <c r="DO349" s="83"/>
      <c r="DP349" s="83"/>
      <c r="DQ349" s="83"/>
      <c r="DR349" s="83"/>
      <c r="DS349" s="83"/>
      <c r="DT349" s="83"/>
      <c r="DU349" s="83"/>
      <c r="DV349" s="83"/>
      <c r="DW349" s="83"/>
      <c r="DX349" s="83"/>
      <c r="DY349" s="83"/>
      <c r="DZ349" s="83"/>
      <c r="EA349" s="83"/>
      <c r="EB349" s="83"/>
      <c r="EC349" s="83"/>
      <c r="ED349" s="83"/>
      <c r="EE349" s="83"/>
      <c r="EF349" s="83"/>
      <c r="EG349" s="83"/>
      <c r="EH349" s="83"/>
      <c r="EI349" s="83"/>
      <c r="EJ349" s="83"/>
      <c r="EK349" s="83"/>
      <c r="EL349" s="83"/>
      <c r="EM349" s="83"/>
      <c r="EN349" s="83"/>
      <c r="EO349" s="83"/>
      <c r="EP349" s="83"/>
      <c r="EQ349" s="83"/>
      <c r="ER349" s="83"/>
      <c r="ES349" s="83"/>
      <c r="ET349" s="83"/>
      <c r="EU349" s="83"/>
      <c r="EV349" s="83"/>
      <c r="EW349" s="83"/>
      <c r="EX349" s="83"/>
      <c r="EY349" s="83"/>
      <c r="EZ349" s="83"/>
      <c r="FA349" s="83"/>
      <c r="FB349" s="83"/>
      <c r="FC349" s="83"/>
      <c r="FD349" s="83"/>
      <c r="FE349" s="83"/>
      <c r="FF349" s="83"/>
      <c r="FG349" s="83"/>
      <c r="FH349" s="83"/>
      <c r="FI349" s="83"/>
      <c r="FJ349" s="83"/>
      <c r="FK349" s="83"/>
      <c r="FL349" s="83"/>
      <c r="FM349" s="83"/>
      <c r="FN349" s="83"/>
      <c r="FO349" s="83"/>
      <c r="FP349" s="83"/>
      <c r="FQ349" s="83"/>
      <c r="FR349" s="83"/>
      <c r="FS349" s="83"/>
      <c r="FT349" s="83"/>
      <c r="FU349" s="83"/>
      <c r="FV349" s="83"/>
      <c r="FW349" s="83"/>
      <c r="FX349" s="83"/>
      <c r="FY349" s="83"/>
      <c r="FZ349" s="83"/>
      <c r="GA349" s="83"/>
      <c r="GB349" s="83"/>
      <c r="GC349" s="83"/>
      <c r="GD349" s="83"/>
      <c r="GE349" s="83"/>
      <c r="GF349" s="83"/>
      <c r="GG349" s="83"/>
      <c r="GH349" s="83"/>
      <c r="GI349" s="83"/>
      <c r="GJ349" s="83"/>
      <c r="GK349" s="83"/>
      <c r="GL349" s="83"/>
      <c r="GM349" s="83"/>
      <c r="GN349" s="83"/>
      <c r="GO349" s="83"/>
      <c r="GP349" s="83"/>
      <c r="GQ349" s="83"/>
      <c r="GR349" s="83"/>
      <c r="GS349" s="83"/>
      <c r="GT349" s="83"/>
      <c r="GU349" s="83"/>
      <c r="GV349" s="83"/>
      <c r="GW349" s="83"/>
      <c r="GX349" s="83"/>
      <c r="GY349" s="83"/>
      <c r="GZ349" s="83"/>
      <c r="HA349" s="83"/>
      <c r="HB349" s="83"/>
      <c r="HC349" s="83"/>
      <c r="HD349" s="83"/>
      <c r="HE349" s="83"/>
      <c r="HF349" s="83"/>
      <c r="HG349" s="83"/>
      <c r="HH349" s="83"/>
      <c r="HI349" s="83"/>
      <c r="HJ349" s="83"/>
      <c r="HK349" s="83"/>
      <c r="HL349" s="83"/>
      <c r="HM349" s="83"/>
      <c r="HN349" s="83"/>
      <c r="HO349" s="83"/>
      <c r="HP349" s="83"/>
      <c r="HQ349" s="83"/>
      <c r="HR349" s="83"/>
      <c r="HS349" s="83"/>
      <c r="HT349" s="83"/>
      <c r="HU349" s="83"/>
      <c r="HV349" s="83"/>
      <c r="HW349" s="83"/>
      <c r="HX349" s="83"/>
      <c r="HY349" s="83"/>
      <c r="HZ349" s="83"/>
      <c r="IA349" s="83"/>
      <c r="IB349" s="83"/>
      <c r="IC349" s="83"/>
      <c r="ID349" s="83"/>
      <c r="IE349" s="83"/>
      <c r="IF349" s="83"/>
      <c r="IG349" s="83"/>
    </row>
    <row r="350" spans="1:241"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c r="DD350" s="83"/>
      <c r="DE350" s="83"/>
      <c r="DF350" s="83"/>
      <c r="DG350" s="83"/>
      <c r="DH350" s="83"/>
      <c r="DI350" s="83"/>
      <c r="DJ350" s="83"/>
      <c r="DK350" s="83"/>
      <c r="DL350" s="83"/>
      <c r="DM350" s="83"/>
      <c r="DN350" s="83"/>
      <c r="DO350" s="83"/>
      <c r="DP350" s="83"/>
      <c r="DQ350" s="83"/>
      <c r="DR350" s="83"/>
      <c r="DS350" s="83"/>
      <c r="DT350" s="83"/>
      <c r="DU350" s="83"/>
      <c r="DV350" s="83"/>
      <c r="DW350" s="83"/>
      <c r="DX350" s="83"/>
      <c r="DY350" s="83"/>
      <c r="DZ350" s="83"/>
      <c r="EA350" s="83"/>
      <c r="EB350" s="83"/>
      <c r="EC350" s="83"/>
      <c r="ED350" s="83"/>
      <c r="EE350" s="83"/>
      <c r="EF350" s="83"/>
      <c r="EG350" s="83"/>
      <c r="EH350" s="83"/>
      <c r="EI350" s="83"/>
      <c r="EJ350" s="83"/>
      <c r="EK350" s="83"/>
      <c r="EL350" s="83"/>
      <c r="EM350" s="83"/>
      <c r="EN350" s="83"/>
      <c r="EO350" s="83"/>
      <c r="EP350" s="83"/>
      <c r="EQ350" s="83"/>
      <c r="ER350" s="83"/>
      <c r="ES350" s="83"/>
      <c r="ET350" s="83"/>
      <c r="EU350" s="83"/>
      <c r="EV350" s="83"/>
      <c r="EW350" s="83"/>
      <c r="EX350" s="83"/>
      <c r="EY350" s="83"/>
      <c r="EZ350" s="83"/>
      <c r="FA350" s="83"/>
      <c r="FB350" s="83"/>
      <c r="FC350" s="83"/>
      <c r="FD350" s="83"/>
      <c r="FE350" s="83"/>
      <c r="FF350" s="83"/>
      <c r="FG350" s="83"/>
      <c r="FH350" s="83"/>
      <c r="FI350" s="83"/>
      <c r="FJ350" s="83"/>
      <c r="FK350" s="83"/>
      <c r="FL350" s="83"/>
      <c r="FM350" s="83"/>
      <c r="FN350" s="83"/>
      <c r="FO350" s="83"/>
      <c r="FP350" s="83"/>
      <c r="FQ350" s="83"/>
      <c r="FR350" s="83"/>
      <c r="FS350" s="83"/>
      <c r="FT350" s="83"/>
      <c r="FU350" s="83"/>
      <c r="FV350" s="83"/>
      <c r="FW350" s="83"/>
      <c r="FX350" s="83"/>
      <c r="FY350" s="83"/>
      <c r="FZ350" s="83"/>
      <c r="GA350" s="83"/>
      <c r="GB350" s="83"/>
      <c r="GC350" s="83"/>
      <c r="GD350" s="83"/>
      <c r="GE350" s="83"/>
      <c r="GF350" s="83"/>
      <c r="GG350" s="83"/>
      <c r="GH350" s="83"/>
      <c r="GI350" s="83"/>
      <c r="GJ350" s="83"/>
      <c r="GK350" s="83"/>
      <c r="GL350" s="83"/>
      <c r="GM350" s="83"/>
      <c r="GN350" s="83"/>
      <c r="GO350" s="83"/>
      <c r="GP350" s="83"/>
      <c r="GQ350" s="83"/>
      <c r="GR350" s="83"/>
      <c r="GS350" s="83"/>
      <c r="GT350" s="83"/>
      <c r="GU350" s="83"/>
      <c r="GV350" s="83"/>
      <c r="GW350" s="83"/>
      <c r="GX350" s="83"/>
      <c r="GY350" s="83"/>
      <c r="GZ350" s="83"/>
      <c r="HA350" s="83"/>
      <c r="HB350" s="83"/>
      <c r="HC350" s="83"/>
      <c r="HD350" s="83"/>
      <c r="HE350" s="83"/>
      <c r="HF350" s="83"/>
      <c r="HG350" s="83"/>
      <c r="HH350" s="83"/>
      <c r="HI350" s="83"/>
      <c r="HJ350" s="83"/>
      <c r="HK350" s="83"/>
      <c r="HL350" s="83"/>
      <c r="HM350" s="83"/>
      <c r="HN350" s="83"/>
      <c r="HO350" s="83"/>
      <c r="HP350" s="83"/>
      <c r="HQ350" s="83"/>
      <c r="HR350" s="83"/>
      <c r="HS350" s="83"/>
      <c r="HT350" s="83"/>
      <c r="HU350" s="83"/>
      <c r="HV350" s="83"/>
      <c r="HW350" s="83"/>
      <c r="HX350" s="83"/>
      <c r="HY350" s="83"/>
      <c r="HZ350" s="83"/>
      <c r="IA350" s="83"/>
      <c r="IB350" s="83"/>
      <c r="IC350" s="83"/>
      <c r="ID350" s="83"/>
      <c r="IE350" s="83"/>
      <c r="IF350" s="83"/>
      <c r="IG350" s="83"/>
    </row>
    <row r="351" spans="1:241"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c r="DD351" s="83"/>
      <c r="DE351" s="83"/>
      <c r="DF351" s="83"/>
      <c r="DG351" s="83"/>
      <c r="DH351" s="83"/>
      <c r="DI351" s="83"/>
      <c r="DJ351" s="83"/>
      <c r="DK351" s="83"/>
      <c r="DL351" s="83"/>
      <c r="DM351" s="83"/>
      <c r="DN351" s="83"/>
      <c r="DO351" s="83"/>
      <c r="DP351" s="83"/>
      <c r="DQ351" s="83"/>
      <c r="DR351" s="83"/>
      <c r="DS351" s="83"/>
      <c r="DT351" s="83"/>
      <c r="DU351" s="83"/>
      <c r="DV351" s="83"/>
      <c r="DW351" s="83"/>
      <c r="DX351" s="83"/>
      <c r="DY351" s="83"/>
      <c r="DZ351" s="83"/>
      <c r="EA351" s="83"/>
      <c r="EB351" s="83"/>
      <c r="EC351" s="83"/>
      <c r="ED351" s="83"/>
      <c r="EE351" s="83"/>
      <c r="EF351" s="83"/>
      <c r="EG351" s="83"/>
      <c r="EH351" s="83"/>
      <c r="EI351" s="83"/>
      <c r="EJ351" s="83"/>
      <c r="EK351" s="83"/>
      <c r="EL351" s="83"/>
      <c r="EM351" s="83"/>
      <c r="EN351" s="83"/>
      <c r="EO351" s="83"/>
      <c r="EP351" s="83"/>
      <c r="EQ351" s="83"/>
      <c r="ER351" s="83"/>
      <c r="ES351" s="83"/>
      <c r="ET351" s="83"/>
      <c r="EU351" s="83"/>
      <c r="EV351" s="83"/>
      <c r="EW351" s="83"/>
      <c r="EX351" s="83"/>
      <c r="EY351" s="83"/>
      <c r="EZ351" s="83"/>
      <c r="FA351" s="83"/>
      <c r="FB351" s="83"/>
      <c r="FC351" s="83"/>
      <c r="FD351" s="83"/>
      <c r="FE351" s="83"/>
      <c r="FF351" s="83"/>
      <c r="FG351" s="83"/>
      <c r="FH351" s="83"/>
      <c r="FI351" s="83"/>
      <c r="FJ351" s="83"/>
      <c r="FK351" s="83"/>
      <c r="FL351" s="83"/>
      <c r="FM351" s="83"/>
      <c r="FN351" s="83"/>
      <c r="FO351" s="83"/>
      <c r="FP351" s="83"/>
      <c r="FQ351" s="83"/>
      <c r="FR351" s="83"/>
      <c r="FS351" s="83"/>
      <c r="FT351" s="83"/>
      <c r="FU351" s="83"/>
      <c r="FV351" s="83"/>
      <c r="FW351" s="83"/>
      <c r="FX351" s="83"/>
      <c r="FY351" s="83"/>
      <c r="FZ351" s="83"/>
      <c r="GA351" s="83"/>
      <c r="GB351" s="83"/>
      <c r="GC351" s="83"/>
      <c r="GD351" s="83"/>
      <c r="GE351" s="83"/>
      <c r="GF351" s="83"/>
      <c r="GG351" s="83"/>
      <c r="GH351" s="83"/>
      <c r="GI351" s="83"/>
      <c r="GJ351" s="83"/>
      <c r="GK351" s="83"/>
      <c r="GL351" s="83"/>
      <c r="GM351" s="83"/>
      <c r="GN351" s="83"/>
      <c r="GO351" s="83"/>
      <c r="GP351" s="83"/>
      <c r="GQ351" s="83"/>
      <c r="GR351" s="83"/>
      <c r="GS351" s="83"/>
      <c r="GT351" s="83"/>
      <c r="GU351" s="83"/>
      <c r="GV351" s="83"/>
      <c r="GW351" s="83"/>
      <c r="GX351" s="83"/>
      <c r="GY351" s="83"/>
      <c r="GZ351" s="83"/>
      <c r="HA351" s="83"/>
      <c r="HB351" s="83"/>
      <c r="HC351" s="83"/>
      <c r="HD351" s="83"/>
      <c r="HE351" s="83"/>
      <c r="HF351" s="83"/>
      <c r="HG351" s="83"/>
      <c r="HH351" s="83"/>
      <c r="HI351" s="83"/>
      <c r="HJ351" s="83"/>
      <c r="HK351" s="83"/>
      <c r="HL351" s="83"/>
      <c r="HM351" s="83"/>
      <c r="HN351" s="83"/>
      <c r="HO351" s="83"/>
      <c r="HP351" s="83"/>
      <c r="HQ351" s="83"/>
      <c r="HR351" s="83"/>
      <c r="HS351" s="83"/>
      <c r="HT351" s="83"/>
      <c r="HU351" s="83"/>
      <c r="HV351" s="83"/>
      <c r="HW351" s="83"/>
      <c r="HX351" s="83"/>
      <c r="HY351" s="83"/>
      <c r="HZ351" s="83"/>
      <c r="IA351" s="83"/>
      <c r="IB351" s="83"/>
      <c r="IC351" s="83"/>
      <c r="ID351" s="83"/>
      <c r="IE351" s="83"/>
      <c r="IF351" s="83"/>
      <c r="IG351" s="83"/>
    </row>
    <row r="352" spans="1:241"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c r="DD352" s="83"/>
      <c r="DE352" s="83"/>
      <c r="DF352" s="83"/>
      <c r="DG352" s="83"/>
      <c r="DH352" s="83"/>
      <c r="DI352" s="83"/>
      <c r="DJ352" s="83"/>
      <c r="DK352" s="83"/>
      <c r="DL352" s="83"/>
      <c r="DM352" s="83"/>
      <c r="DN352" s="83"/>
      <c r="DO352" s="83"/>
      <c r="DP352" s="83"/>
      <c r="DQ352" s="83"/>
      <c r="DR352" s="83"/>
      <c r="DS352" s="83"/>
      <c r="DT352" s="83"/>
      <c r="DU352" s="83"/>
      <c r="DV352" s="83"/>
      <c r="DW352" s="83"/>
      <c r="DX352" s="83"/>
      <c r="DY352" s="83"/>
      <c r="DZ352" s="83"/>
      <c r="EA352" s="83"/>
      <c r="EB352" s="83"/>
      <c r="EC352" s="83"/>
      <c r="ED352" s="83"/>
      <c r="EE352" s="83"/>
      <c r="EF352" s="83"/>
      <c r="EG352" s="83"/>
      <c r="EH352" s="83"/>
      <c r="EI352" s="83"/>
      <c r="EJ352" s="83"/>
      <c r="EK352" s="83"/>
      <c r="EL352" s="83"/>
      <c r="EM352" s="83"/>
      <c r="EN352" s="83"/>
      <c r="EO352" s="83"/>
      <c r="EP352" s="83"/>
      <c r="EQ352" s="83"/>
      <c r="ER352" s="83"/>
      <c r="ES352" s="83"/>
      <c r="ET352" s="83"/>
      <c r="EU352" s="83"/>
      <c r="EV352" s="83"/>
      <c r="EW352" s="83"/>
      <c r="EX352" s="83"/>
      <c r="EY352" s="83"/>
      <c r="EZ352" s="83"/>
      <c r="FA352" s="83"/>
      <c r="FB352" s="83"/>
      <c r="FC352" s="83"/>
      <c r="FD352" s="83"/>
      <c r="FE352" s="83"/>
      <c r="FF352" s="83"/>
      <c r="FG352" s="83"/>
      <c r="FH352" s="83"/>
      <c r="FI352" s="83"/>
      <c r="FJ352" s="83"/>
      <c r="FK352" s="83"/>
      <c r="FL352" s="83"/>
      <c r="FM352" s="83"/>
      <c r="FN352" s="83"/>
      <c r="FO352" s="83"/>
      <c r="FP352" s="83"/>
      <c r="FQ352" s="83"/>
      <c r="FR352" s="83"/>
      <c r="FS352" s="83"/>
      <c r="FT352" s="83"/>
      <c r="FU352" s="83"/>
      <c r="FV352" s="83"/>
      <c r="FW352" s="83"/>
      <c r="FX352" s="83"/>
      <c r="FY352" s="83"/>
      <c r="FZ352" s="83"/>
      <c r="GA352" s="83"/>
      <c r="GB352" s="83"/>
      <c r="GC352" s="83"/>
      <c r="GD352" s="83"/>
      <c r="GE352" s="83"/>
      <c r="GF352" s="83"/>
      <c r="GG352" s="83"/>
      <c r="GH352" s="83"/>
      <c r="GI352" s="83"/>
      <c r="GJ352" s="83"/>
      <c r="GK352" s="83"/>
      <c r="GL352" s="83"/>
      <c r="GM352" s="83"/>
      <c r="GN352" s="83"/>
      <c r="GO352" s="83"/>
      <c r="GP352" s="83"/>
      <c r="GQ352" s="83"/>
      <c r="GR352" s="83"/>
      <c r="GS352" s="83"/>
      <c r="GT352" s="83"/>
      <c r="GU352" s="83"/>
      <c r="GV352" s="83"/>
      <c r="GW352" s="83"/>
      <c r="GX352" s="83"/>
      <c r="GY352" s="83"/>
      <c r="GZ352" s="83"/>
      <c r="HA352" s="83"/>
      <c r="HB352" s="83"/>
      <c r="HC352" s="83"/>
      <c r="HD352" s="83"/>
      <c r="HE352" s="83"/>
      <c r="HF352" s="83"/>
      <c r="HG352" s="83"/>
      <c r="HH352" s="83"/>
      <c r="HI352" s="83"/>
      <c r="HJ352" s="83"/>
      <c r="HK352" s="83"/>
      <c r="HL352" s="83"/>
      <c r="HM352" s="83"/>
      <c r="HN352" s="83"/>
      <c r="HO352" s="83"/>
      <c r="HP352" s="83"/>
      <c r="HQ352" s="83"/>
      <c r="HR352" s="83"/>
      <c r="HS352" s="83"/>
      <c r="HT352" s="83"/>
      <c r="HU352" s="83"/>
      <c r="HV352" s="83"/>
      <c r="HW352" s="83"/>
      <c r="HX352" s="83"/>
      <c r="HY352" s="83"/>
      <c r="HZ352" s="83"/>
      <c r="IA352" s="83"/>
      <c r="IB352" s="83"/>
      <c r="IC352" s="83"/>
      <c r="ID352" s="83"/>
      <c r="IE352" s="83"/>
      <c r="IF352" s="83"/>
      <c r="IG352" s="83"/>
    </row>
    <row r="353" spans="1:241"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c r="DD353" s="83"/>
      <c r="DE353" s="83"/>
      <c r="DF353" s="83"/>
      <c r="DG353" s="83"/>
      <c r="DH353" s="83"/>
      <c r="DI353" s="83"/>
      <c r="DJ353" s="83"/>
      <c r="DK353" s="83"/>
      <c r="DL353" s="83"/>
      <c r="DM353" s="83"/>
      <c r="DN353" s="83"/>
      <c r="DO353" s="83"/>
      <c r="DP353" s="83"/>
      <c r="DQ353" s="83"/>
      <c r="DR353" s="83"/>
      <c r="DS353" s="83"/>
      <c r="DT353" s="83"/>
      <c r="DU353" s="83"/>
      <c r="DV353" s="83"/>
      <c r="DW353" s="83"/>
      <c r="DX353" s="83"/>
      <c r="DY353" s="83"/>
      <c r="DZ353" s="83"/>
      <c r="EA353" s="83"/>
      <c r="EB353" s="83"/>
      <c r="EC353" s="83"/>
      <c r="ED353" s="83"/>
      <c r="EE353" s="83"/>
      <c r="EF353" s="83"/>
      <c r="EG353" s="83"/>
      <c r="EH353" s="83"/>
      <c r="EI353" s="83"/>
      <c r="EJ353" s="83"/>
      <c r="EK353" s="83"/>
      <c r="EL353" s="83"/>
      <c r="EM353" s="83"/>
      <c r="EN353" s="83"/>
      <c r="EO353" s="83"/>
      <c r="EP353" s="83"/>
      <c r="EQ353" s="83"/>
      <c r="ER353" s="83"/>
      <c r="ES353" s="83"/>
      <c r="ET353" s="83"/>
      <c r="EU353" s="83"/>
      <c r="EV353" s="83"/>
      <c r="EW353" s="83"/>
      <c r="EX353" s="83"/>
      <c r="EY353" s="83"/>
      <c r="EZ353" s="83"/>
      <c r="FA353" s="83"/>
      <c r="FB353" s="83"/>
      <c r="FC353" s="83"/>
      <c r="FD353" s="83"/>
      <c r="FE353" s="83"/>
      <c r="FF353" s="83"/>
      <c r="FG353" s="83"/>
      <c r="FH353" s="83"/>
      <c r="FI353" s="83"/>
      <c r="FJ353" s="83"/>
      <c r="FK353" s="83"/>
      <c r="FL353" s="83"/>
      <c r="FM353" s="83"/>
      <c r="FN353" s="83"/>
      <c r="FO353" s="83"/>
      <c r="FP353" s="83"/>
      <c r="FQ353" s="83"/>
      <c r="FR353" s="83"/>
      <c r="FS353" s="83"/>
      <c r="FT353" s="83"/>
      <c r="FU353" s="83"/>
      <c r="FV353" s="83"/>
      <c r="FW353" s="83"/>
      <c r="FX353" s="83"/>
      <c r="FY353" s="83"/>
      <c r="FZ353" s="83"/>
      <c r="GA353" s="83"/>
      <c r="GB353" s="83"/>
      <c r="GC353" s="83"/>
      <c r="GD353" s="83"/>
      <c r="GE353" s="83"/>
      <c r="GF353" s="83"/>
      <c r="GG353" s="83"/>
      <c r="GH353" s="83"/>
      <c r="GI353" s="83"/>
      <c r="GJ353" s="83"/>
      <c r="GK353" s="83"/>
      <c r="GL353" s="83"/>
      <c r="GM353" s="83"/>
      <c r="GN353" s="83"/>
      <c r="GO353" s="83"/>
      <c r="GP353" s="83"/>
      <c r="GQ353" s="83"/>
      <c r="GR353" s="83"/>
      <c r="GS353" s="83"/>
      <c r="GT353" s="83"/>
      <c r="GU353" s="83"/>
      <c r="GV353" s="83"/>
      <c r="GW353" s="83"/>
      <c r="GX353" s="83"/>
      <c r="GY353" s="83"/>
      <c r="GZ353" s="83"/>
      <c r="HA353" s="83"/>
      <c r="HB353" s="83"/>
      <c r="HC353" s="83"/>
      <c r="HD353" s="83"/>
      <c r="HE353" s="83"/>
      <c r="HF353" s="83"/>
      <c r="HG353" s="83"/>
      <c r="HH353" s="83"/>
      <c r="HI353" s="83"/>
      <c r="HJ353" s="83"/>
      <c r="HK353" s="83"/>
      <c r="HL353" s="83"/>
      <c r="HM353" s="83"/>
      <c r="HN353" s="83"/>
      <c r="HO353" s="83"/>
      <c r="HP353" s="83"/>
      <c r="HQ353" s="83"/>
      <c r="HR353" s="83"/>
      <c r="HS353" s="83"/>
      <c r="HT353" s="83"/>
      <c r="HU353" s="83"/>
      <c r="HV353" s="83"/>
      <c r="HW353" s="83"/>
      <c r="HX353" s="83"/>
      <c r="HY353" s="83"/>
      <c r="HZ353" s="83"/>
      <c r="IA353" s="83"/>
      <c r="IB353" s="83"/>
      <c r="IC353" s="83"/>
      <c r="ID353" s="83"/>
      <c r="IE353" s="83"/>
      <c r="IF353" s="83"/>
      <c r="IG353" s="83"/>
    </row>
    <row r="354" spans="1:241"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c r="DD354" s="83"/>
      <c r="DE354" s="83"/>
      <c r="DF354" s="83"/>
      <c r="DG354" s="83"/>
      <c r="DH354" s="83"/>
      <c r="DI354" s="83"/>
      <c r="DJ354" s="83"/>
      <c r="DK354" s="83"/>
      <c r="DL354" s="83"/>
      <c r="DM354" s="83"/>
      <c r="DN354" s="83"/>
      <c r="DO354" s="83"/>
      <c r="DP354" s="83"/>
      <c r="DQ354" s="83"/>
      <c r="DR354" s="83"/>
      <c r="DS354" s="83"/>
      <c r="DT354" s="83"/>
      <c r="DU354" s="83"/>
      <c r="DV354" s="83"/>
      <c r="DW354" s="83"/>
      <c r="DX354" s="83"/>
      <c r="DY354" s="83"/>
      <c r="DZ354" s="83"/>
      <c r="EA354" s="83"/>
      <c r="EB354" s="83"/>
      <c r="EC354" s="83"/>
      <c r="ED354" s="83"/>
      <c r="EE354" s="83"/>
      <c r="EF354" s="83"/>
      <c r="EG354" s="83"/>
      <c r="EH354" s="83"/>
      <c r="EI354" s="83"/>
      <c r="EJ354" s="83"/>
      <c r="EK354" s="83"/>
      <c r="EL354" s="83"/>
      <c r="EM354" s="83"/>
      <c r="EN354" s="83"/>
      <c r="EO354" s="83"/>
      <c r="EP354" s="83"/>
      <c r="EQ354" s="83"/>
      <c r="ER354" s="83"/>
      <c r="ES354" s="83"/>
      <c r="ET354" s="83"/>
      <c r="EU354" s="83"/>
      <c r="EV354" s="83"/>
      <c r="EW354" s="83"/>
      <c r="EX354" s="83"/>
      <c r="EY354" s="83"/>
      <c r="EZ354" s="83"/>
      <c r="FA354" s="83"/>
      <c r="FB354" s="83"/>
      <c r="FC354" s="83"/>
      <c r="FD354" s="83"/>
      <c r="FE354" s="83"/>
      <c r="FF354" s="83"/>
      <c r="FG354" s="83"/>
      <c r="FH354" s="83"/>
      <c r="FI354" s="83"/>
      <c r="FJ354" s="83"/>
      <c r="FK354" s="83"/>
      <c r="FL354" s="83"/>
      <c r="FM354" s="83"/>
      <c r="FN354" s="83"/>
      <c r="FO354" s="83"/>
      <c r="FP354" s="83"/>
      <c r="FQ354" s="83"/>
      <c r="FR354" s="83"/>
      <c r="FS354" s="83"/>
      <c r="FT354" s="83"/>
      <c r="FU354" s="83"/>
      <c r="FV354" s="83"/>
      <c r="FW354" s="83"/>
      <c r="FX354" s="83"/>
      <c r="FY354" s="83"/>
      <c r="FZ354" s="83"/>
      <c r="GA354" s="83"/>
      <c r="GB354" s="83"/>
      <c r="GC354" s="83"/>
      <c r="GD354" s="83"/>
      <c r="GE354" s="83"/>
      <c r="GF354" s="83"/>
      <c r="GG354" s="83"/>
      <c r="GH354" s="83"/>
      <c r="GI354" s="83"/>
      <c r="GJ354" s="83"/>
      <c r="GK354" s="83"/>
      <c r="GL354" s="83"/>
      <c r="GM354" s="83"/>
      <c r="GN354" s="83"/>
      <c r="GO354" s="83"/>
      <c r="GP354" s="83"/>
      <c r="GQ354" s="83"/>
      <c r="GR354" s="83"/>
      <c r="GS354" s="83"/>
      <c r="GT354" s="83"/>
      <c r="GU354" s="83"/>
      <c r="GV354" s="83"/>
      <c r="GW354" s="83"/>
      <c r="GX354" s="83"/>
      <c r="GY354" s="83"/>
      <c r="GZ354" s="83"/>
      <c r="HA354" s="83"/>
      <c r="HB354" s="83"/>
      <c r="HC354" s="83"/>
      <c r="HD354" s="83"/>
      <c r="HE354" s="83"/>
      <c r="HF354" s="83"/>
      <c r="HG354" s="83"/>
      <c r="HH354" s="83"/>
      <c r="HI354" s="83"/>
      <c r="HJ354" s="83"/>
      <c r="HK354" s="83"/>
      <c r="HL354" s="83"/>
      <c r="HM354" s="83"/>
      <c r="HN354" s="83"/>
      <c r="HO354" s="83"/>
      <c r="HP354" s="83"/>
      <c r="HQ354" s="83"/>
      <c r="HR354" s="83"/>
      <c r="HS354" s="83"/>
      <c r="HT354" s="83"/>
      <c r="HU354" s="83"/>
      <c r="HV354" s="83"/>
      <c r="HW354" s="83"/>
      <c r="HX354" s="83"/>
      <c r="HY354" s="83"/>
      <c r="HZ354" s="83"/>
      <c r="IA354" s="83"/>
      <c r="IB354" s="83"/>
      <c r="IC354" s="83"/>
      <c r="ID354" s="83"/>
      <c r="IE354" s="83"/>
      <c r="IF354" s="83"/>
      <c r="IG354" s="83"/>
    </row>
    <row r="355" spans="1:241"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c r="DD355" s="83"/>
      <c r="DE355" s="83"/>
      <c r="DF355" s="83"/>
      <c r="DG355" s="83"/>
      <c r="DH355" s="83"/>
      <c r="DI355" s="83"/>
      <c r="DJ355" s="83"/>
      <c r="DK355" s="83"/>
      <c r="DL355" s="83"/>
      <c r="DM355" s="83"/>
      <c r="DN355" s="83"/>
      <c r="DO355" s="83"/>
      <c r="DP355" s="83"/>
      <c r="DQ355" s="83"/>
      <c r="DR355" s="83"/>
      <c r="DS355" s="83"/>
      <c r="DT355" s="83"/>
      <c r="DU355" s="83"/>
      <c r="DV355" s="83"/>
      <c r="DW355" s="83"/>
      <c r="DX355" s="83"/>
      <c r="DY355" s="83"/>
      <c r="DZ355" s="83"/>
      <c r="EA355" s="83"/>
      <c r="EB355" s="83"/>
      <c r="EC355" s="83"/>
      <c r="ED355" s="83"/>
      <c r="EE355" s="83"/>
      <c r="EF355" s="83"/>
      <c r="EG355" s="83"/>
      <c r="EH355" s="83"/>
      <c r="EI355" s="83"/>
      <c r="EJ355" s="83"/>
      <c r="EK355" s="83"/>
      <c r="EL355" s="83"/>
      <c r="EM355" s="83"/>
      <c r="EN355" s="83"/>
      <c r="EO355" s="83"/>
      <c r="EP355" s="83"/>
      <c r="EQ355" s="83"/>
      <c r="ER355" s="83"/>
      <c r="ES355" s="83"/>
      <c r="ET355" s="83"/>
      <c r="EU355" s="83"/>
      <c r="EV355" s="83"/>
      <c r="EW355" s="83"/>
      <c r="EX355" s="83"/>
      <c r="EY355" s="83"/>
      <c r="EZ355" s="83"/>
      <c r="FA355" s="83"/>
      <c r="FB355" s="83"/>
      <c r="FC355" s="83"/>
      <c r="FD355" s="83"/>
      <c r="FE355" s="83"/>
      <c r="FF355" s="83"/>
      <c r="FG355" s="83"/>
      <c r="FH355" s="83"/>
      <c r="FI355" s="83"/>
      <c r="FJ355" s="83"/>
      <c r="FK355" s="83"/>
      <c r="FL355" s="83"/>
      <c r="FM355" s="83"/>
      <c r="FN355" s="83"/>
      <c r="FO355" s="83"/>
      <c r="FP355" s="83"/>
      <c r="FQ355" s="83"/>
      <c r="FR355" s="83"/>
      <c r="FS355" s="83"/>
      <c r="FT355" s="83"/>
      <c r="FU355" s="83"/>
      <c r="FV355" s="83"/>
      <c r="FW355" s="83"/>
      <c r="FX355" s="83"/>
      <c r="FY355" s="83"/>
      <c r="FZ355" s="83"/>
      <c r="GA355" s="83"/>
      <c r="GB355" s="83"/>
      <c r="GC355" s="83"/>
      <c r="GD355" s="83"/>
      <c r="GE355" s="83"/>
      <c r="GF355" s="83"/>
      <c r="GG355" s="83"/>
      <c r="GH355" s="83"/>
      <c r="GI355" s="83"/>
      <c r="GJ355" s="83"/>
      <c r="GK355" s="83"/>
      <c r="GL355" s="83"/>
      <c r="GM355" s="83"/>
      <c r="GN355" s="83"/>
      <c r="GO355" s="83"/>
      <c r="GP355" s="83"/>
      <c r="GQ355" s="83"/>
      <c r="GR355" s="83"/>
      <c r="GS355" s="83"/>
      <c r="GT355" s="83"/>
      <c r="GU355" s="83"/>
      <c r="GV355" s="83"/>
      <c r="GW355" s="83"/>
      <c r="GX355" s="83"/>
      <c r="GY355" s="83"/>
      <c r="GZ355" s="83"/>
      <c r="HA355" s="83"/>
      <c r="HB355" s="83"/>
      <c r="HC355" s="83"/>
      <c r="HD355" s="83"/>
      <c r="HE355" s="83"/>
      <c r="HF355" s="83"/>
      <c r="HG355" s="83"/>
      <c r="HH355" s="83"/>
      <c r="HI355" s="83"/>
      <c r="HJ355" s="83"/>
      <c r="HK355" s="83"/>
      <c r="HL355" s="83"/>
      <c r="HM355" s="83"/>
      <c r="HN355" s="83"/>
      <c r="HO355" s="83"/>
      <c r="HP355" s="83"/>
      <c r="HQ355" s="83"/>
      <c r="HR355" s="83"/>
      <c r="HS355" s="83"/>
      <c r="HT355" s="83"/>
      <c r="HU355" s="83"/>
      <c r="HV355" s="83"/>
      <c r="HW355" s="83"/>
      <c r="HX355" s="83"/>
      <c r="HY355" s="83"/>
      <c r="HZ355" s="83"/>
      <c r="IA355" s="83"/>
      <c r="IB355" s="83"/>
      <c r="IC355" s="83"/>
      <c r="ID355" s="83"/>
      <c r="IE355" s="83"/>
      <c r="IF355" s="83"/>
      <c r="IG355" s="83"/>
    </row>
    <row r="356" spans="1:241"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c r="DD356" s="83"/>
      <c r="DE356" s="83"/>
      <c r="DF356" s="83"/>
      <c r="DG356" s="83"/>
      <c r="DH356" s="83"/>
      <c r="DI356" s="83"/>
      <c r="DJ356" s="83"/>
      <c r="DK356" s="83"/>
      <c r="DL356" s="83"/>
      <c r="DM356" s="83"/>
      <c r="DN356" s="83"/>
      <c r="DO356" s="83"/>
      <c r="DP356" s="83"/>
      <c r="DQ356" s="83"/>
      <c r="DR356" s="83"/>
      <c r="DS356" s="83"/>
      <c r="DT356" s="83"/>
      <c r="DU356" s="83"/>
      <c r="DV356" s="83"/>
      <c r="DW356" s="83"/>
      <c r="DX356" s="83"/>
      <c r="DY356" s="83"/>
      <c r="DZ356" s="83"/>
      <c r="EA356" s="83"/>
      <c r="EB356" s="83"/>
      <c r="EC356" s="83"/>
      <c r="ED356" s="83"/>
      <c r="EE356" s="83"/>
      <c r="EF356" s="83"/>
      <c r="EG356" s="83"/>
      <c r="EH356" s="83"/>
      <c r="EI356" s="83"/>
      <c r="EJ356" s="83"/>
      <c r="EK356" s="83"/>
      <c r="EL356" s="83"/>
      <c r="EM356" s="83"/>
      <c r="EN356" s="83"/>
      <c r="EO356" s="83"/>
      <c r="EP356" s="83"/>
      <c r="EQ356" s="83"/>
      <c r="ER356" s="83"/>
      <c r="ES356" s="83"/>
      <c r="ET356" s="83"/>
      <c r="EU356" s="83"/>
      <c r="EV356" s="83"/>
      <c r="EW356" s="83"/>
      <c r="EX356" s="83"/>
      <c r="EY356" s="83"/>
      <c r="EZ356" s="83"/>
      <c r="FA356" s="83"/>
      <c r="FB356" s="83"/>
      <c r="FC356" s="83"/>
      <c r="FD356" s="83"/>
      <c r="FE356" s="83"/>
      <c r="FF356" s="83"/>
      <c r="FG356" s="83"/>
      <c r="FH356" s="83"/>
      <c r="FI356" s="83"/>
      <c r="FJ356" s="83"/>
      <c r="FK356" s="83"/>
      <c r="FL356" s="83"/>
      <c r="FM356" s="83"/>
      <c r="FN356" s="83"/>
      <c r="FO356" s="83"/>
      <c r="FP356" s="83"/>
      <c r="FQ356" s="83"/>
      <c r="FR356" s="83"/>
      <c r="FS356" s="83"/>
      <c r="FT356" s="83"/>
      <c r="FU356" s="83"/>
      <c r="FV356" s="83"/>
      <c r="FW356" s="83"/>
      <c r="FX356" s="83"/>
      <c r="FY356" s="83"/>
      <c r="FZ356" s="83"/>
      <c r="GA356" s="83"/>
      <c r="GB356" s="83"/>
      <c r="GC356" s="83"/>
      <c r="GD356" s="83"/>
      <c r="GE356" s="83"/>
      <c r="GF356" s="83"/>
      <c r="GG356" s="83"/>
      <c r="GH356" s="83"/>
      <c r="GI356" s="83"/>
      <c r="GJ356" s="83"/>
      <c r="GK356" s="83"/>
      <c r="GL356" s="83"/>
      <c r="GM356" s="83"/>
      <c r="GN356" s="83"/>
      <c r="GO356" s="83"/>
      <c r="GP356" s="83"/>
      <c r="GQ356" s="83"/>
      <c r="GR356" s="83"/>
      <c r="GS356" s="83"/>
      <c r="GT356" s="83"/>
      <c r="GU356" s="83"/>
      <c r="GV356" s="83"/>
      <c r="GW356" s="83"/>
      <c r="GX356" s="83"/>
      <c r="GY356" s="83"/>
      <c r="GZ356" s="83"/>
      <c r="HA356" s="83"/>
      <c r="HB356" s="83"/>
      <c r="HC356" s="83"/>
      <c r="HD356" s="83"/>
      <c r="HE356" s="83"/>
      <c r="HF356" s="83"/>
      <c r="HG356" s="83"/>
      <c r="HH356" s="83"/>
      <c r="HI356" s="83"/>
      <c r="HJ356" s="83"/>
      <c r="HK356" s="83"/>
      <c r="HL356" s="83"/>
      <c r="HM356" s="83"/>
      <c r="HN356" s="83"/>
      <c r="HO356" s="83"/>
      <c r="HP356" s="83"/>
      <c r="HQ356" s="83"/>
      <c r="HR356" s="83"/>
      <c r="HS356" s="83"/>
      <c r="HT356" s="83"/>
      <c r="HU356" s="83"/>
      <c r="HV356" s="83"/>
      <c r="HW356" s="83"/>
      <c r="HX356" s="83"/>
      <c r="HY356" s="83"/>
      <c r="HZ356" s="83"/>
      <c r="IA356" s="83"/>
      <c r="IB356" s="83"/>
      <c r="IC356" s="83"/>
      <c r="ID356" s="83"/>
      <c r="IE356" s="83"/>
      <c r="IF356" s="83"/>
      <c r="IG356" s="83"/>
    </row>
    <row r="357" spans="1:241"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c r="DD357" s="83"/>
      <c r="DE357" s="83"/>
      <c r="DF357" s="83"/>
      <c r="DG357" s="83"/>
      <c r="DH357" s="83"/>
      <c r="DI357" s="83"/>
      <c r="DJ357" s="83"/>
      <c r="DK357" s="83"/>
      <c r="DL357" s="83"/>
      <c r="DM357" s="83"/>
      <c r="DN357" s="83"/>
      <c r="DO357" s="83"/>
      <c r="DP357" s="83"/>
      <c r="DQ357" s="83"/>
      <c r="DR357" s="83"/>
      <c r="DS357" s="83"/>
      <c r="DT357" s="83"/>
      <c r="DU357" s="83"/>
      <c r="DV357" s="83"/>
      <c r="DW357" s="83"/>
      <c r="DX357" s="83"/>
      <c r="DY357" s="83"/>
      <c r="DZ357" s="83"/>
      <c r="EA357" s="83"/>
      <c r="EB357" s="83"/>
      <c r="EC357" s="83"/>
      <c r="ED357" s="83"/>
      <c r="EE357" s="83"/>
      <c r="EF357" s="83"/>
      <c r="EG357" s="83"/>
      <c r="EH357" s="83"/>
      <c r="EI357" s="83"/>
      <c r="EJ357" s="83"/>
      <c r="EK357" s="83"/>
      <c r="EL357" s="83"/>
      <c r="EM357" s="83"/>
      <c r="EN357" s="83"/>
      <c r="EO357" s="83"/>
      <c r="EP357" s="83"/>
      <c r="EQ357" s="83"/>
      <c r="ER357" s="83"/>
      <c r="ES357" s="83"/>
      <c r="ET357" s="83"/>
      <c r="EU357" s="83"/>
      <c r="EV357" s="83"/>
      <c r="EW357" s="83"/>
      <c r="EX357" s="83"/>
      <c r="EY357" s="83"/>
      <c r="EZ357" s="83"/>
      <c r="FA357" s="83"/>
      <c r="FB357" s="83"/>
      <c r="FC357" s="83"/>
      <c r="FD357" s="83"/>
      <c r="FE357" s="83"/>
      <c r="FF357" s="83"/>
      <c r="FG357" s="83"/>
      <c r="FH357" s="83"/>
      <c r="FI357" s="83"/>
      <c r="FJ357" s="83"/>
      <c r="FK357" s="83"/>
      <c r="FL357" s="83"/>
      <c r="FM357" s="83"/>
      <c r="FN357" s="83"/>
      <c r="FO357" s="83"/>
      <c r="FP357" s="83"/>
      <c r="FQ357" s="83"/>
      <c r="FR357" s="83"/>
      <c r="FS357" s="83"/>
      <c r="FT357" s="83"/>
      <c r="FU357" s="83"/>
      <c r="FV357" s="83"/>
      <c r="FW357" s="83"/>
      <c r="FX357" s="83"/>
      <c r="FY357" s="83"/>
      <c r="FZ357" s="83"/>
      <c r="GA357" s="83"/>
      <c r="GB357" s="83"/>
      <c r="GC357" s="83"/>
      <c r="GD357" s="83"/>
      <c r="GE357" s="83"/>
      <c r="GF357" s="83"/>
      <c r="GG357" s="83"/>
      <c r="GH357" s="83"/>
      <c r="GI357" s="83"/>
      <c r="GJ357" s="83"/>
      <c r="GK357" s="83"/>
      <c r="GL357" s="83"/>
      <c r="GM357" s="83"/>
      <c r="GN357" s="83"/>
      <c r="GO357" s="83"/>
      <c r="GP357" s="83"/>
      <c r="GQ357" s="83"/>
      <c r="GR357" s="83"/>
      <c r="GS357" s="83"/>
      <c r="GT357" s="83"/>
      <c r="GU357" s="83"/>
      <c r="GV357" s="83"/>
      <c r="GW357" s="83"/>
      <c r="GX357" s="83"/>
      <c r="GY357" s="83"/>
      <c r="GZ357" s="83"/>
      <c r="HA357" s="83"/>
      <c r="HB357" s="83"/>
      <c r="HC357" s="83"/>
      <c r="HD357" s="83"/>
      <c r="HE357" s="83"/>
      <c r="HF357" s="83"/>
      <c r="HG357" s="83"/>
      <c r="HH357" s="83"/>
      <c r="HI357" s="83"/>
      <c r="HJ357" s="83"/>
      <c r="HK357" s="83"/>
      <c r="HL357" s="83"/>
      <c r="HM357" s="83"/>
      <c r="HN357" s="83"/>
      <c r="HO357" s="83"/>
      <c r="HP357" s="83"/>
      <c r="HQ357" s="83"/>
      <c r="HR357" s="83"/>
      <c r="HS357" s="83"/>
      <c r="HT357" s="83"/>
      <c r="HU357" s="83"/>
      <c r="HV357" s="83"/>
      <c r="HW357" s="83"/>
      <c r="HX357" s="83"/>
      <c r="HY357" s="83"/>
      <c r="HZ357" s="83"/>
      <c r="IA357" s="83"/>
      <c r="IB357" s="83"/>
      <c r="IC357" s="83"/>
      <c r="ID357" s="83"/>
      <c r="IE357" s="83"/>
      <c r="IF357" s="83"/>
      <c r="IG357" s="83"/>
    </row>
    <row r="358" spans="1:241"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c r="DD358" s="83"/>
      <c r="DE358" s="83"/>
      <c r="DF358" s="83"/>
      <c r="DG358" s="83"/>
      <c r="DH358" s="83"/>
      <c r="DI358" s="83"/>
      <c r="DJ358" s="83"/>
      <c r="DK358" s="83"/>
      <c r="DL358" s="83"/>
      <c r="DM358" s="83"/>
      <c r="DN358" s="83"/>
      <c r="DO358" s="83"/>
      <c r="DP358" s="83"/>
      <c r="DQ358" s="83"/>
      <c r="DR358" s="83"/>
      <c r="DS358" s="83"/>
      <c r="DT358" s="83"/>
      <c r="DU358" s="83"/>
      <c r="DV358" s="83"/>
      <c r="DW358" s="83"/>
      <c r="DX358" s="83"/>
      <c r="DY358" s="83"/>
      <c r="DZ358" s="83"/>
      <c r="EA358" s="83"/>
      <c r="EB358" s="83"/>
      <c r="EC358" s="83"/>
      <c r="ED358" s="83"/>
      <c r="EE358" s="83"/>
      <c r="EF358" s="83"/>
      <c r="EG358" s="83"/>
      <c r="EH358" s="83"/>
      <c r="EI358" s="83"/>
      <c r="EJ358" s="83"/>
      <c r="EK358" s="83"/>
      <c r="EL358" s="83"/>
      <c r="EM358" s="83"/>
      <c r="EN358" s="83"/>
      <c r="EO358" s="83"/>
      <c r="EP358" s="83"/>
      <c r="EQ358" s="83"/>
      <c r="ER358" s="83"/>
      <c r="ES358" s="83"/>
      <c r="ET358" s="83"/>
      <c r="EU358" s="83"/>
      <c r="EV358" s="83"/>
      <c r="EW358" s="83"/>
      <c r="EX358" s="83"/>
      <c r="EY358" s="83"/>
      <c r="EZ358" s="83"/>
      <c r="FA358" s="83"/>
      <c r="FB358" s="83"/>
      <c r="FC358" s="83"/>
      <c r="FD358" s="83"/>
      <c r="FE358" s="83"/>
      <c r="FF358" s="83"/>
      <c r="FG358" s="83"/>
      <c r="FH358" s="83"/>
      <c r="FI358" s="83"/>
      <c r="FJ358" s="83"/>
      <c r="FK358" s="83"/>
      <c r="FL358" s="83"/>
      <c r="FM358" s="83"/>
      <c r="FN358" s="83"/>
      <c r="FO358" s="83"/>
      <c r="FP358" s="83"/>
      <c r="FQ358" s="83"/>
      <c r="FR358" s="83"/>
      <c r="FS358" s="83"/>
      <c r="FT358" s="83"/>
      <c r="FU358" s="83"/>
      <c r="FV358" s="83"/>
      <c r="FW358" s="83"/>
      <c r="FX358" s="83"/>
      <c r="FY358" s="83"/>
      <c r="FZ358" s="83"/>
      <c r="GA358" s="83"/>
      <c r="GB358" s="83"/>
      <c r="GC358" s="83"/>
      <c r="GD358" s="83"/>
      <c r="GE358" s="83"/>
      <c r="GF358" s="83"/>
      <c r="GG358" s="83"/>
      <c r="GH358" s="83"/>
      <c r="GI358" s="83"/>
      <c r="GJ358" s="83"/>
      <c r="GK358" s="83"/>
      <c r="GL358" s="83"/>
      <c r="GM358" s="83"/>
      <c r="GN358" s="83"/>
      <c r="GO358" s="83"/>
      <c r="GP358" s="83"/>
      <c r="GQ358" s="83"/>
      <c r="GR358" s="83"/>
      <c r="GS358" s="83"/>
      <c r="GT358" s="83"/>
      <c r="GU358" s="83"/>
      <c r="GV358" s="83"/>
      <c r="GW358" s="83"/>
      <c r="GX358" s="83"/>
      <c r="GY358" s="83"/>
      <c r="GZ358" s="83"/>
      <c r="HA358" s="83"/>
      <c r="HB358" s="83"/>
      <c r="HC358" s="83"/>
      <c r="HD358" s="83"/>
      <c r="HE358" s="83"/>
      <c r="HF358" s="83"/>
      <c r="HG358" s="83"/>
      <c r="HH358" s="83"/>
      <c r="HI358" s="83"/>
      <c r="HJ358" s="83"/>
      <c r="HK358" s="83"/>
      <c r="HL358" s="83"/>
      <c r="HM358" s="83"/>
      <c r="HN358" s="83"/>
      <c r="HO358" s="83"/>
      <c r="HP358" s="83"/>
      <c r="HQ358" s="83"/>
      <c r="HR358" s="83"/>
      <c r="HS358" s="83"/>
      <c r="HT358" s="83"/>
      <c r="HU358" s="83"/>
      <c r="HV358" s="83"/>
      <c r="HW358" s="83"/>
      <c r="HX358" s="83"/>
      <c r="HY358" s="83"/>
      <c r="HZ358" s="83"/>
      <c r="IA358" s="83"/>
      <c r="IB358" s="83"/>
      <c r="IC358" s="83"/>
      <c r="ID358" s="83"/>
      <c r="IE358" s="83"/>
      <c r="IF358" s="83"/>
      <c r="IG358" s="83"/>
    </row>
    <row r="359" spans="1:241"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c r="DD359" s="83"/>
      <c r="DE359" s="83"/>
      <c r="DF359" s="83"/>
      <c r="DG359" s="83"/>
      <c r="DH359" s="83"/>
      <c r="DI359" s="83"/>
      <c r="DJ359" s="83"/>
      <c r="DK359" s="83"/>
      <c r="DL359" s="83"/>
      <c r="DM359" s="83"/>
      <c r="DN359" s="83"/>
      <c r="DO359" s="83"/>
      <c r="DP359" s="83"/>
      <c r="DQ359" s="83"/>
      <c r="DR359" s="83"/>
      <c r="DS359" s="83"/>
      <c r="DT359" s="83"/>
      <c r="DU359" s="83"/>
      <c r="DV359" s="83"/>
      <c r="DW359" s="83"/>
      <c r="DX359" s="83"/>
      <c r="DY359" s="83"/>
      <c r="DZ359" s="83"/>
      <c r="EA359" s="83"/>
      <c r="EB359" s="83"/>
      <c r="EC359" s="83"/>
      <c r="ED359" s="83"/>
      <c r="EE359" s="83"/>
      <c r="EF359" s="83"/>
      <c r="EG359" s="83"/>
      <c r="EH359" s="83"/>
      <c r="EI359" s="83"/>
      <c r="EJ359" s="83"/>
      <c r="EK359" s="83"/>
      <c r="EL359" s="83"/>
      <c r="EM359" s="83"/>
      <c r="EN359" s="83"/>
      <c r="EO359" s="83"/>
      <c r="EP359" s="83"/>
      <c r="EQ359" s="83"/>
      <c r="ER359" s="83"/>
      <c r="ES359" s="83"/>
      <c r="ET359" s="83"/>
      <c r="EU359" s="83"/>
      <c r="EV359" s="83"/>
      <c r="EW359" s="83"/>
      <c r="EX359" s="83"/>
      <c r="EY359" s="83"/>
      <c r="EZ359" s="83"/>
      <c r="FA359" s="83"/>
      <c r="FB359" s="83"/>
      <c r="FC359" s="83"/>
      <c r="FD359" s="83"/>
      <c r="FE359" s="83"/>
      <c r="FF359" s="83"/>
      <c r="FG359" s="83"/>
      <c r="FH359" s="83"/>
      <c r="FI359" s="83"/>
      <c r="FJ359" s="83"/>
      <c r="FK359" s="83"/>
      <c r="FL359" s="83"/>
      <c r="FM359" s="83"/>
      <c r="FN359" s="83"/>
      <c r="FO359" s="83"/>
      <c r="FP359" s="83"/>
      <c r="FQ359" s="83"/>
      <c r="FR359" s="83"/>
      <c r="FS359" s="83"/>
      <c r="FT359" s="83"/>
      <c r="FU359" s="83"/>
      <c r="FV359" s="83"/>
      <c r="FW359" s="83"/>
      <c r="FX359" s="83"/>
      <c r="FY359" s="83"/>
      <c r="FZ359" s="83"/>
      <c r="GA359" s="83"/>
      <c r="GB359" s="83"/>
      <c r="GC359" s="83"/>
      <c r="GD359" s="83"/>
      <c r="GE359" s="83"/>
      <c r="GF359" s="83"/>
      <c r="GG359" s="83"/>
      <c r="GH359" s="83"/>
      <c r="GI359" s="83"/>
      <c r="GJ359" s="83"/>
      <c r="GK359" s="83"/>
      <c r="GL359" s="83"/>
      <c r="GM359" s="83"/>
      <c r="GN359" s="83"/>
      <c r="GO359" s="83"/>
      <c r="GP359" s="83"/>
      <c r="GQ359" s="83"/>
      <c r="GR359" s="83"/>
      <c r="GS359" s="83"/>
      <c r="GT359" s="83"/>
      <c r="GU359" s="83"/>
      <c r="GV359" s="83"/>
      <c r="GW359" s="83"/>
      <c r="GX359" s="83"/>
      <c r="GY359" s="83"/>
      <c r="GZ359" s="83"/>
      <c r="HA359" s="83"/>
      <c r="HB359" s="83"/>
      <c r="HC359" s="83"/>
      <c r="HD359" s="83"/>
      <c r="HE359" s="83"/>
      <c r="HF359" s="83"/>
      <c r="HG359" s="83"/>
      <c r="HH359" s="83"/>
      <c r="HI359" s="83"/>
      <c r="HJ359" s="83"/>
      <c r="HK359" s="83"/>
      <c r="HL359" s="83"/>
      <c r="HM359" s="83"/>
      <c r="HN359" s="83"/>
      <c r="HO359" s="83"/>
      <c r="HP359" s="83"/>
      <c r="HQ359" s="83"/>
      <c r="HR359" s="83"/>
      <c r="HS359" s="83"/>
      <c r="HT359" s="83"/>
      <c r="HU359" s="83"/>
      <c r="HV359" s="83"/>
      <c r="HW359" s="83"/>
      <c r="HX359" s="83"/>
      <c r="HY359" s="83"/>
      <c r="HZ359" s="83"/>
      <c r="IA359" s="83"/>
      <c r="IB359" s="83"/>
      <c r="IC359" s="83"/>
      <c r="ID359" s="83"/>
      <c r="IE359" s="83"/>
      <c r="IF359" s="83"/>
      <c r="IG359" s="83"/>
    </row>
    <row r="360" spans="1:241"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c r="DD360" s="83"/>
      <c r="DE360" s="83"/>
      <c r="DF360" s="83"/>
      <c r="DG360" s="83"/>
      <c r="DH360" s="83"/>
      <c r="DI360" s="83"/>
      <c r="DJ360" s="83"/>
      <c r="DK360" s="83"/>
      <c r="DL360" s="83"/>
      <c r="DM360" s="83"/>
      <c r="DN360" s="83"/>
      <c r="DO360" s="83"/>
      <c r="DP360" s="83"/>
      <c r="DQ360" s="83"/>
      <c r="DR360" s="83"/>
      <c r="DS360" s="83"/>
      <c r="DT360" s="83"/>
      <c r="DU360" s="83"/>
      <c r="DV360" s="83"/>
      <c r="DW360" s="83"/>
      <c r="DX360" s="83"/>
      <c r="DY360" s="83"/>
      <c r="DZ360" s="83"/>
      <c r="EA360" s="83"/>
      <c r="EB360" s="83"/>
      <c r="EC360" s="83"/>
      <c r="ED360" s="83"/>
      <c r="EE360" s="83"/>
      <c r="EF360" s="83"/>
      <c r="EG360" s="83"/>
      <c r="EH360" s="83"/>
      <c r="EI360" s="83"/>
      <c r="EJ360" s="83"/>
      <c r="EK360" s="83"/>
      <c r="EL360" s="83"/>
      <c r="EM360" s="83"/>
      <c r="EN360" s="83"/>
      <c r="EO360" s="83"/>
      <c r="EP360" s="83"/>
      <c r="EQ360" s="83"/>
      <c r="ER360" s="83"/>
      <c r="ES360" s="83"/>
      <c r="ET360" s="83"/>
      <c r="EU360" s="83"/>
      <c r="EV360" s="83"/>
      <c r="EW360" s="83"/>
      <c r="EX360" s="83"/>
      <c r="EY360" s="83"/>
      <c r="EZ360" s="83"/>
      <c r="FA360" s="83"/>
      <c r="FB360" s="83"/>
      <c r="FC360" s="83"/>
      <c r="FD360" s="83"/>
      <c r="FE360" s="83"/>
      <c r="FF360" s="83"/>
      <c r="FG360" s="83"/>
      <c r="FH360" s="83"/>
      <c r="FI360" s="83"/>
      <c r="FJ360" s="83"/>
      <c r="FK360" s="83"/>
      <c r="FL360" s="83"/>
      <c r="FM360" s="83"/>
      <c r="FN360" s="83"/>
      <c r="FO360" s="83"/>
      <c r="FP360" s="83"/>
      <c r="FQ360" s="83"/>
      <c r="FR360" s="83"/>
      <c r="FS360" s="83"/>
      <c r="FT360" s="83"/>
      <c r="FU360" s="83"/>
      <c r="FV360" s="83"/>
      <c r="FW360" s="83"/>
      <c r="FX360" s="83"/>
      <c r="FY360" s="83"/>
      <c r="FZ360" s="83"/>
      <c r="GA360" s="83"/>
      <c r="GB360" s="83"/>
      <c r="GC360" s="83"/>
      <c r="GD360" s="83"/>
      <c r="GE360" s="83"/>
      <c r="GF360" s="83"/>
      <c r="GG360" s="83"/>
      <c r="GH360" s="83"/>
      <c r="GI360" s="83"/>
      <c r="GJ360" s="83"/>
      <c r="GK360" s="83"/>
      <c r="GL360" s="83"/>
      <c r="GM360" s="83"/>
      <c r="GN360" s="83"/>
      <c r="GO360" s="83"/>
      <c r="GP360" s="83"/>
      <c r="GQ360" s="83"/>
      <c r="GR360" s="83"/>
      <c r="GS360" s="83"/>
      <c r="GT360" s="83"/>
      <c r="GU360" s="83"/>
      <c r="GV360" s="83"/>
      <c r="GW360" s="83"/>
      <c r="GX360" s="83"/>
      <c r="GY360" s="83"/>
      <c r="GZ360" s="83"/>
      <c r="HA360" s="83"/>
      <c r="HB360" s="83"/>
      <c r="HC360" s="83"/>
      <c r="HD360" s="83"/>
      <c r="HE360" s="83"/>
      <c r="HF360" s="83"/>
      <c r="HG360" s="83"/>
      <c r="HH360" s="83"/>
      <c r="HI360" s="83"/>
      <c r="HJ360" s="83"/>
      <c r="HK360" s="83"/>
      <c r="HL360" s="83"/>
      <c r="HM360" s="83"/>
      <c r="HN360" s="83"/>
      <c r="HO360" s="83"/>
      <c r="HP360" s="83"/>
      <c r="HQ360" s="83"/>
      <c r="HR360" s="83"/>
      <c r="HS360" s="83"/>
      <c r="HT360" s="83"/>
      <c r="HU360" s="83"/>
      <c r="HV360" s="83"/>
      <c r="HW360" s="83"/>
      <c r="HX360" s="83"/>
      <c r="HY360" s="83"/>
      <c r="HZ360" s="83"/>
      <c r="IA360" s="83"/>
      <c r="IB360" s="83"/>
      <c r="IC360" s="83"/>
      <c r="ID360" s="83"/>
      <c r="IE360" s="83"/>
      <c r="IF360" s="83"/>
      <c r="IG360" s="83"/>
    </row>
    <row r="361" spans="1:241"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c r="DD361" s="83"/>
      <c r="DE361" s="83"/>
      <c r="DF361" s="83"/>
      <c r="DG361" s="83"/>
      <c r="DH361" s="83"/>
      <c r="DI361" s="83"/>
      <c r="DJ361" s="83"/>
      <c r="DK361" s="83"/>
      <c r="DL361" s="83"/>
      <c r="DM361" s="83"/>
      <c r="DN361" s="83"/>
      <c r="DO361" s="83"/>
      <c r="DP361" s="83"/>
      <c r="DQ361" s="83"/>
      <c r="DR361" s="83"/>
      <c r="DS361" s="83"/>
      <c r="DT361" s="83"/>
      <c r="DU361" s="83"/>
      <c r="DV361" s="83"/>
      <c r="DW361" s="83"/>
      <c r="DX361" s="83"/>
      <c r="DY361" s="83"/>
      <c r="DZ361" s="83"/>
      <c r="EA361" s="83"/>
      <c r="EB361" s="83"/>
      <c r="EC361" s="83"/>
      <c r="ED361" s="83"/>
      <c r="EE361" s="83"/>
      <c r="EF361" s="83"/>
      <c r="EG361" s="83"/>
      <c r="EH361" s="83"/>
      <c r="EI361" s="83"/>
      <c r="EJ361" s="83"/>
      <c r="EK361" s="83"/>
      <c r="EL361" s="83"/>
      <c r="EM361" s="83"/>
      <c r="EN361" s="83"/>
      <c r="EO361" s="83"/>
      <c r="EP361" s="83"/>
      <c r="EQ361" s="83"/>
      <c r="ER361" s="83"/>
      <c r="ES361" s="83"/>
      <c r="ET361" s="83"/>
      <c r="EU361" s="83"/>
      <c r="EV361" s="83"/>
      <c r="EW361" s="83"/>
      <c r="EX361" s="83"/>
      <c r="EY361" s="83"/>
      <c r="EZ361" s="83"/>
      <c r="FA361" s="83"/>
      <c r="FB361" s="83"/>
      <c r="FC361" s="83"/>
      <c r="FD361" s="83"/>
      <c r="FE361" s="83"/>
      <c r="FF361" s="83"/>
      <c r="FG361" s="83"/>
      <c r="FH361" s="83"/>
      <c r="FI361" s="83"/>
      <c r="FJ361" s="83"/>
      <c r="FK361" s="83"/>
      <c r="FL361" s="83"/>
      <c r="FM361" s="83"/>
      <c r="FN361" s="83"/>
      <c r="FO361" s="83"/>
      <c r="FP361" s="83"/>
      <c r="FQ361" s="83"/>
      <c r="FR361" s="83"/>
      <c r="FS361" s="83"/>
      <c r="FT361" s="83"/>
      <c r="FU361" s="83"/>
      <c r="FV361" s="83"/>
      <c r="FW361" s="83"/>
      <c r="FX361" s="83"/>
      <c r="FY361" s="83"/>
      <c r="FZ361" s="83"/>
      <c r="GA361" s="83"/>
      <c r="GB361" s="83"/>
      <c r="GC361" s="83"/>
      <c r="GD361" s="83"/>
      <c r="GE361" s="83"/>
      <c r="GF361" s="83"/>
      <c r="GG361" s="83"/>
      <c r="GH361" s="83"/>
      <c r="GI361" s="83"/>
      <c r="GJ361" s="83"/>
      <c r="GK361" s="83"/>
      <c r="GL361" s="83"/>
      <c r="GM361" s="83"/>
      <c r="GN361" s="83"/>
      <c r="GO361" s="83"/>
      <c r="GP361" s="83"/>
      <c r="GQ361" s="83"/>
      <c r="GR361" s="83"/>
      <c r="GS361" s="83"/>
      <c r="GT361" s="83"/>
      <c r="GU361" s="83"/>
      <c r="GV361" s="83"/>
      <c r="GW361" s="83"/>
      <c r="GX361" s="83"/>
      <c r="GY361" s="83"/>
      <c r="GZ361" s="83"/>
      <c r="HA361" s="83"/>
      <c r="HB361" s="83"/>
      <c r="HC361" s="83"/>
      <c r="HD361" s="83"/>
      <c r="HE361" s="83"/>
      <c r="HF361" s="83"/>
      <c r="HG361" s="83"/>
      <c r="HH361" s="83"/>
      <c r="HI361" s="83"/>
      <c r="HJ361" s="83"/>
      <c r="HK361" s="83"/>
      <c r="HL361" s="83"/>
      <c r="HM361" s="83"/>
      <c r="HN361" s="83"/>
      <c r="HO361" s="83"/>
      <c r="HP361" s="83"/>
      <c r="HQ361" s="83"/>
      <c r="HR361" s="83"/>
      <c r="HS361" s="83"/>
      <c r="HT361" s="83"/>
      <c r="HU361" s="83"/>
      <c r="HV361" s="83"/>
      <c r="HW361" s="83"/>
      <c r="HX361" s="83"/>
      <c r="HY361" s="83"/>
      <c r="HZ361" s="83"/>
      <c r="IA361" s="83"/>
      <c r="IB361" s="83"/>
      <c r="IC361" s="83"/>
      <c r="ID361" s="83"/>
      <c r="IE361" s="83"/>
      <c r="IF361" s="83"/>
      <c r="IG361" s="83"/>
    </row>
    <row r="362" spans="1:241"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c r="DD362" s="83"/>
      <c r="DE362" s="83"/>
      <c r="DF362" s="83"/>
      <c r="DG362" s="83"/>
      <c r="DH362" s="83"/>
      <c r="DI362" s="83"/>
      <c r="DJ362" s="83"/>
      <c r="DK362" s="83"/>
      <c r="DL362" s="83"/>
      <c r="DM362" s="83"/>
      <c r="DN362" s="83"/>
      <c r="DO362" s="83"/>
      <c r="DP362" s="83"/>
      <c r="DQ362" s="83"/>
      <c r="DR362" s="83"/>
      <c r="DS362" s="83"/>
      <c r="DT362" s="83"/>
      <c r="DU362" s="83"/>
      <c r="DV362" s="83"/>
      <c r="DW362" s="83"/>
      <c r="DX362" s="83"/>
      <c r="DY362" s="83"/>
      <c r="DZ362" s="83"/>
      <c r="EA362" s="83"/>
      <c r="EB362" s="83"/>
      <c r="EC362" s="83"/>
      <c r="ED362" s="83"/>
      <c r="EE362" s="83"/>
      <c r="EF362" s="83"/>
      <c r="EG362" s="83"/>
      <c r="EH362" s="83"/>
      <c r="EI362" s="83"/>
      <c r="EJ362" s="83"/>
      <c r="EK362" s="83"/>
      <c r="EL362" s="83"/>
      <c r="EM362" s="83"/>
      <c r="EN362" s="83"/>
      <c r="EO362" s="83"/>
      <c r="EP362" s="83"/>
      <c r="EQ362" s="83"/>
      <c r="ER362" s="83"/>
      <c r="ES362" s="83"/>
      <c r="ET362" s="83"/>
      <c r="EU362" s="83"/>
      <c r="EV362" s="83"/>
      <c r="EW362" s="83"/>
      <c r="EX362" s="83"/>
      <c r="EY362" s="83"/>
      <c r="EZ362" s="83"/>
      <c r="FA362" s="83"/>
      <c r="FB362" s="83"/>
      <c r="FC362" s="83"/>
      <c r="FD362" s="83"/>
      <c r="FE362" s="83"/>
      <c r="FF362" s="83"/>
      <c r="FG362" s="83"/>
      <c r="FH362" s="83"/>
      <c r="FI362" s="83"/>
      <c r="FJ362" s="83"/>
      <c r="FK362" s="83"/>
      <c r="FL362" s="83"/>
      <c r="FM362" s="83"/>
      <c r="FN362" s="83"/>
      <c r="FO362" s="83"/>
      <c r="FP362" s="83"/>
      <c r="FQ362" s="83"/>
      <c r="FR362" s="83"/>
      <c r="FS362" s="83"/>
      <c r="FT362" s="83"/>
      <c r="FU362" s="83"/>
      <c r="FV362" s="83"/>
      <c r="FW362" s="83"/>
      <c r="FX362" s="83"/>
      <c r="FY362" s="83"/>
      <c r="FZ362" s="83"/>
      <c r="GA362" s="83"/>
      <c r="GB362" s="83"/>
      <c r="GC362" s="83"/>
      <c r="GD362" s="83"/>
      <c r="GE362" s="83"/>
      <c r="GF362" s="83"/>
      <c r="GG362" s="83"/>
      <c r="GH362" s="83"/>
      <c r="GI362" s="83"/>
      <c r="GJ362" s="83"/>
      <c r="GK362" s="83"/>
      <c r="GL362" s="83"/>
      <c r="GM362" s="83"/>
      <c r="GN362" s="83"/>
      <c r="GO362" s="83"/>
      <c r="GP362" s="83"/>
      <c r="GQ362" s="83"/>
      <c r="GR362" s="83"/>
      <c r="GS362" s="83"/>
      <c r="GT362" s="83"/>
      <c r="GU362" s="83"/>
      <c r="GV362" s="83"/>
      <c r="GW362" s="83"/>
      <c r="GX362" s="83"/>
      <c r="GY362" s="83"/>
      <c r="GZ362" s="83"/>
      <c r="HA362" s="83"/>
      <c r="HB362" s="83"/>
      <c r="HC362" s="83"/>
      <c r="HD362" s="83"/>
      <c r="HE362" s="83"/>
      <c r="HF362" s="83"/>
      <c r="HG362" s="83"/>
      <c r="HH362" s="83"/>
      <c r="HI362" s="83"/>
      <c r="HJ362" s="83"/>
      <c r="HK362" s="83"/>
      <c r="HL362" s="83"/>
      <c r="HM362" s="83"/>
      <c r="HN362" s="83"/>
      <c r="HO362" s="83"/>
      <c r="HP362" s="83"/>
      <c r="HQ362" s="83"/>
      <c r="HR362" s="83"/>
      <c r="HS362" s="83"/>
      <c r="HT362" s="83"/>
      <c r="HU362" s="83"/>
      <c r="HV362" s="83"/>
      <c r="HW362" s="83"/>
      <c r="HX362" s="83"/>
      <c r="HY362" s="83"/>
      <c r="HZ362" s="83"/>
      <c r="IA362" s="83"/>
      <c r="IB362" s="83"/>
      <c r="IC362" s="83"/>
      <c r="ID362" s="83"/>
      <c r="IE362" s="83"/>
      <c r="IF362" s="83"/>
      <c r="IG362" s="83"/>
    </row>
    <row r="363" spans="1:241"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c r="DD363" s="83"/>
      <c r="DE363" s="83"/>
      <c r="DF363" s="83"/>
      <c r="DG363" s="83"/>
      <c r="DH363" s="83"/>
      <c r="DI363" s="83"/>
      <c r="DJ363" s="83"/>
      <c r="DK363" s="83"/>
      <c r="DL363" s="83"/>
      <c r="DM363" s="83"/>
      <c r="DN363" s="83"/>
      <c r="DO363" s="83"/>
      <c r="DP363" s="83"/>
      <c r="DQ363" s="83"/>
      <c r="DR363" s="83"/>
      <c r="DS363" s="83"/>
      <c r="DT363" s="83"/>
      <c r="DU363" s="83"/>
      <c r="DV363" s="83"/>
      <c r="DW363" s="83"/>
      <c r="DX363" s="83"/>
      <c r="DY363" s="83"/>
      <c r="DZ363" s="83"/>
      <c r="EA363" s="83"/>
      <c r="EB363" s="83"/>
      <c r="EC363" s="83"/>
      <c r="ED363" s="83"/>
      <c r="EE363" s="83"/>
      <c r="EF363" s="83"/>
      <c r="EG363" s="83"/>
      <c r="EH363" s="83"/>
      <c r="EI363" s="83"/>
      <c r="EJ363" s="83"/>
      <c r="EK363" s="83"/>
      <c r="EL363" s="83"/>
      <c r="EM363" s="83"/>
      <c r="EN363" s="83"/>
      <c r="EO363" s="83"/>
      <c r="EP363" s="83"/>
      <c r="EQ363" s="83"/>
      <c r="ER363" s="83"/>
      <c r="ES363" s="83"/>
      <c r="ET363" s="83"/>
      <c r="EU363" s="83"/>
      <c r="EV363" s="83"/>
      <c r="EW363" s="83"/>
      <c r="EX363" s="83"/>
      <c r="EY363" s="83"/>
      <c r="EZ363" s="83"/>
      <c r="FA363" s="83"/>
      <c r="FB363" s="83"/>
      <c r="FC363" s="83"/>
      <c r="FD363" s="83"/>
      <c r="FE363" s="83"/>
      <c r="FF363" s="83"/>
      <c r="FG363" s="83"/>
      <c r="FH363" s="83"/>
      <c r="FI363" s="83"/>
      <c r="FJ363" s="83"/>
      <c r="FK363" s="83"/>
      <c r="FL363" s="83"/>
      <c r="FM363" s="83"/>
      <c r="FN363" s="83"/>
      <c r="FO363" s="83"/>
      <c r="FP363" s="83"/>
      <c r="FQ363" s="83"/>
      <c r="FR363" s="83"/>
      <c r="FS363" s="83"/>
      <c r="FT363" s="83"/>
      <c r="FU363" s="83"/>
      <c r="FV363" s="83"/>
      <c r="FW363" s="83"/>
      <c r="FX363" s="83"/>
      <c r="FY363" s="83"/>
      <c r="FZ363" s="83"/>
      <c r="GA363" s="83"/>
      <c r="GB363" s="83"/>
      <c r="GC363" s="83"/>
      <c r="GD363" s="83"/>
      <c r="GE363" s="83"/>
      <c r="GF363" s="83"/>
      <c r="GG363" s="83"/>
      <c r="GH363" s="83"/>
      <c r="GI363" s="83"/>
      <c r="GJ363" s="83"/>
      <c r="GK363" s="83"/>
      <c r="GL363" s="83"/>
      <c r="GM363" s="83"/>
      <c r="GN363" s="83"/>
      <c r="GO363" s="83"/>
      <c r="GP363" s="83"/>
      <c r="GQ363" s="83"/>
      <c r="GR363" s="83"/>
      <c r="GS363" s="83"/>
      <c r="GT363" s="83"/>
      <c r="GU363" s="83"/>
      <c r="GV363" s="83"/>
      <c r="GW363" s="83"/>
      <c r="GX363" s="83"/>
      <c r="GY363" s="83"/>
      <c r="GZ363" s="83"/>
      <c r="HA363" s="83"/>
      <c r="HB363" s="83"/>
      <c r="HC363" s="83"/>
      <c r="HD363" s="83"/>
      <c r="HE363" s="83"/>
      <c r="HF363" s="83"/>
      <c r="HG363" s="83"/>
      <c r="HH363" s="83"/>
      <c r="HI363" s="83"/>
      <c r="HJ363" s="83"/>
      <c r="HK363" s="83"/>
      <c r="HL363" s="83"/>
      <c r="HM363" s="83"/>
      <c r="HN363" s="83"/>
      <c r="HO363" s="83"/>
      <c r="HP363" s="83"/>
      <c r="HQ363" s="83"/>
      <c r="HR363" s="83"/>
      <c r="HS363" s="83"/>
      <c r="HT363" s="83"/>
      <c r="HU363" s="83"/>
      <c r="HV363" s="83"/>
      <c r="HW363" s="83"/>
      <c r="HX363" s="83"/>
      <c r="HY363" s="83"/>
      <c r="HZ363" s="83"/>
      <c r="IA363" s="83"/>
      <c r="IB363" s="83"/>
      <c r="IC363" s="83"/>
      <c r="ID363" s="83"/>
      <c r="IE363" s="83"/>
      <c r="IF363" s="83"/>
      <c r="IG363" s="83"/>
    </row>
    <row r="364" spans="1:241"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c r="DD364" s="83"/>
      <c r="DE364" s="83"/>
      <c r="DF364" s="83"/>
      <c r="DG364" s="83"/>
      <c r="DH364" s="83"/>
      <c r="DI364" s="83"/>
      <c r="DJ364" s="83"/>
      <c r="DK364" s="83"/>
      <c r="DL364" s="83"/>
      <c r="DM364" s="83"/>
      <c r="DN364" s="83"/>
      <c r="DO364" s="83"/>
      <c r="DP364" s="83"/>
      <c r="DQ364" s="83"/>
      <c r="DR364" s="83"/>
      <c r="DS364" s="83"/>
      <c r="DT364" s="83"/>
      <c r="DU364" s="83"/>
      <c r="DV364" s="83"/>
      <c r="DW364" s="83"/>
      <c r="DX364" s="83"/>
      <c r="DY364" s="83"/>
      <c r="DZ364" s="83"/>
      <c r="EA364" s="83"/>
      <c r="EB364" s="83"/>
      <c r="EC364" s="83"/>
      <c r="ED364" s="83"/>
      <c r="EE364" s="83"/>
      <c r="EF364" s="83"/>
      <c r="EG364" s="83"/>
      <c r="EH364" s="83"/>
      <c r="EI364" s="83"/>
      <c r="EJ364" s="83"/>
      <c r="EK364" s="83"/>
      <c r="EL364" s="83"/>
      <c r="EM364" s="83"/>
      <c r="EN364" s="83"/>
      <c r="EO364" s="83"/>
      <c r="EP364" s="83"/>
      <c r="EQ364" s="83"/>
      <c r="ER364" s="83"/>
      <c r="ES364" s="83"/>
      <c r="ET364" s="83"/>
      <c r="EU364" s="83"/>
      <c r="EV364" s="83"/>
      <c r="EW364" s="83"/>
      <c r="EX364" s="83"/>
      <c r="EY364" s="83"/>
      <c r="EZ364" s="83"/>
      <c r="FA364" s="83"/>
      <c r="FB364" s="83"/>
      <c r="FC364" s="83"/>
      <c r="FD364" s="83"/>
      <c r="FE364" s="83"/>
      <c r="FF364" s="83"/>
      <c r="FG364" s="83"/>
      <c r="FH364" s="83"/>
      <c r="FI364" s="83"/>
      <c r="FJ364" s="83"/>
      <c r="FK364" s="83"/>
      <c r="FL364" s="83"/>
      <c r="FM364" s="83"/>
      <c r="FN364" s="83"/>
      <c r="FO364" s="83"/>
      <c r="FP364" s="83"/>
      <c r="FQ364" s="83"/>
      <c r="FR364" s="83"/>
      <c r="FS364" s="83"/>
      <c r="FT364" s="83"/>
      <c r="FU364" s="83"/>
      <c r="FV364" s="83"/>
      <c r="FW364" s="83"/>
      <c r="FX364" s="83"/>
      <c r="FY364" s="83"/>
      <c r="FZ364" s="83"/>
      <c r="GA364" s="83"/>
      <c r="GB364" s="83"/>
      <c r="GC364" s="83"/>
      <c r="GD364" s="83"/>
      <c r="GE364" s="83"/>
      <c r="GF364" s="83"/>
      <c r="GG364" s="83"/>
      <c r="GH364" s="83"/>
      <c r="GI364" s="83"/>
      <c r="GJ364" s="83"/>
      <c r="GK364" s="83"/>
      <c r="GL364" s="83"/>
      <c r="GM364" s="83"/>
      <c r="GN364" s="83"/>
      <c r="GO364" s="83"/>
      <c r="GP364" s="83"/>
      <c r="GQ364" s="83"/>
      <c r="GR364" s="83"/>
      <c r="GS364" s="83"/>
      <c r="GT364" s="83"/>
      <c r="GU364" s="83"/>
      <c r="GV364" s="83"/>
      <c r="GW364" s="83"/>
      <c r="GX364" s="83"/>
      <c r="GY364" s="83"/>
      <c r="GZ364" s="83"/>
      <c r="HA364" s="83"/>
      <c r="HB364" s="83"/>
      <c r="HC364" s="83"/>
      <c r="HD364" s="83"/>
      <c r="HE364" s="83"/>
      <c r="HF364" s="83"/>
      <c r="HG364" s="83"/>
      <c r="HH364" s="83"/>
      <c r="HI364" s="83"/>
      <c r="HJ364" s="83"/>
      <c r="HK364" s="83"/>
      <c r="HL364" s="83"/>
      <c r="HM364" s="83"/>
      <c r="HN364" s="83"/>
      <c r="HO364" s="83"/>
      <c r="HP364" s="83"/>
      <c r="HQ364" s="83"/>
      <c r="HR364" s="83"/>
      <c r="HS364" s="83"/>
      <c r="HT364" s="83"/>
      <c r="HU364" s="83"/>
      <c r="HV364" s="83"/>
      <c r="HW364" s="83"/>
      <c r="HX364" s="83"/>
      <c r="HY364" s="83"/>
      <c r="HZ364" s="83"/>
      <c r="IA364" s="83"/>
      <c r="IB364" s="83"/>
      <c r="IC364" s="83"/>
      <c r="ID364" s="83"/>
      <c r="IE364" s="83"/>
      <c r="IF364" s="83"/>
      <c r="IG364" s="83"/>
    </row>
    <row r="365" spans="1:241"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c r="DD365" s="83"/>
      <c r="DE365" s="83"/>
      <c r="DF365" s="83"/>
      <c r="DG365" s="83"/>
      <c r="DH365" s="83"/>
      <c r="DI365" s="83"/>
      <c r="DJ365" s="83"/>
      <c r="DK365" s="83"/>
      <c r="DL365" s="83"/>
      <c r="DM365" s="83"/>
      <c r="DN365" s="83"/>
      <c r="DO365" s="83"/>
      <c r="DP365" s="83"/>
      <c r="DQ365" s="83"/>
      <c r="DR365" s="83"/>
      <c r="DS365" s="83"/>
      <c r="DT365" s="83"/>
      <c r="DU365" s="83"/>
      <c r="DV365" s="83"/>
      <c r="DW365" s="83"/>
      <c r="DX365" s="83"/>
      <c r="DY365" s="83"/>
      <c r="DZ365" s="83"/>
      <c r="EA365" s="83"/>
      <c r="EB365" s="83"/>
      <c r="EC365" s="83"/>
      <c r="ED365" s="83"/>
      <c r="EE365" s="83"/>
      <c r="EF365" s="83"/>
      <c r="EG365" s="83"/>
      <c r="EH365" s="83"/>
      <c r="EI365" s="83"/>
      <c r="EJ365" s="83"/>
      <c r="EK365" s="83"/>
      <c r="EL365" s="83"/>
      <c r="EM365" s="83"/>
      <c r="EN365" s="83"/>
      <c r="EO365" s="83"/>
      <c r="EP365" s="83"/>
      <c r="EQ365" s="83"/>
      <c r="ER365" s="83"/>
      <c r="ES365" s="83"/>
      <c r="ET365" s="83"/>
      <c r="EU365" s="83"/>
      <c r="EV365" s="83"/>
      <c r="EW365" s="83"/>
      <c r="EX365" s="83"/>
      <c r="EY365" s="83"/>
      <c r="EZ365" s="83"/>
      <c r="FA365" s="83"/>
      <c r="FB365" s="83"/>
      <c r="FC365" s="83"/>
      <c r="FD365" s="83"/>
      <c r="FE365" s="83"/>
      <c r="FF365" s="83"/>
      <c r="FG365" s="83"/>
      <c r="FH365" s="83"/>
      <c r="FI365" s="83"/>
      <c r="FJ365" s="83"/>
      <c r="FK365" s="83"/>
      <c r="FL365" s="83"/>
      <c r="FM365" s="83"/>
      <c r="FN365" s="83"/>
      <c r="FO365" s="83"/>
      <c r="FP365" s="83"/>
      <c r="FQ365" s="83"/>
      <c r="FR365" s="83"/>
      <c r="FS365" s="83"/>
      <c r="FT365" s="83"/>
      <c r="FU365" s="83"/>
      <c r="FV365" s="83"/>
      <c r="FW365" s="83"/>
      <c r="FX365" s="83"/>
      <c r="FY365" s="83"/>
      <c r="FZ365" s="83"/>
      <c r="GA365" s="83"/>
      <c r="GB365" s="83"/>
      <c r="GC365" s="83"/>
      <c r="GD365" s="83"/>
      <c r="GE365" s="83"/>
      <c r="GF365" s="83"/>
      <c r="GG365" s="83"/>
      <c r="GH365" s="83"/>
      <c r="GI365" s="83"/>
      <c r="GJ365" s="83"/>
      <c r="GK365" s="83"/>
      <c r="GL365" s="83"/>
      <c r="GM365" s="83"/>
      <c r="GN365" s="83"/>
      <c r="GO365" s="83"/>
      <c r="GP365" s="83"/>
      <c r="GQ365" s="83"/>
      <c r="GR365" s="83"/>
      <c r="GS365" s="83"/>
      <c r="GT365" s="83"/>
      <c r="GU365" s="83"/>
      <c r="GV365" s="83"/>
      <c r="GW365" s="83"/>
      <c r="GX365" s="83"/>
      <c r="GY365" s="83"/>
      <c r="GZ365" s="83"/>
      <c r="HA365" s="83"/>
      <c r="HB365" s="83"/>
      <c r="HC365" s="83"/>
      <c r="HD365" s="83"/>
      <c r="HE365" s="83"/>
      <c r="HF365" s="83"/>
      <c r="HG365" s="83"/>
      <c r="HH365" s="83"/>
      <c r="HI365" s="83"/>
      <c r="HJ365" s="83"/>
      <c r="HK365" s="83"/>
      <c r="HL365" s="83"/>
      <c r="HM365" s="83"/>
      <c r="HN365" s="83"/>
      <c r="HO365" s="83"/>
      <c r="HP365" s="83"/>
      <c r="HQ365" s="83"/>
      <c r="HR365" s="83"/>
      <c r="HS365" s="83"/>
      <c r="HT365" s="83"/>
      <c r="HU365" s="83"/>
      <c r="HV365" s="83"/>
      <c r="HW365" s="83"/>
      <c r="HX365" s="83"/>
      <c r="HY365" s="83"/>
      <c r="HZ365" s="83"/>
      <c r="IA365" s="83"/>
      <c r="IB365" s="83"/>
      <c r="IC365" s="83"/>
      <c r="ID365" s="83"/>
      <c r="IE365" s="83"/>
      <c r="IF365" s="83"/>
      <c r="IG365" s="83"/>
    </row>
    <row r="366" spans="1:241"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c r="DD366" s="83"/>
      <c r="DE366" s="83"/>
      <c r="DF366" s="83"/>
      <c r="DG366" s="83"/>
      <c r="DH366" s="83"/>
      <c r="DI366" s="83"/>
      <c r="DJ366" s="83"/>
      <c r="DK366" s="83"/>
      <c r="DL366" s="83"/>
      <c r="DM366" s="83"/>
      <c r="DN366" s="83"/>
      <c r="DO366" s="83"/>
      <c r="DP366" s="83"/>
      <c r="DQ366" s="83"/>
      <c r="DR366" s="83"/>
      <c r="DS366" s="83"/>
      <c r="DT366" s="83"/>
      <c r="DU366" s="83"/>
      <c r="DV366" s="83"/>
      <c r="DW366" s="83"/>
      <c r="DX366" s="83"/>
      <c r="DY366" s="83"/>
      <c r="DZ366" s="83"/>
      <c r="EA366" s="83"/>
      <c r="EB366" s="83"/>
      <c r="EC366" s="83"/>
      <c r="ED366" s="83"/>
      <c r="EE366" s="83"/>
      <c r="EF366" s="83"/>
      <c r="EG366" s="83"/>
      <c r="EH366" s="83"/>
      <c r="EI366" s="83"/>
      <c r="EJ366" s="83"/>
      <c r="EK366" s="83"/>
      <c r="EL366" s="83"/>
      <c r="EM366" s="83"/>
      <c r="EN366" s="83"/>
      <c r="EO366" s="83"/>
      <c r="EP366" s="83"/>
      <c r="EQ366" s="83"/>
      <c r="ER366" s="83"/>
      <c r="ES366" s="83"/>
      <c r="ET366" s="83"/>
      <c r="EU366" s="83"/>
      <c r="EV366" s="83"/>
      <c r="EW366" s="83"/>
      <c r="EX366" s="83"/>
      <c r="EY366" s="83"/>
      <c r="EZ366" s="83"/>
      <c r="FA366" s="83"/>
      <c r="FB366" s="83"/>
      <c r="FC366" s="83"/>
      <c r="FD366" s="83"/>
      <c r="FE366" s="83"/>
      <c r="FF366" s="83"/>
      <c r="FG366" s="83"/>
      <c r="FH366" s="83"/>
      <c r="FI366" s="83"/>
      <c r="FJ366" s="83"/>
      <c r="FK366" s="83"/>
      <c r="FL366" s="83"/>
      <c r="FM366" s="83"/>
      <c r="FN366" s="83"/>
      <c r="FO366" s="83"/>
      <c r="FP366" s="83"/>
      <c r="FQ366" s="83"/>
      <c r="FR366" s="83"/>
      <c r="FS366" s="83"/>
      <c r="FT366" s="83"/>
      <c r="FU366" s="83"/>
      <c r="FV366" s="83"/>
      <c r="FW366" s="83"/>
      <c r="FX366" s="83"/>
      <c r="FY366" s="83"/>
      <c r="FZ366" s="83"/>
      <c r="GA366" s="83"/>
      <c r="GB366" s="83"/>
      <c r="GC366" s="83"/>
      <c r="GD366" s="83"/>
      <c r="GE366" s="83"/>
      <c r="GF366" s="83"/>
      <c r="GG366" s="83"/>
      <c r="GH366" s="83"/>
      <c r="GI366" s="83"/>
      <c r="GJ366" s="83"/>
      <c r="GK366" s="83"/>
      <c r="GL366" s="83"/>
      <c r="GM366" s="83"/>
      <c r="GN366" s="83"/>
      <c r="GO366" s="83"/>
      <c r="GP366" s="83"/>
      <c r="GQ366" s="83"/>
      <c r="GR366" s="83"/>
      <c r="GS366" s="83"/>
      <c r="GT366" s="83"/>
      <c r="GU366" s="83"/>
      <c r="GV366" s="83"/>
      <c r="GW366" s="83"/>
      <c r="GX366" s="83"/>
      <c r="GY366" s="83"/>
      <c r="GZ366" s="83"/>
      <c r="HA366" s="83"/>
      <c r="HB366" s="83"/>
      <c r="HC366" s="83"/>
      <c r="HD366" s="83"/>
      <c r="HE366" s="83"/>
      <c r="HF366" s="83"/>
      <c r="HG366" s="83"/>
      <c r="HH366" s="83"/>
      <c r="HI366" s="83"/>
      <c r="HJ366" s="83"/>
      <c r="HK366" s="83"/>
      <c r="HL366" s="83"/>
      <c r="HM366" s="83"/>
      <c r="HN366" s="83"/>
      <c r="HO366" s="83"/>
      <c r="HP366" s="83"/>
      <c r="HQ366" s="83"/>
      <c r="HR366" s="83"/>
      <c r="HS366" s="83"/>
      <c r="HT366" s="83"/>
      <c r="HU366" s="83"/>
      <c r="HV366" s="83"/>
      <c r="HW366" s="83"/>
      <c r="HX366" s="83"/>
      <c r="HY366" s="83"/>
      <c r="HZ366" s="83"/>
      <c r="IA366" s="83"/>
      <c r="IB366" s="83"/>
      <c r="IC366" s="83"/>
      <c r="ID366" s="83"/>
      <c r="IE366" s="83"/>
      <c r="IF366" s="83"/>
      <c r="IG366" s="83"/>
    </row>
    <row r="367" spans="1:241"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c r="DD367" s="83"/>
      <c r="DE367" s="83"/>
      <c r="DF367" s="83"/>
      <c r="DG367" s="83"/>
      <c r="DH367" s="83"/>
      <c r="DI367" s="83"/>
      <c r="DJ367" s="83"/>
      <c r="DK367" s="83"/>
      <c r="DL367" s="83"/>
      <c r="DM367" s="83"/>
      <c r="DN367" s="83"/>
      <c r="DO367" s="83"/>
      <c r="DP367" s="83"/>
      <c r="DQ367" s="83"/>
      <c r="DR367" s="83"/>
      <c r="DS367" s="83"/>
      <c r="DT367" s="83"/>
      <c r="DU367" s="83"/>
      <c r="DV367" s="83"/>
      <c r="DW367" s="83"/>
      <c r="DX367" s="83"/>
      <c r="DY367" s="83"/>
      <c r="DZ367" s="83"/>
      <c r="EA367" s="83"/>
      <c r="EB367" s="83"/>
      <c r="EC367" s="83"/>
      <c r="ED367" s="83"/>
      <c r="EE367" s="83"/>
      <c r="EF367" s="83"/>
      <c r="EG367" s="83"/>
      <c r="EH367" s="83"/>
      <c r="EI367" s="83"/>
      <c r="EJ367" s="83"/>
      <c r="EK367" s="83"/>
      <c r="EL367" s="83"/>
      <c r="EM367" s="83"/>
      <c r="EN367" s="83"/>
      <c r="EO367" s="83"/>
      <c r="EP367" s="83"/>
      <c r="EQ367" s="83"/>
      <c r="ER367" s="83"/>
      <c r="ES367" s="83"/>
      <c r="ET367" s="83"/>
      <c r="EU367" s="83"/>
      <c r="EV367" s="83"/>
      <c r="EW367" s="83"/>
      <c r="EX367" s="83"/>
      <c r="EY367" s="83"/>
      <c r="EZ367" s="83"/>
      <c r="FA367" s="83"/>
      <c r="FB367" s="83"/>
      <c r="FC367" s="83"/>
      <c r="FD367" s="83"/>
      <c r="FE367" s="83"/>
      <c r="FF367" s="83"/>
      <c r="FG367" s="83"/>
      <c r="FH367" s="83"/>
      <c r="FI367" s="83"/>
      <c r="FJ367" s="83"/>
      <c r="FK367" s="83"/>
      <c r="FL367" s="83"/>
      <c r="FM367" s="83"/>
      <c r="FN367" s="83"/>
      <c r="FO367" s="83"/>
      <c r="FP367" s="83"/>
      <c r="FQ367" s="83"/>
      <c r="FR367" s="83"/>
      <c r="FS367" s="83"/>
      <c r="FT367" s="83"/>
      <c r="FU367" s="83"/>
      <c r="FV367" s="83"/>
      <c r="FW367" s="83"/>
      <c r="FX367" s="83"/>
      <c r="FY367" s="83"/>
      <c r="FZ367" s="83"/>
      <c r="GA367" s="83"/>
      <c r="GB367" s="83"/>
      <c r="GC367" s="83"/>
      <c r="GD367" s="83"/>
      <c r="GE367" s="83"/>
      <c r="GF367" s="83"/>
      <c r="GG367" s="83"/>
      <c r="GH367" s="83"/>
      <c r="GI367" s="83"/>
      <c r="GJ367" s="83"/>
      <c r="GK367" s="83"/>
      <c r="GL367" s="83"/>
      <c r="GM367" s="83"/>
      <c r="GN367" s="83"/>
      <c r="GO367" s="83"/>
      <c r="GP367" s="83"/>
      <c r="GQ367" s="83"/>
      <c r="GR367" s="83"/>
      <c r="GS367" s="83"/>
      <c r="GT367" s="83"/>
      <c r="GU367" s="83"/>
      <c r="GV367" s="83"/>
      <c r="GW367" s="83"/>
      <c r="GX367" s="83"/>
      <c r="GY367" s="83"/>
      <c r="GZ367" s="83"/>
      <c r="HA367" s="83"/>
      <c r="HB367" s="83"/>
      <c r="HC367" s="83"/>
      <c r="HD367" s="83"/>
      <c r="HE367" s="83"/>
      <c r="HF367" s="83"/>
      <c r="HG367" s="83"/>
      <c r="HH367" s="83"/>
      <c r="HI367" s="83"/>
      <c r="HJ367" s="83"/>
      <c r="HK367" s="83"/>
      <c r="HL367" s="83"/>
      <c r="HM367" s="83"/>
      <c r="HN367" s="83"/>
      <c r="HO367" s="83"/>
      <c r="HP367" s="83"/>
      <c r="HQ367" s="83"/>
      <c r="HR367" s="83"/>
      <c r="HS367" s="83"/>
      <c r="HT367" s="83"/>
      <c r="HU367" s="83"/>
      <c r="HV367" s="83"/>
      <c r="HW367" s="83"/>
      <c r="HX367" s="83"/>
      <c r="HY367" s="83"/>
      <c r="HZ367" s="83"/>
      <c r="IA367" s="83"/>
      <c r="IB367" s="83"/>
      <c r="IC367" s="83"/>
      <c r="ID367" s="83"/>
      <c r="IE367" s="83"/>
      <c r="IF367" s="83"/>
      <c r="IG367" s="83"/>
    </row>
    <row r="368" spans="1:241"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c r="DD368" s="83"/>
      <c r="DE368" s="83"/>
      <c r="DF368" s="83"/>
      <c r="DG368" s="83"/>
      <c r="DH368" s="83"/>
      <c r="DI368" s="83"/>
      <c r="DJ368" s="83"/>
      <c r="DK368" s="83"/>
      <c r="DL368" s="83"/>
      <c r="DM368" s="83"/>
      <c r="DN368" s="83"/>
      <c r="DO368" s="83"/>
      <c r="DP368" s="83"/>
      <c r="DQ368" s="83"/>
      <c r="DR368" s="83"/>
      <c r="DS368" s="83"/>
      <c r="DT368" s="83"/>
      <c r="DU368" s="83"/>
      <c r="DV368" s="83"/>
      <c r="DW368" s="83"/>
      <c r="DX368" s="83"/>
      <c r="DY368" s="83"/>
      <c r="DZ368" s="83"/>
      <c r="EA368" s="83"/>
      <c r="EB368" s="83"/>
      <c r="EC368" s="83"/>
      <c r="ED368" s="83"/>
      <c r="EE368" s="83"/>
      <c r="EF368" s="83"/>
      <c r="EG368" s="83"/>
      <c r="EH368" s="83"/>
      <c r="EI368" s="83"/>
      <c r="EJ368" s="83"/>
      <c r="EK368" s="83"/>
      <c r="EL368" s="83"/>
      <c r="EM368" s="83"/>
      <c r="EN368" s="83"/>
      <c r="EO368" s="83"/>
      <c r="EP368" s="83"/>
      <c r="EQ368" s="83"/>
      <c r="ER368" s="83"/>
      <c r="ES368" s="83"/>
      <c r="ET368" s="83"/>
      <c r="EU368" s="83"/>
      <c r="EV368" s="83"/>
      <c r="EW368" s="83"/>
      <c r="EX368" s="83"/>
      <c r="EY368" s="83"/>
      <c r="EZ368" s="83"/>
      <c r="FA368" s="83"/>
      <c r="FB368" s="83"/>
      <c r="FC368" s="83"/>
      <c r="FD368" s="83"/>
      <c r="FE368" s="83"/>
      <c r="FF368" s="83"/>
      <c r="FG368" s="83"/>
      <c r="FH368" s="83"/>
      <c r="FI368" s="83"/>
      <c r="FJ368" s="83"/>
      <c r="FK368" s="83"/>
      <c r="FL368" s="83"/>
      <c r="FM368" s="83"/>
      <c r="FN368" s="83"/>
      <c r="FO368" s="83"/>
      <c r="FP368" s="83"/>
      <c r="FQ368" s="83"/>
      <c r="FR368" s="83"/>
      <c r="FS368" s="83"/>
      <c r="FT368" s="83"/>
      <c r="FU368" s="83"/>
      <c r="FV368" s="83"/>
      <c r="FW368" s="83"/>
      <c r="FX368" s="83"/>
      <c r="FY368" s="83"/>
      <c r="FZ368" s="83"/>
      <c r="GA368" s="83"/>
      <c r="GB368" s="83"/>
      <c r="GC368" s="83"/>
      <c r="GD368" s="83"/>
      <c r="GE368" s="83"/>
      <c r="GF368" s="83"/>
      <c r="GG368" s="83"/>
      <c r="GH368" s="83"/>
      <c r="GI368" s="83"/>
      <c r="GJ368" s="83"/>
      <c r="GK368" s="83"/>
      <c r="GL368" s="83"/>
      <c r="GM368" s="83"/>
      <c r="GN368" s="83"/>
      <c r="GO368" s="83"/>
      <c r="GP368" s="83"/>
      <c r="GQ368" s="83"/>
      <c r="GR368" s="83"/>
      <c r="GS368" s="83"/>
      <c r="GT368" s="83"/>
      <c r="GU368" s="83"/>
      <c r="GV368" s="83"/>
      <c r="GW368" s="83"/>
      <c r="GX368" s="83"/>
      <c r="GY368" s="83"/>
      <c r="GZ368" s="83"/>
      <c r="HA368" s="83"/>
      <c r="HB368" s="83"/>
      <c r="HC368" s="83"/>
      <c r="HD368" s="83"/>
      <c r="HE368" s="83"/>
      <c r="HF368" s="83"/>
      <c r="HG368" s="83"/>
      <c r="HH368" s="83"/>
      <c r="HI368" s="83"/>
      <c r="HJ368" s="83"/>
      <c r="HK368" s="83"/>
      <c r="HL368" s="83"/>
      <c r="HM368" s="83"/>
      <c r="HN368" s="83"/>
      <c r="HO368" s="83"/>
      <c r="HP368" s="83"/>
      <c r="HQ368" s="83"/>
      <c r="HR368" s="83"/>
      <c r="HS368" s="83"/>
      <c r="HT368" s="83"/>
      <c r="HU368" s="83"/>
      <c r="HV368" s="83"/>
      <c r="HW368" s="83"/>
      <c r="HX368" s="83"/>
      <c r="HY368" s="83"/>
      <c r="HZ368" s="83"/>
      <c r="IA368" s="83"/>
      <c r="IB368" s="83"/>
      <c r="IC368" s="83"/>
      <c r="ID368" s="83"/>
      <c r="IE368" s="83"/>
      <c r="IF368" s="83"/>
      <c r="IG368" s="83"/>
    </row>
    <row r="369" spans="1:241"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c r="DD369" s="83"/>
      <c r="DE369" s="83"/>
      <c r="DF369" s="83"/>
      <c r="DG369" s="83"/>
      <c r="DH369" s="83"/>
      <c r="DI369" s="83"/>
      <c r="DJ369" s="83"/>
      <c r="DK369" s="83"/>
      <c r="DL369" s="83"/>
      <c r="DM369" s="83"/>
      <c r="DN369" s="83"/>
      <c r="DO369" s="83"/>
      <c r="DP369" s="83"/>
      <c r="DQ369" s="83"/>
      <c r="DR369" s="83"/>
      <c r="DS369" s="83"/>
      <c r="DT369" s="83"/>
      <c r="DU369" s="83"/>
      <c r="DV369" s="83"/>
      <c r="DW369" s="83"/>
      <c r="DX369" s="83"/>
      <c r="DY369" s="83"/>
      <c r="DZ369" s="83"/>
      <c r="EA369" s="83"/>
      <c r="EB369" s="83"/>
      <c r="EC369" s="83"/>
      <c r="ED369" s="83"/>
      <c r="EE369" s="83"/>
      <c r="EF369" s="83"/>
      <c r="EG369" s="83"/>
      <c r="EH369" s="83"/>
      <c r="EI369" s="83"/>
      <c r="EJ369" s="83"/>
      <c r="EK369" s="83"/>
      <c r="EL369" s="83"/>
      <c r="EM369" s="83"/>
      <c r="EN369" s="83"/>
      <c r="EO369" s="83"/>
      <c r="EP369" s="83"/>
      <c r="EQ369" s="83"/>
      <c r="ER369" s="83"/>
      <c r="ES369" s="83"/>
      <c r="ET369" s="83"/>
      <c r="EU369" s="83"/>
      <c r="EV369" s="83"/>
      <c r="EW369" s="83"/>
      <c r="EX369" s="83"/>
      <c r="EY369" s="83"/>
      <c r="EZ369" s="83"/>
      <c r="FA369" s="83"/>
      <c r="FB369" s="83"/>
      <c r="FC369" s="83"/>
      <c r="FD369" s="83"/>
      <c r="FE369" s="83"/>
      <c r="FF369" s="83"/>
      <c r="FG369" s="83"/>
      <c r="FH369" s="83"/>
      <c r="FI369" s="83"/>
      <c r="FJ369" s="83"/>
      <c r="FK369" s="83"/>
      <c r="FL369" s="83"/>
      <c r="FM369" s="83"/>
      <c r="FN369" s="83"/>
      <c r="FO369" s="83"/>
      <c r="FP369" s="83"/>
      <c r="FQ369" s="83"/>
      <c r="FR369" s="83"/>
      <c r="FS369" s="83"/>
      <c r="FT369" s="83"/>
      <c r="FU369" s="83"/>
      <c r="FV369" s="83"/>
      <c r="FW369" s="83"/>
      <c r="FX369" s="83"/>
      <c r="FY369" s="83"/>
      <c r="FZ369" s="83"/>
      <c r="GA369" s="83"/>
      <c r="GB369" s="83"/>
      <c r="GC369" s="83"/>
      <c r="GD369" s="83"/>
      <c r="GE369" s="83"/>
      <c r="GF369" s="83"/>
      <c r="GG369" s="83"/>
      <c r="GH369" s="83"/>
      <c r="GI369" s="83"/>
      <c r="GJ369" s="83"/>
      <c r="GK369" s="83"/>
      <c r="GL369" s="83"/>
      <c r="GM369" s="83"/>
      <c r="GN369" s="83"/>
      <c r="GO369" s="83"/>
      <c r="GP369" s="83"/>
      <c r="GQ369" s="83"/>
      <c r="GR369" s="83"/>
      <c r="GS369" s="83"/>
      <c r="GT369" s="83"/>
      <c r="GU369" s="83"/>
      <c r="GV369" s="83"/>
      <c r="GW369" s="83"/>
      <c r="GX369" s="83"/>
      <c r="GY369" s="83"/>
      <c r="GZ369" s="83"/>
      <c r="HA369" s="83"/>
      <c r="HB369" s="83"/>
      <c r="HC369" s="83"/>
      <c r="HD369" s="83"/>
      <c r="HE369" s="83"/>
      <c r="HF369" s="83"/>
      <c r="HG369" s="83"/>
      <c r="HH369" s="83"/>
      <c r="HI369" s="83"/>
      <c r="HJ369" s="83"/>
      <c r="HK369" s="83"/>
      <c r="HL369" s="83"/>
      <c r="HM369" s="83"/>
      <c r="HN369" s="83"/>
      <c r="HO369" s="83"/>
      <c r="HP369" s="83"/>
      <c r="HQ369" s="83"/>
      <c r="HR369" s="83"/>
      <c r="HS369" s="83"/>
      <c r="HT369" s="83"/>
      <c r="HU369" s="83"/>
      <c r="HV369" s="83"/>
      <c r="HW369" s="83"/>
      <c r="HX369" s="83"/>
      <c r="HY369" s="83"/>
      <c r="HZ369" s="83"/>
      <c r="IA369" s="83"/>
      <c r="IB369" s="83"/>
      <c r="IC369" s="83"/>
      <c r="ID369" s="83"/>
      <c r="IE369" s="83"/>
      <c r="IF369" s="83"/>
      <c r="IG369" s="83"/>
    </row>
    <row r="370" spans="1:241"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c r="DD370" s="83"/>
      <c r="DE370" s="83"/>
      <c r="DF370" s="83"/>
      <c r="DG370" s="83"/>
      <c r="DH370" s="83"/>
      <c r="DI370" s="83"/>
      <c r="DJ370" s="83"/>
      <c r="DK370" s="83"/>
      <c r="DL370" s="83"/>
      <c r="DM370" s="83"/>
      <c r="DN370" s="83"/>
      <c r="DO370" s="83"/>
      <c r="DP370" s="83"/>
      <c r="DQ370" s="83"/>
      <c r="DR370" s="83"/>
      <c r="DS370" s="83"/>
      <c r="DT370" s="83"/>
      <c r="DU370" s="83"/>
      <c r="DV370" s="83"/>
      <c r="DW370" s="83"/>
      <c r="DX370" s="83"/>
      <c r="DY370" s="83"/>
      <c r="DZ370" s="83"/>
      <c r="EA370" s="83"/>
      <c r="EB370" s="83"/>
      <c r="EC370" s="83"/>
      <c r="ED370" s="83"/>
      <c r="EE370" s="83"/>
      <c r="EF370" s="83"/>
      <c r="EG370" s="83"/>
      <c r="EH370" s="83"/>
      <c r="EI370" s="83"/>
      <c r="EJ370" s="83"/>
      <c r="EK370" s="83"/>
      <c r="EL370" s="83"/>
      <c r="EM370" s="83"/>
      <c r="EN370" s="83"/>
      <c r="EO370" s="83"/>
      <c r="EP370" s="83"/>
      <c r="EQ370" s="83"/>
      <c r="ER370" s="83"/>
      <c r="ES370" s="83"/>
      <c r="ET370" s="83"/>
      <c r="EU370" s="83"/>
      <c r="EV370" s="83"/>
      <c r="EW370" s="83"/>
      <c r="EX370" s="83"/>
      <c r="EY370" s="83"/>
      <c r="EZ370" s="83"/>
      <c r="FA370" s="83"/>
      <c r="FB370" s="83"/>
      <c r="FC370" s="83"/>
      <c r="FD370" s="83"/>
      <c r="FE370" s="83"/>
      <c r="FF370" s="83"/>
      <c r="FG370" s="83"/>
      <c r="FH370" s="83"/>
      <c r="FI370" s="83"/>
      <c r="FJ370" s="83"/>
      <c r="FK370" s="83"/>
      <c r="FL370" s="83"/>
      <c r="FM370" s="83"/>
      <c r="FN370" s="83"/>
      <c r="FO370" s="83"/>
      <c r="FP370" s="83"/>
      <c r="FQ370" s="83"/>
      <c r="FR370" s="83"/>
      <c r="FS370" s="83"/>
      <c r="FT370" s="83"/>
      <c r="FU370" s="83"/>
      <c r="FV370" s="83"/>
      <c r="FW370" s="83"/>
      <c r="FX370" s="83"/>
      <c r="FY370" s="83"/>
      <c r="FZ370" s="83"/>
      <c r="GA370" s="83"/>
      <c r="GB370" s="83"/>
      <c r="GC370" s="83"/>
      <c r="GD370" s="83"/>
      <c r="GE370" s="83"/>
      <c r="GF370" s="83"/>
      <c r="GG370" s="83"/>
      <c r="GH370" s="83"/>
      <c r="GI370" s="83"/>
      <c r="GJ370" s="83"/>
      <c r="GK370" s="83"/>
      <c r="GL370" s="83"/>
      <c r="GM370" s="83"/>
      <c r="GN370" s="83"/>
      <c r="GO370" s="83"/>
      <c r="GP370" s="83"/>
      <c r="GQ370" s="83"/>
      <c r="GR370" s="83"/>
      <c r="GS370" s="83"/>
      <c r="GT370" s="83"/>
      <c r="GU370" s="83"/>
      <c r="GV370" s="83"/>
      <c r="GW370" s="83"/>
      <c r="GX370" s="83"/>
      <c r="GY370" s="83"/>
      <c r="GZ370" s="83"/>
      <c r="HA370" s="83"/>
      <c r="HB370" s="83"/>
      <c r="HC370" s="83"/>
      <c r="HD370" s="83"/>
      <c r="HE370" s="83"/>
      <c r="HF370" s="83"/>
      <c r="HG370" s="83"/>
      <c r="HH370" s="83"/>
      <c r="HI370" s="83"/>
      <c r="HJ370" s="83"/>
      <c r="HK370" s="83"/>
      <c r="HL370" s="83"/>
      <c r="HM370" s="83"/>
      <c r="HN370" s="83"/>
      <c r="HO370" s="83"/>
      <c r="HP370" s="83"/>
      <c r="HQ370" s="83"/>
      <c r="HR370" s="83"/>
      <c r="HS370" s="83"/>
      <c r="HT370" s="83"/>
      <c r="HU370" s="83"/>
      <c r="HV370" s="83"/>
      <c r="HW370" s="83"/>
      <c r="HX370" s="83"/>
      <c r="HY370" s="83"/>
      <c r="HZ370" s="83"/>
      <c r="IA370" s="83"/>
      <c r="IB370" s="83"/>
      <c r="IC370" s="83"/>
      <c r="ID370" s="83"/>
      <c r="IE370" s="83"/>
      <c r="IF370" s="83"/>
      <c r="IG370" s="83"/>
    </row>
    <row r="371" spans="1:241"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c r="DD371" s="83"/>
      <c r="DE371" s="83"/>
      <c r="DF371" s="83"/>
      <c r="DG371" s="83"/>
      <c r="DH371" s="83"/>
      <c r="DI371" s="83"/>
      <c r="DJ371" s="83"/>
      <c r="DK371" s="83"/>
      <c r="DL371" s="83"/>
      <c r="DM371" s="83"/>
      <c r="DN371" s="83"/>
      <c r="DO371" s="83"/>
      <c r="DP371" s="83"/>
      <c r="DQ371" s="83"/>
      <c r="DR371" s="83"/>
      <c r="DS371" s="83"/>
      <c r="DT371" s="83"/>
      <c r="DU371" s="83"/>
      <c r="DV371" s="83"/>
      <c r="DW371" s="83"/>
      <c r="DX371" s="83"/>
      <c r="DY371" s="83"/>
      <c r="DZ371" s="83"/>
      <c r="EA371" s="83"/>
      <c r="EB371" s="83"/>
      <c r="EC371" s="83"/>
      <c r="ED371" s="83"/>
      <c r="EE371" s="83"/>
      <c r="EF371" s="83"/>
      <c r="EG371" s="83"/>
      <c r="EH371" s="83"/>
      <c r="EI371" s="83"/>
      <c r="EJ371" s="83"/>
      <c r="EK371" s="83"/>
      <c r="EL371" s="83"/>
      <c r="EM371" s="83"/>
      <c r="EN371" s="83"/>
      <c r="EO371" s="83"/>
      <c r="EP371" s="83"/>
      <c r="EQ371" s="83"/>
      <c r="ER371" s="83"/>
      <c r="ES371" s="83"/>
      <c r="ET371" s="83"/>
      <c r="EU371" s="83"/>
      <c r="EV371" s="83"/>
      <c r="EW371" s="83"/>
      <c r="EX371" s="83"/>
      <c r="EY371" s="83"/>
      <c r="EZ371" s="83"/>
      <c r="FA371" s="83"/>
      <c r="FB371" s="83"/>
      <c r="FC371" s="83"/>
      <c r="FD371" s="83"/>
      <c r="FE371" s="83"/>
      <c r="FF371" s="83"/>
      <c r="FG371" s="83"/>
      <c r="FH371" s="83"/>
      <c r="FI371" s="83"/>
      <c r="FJ371" s="83"/>
      <c r="FK371" s="83"/>
      <c r="FL371" s="83"/>
      <c r="FM371" s="83"/>
      <c r="FN371" s="83"/>
      <c r="FO371" s="83"/>
      <c r="FP371" s="83"/>
      <c r="FQ371" s="83"/>
      <c r="FR371" s="83"/>
      <c r="FS371" s="83"/>
      <c r="FT371" s="83"/>
      <c r="FU371" s="83"/>
      <c r="FV371" s="83"/>
      <c r="FW371" s="83"/>
      <c r="FX371" s="83"/>
      <c r="FY371" s="83"/>
      <c r="FZ371" s="83"/>
      <c r="GA371" s="83"/>
      <c r="GB371" s="83"/>
      <c r="GC371" s="83"/>
      <c r="GD371" s="83"/>
      <c r="GE371" s="83"/>
      <c r="GF371" s="83"/>
      <c r="GG371" s="83"/>
      <c r="GH371" s="83"/>
      <c r="GI371" s="83"/>
      <c r="GJ371" s="83"/>
      <c r="GK371" s="83"/>
      <c r="GL371" s="83"/>
      <c r="GM371" s="83"/>
      <c r="GN371" s="83"/>
      <c r="GO371" s="83"/>
      <c r="GP371" s="83"/>
      <c r="GQ371" s="83"/>
      <c r="GR371" s="83"/>
      <c r="GS371" s="83"/>
      <c r="GT371" s="83"/>
      <c r="GU371" s="83"/>
      <c r="GV371" s="83"/>
      <c r="GW371" s="83"/>
      <c r="GX371" s="83"/>
      <c r="GY371" s="83"/>
      <c r="GZ371" s="83"/>
      <c r="HA371" s="83"/>
      <c r="HB371" s="83"/>
      <c r="HC371" s="83"/>
      <c r="HD371" s="83"/>
      <c r="HE371" s="83"/>
      <c r="HF371" s="83"/>
      <c r="HG371" s="83"/>
      <c r="HH371" s="83"/>
      <c r="HI371" s="83"/>
      <c r="HJ371" s="83"/>
      <c r="HK371" s="83"/>
      <c r="HL371" s="83"/>
      <c r="HM371" s="83"/>
      <c r="HN371" s="83"/>
      <c r="HO371" s="83"/>
      <c r="HP371" s="83"/>
      <c r="HQ371" s="83"/>
      <c r="HR371" s="83"/>
      <c r="HS371" s="83"/>
      <c r="HT371" s="83"/>
      <c r="HU371" s="83"/>
      <c r="HV371" s="83"/>
      <c r="HW371" s="83"/>
      <c r="HX371" s="83"/>
      <c r="HY371" s="83"/>
      <c r="HZ371" s="83"/>
      <c r="IA371" s="83"/>
      <c r="IB371" s="83"/>
      <c r="IC371" s="83"/>
      <c r="ID371" s="83"/>
      <c r="IE371" s="83"/>
      <c r="IF371" s="83"/>
      <c r="IG371" s="83"/>
    </row>
    <row r="372" spans="1:241"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c r="DD372" s="83"/>
      <c r="DE372" s="83"/>
      <c r="DF372" s="83"/>
      <c r="DG372" s="83"/>
      <c r="DH372" s="83"/>
      <c r="DI372" s="83"/>
      <c r="DJ372" s="83"/>
      <c r="DK372" s="83"/>
      <c r="DL372" s="83"/>
      <c r="DM372" s="83"/>
      <c r="DN372" s="83"/>
      <c r="DO372" s="83"/>
      <c r="DP372" s="83"/>
      <c r="DQ372" s="83"/>
      <c r="DR372" s="83"/>
      <c r="DS372" s="83"/>
      <c r="DT372" s="83"/>
      <c r="DU372" s="83"/>
      <c r="DV372" s="83"/>
      <c r="DW372" s="83"/>
      <c r="DX372" s="83"/>
      <c r="DY372" s="83"/>
      <c r="DZ372" s="83"/>
      <c r="EA372" s="83"/>
      <c r="EB372" s="83"/>
      <c r="EC372" s="83"/>
      <c r="ED372" s="83"/>
      <c r="EE372" s="83"/>
      <c r="EF372" s="83"/>
      <c r="EG372" s="83"/>
      <c r="EH372" s="83"/>
      <c r="EI372" s="83"/>
      <c r="EJ372" s="83"/>
      <c r="EK372" s="83"/>
      <c r="EL372" s="83"/>
      <c r="EM372" s="83"/>
      <c r="EN372" s="83"/>
      <c r="EO372" s="83"/>
      <c r="EP372" s="83"/>
      <c r="EQ372" s="83"/>
      <c r="ER372" s="83"/>
      <c r="ES372" s="83"/>
      <c r="ET372" s="83"/>
      <c r="EU372" s="83"/>
      <c r="EV372" s="83"/>
      <c r="EW372" s="83"/>
      <c r="EX372" s="83"/>
      <c r="EY372" s="83"/>
      <c r="EZ372" s="83"/>
      <c r="FA372" s="83"/>
      <c r="FB372" s="83"/>
      <c r="FC372" s="83"/>
      <c r="FD372" s="83"/>
      <c r="FE372" s="83"/>
      <c r="FF372" s="83"/>
      <c r="FG372" s="83"/>
      <c r="FH372" s="83"/>
      <c r="FI372" s="83"/>
      <c r="FJ372" s="83"/>
      <c r="FK372" s="83"/>
      <c r="FL372" s="83"/>
      <c r="FM372" s="83"/>
      <c r="FN372" s="83"/>
      <c r="FO372" s="83"/>
      <c r="FP372" s="83"/>
      <c r="FQ372" s="83"/>
      <c r="FR372" s="83"/>
      <c r="FS372" s="83"/>
      <c r="FT372" s="83"/>
      <c r="FU372" s="83"/>
      <c r="FV372" s="83"/>
      <c r="FW372" s="83"/>
      <c r="FX372" s="83"/>
      <c r="FY372" s="83"/>
      <c r="FZ372" s="83"/>
      <c r="GA372" s="83"/>
      <c r="GB372" s="83"/>
      <c r="GC372" s="83"/>
      <c r="GD372" s="83"/>
      <c r="GE372" s="83"/>
      <c r="GF372" s="83"/>
      <c r="GG372" s="83"/>
      <c r="GH372" s="83"/>
      <c r="GI372" s="83"/>
      <c r="GJ372" s="83"/>
      <c r="GK372" s="83"/>
      <c r="GL372" s="83"/>
      <c r="GM372" s="83"/>
      <c r="GN372" s="83"/>
      <c r="GO372" s="83"/>
      <c r="GP372" s="83"/>
      <c r="GQ372" s="83"/>
      <c r="GR372" s="83"/>
      <c r="GS372" s="83"/>
      <c r="GT372" s="83"/>
      <c r="GU372" s="83"/>
      <c r="GV372" s="83"/>
      <c r="GW372" s="83"/>
      <c r="GX372" s="83"/>
      <c r="GY372" s="83"/>
      <c r="GZ372" s="83"/>
      <c r="HA372" s="83"/>
      <c r="HB372" s="83"/>
      <c r="HC372" s="83"/>
      <c r="HD372" s="83"/>
      <c r="HE372" s="83"/>
      <c r="HF372" s="83"/>
      <c r="HG372" s="83"/>
      <c r="HH372" s="83"/>
      <c r="HI372" s="83"/>
      <c r="HJ372" s="83"/>
      <c r="HK372" s="83"/>
      <c r="HL372" s="83"/>
      <c r="HM372" s="83"/>
      <c r="HN372" s="83"/>
      <c r="HO372" s="83"/>
      <c r="HP372" s="83"/>
      <c r="HQ372" s="83"/>
      <c r="HR372" s="83"/>
      <c r="HS372" s="83"/>
      <c r="HT372" s="83"/>
      <c r="HU372" s="83"/>
      <c r="HV372" s="83"/>
      <c r="HW372" s="83"/>
      <c r="HX372" s="83"/>
      <c r="HY372" s="83"/>
      <c r="HZ372" s="83"/>
      <c r="IA372" s="83"/>
      <c r="IB372" s="83"/>
      <c r="IC372" s="83"/>
      <c r="ID372" s="83"/>
      <c r="IE372" s="83"/>
      <c r="IF372" s="83"/>
      <c r="IG372" s="83"/>
    </row>
    <row r="373" spans="1:241"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c r="DD373" s="83"/>
      <c r="DE373" s="83"/>
      <c r="DF373" s="83"/>
      <c r="DG373" s="83"/>
      <c r="DH373" s="83"/>
      <c r="DI373" s="83"/>
      <c r="DJ373" s="83"/>
      <c r="DK373" s="83"/>
      <c r="DL373" s="83"/>
      <c r="DM373" s="83"/>
      <c r="DN373" s="83"/>
      <c r="DO373" s="83"/>
      <c r="DP373" s="83"/>
      <c r="DQ373" s="83"/>
      <c r="DR373" s="83"/>
      <c r="DS373" s="83"/>
      <c r="DT373" s="83"/>
      <c r="DU373" s="83"/>
      <c r="DV373" s="83"/>
      <c r="DW373" s="83"/>
      <c r="DX373" s="83"/>
      <c r="DY373" s="83"/>
      <c r="DZ373" s="83"/>
      <c r="EA373" s="83"/>
      <c r="EB373" s="83"/>
      <c r="EC373" s="83"/>
      <c r="ED373" s="83"/>
      <c r="EE373" s="83"/>
      <c r="EF373" s="83"/>
      <c r="EG373" s="83"/>
      <c r="EH373" s="83"/>
      <c r="EI373" s="83"/>
      <c r="EJ373" s="83"/>
      <c r="EK373" s="83"/>
      <c r="EL373" s="83"/>
      <c r="EM373" s="83"/>
      <c r="EN373" s="83"/>
      <c r="EO373" s="83"/>
      <c r="EP373" s="83"/>
      <c r="EQ373" s="83"/>
      <c r="ER373" s="83"/>
      <c r="ES373" s="83"/>
      <c r="ET373" s="83"/>
      <c r="EU373" s="83"/>
      <c r="EV373" s="83"/>
      <c r="EW373" s="83"/>
      <c r="EX373" s="83"/>
      <c r="EY373" s="83"/>
      <c r="EZ373" s="83"/>
      <c r="FA373" s="83"/>
      <c r="FB373" s="83"/>
      <c r="FC373" s="83"/>
      <c r="FD373" s="83"/>
      <c r="FE373" s="83"/>
      <c r="FF373" s="83"/>
      <c r="FG373" s="83"/>
      <c r="FH373" s="83"/>
      <c r="FI373" s="83"/>
      <c r="FJ373" s="83"/>
      <c r="FK373" s="83"/>
      <c r="FL373" s="83"/>
      <c r="FM373" s="83"/>
      <c r="FN373" s="83"/>
      <c r="FO373" s="83"/>
      <c r="FP373" s="83"/>
      <c r="FQ373" s="83"/>
      <c r="FR373" s="83"/>
      <c r="FS373" s="83"/>
      <c r="FT373" s="83"/>
      <c r="FU373" s="83"/>
      <c r="FV373" s="83"/>
      <c r="FW373" s="83"/>
      <c r="FX373" s="83"/>
      <c r="FY373" s="83"/>
      <c r="FZ373" s="83"/>
      <c r="GA373" s="83"/>
      <c r="GB373" s="83"/>
      <c r="GC373" s="83"/>
      <c r="GD373" s="83"/>
      <c r="GE373" s="83"/>
      <c r="GF373" s="83"/>
      <c r="GG373" s="83"/>
      <c r="GH373" s="83"/>
      <c r="GI373" s="83"/>
      <c r="GJ373" s="83"/>
      <c r="GK373" s="83"/>
      <c r="GL373" s="83"/>
      <c r="GM373" s="83"/>
      <c r="GN373" s="83"/>
      <c r="GO373" s="83"/>
      <c r="GP373" s="83"/>
      <c r="GQ373" s="83"/>
      <c r="GR373" s="83"/>
      <c r="GS373" s="83"/>
      <c r="GT373" s="83"/>
      <c r="GU373" s="83"/>
      <c r="GV373" s="83"/>
      <c r="GW373" s="83"/>
      <c r="GX373" s="83"/>
      <c r="GY373" s="83"/>
      <c r="GZ373" s="83"/>
      <c r="HA373" s="83"/>
      <c r="HB373" s="83"/>
      <c r="HC373" s="83"/>
      <c r="HD373" s="83"/>
      <c r="HE373" s="83"/>
      <c r="HF373" s="83"/>
      <c r="HG373" s="83"/>
      <c r="HH373" s="83"/>
      <c r="HI373" s="83"/>
      <c r="HJ373" s="83"/>
      <c r="HK373" s="83"/>
      <c r="HL373" s="83"/>
      <c r="HM373" s="83"/>
      <c r="HN373" s="83"/>
      <c r="HO373" s="83"/>
      <c r="HP373" s="83"/>
      <c r="HQ373" s="83"/>
      <c r="HR373" s="83"/>
      <c r="HS373" s="83"/>
      <c r="HT373" s="83"/>
      <c r="HU373" s="83"/>
      <c r="HV373" s="83"/>
      <c r="HW373" s="83"/>
      <c r="HX373" s="83"/>
      <c r="HY373" s="83"/>
      <c r="HZ373" s="83"/>
      <c r="IA373" s="83"/>
      <c r="IB373" s="83"/>
      <c r="IC373" s="83"/>
      <c r="ID373" s="83"/>
      <c r="IE373" s="83"/>
      <c r="IF373" s="83"/>
      <c r="IG373" s="83"/>
    </row>
    <row r="374" spans="1:241"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c r="DD374" s="83"/>
      <c r="DE374" s="83"/>
      <c r="DF374" s="83"/>
      <c r="DG374" s="83"/>
      <c r="DH374" s="83"/>
      <c r="DI374" s="83"/>
      <c r="DJ374" s="83"/>
      <c r="DK374" s="83"/>
      <c r="DL374" s="83"/>
      <c r="DM374" s="83"/>
      <c r="DN374" s="83"/>
      <c r="DO374" s="83"/>
      <c r="DP374" s="83"/>
      <c r="DQ374" s="83"/>
      <c r="DR374" s="83"/>
      <c r="DS374" s="83"/>
      <c r="DT374" s="83"/>
      <c r="DU374" s="83"/>
      <c r="DV374" s="83"/>
      <c r="DW374" s="83"/>
      <c r="DX374" s="83"/>
      <c r="DY374" s="83"/>
      <c r="DZ374" s="83"/>
      <c r="EA374" s="83"/>
      <c r="EB374" s="83"/>
      <c r="EC374" s="83"/>
      <c r="ED374" s="83"/>
      <c r="EE374" s="83"/>
      <c r="EF374" s="83"/>
      <c r="EG374" s="83"/>
      <c r="EH374" s="83"/>
      <c r="EI374" s="83"/>
      <c r="EJ374" s="83"/>
      <c r="EK374" s="83"/>
      <c r="EL374" s="83"/>
      <c r="EM374" s="83"/>
      <c r="EN374" s="83"/>
      <c r="EO374" s="83"/>
      <c r="EP374" s="83"/>
      <c r="EQ374" s="83"/>
      <c r="ER374" s="83"/>
      <c r="ES374" s="83"/>
      <c r="ET374" s="83"/>
      <c r="EU374" s="83"/>
      <c r="EV374" s="83"/>
      <c r="EW374" s="83"/>
      <c r="EX374" s="83"/>
      <c r="EY374" s="83"/>
      <c r="EZ374" s="83"/>
      <c r="FA374" s="83"/>
      <c r="FB374" s="83"/>
      <c r="FC374" s="83"/>
      <c r="FD374" s="83"/>
      <c r="FE374" s="83"/>
      <c r="FF374" s="83"/>
      <c r="FG374" s="83"/>
      <c r="FH374" s="83"/>
      <c r="FI374" s="83"/>
      <c r="FJ374" s="83"/>
      <c r="FK374" s="83"/>
      <c r="FL374" s="83"/>
      <c r="FM374" s="83"/>
      <c r="FN374" s="83"/>
      <c r="FO374" s="83"/>
      <c r="FP374" s="83"/>
      <c r="FQ374" s="83"/>
      <c r="FR374" s="83"/>
      <c r="FS374" s="83"/>
      <c r="FT374" s="83"/>
      <c r="FU374" s="83"/>
      <c r="FV374" s="83"/>
      <c r="FW374" s="83"/>
      <c r="FX374" s="83"/>
      <c r="FY374" s="83"/>
      <c r="FZ374" s="83"/>
      <c r="GA374" s="83"/>
      <c r="GB374" s="83"/>
      <c r="GC374" s="83"/>
      <c r="GD374" s="83"/>
      <c r="GE374" s="83"/>
      <c r="GF374" s="83"/>
      <c r="GG374" s="83"/>
      <c r="GH374" s="83"/>
      <c r="GI374" s="83"/>
      <c r="GJ374" s="83"/>
      <c r="GK374" s="83"/>
      <c r="GL374" s="83"/>
      <c r="GM374" s="83"/>
      <c r="GN374" s="83"/>
      <c r="GO374" s="83"/>
      <c r="GP374" s="83"/>
      <c r="GQ374" s="83"/>
      <c r="GR374" s="83"/>
      <c r="GS374" s="83"/>
      <c r="GT374" s="83"/>
      <c r="GU374" s="83"/>
      <c r="GV374" s="83"/>
      <c r="GW374" s="83"/>
      <c r="GX374" s="83"/>
      <c r="GY374" s="83"/>
      <c r="GZ374" s="83"/>
      <c r="HA374" s="83"/>
      <c r="HB374" s="83"/>
      <c r="HC374" s="83"/>
      <c r="HD374" s="83"/>
      <c r="HE374" s="83"/>
      <c r="HF374" s="83"/>
      <c r="HG374" s="83"/>
      <c r="HH374" s="83"/>
      <c r="HI374" s="83"/>
      <c r="HJ374" s="83"/>
      <c r="HK374" s="83"/>
      <c r="HL374" s="83"/>
      <c r="HM374" s="83"/>
      <c r="HN374" s="83"/>
      <c r="HO374" s="83"/>
      <c r="HP374" s="83"/>
      <c r="HQ374" s="83"/>
      <c r="HR374" s="83"/>
      <c r="HS374" s="83"/>
      <c r="HT374" s="83"/>
      <c r="HU374" s="83"/>
      <c r="HV374" s="83"/>
      <c r="HW374" s="83"/>
      <c r="HX374" s="83"/>
      <c r="HY374" s="83"/>
      <c r="HZ374" s="83"/>
      <c r="IA374" s="83"/>
      <c r="IB374" s="83"/>
      <c r="IC374" s="83"/>
      <c r="ID374" s="83"/>
      <c r="IE374" s="83"/>
      <c r="IF374" s="83"/>
      <c r="IG374" s="83"/>
    </row>
    <row r="375" spans="1:241"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c r="DD375" s="83"/>
      <c r="DE375" s="83"/>
      <c r="DF375" s="83"/>
      <c r="DG375" s="83"/>
      <c r="DH375" s="83"/>
      <c r="DI375" s="83"/>
      <c r="DJ375" s="83"/>
      <c r="DK375" s="83"/>
      <c r="DL375" s="83"/>
      <c r="DM375" s="83"/>
      <c r="DN375" s="83"/>
      <c r="DO375" s="83"/>
      <c r="DP375" s="83"/>
      <c r="DQ375" s="83"/>
      <c r="DR375" s="83"/>
      <c r="DS375" s="83"/>
      <c r="DT375" s="83"/>
      <c r="DU375" s="83"/>
      <c r="DV375" s="83"/>
      <c r="DW375" s="83"/>
      <c r="DX375" s="83"/>
      <c r="DY375" s="83"/>
      <c r="DZ375" s="83"/>
      <c r="EA375" s="83"/>
      <c r="EB375" s="83"/>
      <c r="EC375" s="83"/>
      <c r="ED375" s="83"/>
      <c r="EE375" s="83"/>
      <c r="EF375" s="83"/>
      <c r="EG375" s="83"/>
      <c r="EH375" s="83"/>
      <c r="EI375" s="83"/>
      <c r="EJ375" s="83"/>
      <c r="EK375" s="83"/>
      <c r="EL375" s="83"/>
      <c r="EM375" s="83"/>
      <c r="EN375" s="83"/>
      <c r="EO375" s="83"/>
      <c r="EP375" s="83"/>
      <c r="EQ375" s="83"/>
      <c r="ER375" s="83"/>
      <c r="ES375" s="83"/>
      <c r="ET375" s="83"/>
      <c r="EU375" s="83"/>
      <c r="EV375" s="83"/>
      <c r="EW375" s="83"/>
      <c r="EX375" s="83"/>
      <c r="EY375" s="83"/>
      <c r="EZ375" s="83"/>
      <c r="FA375" s="83"/>
      <c r="FB375" s="83"/>
      <c r="FC375" s="83"/>
      <c r="FD375" s="83"/>
      <c r="FE375" s="83"/>
      <c r="FF375" s="83"/>
      <c r="FG375" s="83"/>
      <c r="FH375" s="83"/>
      <c r="FI375" s="83"/>
      <c r="FJ375" s="83"/>
      <c r="FK375" s="83"/>
      <c r="FL375" s="83"/>
      <c r="FM375" s="83"/>
      <c r="FN375" s="83"/>
      <c r="FO375" s="83"/>
      <c r="FP375" s="83"/>
      <c r="FQ375" s="83"/>
      <c r="FR375" s="83"/>
      <c r="FS375" s="83"/>
      <c r="FT375" s="83"/>
      <c r="FU375" s="83"/>
      <c r="FV375" s="83"/>
      <c r="FW375" s="83"/>
      <c r="FX375" s="83"/>
      <c r="FY375" s="83"/>
      <c r="FZ375" s="83"/>
      <c r="GA375" s="83"/>
      <c r="GB375" s="83"/>
      <c r="GC375" s="83"/>
      <c r="GD375" s="83"/>
      <c r="GE375" s="83"/>
      <c r="GF375" s="83"/>
      <c r="GG375" s="83"/>
      <c r="GH375" s="83"/>
      <c r="GI375" s="83"/>
      <c r="GJ375" s="83"/>
      <c r="GK375" s="83"/>
      <c r="GL375" s="83"/>
      <c r="GM375" s="83"/>
      <c r="GN375" s="83"/>
      <c r="GO375" s="83"/>
      <c r="GP375" s="83"/>
      <c r="GQ375" s="83"/>
      <c r="GR375" s="83"/>
      <c r="GS375" s="83"/>
      <c r="GT375" s="83"/>
      <c r="GU375" s="83"/>
      <c r="GV375" s="83"/>
      <c r="GW375" s="83"/>
      <c r="GX375" s="83"/>
      <c r="GY375" s="83"/>
      <c r="GZ375" s="83"/>
      <c r="HA375" s="83"/>
      <c r="HB375" s="83"/>
      <c r="HC375" s="83"/>
      <c r="HD375" s="83"/>
      <c r="HE375" s="83"/>
      <c r="HF375" s="83"/>
      <c r="HG375" s="83"/>
      <c r="HH375" s="83"/>
      <c r="HI375" s="83"/>
      <c r="HJ375" s="83"/>
      <c r="HK375" s="83"/>
      <c r="HL375" s="83"/>
      <c r="HM375" s="83"/>
      <c r="HN375" s="83"/>
      <c r="HO375" s="83"/>
      <c r="HP375" s="83"/>
      <c r="HQ375" s="83"/>
      <c r="HR375" s="83"/>
      <c r="HS375" s="83"/>
      <c r="HT375" s="83"/>
      <c r="HU375" s="83"/>
      <c r="HV375" s="83"/>
      <c r="HW375" s="83"/>
      <c r="HX375" s="83"/>
      <c r="HY375" s="83"/>
      <c r="HZ375" s="83"/>
      <c r="IA375" s="83"/>
      <c r="IB375" s="83"/>
      <c r="IC375" s="83"/>
      <c r="ID375" s="83"/>
      <c r="IE375" s="83"/>
      <c r="IF375" s="83"/>
      <c r="IG375" s="83"/>
    </row>
    <row r="376" spans="1:241"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c r="DD376" s="83"/>
      <c r="DE376" s="83"/>
      <c r="DF376" s="83"/>
      <c r="DG376" s="83"/>
      <c r="DH376" s="83"/>
      <c r="DI376" s="83"/>
      <c r="DJ376" s="83"/>
      <c r="DK376" s="83"/>
      <c r="DL376" s="83"/>
      <c r="DM376" s="83"/>
      <c r="DN376" s="83"/>
      <c r="DO376" s="83"/>
      <c r="DP376" s="83"/>
      <c r="DQ376" s="83"/>
      <c r="DR376" s="83"/>
      <c r="DS376" s="83"/>
      <c r="DT376" s="83"/>
      <c r="DU376" s="83"/>
      <c r="DV376" s="83"/>
      <c r="DW376" s="83"/>
      <c r="DX376" s="83"/>
      <c r="DY376" s="83"/>
      <c r="DZ376" s="83"/>
      <c r="EA376" s="83"/>
      <c r="EB376" s="83"/>
      <c r="EC376" s="83"/>
      <c r="ED376" s="83"/>
      <c r="EE376" s="83"/>
      <c r="EF376" s="83"/>
      <c r="EG376" s="83"/>
      <c r="EH376" s="83"/>
      <c r="EI376" s="83"/>
      <c r="EJ376" s="83"/>
      <c r="EK376" s="83"/>
      <c r="EL376" s="83"/>
      <c r="EM376" s="83"/>
      <c r="EN376" s="83"/>
      <c r="EO376" s="83"/>
      <c r="EP376" s="83"/>
      <c r="EQ376" s="83"/>
      <c r="ER376" s="83"/>
      <c r="ES376" s="83"/>
      <c r="ET376" s="83"/>
      <c r="EU376" s="83"/>
      <c r="EV376" s="83"/>
      <c r="EW376" s="83"/>
      <c r="EX376" s="83"/>
      <c r="EY376" s="83"/>
      <c r="EZ376" s="83"/>
      <c r="FA376" s="83"/>
      <c r="FB376" s="83"/>
      <c r="FC376" s="83"/>
      <c r="FD376" s="83"/>
      <c r="FE376" s="83"/>
      <c r="FF376" s="83"/>
      <c r="FG376" s="83"/>
      <c r="FH376" s="83"/>
      <c r="FI376" s="83"/>
      <c r="FJ376" s="83"/>
      <c r="FK376" s="83"/>
      <c r="FL376" s="83"/>
      <c r="FM376" s="83"/>
      <c r="FN376" s="83"/>
      <c r="FO376" s="83"/>
      <c r="FP376" s="83"/>
      <c r="FQ376" s="83"/>
      <c r="FR376" s="83"/>
      <c r="FS376" s="83"/>
      <c r="FT376" s="83"/>
      <c r="FU376" s="83"/>
      <c r="FV376" s="83"/>
      <c r="FW376" s="83"/>
      <c r="FX376" s="83"/>
      <c r="FY376" s="83"/>
      <c r="FZ376" s="83"/>
      <c r="GA376" s="83"/>
      <c r="GB376" s="83"/>
      <c r="GC376" s="83"/>
      <c r="GD376" s="83"/>
      <c r="GE376" s="83"/>
      <c r="GF376" s="83"/>
      <c r="GG376" s="83"/>
      <c r="GH376" s="83"/>
      <c r="GI376" s="83"/>
      <c r="GJ376" s="83"/>
      <c r="GK376" s="83"/>
      <c r="GL376" s="83"/>
      <c r="GM376" s="83"/>
      <c r="GN376" s="83"/>
      <c r="GO376" s="83"/>
      <c r="GP376" s="83"/>
      <c r="GQ376" s="83"/>
      <c r="GR376" s="83"/>
      <c r="GS376" s="83"/>
      <c r="GT376" s="83"/>
      <c r="GU376" s="83"/>
      <c r="GV376" s="83"/>
      <c r="GW376" s="83"/>
      <c r="GX376" s="83"/>
      <c r="GY376" s="83"/>
      <c r="GZ376" s="83"/>
      <c r="HA376" s="83"/>
      <c r="HB376" s="83"/>
      <c r="HC376" s="83"/>
      <c r="HD376" s="83"/>
      <c r="HE376" s="83"/>
      <c r="HF376" s="83"/>
      <c r="HG376" s="83"/>
      <c r="HH376" s="83"/>
      <c r="HI376" s="83"/>
      <c r="HJ376" s="83"/>
      <c r="HK376" s="83"/>
      <c r="HL376" s="83"/>
      <c r="HM376" s="83"/>
      <c r="HN376" s="83"/>
      <c r="HO376" s="83"/>
      <c r="HP376" s="83"/>
      <c r="HQ376" s="83"/>
      <c r="HR376" s="83"/>
      <c r="HS376" s="83"/>
      <c r="HT376" s="83"/>
      <c r="HU376" s="83"/>
      <c r="HV376" s="83"/>
      <c r="HW376" s="83"/>
      <c r="HX376" s="83"/>
      <c r="HY376" s="83"/>
      <c r="HZ376" s="83"/>
      <c r="IA376" s="83"/>
      <c r="IB376" s="83"/>
      <c r="IC376" s="83"/>
      <c r="ID376" s="83"/>
      <c r="IE376" s="83"/>
      <c r="IF376" s="83"/>
      <c r="IG376" s="83"/>
    </row>
    <row r="377" spans="1:241"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c r="DD377" s="83"/>
      <c r="DE377" s="83"/>
      <c r="DF377" s="83"/>
      <c r="DG377" s="83"/>
      <c r="DH377" s="83"/>
      <c r="DI377" s="83"/>
      <c r="DJ377" s="83"/>
      <c r="DK377" s="83"/>
      <c r="DL377" s="83"/>
      <c r="DM377" s="83"/>
      <c r="DN377" s="83"/>
      <c r="DO377" s="83"/>
      <c r="DP377" s="83"/>
      <c r="DQ377" s="83"/>
      <c r="DR377" s="83"/>
      <c r="DS377" s="83"/>
      <c r="DT377" s="83"/>
      <c r="DU377" s="83"/>
      <c r="DV377" s="83"/>
      <c r="DW377" s="83"/>
      <c r="DX377" s="83"/>
      <c r="DY377" s="83"/>
      <c r="DZ377" s="83"/>
      <c r="EA377" s="83"/>
      <c r="EB377" s="83"/>
      <c r="EC377" s="83"/>
      <c r="ED377" s="83"/>
      <c r="EE377" s="83"/>
      <c r="EF377" s="83"/>
      <c r="EG377" s="83"/>
      <c r="EH377" s="83"/>
      <c r="EI377" s="83"/>
      <c r="EJ377" s="83"/>
      <c r="EK377" s="83"/>
      <c r="EL377" s="83"/>
      <c r="EM377" s="83"/>
      <c r="EN377" s="83"/>
      <c r="EO377" s="83"/>
      <c r="EP377" s="83"/>
      <c r="EQ377" s="83"/>
      <c r="ER377" s="83"/>
      <c r="ES377" s="83"/>
      <c r="ET377" s="83"/>
      <c r="EU377" s="83"/>
      <c r="EV377" s="83"/>
      <c r="EW377" s="83"/>
      <c r="EX377" s="83"/>
      <c r="EY377" s="83"/>
      <c r="EZ377" s="83"/>
      <c r="FA377" s="83"/>
      <c r="FB377" s="83"/>
      <c r="FC377" s="83"/>
      <c r="FD377" s="83"/>
      <c r="FE377" s="83"/>
      <c r="FF377" s="83"/>
      <c r="FG377" s="83"/>
      <c r="FH377" s="83"/>
      <c r="FI377" s="83"/>
      <c r="FJ377" s="83"/>
      <c r="FK377" s="83"/>
      <c r="FL377" s="83"/>
      <c r="FM377" s="83"/>
      <c r="FN377" s="83"/>
      <c r="FO377" s="83"/>
      <c r="FP377" s="83"/>
      <c r="FQ377" s="83"/>
      <c r="FR377" s="83"/>
      <c r="FS377" s="83"/>
      <c r="FT377" s="83"/>
      <c r="FU377" s="83"/>
      <c r="FV377" s="83"/>
      <c r="FW377" s="83"/>
      <c r="FX377" s="83"/>
      <c r="FY377" s="83"/>
      <c r="FZ377" s="83"/>
      <c r="GA377" s="83"/>
      <c r="GB377" s="83"/>
      <c r="GC377" s="83"/>
      <c r="GD377" s="83"/>
      <c r="GE377" s="83"/>
      <c r="GF377" s="83"/>
      <c r="GG377" s="83"/>
      <c r="GH377" s="83"/>
      <c r="GI377" s="83"/>
      <c r="GJ377" s="83"/>
      <c r="GK377" s="83"/>
      <c r="GL377" s="83"/>
      <c r="GM377" s="83"/>
      <c r="GN377" s="83"/>
      <c r="GO377" s="83"/>
      <c r="GP377" s="83"/>
      <c r="GQ377" s="83"/>
      <c r="GR377" s="83"/>
      <c r="GS377" s="83"/>
      <c r="GT377" s="83"/>
      <c r="GU377" s="83"/>
      <c r="GV377" s="83"/>
      <c r="GW377" s="83"/>
      <c r="GX377" s="83"/>
      <c r="GY377" s="83"/>
      <c r="GZ377" s="83"/>
      <c r="HA377" s="83"/>
      <c r="HB377" s="83"/>
      <c r="HC377" s="83"/>
      <c r="HD377" s="83"/>
      <c r="HE377" s="83"/>
      <c r="HF377" s="83"/>
      <c r="HG377" s="83"/>
      <c r="HH377" s="83"/>
      <c r="HI377" s="83"/>
      <c r="HJ377" s="83"/>
      <c r="HK377" s="83"/>
      <c r="HL377" s="83"/>
      <c r="HM377" s="83"/>
      <c r="HN377" s="83"/>
      <c r="HO377" s="83"/>
      <c r="HP377" s="83"/>
      <c r="HQ377" s="83"/>
      <c r="HR377" s="83"/>
      <c r="HS377" s="83"/>
      <c r="HT377" s="83"/>
      <c r="HU377" s="83"/>
      <c r="HV377" s="83"/>
      <c r="HW377" s="83"/>
      <c r="HX377" s="83"/>
      <c r="HY377" s="83"/>
      <c r="HZ377" s="83"/>
      <c r="IA377" s="83"/>
      <c r="IB377" s="83"/>
      <c r="IC377" s="83"/>
      <c r="ID377" s="83"/>
      <c r="IE377" s="83"/>
      <c r="IF377" s="83"/>
      <c r="IG377" s="83"/>
    </row>
    <row r="378" spans="1:241"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c r="DD378" s="83"/>
      <c r="DE378" s="83"/>
      <c r="DF378" s="83"/>
      <c r="DG378" s="83"/>
      <c r="DH378" s="83"/>
      <c r="DI378" s="83"/>
      <c r="DJ378" s="83"/>
      <c r="DK378" s="83"/>
      <c r="DL378" s="83"/>
      <c r="DM378" s="83"/>
      <c r="DN378" s="83"/>
      <c r="DO378" s="83"/>
      <c r="DP378" s="83"/>
      <c r="DQ378" s="83"/>
      <c r="DR378" s="83"/>
      <c r="DS378" s="83"/>
      <c r="DT378" s="83"/>
      <c r="DU378" s="83"/>
      <c r="DV378" s="83"/>
      <c r="DW378" s="83"/>
      <c r="DX378" s="83"/>
      <c r="DY378" s="83"/>
      <c r="DZ378" s="83"/>
      <c r="EA378" s="83"/>
      <c r="EB378" s="83"/>
      <c r="EC378" s="83"/>
      <c r="ED378" s="83"/>
      <c r="EE378" s="83"/>
      <c r="EF378" s="83"/>
      <c r="EG378" s="83"/>
      <c r="EH378" s="83"/>
      <c r="EI378" s="83"/>
      <c r="EJ378" s="83"/>
      <c r="EK378" s="83"/>
      <c r="EL378" s="83"/>
      <c r="EM378" s="83"/>
      <c r="EN378" s="83"/>
      <c r="EO378" s="83"/>
      <c r="EP378" s="83"/>
      <c r="EQ378" s="83"/>
      <c r="ER378" s="83"/>
      <c r="ES378" s="83"/>
      <c r="ET378" s="83"/>
      <c r="EU378" s="83"/>
      <c r="EV378" s="83"/>
      <c r="EW378" s="83"/>
      <c r="EX378" s="83"/>
      <c r="EY378" s="83"/>
      <c r="EZ378" s="83"/>
      <c r="FA378" s="83"/>
      <c r="FB378" s="83"/>
      <c r="FC378" s="83"/>
      <c r="FD378" s="83"/>
      <c r="FE378" s="83"/>
      <c r="FF378" s="83"/>
      <c r="FG378" s="83"/>
      <c r="FH378" s="83"/>
      <c r="FI378" s="83"/>
      <c r="FJ378" s="83"/>
      <c r="FK378" s="83"/>
      <c r="FL378" s="83"/>
      <c r="FM378" s="83"/>
      <c r="FN378" s="83"/>
      <c r="FO378" s="83"/>
      <c r="FP378" s="83"/>
      <c r="FQ378" s="83"/>
      <c r="FR378" s="83"/>
      <c r="FS378" s="83"/>
      <c r="FT378" s="83"/>
      <c r="FU378" s="83"/>
      <c r="FV378" s="83"/>
      <c r="FW378" s="83"/>
      <c r="FX378" s="83"/>
      <c r="FY378" s="83"/>
      <c r="FZ378" s="83"/>
      <c r="GA378" s="83"/>
      <c r="GB378" s="83"/>
      <c r="GC378" s="83"/>
      <c r="GD378" s="83"/>
      <c r="GE378" s="83"/>
      <c r="GF378" s="83"/>
      <c r="GG378" s="83"/>
      <c r="GH378" s="83"/>
      <c r="GI378" s="83"/>
      <c r="GJ378" s="83"/>
      <c r="GK378" s="83"/>
      <c r="GL378" s="83"/>
      <c r="GM378" s="83"/>
      <c r="GN378" s="83"/>
      <c r="GO378" s="83"/>
      <c r="GP378" s="83"/>
      <c r="GQ378" s="83"/>
      <c r="GR378" s="83"/>
      <c r="GS378" s="83"/>
      <c r="GT378" s="83"/>
      <c r="GU378" s="83"/>
      <c r="GV378" s="83"/>
      <c r="GW378" s="83"/>
      <c r="GX378" s="83"/>
      <c r="GY378" s="83"/>
      <c r="GZ378" s="83"/>
      <c r="HA378" s="83"/>
      <c r="HB378" s="83"/>
      <c r="HC378" s="83"/>
      <c r="HD378" s="83"/>
      <c r="HE378" s="83"/>
      <c r="HF378" s="83"/>
      <c r="HG378" s="83"/>
      <c r="HH378" s="83"/>
      <c r="HI378" s="83"/>
      <c r="HJ378" s="83"/>
      <c r="HK378" s="83"/>
      <c r="HL378" s="83"/>
      <c r="HM378" s="83"/>
      <c r="HN378" s="83"/>
      <c r="HO378" s="83"/>
      <c r="HP378" s="83"/>
      <c r="HQ378" s="83"/>
      <c r="HR378" s="83"/>
      <c r="HS378" s="83"/>
      <c r="HT378" s="83"/>
      <c r="HU378" s="83"/>
      <c r="HV378" s="83"/>
      <c r="HW378" s="83"/>
      <c r="HX378" s="83"/>
      <c r="HY378" s="83"/>
      <c r="HZ378" s="83"/>
      <c r="IA378" s="83"/>
      <c r="IB378" s="83"/>
      <c r="IC378" s="83"/>
      <c r="ID378" s="83"/>
      <c r="IE378" s="83"/>
      <c r="IF378" s="83"/>
      <c r="IG378" s="83"/>
    </row>
    <row r="379" spans="1:241"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c r="DD379" s="83"/>
      <c r="DE379" s="83"/>
      <c r="DF379" s="83"/>
      <c r="DG379" s="83"/>
      <c r="DH379" s="83"/>
      <c r="DI379" s="83"/>
      <c r="DJ379" s="83"/>
      <c r="DK379" s="83"/>
      <c r="DL379" s="83"/>
      <c r="DM379" s="83"/>
      <c r="DN379" s="83"/>
      <c r="DO379" s="83"/>
      <c r="DP379" s="83"/>
      <c r="DQ379" s="83"/>
      <c r="DR379" s="83"/>
      <c r="DS379" s="83"/>
      <c r="DT379" s="83"/>
      <c r="DU379" s="83"/>
      <c r="DV379" s="83"/>
      <c r="DW379" s="83"/>
      <c r="DX379" s="83"/>
      <c r="DY379" s="83"/>
      <c r="DZ379" s="83"/>
      <c r="EA379" s="83"/>
      <c r="EB379" s="83"/>
      <c r="EC379" s="83"/>
      <c r="ED379" s="83"/>
      <c r="EE379" s="83"/>
      <c r="EF379" s="83"/>
      <c r="EG379" s="83"/>
      <c r="EH379" s="83"/>
      <c r="EI379" s="83"/>
      <c r="EJ379" s="83"/>
      <c r="EK379" s="83"/>
      <c r="EL379" s="83"/>
      <c r="EM379" s="83"/>
      <c r="EN379" s="83"/>
      <c r="EO379" s="83"/>
      <c r="EP379" s="83"/>
      <c r="EQ379" s="83"/>
      <c r="ER379" s="83"/>
      <c r="ES379" s="83"/>
      <c r="ET379" s="83"/>
      <c r="EU379" s="83"/>
      <c r="EV379" s="83"/>
      <c r="EW379" s="83"/>
      <c r="EX379" s="83"/>
      <c r="EY379" s="83"/>
      <c r="EZ379" s="83"/>
      <c r="FA379" s="83"/>
      <c r="FB379" s="83"/>
      <c r="FC379" s="83"/>
      <c r="FD379" s="83"/>
      <c r="FE379" s="83"/>
      <c r="FF379" s="83"/>
      <c r="FG379" s="83"/>
      <c r="FH379" s="83"/>
      <c r="FI379" s="83"/>
      <c r="FJ379" s="83"/>
      <c r="FK379" s="83"/>
      <c r="FL379" s="83"/>
      <c r="FM379" s="83"/>
      <c r="FN379" s="83"/>
      <c r="FO379" s="83"/>
      <c r="FP379" s="83"/>
      <c r="FQ379" s="83"/>
      <c r="FR379" s="83"/>
      <c r="FS379" s="83"/>
      <c r="FT379" s="83"/>
      <c r="FU379" s="83"/>
      <c r="FV379" s="83"/>
      <c r="FW379" s="83"/>
      <c r="FX379" s="83"/>
      <c r="FY379" s="83"/>
      <c r="FZ379" s="83"/>
      <c r="GA379" s="83"/>
      <c r="GB379" s="83"/>
      <c r="GC379" s="83"/>
      <c r="GD379" s="83"/>
      <c r="GE379" s="83"/>
      <c r="GF379" s="83"/>
      <c r="GG379" s="83"/>
      <c r="GH379" s="83"/>
      <c r="GI379" s="83"/>
      <c r="GJ379" s="83"/>
      <c r="GK379" s="83"/>
      <c r="GL379" s="83"/>
      <c r="GM379" s="83"/>
      <c r="GN379" s="83"/>
      <c r="GO379" s="83"/>
      <c r="GP379" s="83"/>
      <c r="GQ379" s="83"/>
      <c r="GR379" s="83"/>
      <c r="GS379" s="83"/>
      <c r="GT379" s="83"/>
      <c r="GU379" s="83"/>
      <c r="GV379" s="83"/>
      <c r="GW379" s="83"/>
      <c r="GX379" s="83"/>
      <c r="GY379" s="83"/>
      <c r="GZ379" s="83"/>
      <c r="HA379" s="83"/>
      <c r="HB379" s="83"/>
      <c r="HC379" s="83"/>
      <c r="HD379" s="83"/>
      <c r="HE379" s="83"/>
      <c r="HF379" s="83"/>
      <c r="HG379" s="83"/>
      <c r="HH379" s="83"/>
      <c r="HI379" s="83"/>
      <c r="HJ379" s="83"/>
      <c r="HK379" s="83"/>
      <c r="HL379" s="83"/>
      <c r="HM379" s="83"/>
      <c r="HN379" s="83"/>
      <c r="HO379" s="83"/>
      <c r="HP379" s="83"/>
      <c r="HQ379" s="83"/>
      <c r="HR379" s="83"/>
      <c r="HS379" s="83"/>
      <c r="HT379" s="83"/>
      <c r="HU379" s="83"/>
      <c r="HV379" s="83"/>
      <c r="HW379" s="83"/>
      <c r="HX379" s="83"/>
      <c r="HY379" s="83"/>
      <c r="HZ379" s="83"/>
      <c r="IA379" s="83"/>
      <c r="IB379" s="83"/>
      <c r="IC379" s="83"/>
      <c r="ID379" s="83"/>
      <c r="IE379" s="83"/>
      <c r="IF379" s="83"/>
      <c r="IG379" s="83"/>
    </row>
    <row r="380" spans="1:241"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c r="DD380" s="83"/>
      <c r="DE380" s="83"/>
      <c r="DF380" s="83"/>
      <c r="DG380" s="83"/>
      <c r="DH380" s="83"/>
      <c r="DI380" s="83"/>
      <c r="DJ380" s="83"/>
      <c r="DK380" s="83"/>
      <c r="DL380" s="83"/>
      <c r="DM380" s="83"/>
      <c r="DN380" s="83"/>
      <c r="DO380" s="83"/>
      <c r="DP380" s="83"/>
      <c r="DQ380" s="83"/>
      <c r="DR380" s="83"/>
      <c r="DS380" s="83"/>
      <c r="DT380" s="83"/>
      <c r="DU380" s="83"/>
      <c r="DV380" s="83"/>
      <c r="DW380" s="83"/>
      <c r="DX380" s="83"/>
      <c r="DY380" s="83"/>
      <c r="DZ380" s="83"/>
      <c r="EA380" s="83"/>
      <c r="EB380" s="83"/>
      <c r="EC380" s="83"/>
      <c r="ED380" s="83"/>
      <c r="EE380" s="83"/>
      <c r="EF380" s="83"/>
      <c r="EG380" s="83"/>
      <c r="EH380" s="83"/>
      <c r="EI380" s="83"/>
      <c r="EJ380" s="83"/>
      <c r="EK380" s="83"/>
      <c r="EL380" s="83"/>
      <c r="EM380" s="83"/>
      <c r="EN380" s="83"/>
      <c r="EO380" s="83"/>
      <c r="EP380" s="83"/>
      <c r="EQ380" s="83"/>
      <c r="ER380" s="83"/>
      <c r="ES380" s="83"/>
      <c r="ET380" s="83"/>
      <c r="EU380" s="83"/>
      <c r="EV380" s="83"/>
      <c r="EW380" s="83"/>
      <c r="EX380" s="83"/>
      <c r="EY380" s="83"/>
      <c r="EZ380" s="83"/>
      <c r="FA380" s="83"/>
      <c r="FB380" s="83"/>
      <c r="FC380" s="83"/>
      <c r="FD380" s="83"/>
      <c r="FE380" s="83"/>
      <c r="FF380" s="83"/>
      <c r="FG380" s="83"/>
      <c r="FH380" s="83"/>
      <c r="FI380" s="83"/>
      <c r="FJ380" s="83"/>
      <c r="FK380" s="83"/>
      <c r="FL380" s="83"/>
      <c r="FM380" s="83"/>
      <c r="FN380" s="83"/>
      <c r="FO380" s="83"/>
      <c r="FP380" s="83"/>
      <c r="FQ380" s="83"/>
      <c r="FR380" s="83"/>
      <c r="FS380" s="83"/>
      <c r="FT380" s="83"/>
      <c r="FU380" s="83"/>
      <c r="FV380" s="83"/>
      <c r="FW380" s="83"/>
      <c r="FX380" s="83"/>
      <c r="FY380" s="83"/>
      <c r="FZ380" s="83"/>
      <c r="GA380" s="83"/>
      <c r="GB380" s="83"/>
      <c r="GC380" s="83"/>
      <c r="GD380" s="83"/>
      <c r="GE380" s="83"/>
      <c r="GF380" s="83"/>
      <c r="GG380" s="83"/>
      <c r="GH380" s="83"/>
      <c r="GI380" s="83"/>
      <c r="GJ380" s="83"/>
      <c r="GK380" s="83"/>
      <c r="GL380" s="83"/>
      <c r="GM380" s="83"/>
      <c r="GN380" s="83"/>
      <c r="GO380" s="83"/>
      <c r="GP380" s="83"/>
      <c r="GQ380" s="83"/>
      <c r="GR380" s="83"/>
      <c r="GS380" s="83"/>
      <c r="GT380" s="83"/>
      <c r="GU380" s="83"/>
      <c r="GV380" s="83"/>
      <c r="GW380" s="83"/>
      <c r="GX380" s="83"/>
      <c r="GY380" s="83"/>
      <c r="GZ380" s="83"/>
      <c r="HA380" s="83"/>
      <c r="HB380" s="83"/>
      <c r="HC380" s="83"/>
      <c r="HD380" s="83"/>
      <c r="HE380" s="83"/>
      <c r="HF380" s="83"/>
      <c r="HG380" s="83"/>
      <c r="HH380" s="83"/>
      <c r="HI380" s="83"/>
      <c r="HJ380" s="83"/>
      <c r="HK380" s="83"/>
      <c r="HL380" s="83"/>
      <c r="HM380" s="83"/>
      <c r="HN380" s="83"/>
      <c r="HO380" s="83"/>
      <c r="HP380" s="83"/>
      <c r="HQ380" s="83"/>
      <c r="HR380" s="83"/>
      <c r="HS380" s="83"/>
      <c r="HT380" s="83"/>
      <c r="HU380" s="83"/>
      <c r="HV380" s="83"/>
      <c r="HW380" s="83"/>
      <c r="HX380" s="83"/>
      <c r="HY380" s="83"/>
      <c r="HZ380" s="83"/>
      <c r="IA380" s="83"/>
      <c r="IB380" s="83"/>
      <c r="IC380" s="83"/>
      <c r="ID380" s="83"/>
      <c r="IE380" s="83"/>
      <c r="IF380" s="83"/>
      <c r="IG380" s="83"/>
    </row>
    <row r="381" spans="1:241"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c r="DD381" s="83"/>
      <c r="DE381" s="83"/>
      <c r="DF381" s="83"/>
      <c r="DG381" s="83"/>
      <c r="DH381" s="83"/>
      <c r="DI381" s="83"/>
      <c r="DJ381" s="83"/>
      <c r="DK381" s="83"/>
      <c r="DL381" s="83"/>
      <c r="DM381" s="83"/>
      <c r="DN381" s="83"/>
      <c r="DO381" s="83"/>
      <c r="DP381" s="83"/>
      <c r="DQ381" s="83"/>
      <c r="DR381" s="83"/>
      <c r="DS381" s="83"/>
      <c r="DT381" s="83"/>
      <c r="DU381" s="83"/>
      <c r="DV381" s="83"/>
      <c r="DW381" s="83"/>
      <c r="DX381" s="83"/>
      <c r="DY381" s="83"/>
      <c r="DZ381" s="83"/>
      <c r="EA381" s="83"/>
      <c r="EB381" s="83"/>
      <c r="EC381" s="83"/>
      <c r="ED381" s="83"/>
      <c r="EE381" s="83"/>
      <c r="EF381" s="83"/>
      <c r="EG381" s="83"/>
      <c r="EH381" s="83"/>
      <c r="EI381" s="83"/>
      <c r="EJ381" s="83"/>
      <c r="EK381" s="83"/>
      <c r="EL381" s="83"/>
      <c r="EM381" s="83"/>
      <c r="EN381" s="83"/>
      <c r="EO381" s="83"/>
      <c r="EP381" s="83"/>
      <c r="EQ381" s="83"/>
      <c r="ER381" s="83"/>
      <c r="ES381" s="83"/>
      <c r="ET381" s="83"/>
      <c r="EU381" s="83"/>
      <c r="EV381" s="83"/>
      <c r="EW381" s="83"/>
      <c r="EX381" s="83"/>
      <c r="EY381" s="83"/>
      <c r="EZ381" s="83"/>
      <c r="FA381" s="83"/>
      <c r="FB381" s="83"/>
      <c r="FC381" s="83"/>
      <c r="FD381" s="83"/>
      <c r="FE381" s="83"/>
      <c r="FF381" s="83"/>
      <c r="FG381" s="83"/>
      <c r="FH381" s="83"/>
      <c r="FI381" s="83"/>
      <c r="FJ381" s="83"/>
      <c r="FK381" s="83"/>
      <c r="FL381" s="83"/>
      <c r="FM381" s="83"/>
      <c r="FN381" s="83"/>
      <c r="FO381" s="83"/>
      <c r="FP381" s="83"/>
      <c r="FQ381" s="83"/>
      <c r="FR381" s="83"/>
      <c r="FS381" s="83"/>
      <c r="FT381" s="83"/>
      <c r="FU381" s="83"/>
      <c r="FV381" s="83"/>
      <c r="FW381" s="83"/>
      <c r="FX381" s="83"/>
      <c r="FY381" s="83"/>
      <c r="FZ381" s="83"/>
      <c r="GA381" s="83"/>
      <c r="GB381" s="83"/>
      <c r="GC381" s="83"/>
      <c r="GD381" s="83"/>
      <c r="GE381" s="83"/>
      <c r="GF381" s="83"/>
      <c r="GG381" s="83"/>
      <c r="GH381" s="83"/>
      <c r="GI381" s="83"/>
      <c r="GJ381" s="83"/>
      <c r="GK381" s="83"/>
      <c r="GL381" s="83"/>
      <c r="GM381" s="83"/>
      <c r="GN381" s="83"/>
      <c r="GO381" s="83"/>
      <c r="GP381" s="83"/>
      <c r="GQ381" s="83"/>
      <c r="GR381" s="83"/>
      <c r="GS381" s="83"/>
      <c r="GT381" s="83"/>
      <c r="GU381" s="83"/>
      <c r="GV381" s="83"/>
      <c r="GW381" s="83"/>
      <c r="GX381" s="83"/>
      <c r="GY381" s="83"/>
      <c r="GZ381" s="83"/>
      <c r="HA381" s="83"/>
      <c r="HB381" s="83"/>
      <c r="HC381" s="83"/>
      <c r="HD381" s="83"/>
      <c r="HE381" s="83"/>
      <c r="HF381" s="83"/>
      <c r="HG381" s="83"/>
      <c r="HH381" s="83"/>
      <c r="HI381" s="83"/>
      <c r="HJ381" s="83"/>
      <c r="HK381" s="83"/>
      <c r="HL381" s="83"/>
      <c r="HM381" s="83"/>
      <c r="HN381" s="83"/>
      <c r="HO381" s="83"/>
      <c r="HP381" s="83"/>
      <c r="HQ381" s="83"/>
      <c r="HR381" s="83"/>
      <c r="HS381" s="83"/>
      <c r="HT381" s="83"/>
      <c r="HU381" s="83"/>
      <c r="HV381" s="83"/>
      <c r="HW381" s="83"/>
      <c r="HX381" s="83"/>
      <c r="HY381" s="83"/>
      <c r="HZ381" s="83"/>
      <c r="IA381" s="83"/>
      <c r="IB381" s="83"/>
      <c r="IC381" s="83"/>
      <c r="ID381" s="83"/>
      <c r="IE381" s="83"/>
      <c r="IF381" s="83"/>
      <c r="IG381" s="83"/>
    </row>
    <row r="382" spans="1:241"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c r="DD382" s="83"/>
      <c r="DE382" s="83"/>
      <c r="DF382" s="83"/>
      <c r="DG382" s="83"/>
      <c r="DH382" s="83"/>
      <c r="DI382" s="83"/>
      <c r="DJ382" s="83"/>
      <c r="DK382" s="83"/>
      <c r="DL382" s="83"/>
      <c r="DM382" s="83"/>
      <c r="DN382" s="83"/>
      <c r="DO382" s="83"/>
      <c r="DP382" s="83"/>
      <c r="DQ382" s="83"/>
      <c r="DR382" s="83"/>
      <c r="DS382" s="83"/>
      <c r="DT382" s="83"/>
      <c r="DU382" s="83"/>
      <c r="DV382" s="83"/>
      <c r="DW382" s="83"/>
      <c r="DX382" s="83"/>
      <c r="DY382" s="83"/>
      <c r="DZ382" s="83"/>
      <c r="EA382" s="83"/>
      <c r="EB382" s="83"/>
      <c r="EC382" s="83"/>
      <c r="ED382" s="83"/>
      <c r="EE382" s="83"/>
      <c r="EF382" s="83"/>
      <c r="EG382" s="83"/>
      <c r="EH382" s="83"/>
      <c r="EI382" s="83"/>
      <c r="EJ382" s="83"/>
      <c r="EK382" s="83"/>
      <c r="EL382" s="83"/>
      <c r="EM382" s="83"/>
      <c r="EN382" s="83"/>
      <c r="EO382" s="83"/>
      <c r="EP382" s="83"/>
      <c r="EQ382" s="83"/>
      <c r="ER382" s="83"/>
      <c r="ES382" s="83"/>
      <c r="ET382" s="83"/>
      <c r="EU382" s="83"/>
      <c r="EV382" s="83"/>
      <c r="EW382" s="83"/>
      <c r="EX382" s="83"/>
      <c r="EY382" s="83"/>
      <c r="EZ382" s="83"/>
      <c r="FA382" s="83"/>
      <c r="FB382" s="83"/>
      <c r="FC382" s="83"/>
      <c r="FD382" s="83"/>
      <c r="FE382" s="83"/>
      <c r="FF382" s="83"/>
      <c r="FG382" s="83"/>
      <c r="FH382" s="83"/>
      <c r="FI382" s="83"/>
      <c r="FJ382" s="83"/>
      <c r="FK382" s="83"/>
      <c r="FL382" s="83"/>
      <c r="FM382" s="83"/>
      <c r="FN382" s="83"/>
      <c r="FO382" s="83"/>
      <c r="FP382" s="83"/>
      <c r="FQ382" s="83"/>
      <c r="FR382" s="83"/>
      <c r="FS382" s="83"/>
      <c r="FT382" s="83"/>
      <c r="FU382" s="83"/>
      <c r="FV382" s="83"/>
      <c r="FW382" s="83"/>
      <c r="FX382" s="83"/>
      <c r="FY382" s="83"/>
      <c r="FZ382" s="83"/>
      <c r="GA382" s="83"/>
      <c r="GB382" s="83"/>
      <c r="GC382" s="83"/>
      <c r="GD382" s="83"/>
      <c r="GE382" s="83"/>
      <c r="GF382" s="83"/>
      <c r="GG382" s="83"/>
      <c r="GH382" s="83"/>
      <c r="GI382" s="83"/>
      <c r="GJ382" s="83"/>
      <c r="GK382" s="83"/>
      <c r="GL382" s="83"/>
      <c r="GM382" s="83"/>
      <c r="GN382" s="83"/>
      <c r="GO382" s="83"/>
      <c r="GP382" s="83"/>
      <c r="GQ382" s="83"/>
      <c r="GR382" s="83"/>
      <c r="GS382" s="83"/>
      <c r="GT382" s="83"/>
      <c r="GU382" s="83"/>
      <c r="GV382" s="83"/>
      <c r="GW382" s="83"/>
      <c r="GX382" s="83"/>
      <c r="GY382" s="83"/>
      <c r="GZ382" s="83"/>
      <c r="HA382" s="83"/>
      <c r="HB382" s="83"/>
      <c r="HC382" s="83"/>
      <c r="HD382" s="83"/>
      <c r="HE382" s="83"/>
      <c r="HF382" s="83"/>
      <c r="HG382" s="83"/>
      <c r="HH382" s="83"/>
      <c r="HI382" s="83"/>
      <c r="HJ382" s="83"/>
      <c r="HK382" s="83"/>
      <c r="HL382" s="83"/>
      <c r="HM382" s="83"/>
      <c r="HN382" s="83"/>
      <c r="HO382" s="83"/>
      <c r="HP382" s="83"/>
      <c r="HQ382" s="83"/>
      <c r="HR382" s="83"/>
      <c r="HS382" s="83"/>
      <c r="HT382" s="83"/>
      <c r="HU382" s="83"/>
      <c r="HV382" s="83"/>
      <c r="HW382" s="83"/>
      <c r="HX382" s="83"/>
      <c r="HY382" s="83"/>
      <c r="HZ382" s="83"/>
      <c r="IA382" s="83"/>
      <c r="IB382" s="83"/>
      <c r="IC382" s="83"/>
      <c r="ID382" s="83"/>
      <c r="IE382" s="83"/>
      <c r="IF382" s="83"/>
      <c r="IG382" s="83"/>
    </row>
    <row r="383" spans="1:241"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c r="DD383" s="83"/>
      <c r="DE383" s="83"/>
      <c r="DF383" s="83"/>
      <c r="DG383" s="83"/>
      <c r="DH383" s="83"/>
      <c r="DI383" s="83"/>
      <c r="DJ383" s="83"/>
      <c r="DK383" s="83"/>
      <c r="DL383" s="83"/>
      <c r="DM383" s="83"/>
      <c r="DN383" s="83"/>
      <c r="DO383" s="83"/>
      <c r="DP383" s="83"/>
      <c r="DQ383" s="83"/>
      <c r="DR383" s="83"/>
      <c r="DS383" s="83"/>
      <c r="DT383" s="83"/>
      <c r="DU383" s="83"/>
      <c r="DV383" s="83"/>
      <c r="DW383" s="83"/>
      <c r="DX383" s="83"/>
      <c r="DY383" s="83"/>
      <c r="DZ383" s="83"/>
      <c r="EA383" s="83"/>
      <c r="EB383" s="83"/>
      <c r="EC383" s="83"/>
      <c r="ED383" s="83"/>
      <c r="EE383" s="83"/>
      <c r="EF383" s="83"/>
      <c r="EG383" s="83"/>
      <c r="EH383" s="83"/>
      <c r="EI383" s="83"/>
      <c r="EJ383" s="83"/>
      <c r="EK383" s="83"/>
      <c r="EL383" s="83"/>
      <c r="EM383" s="83"/>
      <c r="EN383" s="83"/>
      <c r="EO383" s="83"/>
      <c r="EP383" s="83"/>
      <c r="EQ383" s="83"/>
      <c r="ER383" s="83"/>
      <c r="ES383" s="83"/>
      <c r="ET383" s="83"/>
      <c r="EU383" s="83"/>
      <c r="EV383" s="83"/>
      <c r="EW383" s="83"/>
      <c r="EX383" s="83"/>
      <c r="EY383" s="83"/>
      <c r="EZ383" s="83"/>
      <c r="FA383" s="83"/>
      <c r="FB383" s="83"/>
      <c r="FC383" s="83"/>
      <c r="FD383" s="83"/>
      <c r="FE383" s="83"/>
      <c r="FF383" s="83"/>
      <c r="FG383" s="83"/>
      <c r="FH383" s="83"/>
      <c r="FI383" s="83"/>
      <c r="FJ383" s="83"/>
      <c r="FK383" s="83"/>
      <c r="FL383" s="83"/>
      <c r="FM383" s="83"/>
      <c r="FN383" s="83"/>
      <c r="FO383" s="83"/>
      <c r="FP383" s="83"/>
      <c r="FQ383" s="83"/>
      <c r="FR383" s="83"/>
      <c r="FS383" s="83"/>
      <c r="FT383" s="83"/>
      <c r="FU383" s="83"/>
      <c r="FV383" s="83"/>
      <c r="FW383" s="83"/>
      <c r="FX383" s="83"/>
      <c r="FY383" s="83"/>
      <c r="FZ383" s="83"/>
      <c r="GA383" s="83"/>
      <c r="GB383" s="83"/>
      <c r="GC383" s="83"/>
      <c r="GD383" s="83"/>
      <c r="GE383" s="83"/>
      <c r="GF383" s="83"/>
      <c r="GG383" s="83"/>
      <c r="GH383" s="83"/>
      <c r="GI383" s="83"/>
      <c r="GJ383" s="83"/>
      <c r="GK383" s="83"/>
      <c r="GL383" s="83"/>
      <c r="GM383" s="83"/>
      <c r="GN383" s="83"/>
      <c r="GO383" s="83"/>
      <c r="GP383" s="83"/>
      <c r="GQ383" s="83"/>
      <c r="GR383" s="83"/>
      <c r="GS383" s="83"/>
      <c r="GT383" s="83"/>
      <c r="GU383" s="83"/>
      <c r="GV383" s="83"/>
      <c r="GW383" s="83"/>
      <c r="GX383" s="83"/>
      <c r="GY383" s="83"/>
      <c r="GZ383" s="83"/>
      <c r="HA383" s="83"/>
      <c r="HB383" s="83"/>
      <c r="HC383" s="83"/>
      <c r="HD383" s="83"/>
      <c r="HE383" s="83"/>
      <c r="HF383" s="83"/>
      <c r="HG383" s="83"/>
      <c r="HH383" s="83"/>
      <c r="HI383" s="83"/>
      <c r="HJ383" s="83"/>
      <c r="HK383" s="83"/>
      <c r="HL383" s="83"/>
      <c r="HM383" s="83"/>
      <c r="HN383" s="83"/>
      <c r="HO383" s="83"/>
      <c r="HP383" s="83"/>
      <c r="HQ383" s="83"/>
      <c r="HR383" s="83"/>
      <c r="HS383" s="83"/>
      <c r="HT383" s="83"/>
      <c r="HU383" s="83"/>
      <c r="HV383" s="83"/>
      <c r="HW383" s="83"/>
      <c r="HX383" s="83"/>
      <c r="HY383" s="83"/>
      <c r="HZ383" s="83"/>
      <c r="IA383" s="83"/>
      <c r="IB383" s="83"/>
      <c r="IC383" s="83"/>
      <c r="ID383" s="83"/>
      <c r="IE383" s="83"/>
      <c r="IF383" s="83"/>
      <c r="IG383" s="83"/>
    </row>
    <row r="384" spans="1:241"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c r="DD384" s="83"/>
      <c r="DE384" s="83"/>
      <c r="DF384" s="83"/>
      <c r="DG384" s="83"/>
      <c r="DH384" s="83"/>
      <c r="DI384" s="83"/>
      <c r="DJ384" s="83"/>
      <c r="DK384" s="83"/>
      <c r="DL384" s="83"/>
      <c r="DM384" s="83"/>
      <c r="DN384" s="83"/>
      <c r="DO384" s="83"/>
      <c r="DP384" s="83"/>
      <c r="DQ384" s="83"/>
      <c r="DR384" s="83"/>
      <c r="DS384" s="83"/>
      <c r="DT384" s="83"/>
      <c r="DU384" s="83"/>
      <c r="DV384" s="83"/>
      <c r="DW384" s="83"/>
      <c r="DX384" s="83"/>
      <c r="DY384" s="83"/>
      <c r="DZ384" s="83"/>
      <c r="EA384" s="83"/>
      <c r="EB384" s="83"/>
      <c r="EC384" s="83"/>
      <c r="ED384" s="83"/>
      <c r="EE384" s="83"/>
      <c r="EF384" s="83"/>
      <c r="EG384" s="83"/>
      <c r="EH384" s="83"/>
      <c r="EI384" s="83"/>
      <c r="EJ384" s="83"/>
      <c r="EK384" s="83"/>
      <c r="EL384" s="83"/>
      <c r="EM384" s="83"/>
      <c r="EN384" s="83"/>
      <c r="EO384" s="83"/>
      <c r="EP384" s="83"/>
      <c r="EQ384" s="83"/>
      <c r="ER384" s="83"/>
      <c r="ES384" s="83"/>
      <c r="ET384" s="83"/>
      <c r="EU384" s="83"/>
      <c r="EV384" s="83"/>
      <c r="EW384" s="83"/>
      <c r="EX384" s="83"/>
      <c r="EY384" s="83"/>
      <c r="EZ384" s="83"/>
      <c r="FA384" s="83"/>
      <c r="FB384" s="83"/>
      <c r="FC384" s="83"/>
      <c r="FD384" s="83"/>
      <c r="FE384" s="83"/>
      <c r="FF384" s="83"/>
      <c r="FG384" s="83"/>
      <c r="FH384" s="83"/>
      <c r="FI384" s="83"/>
      <c r="FJ384" s="83"/>
      <c r="FK384" s="83"/>
      <c r="FL384" s="83"/>
      <c r="FM384" s="83"/>
      <c r="FN384" s="83"/>
      <c r="FO384" s="83"/>
      <c r="FP384" s="83"/>
      <c r="FQ384" s="83"/>
      <c r="FR384" s="83"/>
      <c r="FS384" s="83"/>
      <c r="FT384" s="83"/>
      <c r="FU384" s="83"/>
      <c r="FV384" s="83"/>
      <c r="FW384" s="83"/>
      <c r="FX384" s="83"/>
      <c r="FY384" s="83"/>
      <c r="FZ384" s="83"/>
      <c r="GA384" s="83"/>
      <c r="GB384" s="83"/>
      <c r="GC384" s="83"/>
      <c r="GD384" s="83"/>
      <c r="GE384" s="83"/>
      <c r="GF384" s="83"/>
      <c r="GG384" s="83"/>
      <c r="GH384" s="83"/>
      <c r="GI384" s="83"/>
      <c r="GJ384" s="83"/>
      <c r="GK384" s="83"/>
      <c r="GL384" s="83"/>
      <c r="GM384" s="83"/>
      <c r="GN384" s="83"/>
      <c r="GO384" s="83"/>
      <c r="GP384" s="83"/>
      <c r="GQ384" s="83"/>
      <c r="GR384" s="83"/>
      <c r="GS384" s="83"/>
      <c r="GT384" s="83"/>
      <c r="GU384" s="83"/>
      <c r="GV384" s="83"/>
      <c r="GW384" s="83"/>
      <c r="GX384" s="83"/>
      <c r="GY384" s="83"/>
      <c r="GZ384" s="83"/>
      <c r="HA384" s="83"/>
      <c r="HB384" s="83"/>
      <c r="HC384" s="83"/>
      <c r="HD384" s="83"/>
      <c r="HE384" s="83"/>
      <c r="HF384" s="83"/>
      <c r="HG384" s="83"/>
      <c r="HH384" s="83"/>
      <c r="HI384" s="83"/>
      <c r="HJ384" s="83"/>
      <c r="HK384" s="83"/>
      <c r="HL384" s="83"/>
      <c r="HM384" s="83"/>
      <c r="HN384" s="83"/>
      <c r="HO384" s="83"/>
      <c r="HP384" s="83"/>
      <c r="HQ384" s="83"/>
      <c r="HR384" s="83"/>
      <c r="HS384" s="83"/>
      <c r="HT384" s="83"/>
      <c r="HU384" s="83"/>
      <c r="HV384" s="83"/>
      <c r="HW384" s="83"/>
      <c r="HX384" s="83"/>
      <c r="HY384" s="83"/>
      <c r="HZ384" s="83"/>
      <c r="IA384" s="83"/>
      <c r="IB384" s="83"/>
      <c r="IC384" s="83"/>
      <c r="ID384" s="83"/>
      <c r="IE384" s="83"/>
      <c r="IF384" s="83"/>
      <c r="IG384" s="83"/>
    </row>
    <row r="385" spans="1:241"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c r="DD385" s="83"/>
      <c r="DE385" s="83"/>
      <c r="DF385" s="83"/>
      <c r="DG385" s="83"/>
      <c r="DH385" s="83"/>
      <c r="DI385" s="83"/>
      <c r="DJ385" s="83"/>
      <c r="DK385" s="83"/>
      <c r="DL385" s="83"/>
      <c r="DM385" s="83"/>
      <c r="DN385" s="83"/>
      <c r="DO385" s="83"/>
      <c r="DP385" s="83"/>
      <c r="DQ385" s="83"/>
      <c r="DR385" s="83"/>
      <c r="DS385" s="83"/>
      <c r="DT385" s="83"/>
      <c r="DU385" s="83"/>
      <c r="DV385" s="83"/>
      <c r="DW385" s="83"/>
      <c r="DX385" s="83"/>
      <c r="DY385" s="83"/>
      <c r="DZ385" s="83"/>
      <c r="EA385" s="83"/>
      <c r="EB385" s="83"/>
      <c r="EC385" s="83"/>
      <c r="ED385" s="83"/>
      <c r="EE385" s="83"/>
      <c r="EF385" s="83"/>
      <c r="EG385" s="83"/>
      <c r="EH385" s="83"/>
      <c r="EI385" s="83"/>
      <c r="EJ385" s="83"/>
      <c r="EK385" s="83"/>
      <c r="EL385" s="83"/>
      <c r="EM385" s="83"/>
      <c r="EN385" s="83"/>
      <c r="EO385" s="83"/>
      <c r="EP385" s="83"/>
      <c r="EQ385" s="83"/>
      <c r="ER385" s="83"/>
      <c r="ES385" s="83"/>
      <c r="ET385" s="83"/>
      <c r="EU385" s="83"/>
      <c r="EV385" s="83"/>
      <c r="EW385" s="83"/>
      <c r="EX385" s="83"/>
      <c r="EY385" s="83"/>
      <c r="EZ385" s="83"/>
      <c r="FA385" s="83"/>
      <c r="FB385" s="83"/>
      <c r="FC385" s="83"/>
      <c r="FD385" s="83"/>
      <c r="FE385" s="83"/>
      <c r="FF385" s="83"/>
      <c r="FG385" s="83"/>
      <c r="FH385" s="83"/>
      <c r="FI385" s="83"/>
      <c r="FJ385" s="83"/>
      <c r="FK385" s="83"/>
      <c r="FL385" s="83"/>
      <c r="FM385" s="83"/>
      <c r="FN385" s="83"/>
      <c r="FO385" s="83"/>
      <c r="FP385" s="83"/>
      <c r="FQ385" s="83"/>
      <c r="FR385" s="83"/>
      <c r="FS385" s="83"/>
      <c r="FT385" s="83"/>
      <c r="FU385" s="83"/>
      <c r="FV385" s="83"/>
      <c r="FW385" s="83"/>
      <c r="FX385" s="83"/>
      <c r="FY385" s="83"/>
      <c r="FZ385" s="83"/>
      <c r="GA385" s="83"/>
      <c r="GB385" s="83"/>
      <c r="GC385" s="83"/>
      <c r="GD385" s="83"/>
      <c r="GE385" s="83"/>
      <c r="GF385" s="83"/>
      <c r="GG385" s="83"/>
      <c r="GH385" s="83"/>
      <c r="GI385" s="83"/>
      <c r="GJ385" s="83"/>
      <c r="GK385" s="83"/>
      <c r="GL385" s="83"/>
      <c r="GM385" s="83"/>
      <c r="GN385" s="83"/>
      <c r="GO385" s="83"/>
      <c r="GP385" s="83"/>
      <c r="GQ385" s="83"/>
      <c r="GR385" s="83"/>
      <c r="GS385" s="83"/>
      <c r="GT385" s="83"/>
      <c r="GU385" s="83"/>
      <c r="GV385" s="83"/>
      <c r="GW385" s="83"/>
      <c r="GX385" s="83"/>
      <c r="GY385" s="83"/>
      <c r="GZ385" s="83"/>
      <c r="HA385" s="83"/>
      <c r="HB385" s="83"/>
      <c r="HC385" s="83"/>
      <c r="HD385" s="83"/>
      <c r="HE385" s="83"/>
      <c r="HF385" s="83"/>
      <c r="HG385" s="83"/>
      <c r="HH385" s="83"/>
      <c r="HI385" s="83"/>
      <c r="HJ385" s="83"/>
      <c r="HK385" s="83"/>
      <c r="HL385" s="83"/>
      <c r="HM385" s="83"/>
      <c r="HN385" s="83"/>
      <c r="HO385" s="83"/>
      <c r="HP385" s="83"/>
      <c r="HQ385" s="83"/>
      <c r="HR385" s="83"/>
      <c r="HS385" s="83"/>
      <c r="HT385" s="83"/>
      <c r="HU385" s="83"/>
      <c r="HV385" s="83"/>
      <c r="HW385" s="83"/>
      <c r="HX385" s="83"/>
      <c r="HY385" s="83"/>
      <c r="HZ385" s="83"/>
      <c r="IA385" s="83"/>
      <c r="IB385" s="83"/>
      <c r="IC385" s="83"/>
      <c r="ID385" s="83"/>
      <c r="IE385" s="83"/>
      <c r="IF385" s="83"/>
      <c r="IG385" s="83"/>
    </row>
    <row r="386" spans="1:241"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c r="DD386" s="83"/>
      <c r="DE386" s="83"/>
      <c r="DF386" s="83"/>
      <c r="DG386" s="83"/>
      <c r="DH386" s="83"/>
      <c r="DI386" s="83"/>
      <c r="DJ386" s="83"/>
      <c r="DK386" s="83"/>
      <c r="DL386" s="83"/>
      <c r="DM386" s="83"/>
      <c r="DN386" s="83"/>
      <c r="DO386" s="83"/>
      <c r="DP386" s="83"/>
      <c r="DQ386" s="83"/>
      <c r="DR386" s="83"/>
      <c r="DS386" s="83"/>
      <c r="DT386" s="83"/>
      <c r="DU386" s="83"/>
      <c r="DV386" s="83"/>
      <c r="DW386" s="83"/>
      <c r="DX386" s="83"/>
      <c r="DY386" s="83"/>
      <c r="DZ386" s="83"/>
      <c r="EA386" s="83"/>
      <c r="EB386" s="83"/>
      <c r="EC386" s="83"/>
      <c r="ED386" s="83"/>
      <c r="EE386" s="83"/>
      <c r="EF386" s="83"/>
      <c r="EG386" s="83"/>
      <c r="EH386" s="83"/>
      <c r="EI386" s="83"/>
      <c r="EJ386" s="83"/>
      <c r="EK386" s="83"/>
      <c r="EL386" s="83"/>
      <c r="EM386" s="83"/>
      <c r="EN386" s="83"/>
      <c r="EO386" s="83"/>
      <c r="EP386" s="83"/>
      <c r="EQ386" s="83"/>
      <c r="ER386" s="83"/>
      <c r="ES386" s="83"/>
      <c r="ET386" s="83"/>
      <c r="EU386" s="83"/>
      <c r="EV386" s="83"/>
      <c r="EW386" s="83"/>
      <c r="EX386" s="83"/>
      <c r="EY386" s="83"/>
      <c r="EZ386" s="83"/>
      <c r="FA386" s="83"/>
      <c r="FB386" s="83"/>
      <c r="FC386" s="83"/>
      <c r="FD386" s="83"/>
      <c r="FE386" s="83"/>
      <c r="FF386" s="83"/>
      <c r="FG386" s="83"/>
      <c r="FH386" s="83"/>
      <c r="FI386" s="83"/>
      <c r="FJ386" s="83"/>
      <c r="FK386" s="83"/>
      <c r="FL386" s="83"/>
      <c r="FM386" s="83"/>
      <c r="FN386" s="83"/>
      <c r="FO386" s="83"/>
      <c r="FP386" s="83"/>
      <c r="FQ386" s="83"/>
      <c r="FR386" s="83"/>
      <c r="FS386" s="83"/>
      <c r="FT386" s="83"/>
      <c r="FU386" s="83"/>
      <c r="FV386" s="83"/>
      <c r="FW386" s="83"/>
      <c r="FX386" s="83"/>
      <c r="FY386" s="83"/>
      <c r="FZ386" s="83"/>
      <c r="GA386" s="83"/>
      <c r="GB386" s="83"/>
      <c r="GC386" s="83"/>
      <c r="GD386" s="83"/>
      <c r="GE386" s="83"/>
      <c r="GF386" s="83"/>
      <c r="GG386" s="83"/>
      <c r="GH386" s="83"/>
      <c r="GI386" s="83"/>
      <c r="GJ386" s="83"/>
      <c r="GK386" s="83"/>
      <c r="GL386" s="83"/>
      <c r="GM386" s="83"/>
      <c r="GN386" s="83"/>
      <c r="GO386" s="83"/>
      <c r="GP386" s="83"/>
      <c r="GQ386" s="83"/>
      <c r="GR386" s="83"/>
      <c r="GS386" s="83"/>
      <c r="GT386" s="83"/>
      <c r="GU386" s="83"/>
      <c r="GV386" s="83"/>
      <c r="GW386" s="83"/>
      <c r="GX386" s="83"/>
      <c r="GY386" s="83"/>
      <c r="GZ386" s="83"/>
      <c r="HA386" s="83"/>
      <c r="HB386" s="83"/>
      <c r="HC386" s="83"/>
      <c r="HD386" s="83"/>
      <c r="HE386" s="83"/>
      <c r="HF386" s="83"/>
      <c r="HG386" s="83"/>
      <c r="HH386" s="83"/>
      <c r="HI386" s="83"/>
      <c r="HJ386" s="83"/>
      <c r="HK386" s="83"/>
      <c r="HL386" s="83"/>
      <c r="HM386" s="83"/>
      <c r="HN386" s="83"/>
      <c r="HO386" s="83"/>
      <c r="HP386" s="83"/>
      <c r="HQ386" s="83"/>
      <c r="HR386" s="83"/>
      <c r="HS386" s="83"/>
      <c r="HT386" s="83"/>
      <c r="HU386" s="83"/>
      <c r="HV386" s="83"/>
      <c r="HW386" s="83"/>
      <c r="HX386" s="83"/>
      <c r="HY386" s="83"/>
      <c r="HZ386" s="83"/>
      <c r="IA386" s="83"/>
      <c r="IB386" s="83"/>
      <c r="IC386" s="83"/>
      <c r="ID386" s="83"/>
      <c r="IE386" s="83"/>
      <c r="IF386" s="83"/>
      <c r="IG386" s="83"/>
    </row>
    <row r="387" spans="1:241"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c r="DD387" s="83"/>
      <c r="DE387" s="83"/>
      <c r="DF387" s="83"/>
      <c r="DG387" s="83"/>
      <c r="DH387" s="83"/>
      <c r="DI387" s="83"/>
      <c r="DJ387" s="83"/>
      <c r="DK387" s="83"/>
      <c r="DL387" s="83"/>
      <c r="DM387" s="83"/>
      <c r="DN387" s="83"/>
      <c r="DO387" s="83"/>
      <c r="DP387" s="83"/>
      <c r="DQ387" s="83"/>
      <c r="DR387" s="83"/>
      <c r="DS387" s="83"/>
      <c r="DT387" s="83"/>
      <c r="DU387" s="83"/>
      <c r="DV387" s="83"/>
      <c r="DW387" s="83"/>
      <c r="DX387" s="83"/>
      <c r="DY387" s="83"/>
      <c r="DZ387" s="83"/>
      <c r="EA387" s="83"/>
      <c r="EB387" s="83"/>
      <c r="EC387" s="83"/>
      <c r="ED387" s="83"/>
      <c r="EE387" s="83"/>
      <c r="EF387" s="83"/>
      <c r="EG387" s="83"/>
      <c r="EH387" s="83"/>
      <c r="EI387" s="83"/>
      <c r="EJ387" s="83"/>
      <c r="EK387" s="83"/>
      <c r="EL387" s="83"/>
      <c r="EM387" s="83"/>
      <c r="EN387" s="83"/>
      <c r="EO387" s="83"/>
      <c r="EP387" s="83"/>
      <c r="EQ387" s="83"/>
      <c r="ER387" s="83"/>
      <c r="ES387" s="83"/>
      <c r="ET387" s="83"/>
      <c r="EU387" s="83"/>
      <c r="EV387" s="83"/>
      <c r="EW387" s="83"/>
      <c r="EX387" s="83"/>
      <c r="EY387" s="83"/>
      <c r="EZ387" s="83"/>
      <c r="FA387" s="83"/>
      <c r="FB387" s="83"/>
      <c r="FC387" s="83"/>
      <c r="FD387" s="83"/>
      <c r="FE387" s="83"/>
      <c r="FF387" s="83"/>
      <c r="FG387" s="83"/>
      <c r="FH387" s="83"/>
      <c r="FI387" s="83"/>
      <c r="FJ387" s="83"/>
      <c r="FK387" s="83"/>
      <c r="FL387" s="83"/>
      <c r="FM387" s="83"/>
      <c r="FN387" s="83"/>
      <c r="FO387" s="83"/>
      <c r="FP387" s="83"/>
      <c r="FQ387" s="83"/>
      <c r="FR387" s="83"/>
      <c r="FS387" s="83"/>
      <c r="FT387" s="83"/>
      <c r="FU387" s="83"/>
      <c r="FV387" s="83"/>
      <c r="FW387" s="83"/>
      <c r="FX387" s="83"/>
      <c r="FY387" s="83"/>
      <c r="FZ387" s="83"/>
      <c r="GA387" s="83"/>
      <c r="GB387" s="83"/>
      <c r="GC387" s="83"/>
      <c r="GD387" s="83"/>
      <c r="GE387" s="83"/>
      <c r="GF387" s="83"/>
      <c r="GG387" s="83"/>
      <c r="GH387" s="83"/>
      <c r="GI387" s="83"/>
      <c r="GJ387" s="83"/>
      <c r="GK387" s="83"/>
      <c r="GL387" s="83"/>
      <c r="GM387" s="83"/>
      <c r="GN387" s="83"/>
      <c r="GO387" s="83"/>
      <c r="GP387" s="83"/>
      <c r="GQ387" s="83"/>
      <c r="GR387" s="83"/>
      <c r="GS387" s="83"/>
      <c r="GT387" s="83"/>
      <c r="GU387" s="83"/>
      <c r="GV387" s="83"/>
      <c r="GW387" s="83"/>
      <c r="GX387" s="83"/>
      <c r="GY387" s="83"/>
      <c r="GZ387" s="83"/>
      <c r="HA387" s="83"/>
      <c r="HB387" s="83"/>
      <c r="HC387" s="83"/>
      <c r="HD387" s="83"/>
      <c r="HE387" s="83"/>
      <c r="HF387" s="83"/>
      <c r="HG387" s="83"/>
      <c r="HH387" s="83"/>
      <c r="HI387" s="83"/>
      <c r="HJ387" s="83"/>
      <c r="HK387" s="83"/>
      <c r="HL387" s="83"/>
      <c r="HM387" s="83"/>
      <c r="HN387" s="83"/>
      <c r="HO387" s="83"/>
      <c r="HP387" s="83"/>
      <c r="HQ387" s="83"/>
      <c r="HR387" s="83"/>
      <c r="HS387" s="83"/>
      <c r="HT387" s="83"/>
      <c r="HU387" s="83"/>
      <c r="HV387" s="83"/>
      <c r="HW387" s="83"/>
      <c r="HX387" s="83"/>
      <c r="HY387" s="83"/>
      <c r="HZ387" s="83"/>
      <c r="IA387" s="83"/>
      <c r="IB387" s="83"/>
      <c r="IC387" s="83"/>
      <c r="ID387" s="83"/>
      <c r="IE387" s="83"/>
      <c r="IF387" s="83"/>
      <c r="IG387" s="83"/>
    </row>
    <row r="388" spans="1:241"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c r="DD388" s="83"/>
      <c r="DE388" s="83"/>
      <c r="DF388" s="83"/>
      <c r="DG388" s="83"/>
      <c r="DH388" s="83"/>
      <c r="DI388" s="83"/>
      <c r="DJ388" s="83"/>
      <c r="DK388" s="83"/>
      <c r="DL388" s="83"/>
      <c r="DM388" s="83"/>
      <c r="DN388" s="83"/>
      <c r="DO388" s="83"/>
      <c r="DP388" s="83"/>
      <c r="DQ388" s="83"/>
      <c r="DR388" s="83"/>
      <c r="DS388" s="83"/>
      <c r="DT388" s="83"/>
      <c r="DU388" s="83"/>
      <c r="DV388" s="83"/>
      <c r="DW388" s="83"/>
      <c r="DX388" s="83"/>
      <c r="DY388" s="83"/>
      <c r="DZ388" s="83"/>
      <c r="EA388" s="83"/>
      <c r="EB388" s="83"/>
      <c r="EC388" s="83"/>
      <c r="ED388" s="83"/>
      <c r="EE388" s="83"/>
      <c r="EF388" s="83"/>
      <c r="EG388" s="83"/>
      <c r="EH388" s="83"/>
      <c r="EI388" s="83"/>
      <c r="EJ388" s="83"/>
      <c r="EK388" s="83"/>
      <c r="EL388" s="83"/>
      <c r="EM388" s="83"/>
      <c r="EN388" s="83"/>
      <c r="EO388" s="83"/>
      <c r="EP388" s="83"/>
      <c r="EQ388" s="83"/>
      <c r="ER388" s="83"/>
      <c r="ES388" s="83"/>
      <c r="ET388" s="83"/>
      <c r="EU388" s="83"/>
      <c r="EV388" s="83"/>
      <c r="EW388" s="83"/>
      <c r="EX388" s="83"/>
      <c r="EY388" s="83"/>
      <c r="EZ388" s="83"/>
      <c r="FA388" s="83"/>
      <c r="FB388" s="83"/>
      <c r="FC388" s="83"/>
      <c r="FD388" s="83"/>
      <c r="FE388" s="83"/>
      <c r="FF388" s="83"/>
      <c r="FG388" s="83"/>
      <c r="FH388" s="83"/>
      <c r="FI388" s="83"/>
      <c r="FJ388" s="83"/>
      <c r="FK388" s="83"/>
      <c r="FL388" s="83"/>
      <c r="FM388" s="83"/>
      <c r="FN388" s="83"/>
      <c r="FO388" s="83"/>
      <c r="FP388" s="83"/>
      <c r="FQ388" s="83"/>
      <c r="FR388" s="83"/>
      <c r="FS388" s="83"/>
      <c r="FT388" s="83"/>
      <c r="FU388" s="83"/>
      <c r="FV388" s="83"/>
      <c r="FW388" s="83"/>
      <c r="FX388" s="83"/>
      <c r="FY388" s="83"/>
      <c r="FZ388" s="83"/>
      <c r="GA388" s="83"/>
      <c r="GB388" s="83"/>
      <c r="GC388" s="83"/>
      <c r="GD388" s="83"/>
      <c r="GE388" s="83"/>
      <c r="GF388" s="83"/>
      <c r="GG388" s="83"/>
      <c r="GH388" s="83"/>
      <c r="GI388" s="83"/>
      <c r="GJ388" s="83"/>
      <c r="GK388" s="83"/>
      <c r="GL388" s="83"/>
      <c r="GM388" s="83"/>
      <c r="GN388" s="83"/>
      <c r="GO388" s="83"/>
      <c r="GP388" s="83"/>
      <c r="GQ388" s="83"/>
      <c r="GR388" s="83"/>
      <c r="GS388" s="83"/>
      <c r="GT388" s="83"/>
      <c r="GU388" s="83"/>
      <c r="GV388" s="83"/>
      <c r="GW388" s="83"/>
      <c r="GX388" s="83"/>
      <c r="GY388" s="83"/>
      <c r="GZ388" s="83"/>
      <c r="HA388" s="83"/>
      <c r="HB388" s="83"/>
      <c r="HC388" s="83"/>
      <c r="HD388" s="83"/>
      <c r="HE388" s="83"/>
      <c r="HF388" s="83"/>
      <c r="HG388" s="83"/>
      <c r="HH388" s="83"/>
      <c r="HI388" s="83"/>
      <c r="HJ388" s="83"/>
      <c r="HK388" s="83"/>
      <c r="HL388" s="83"/>
      <c r="HM388" s="83"/>
      <c r="HN388" s="83"/>
      <c r="HO388" s="83"/>
      <c r="HP388" s="83"/>
      <c r="HQ388" s="83"/>
      <c r="HR388" s="83"/>
      <c r="HS388" s="83"/>
      <c r="HT388" s="83"/>
      <c r="HU388" s="83"/>
      <c r="HV388" s="83"/>
      <c r="HW388" s="83"/>
      <c r="HX388" s="83"/>
      <c r="HY388" s="83"/>
      <c r="HZ388" s="83"/>
      <c r="IA388" s="83"/>
      <c r="IB388" s="83"/>
      <c r="IC388" s="83"/>
      <c r="ID388" s="83"/>
      <c r="IE388" s="83"/>
      <c r="IF388" s="83"/>
      <c r="IG388" s="83"/>
    </row>
    <row r="389" spans="1:241"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c r="DD389" s="83"/>
      <c r="DE389" s="83"/>
      <c r="DF389" s="83"/>
      <c r="DG389" s="83"/>
      <c r="DH389" s="83"/>
      <c r="DI389" s="83"/>
      <c r="DJ389" s="83"/>
      <c r="DK389" s="83"/>
      <c r="DL389" s="83"/>
      <c r="DM389" s="83"/>
      <c r="DN389" s="83"/>
      <c r="DO389" s="83"/>
      <c r="DP389" s="83"/>
      <c r="DQ389" s="83"/>
      <c r="DR389" s="83"/>
      <c r="DS389" s="83"/>
      <c r="DT389" s="83"/>
      <c r="DU389" s="83"/>
      <c r="DV389" s="83"/>
      <c r="DW389" s="83"/>
      <c r="DX389" s="83"/>
      <c r="DY389" s="83"/>
      <c r="DZ389" s="83"/>
      <c r="EA389" s="83"/>
      <c r="EB389" s="83"/>
      <c r="EC389" s="83"/>
      <c r="ED389" s="83"/>
      <c r="EE389" s="83"/>
      <c r="EF389" s="83"/>
      <c r="EG389" s="83"/>
      <c r="EH389" s="83"/>
      <c r="EI389" s="83"/>
      <c r="EJ389" s="83"/>
      <c r="EK389" s="83"/>
      <c r="EL389" s="83"/>
      <c r="EM389" s="83"/>
      <c r="EN389" s="83"/>
      <c r="EO389" s="83"/>
      <c r="EP389" s="83"/>
      <c r="EQ389" s="83"/>
      <c r="ER389" s="83"/>
      <c r="ES389" s="83"/>
      <c r="ET389" s="83"/>
      <c r="EU389" s="83"/>
      <c r="EV389" s="83"/>
      <c r="EW389" s="83"/>
      <c r="EX389" s="83"/>
      <c r="EY389" s="83"/>
      <c r="EZ389" s="83"/>
      <c r="FA389" s="83"/>
      <c r="FB389" s="83"/>
      <c r="FC389" s="83"/>
      <c r="FD389" s="83"/>
      <c r="FE389" s="83"/>
      <c r="FF389" s="83"/>
      <c r="FG389" s="83"/>
      <c r="FH389" s="83"/>
      <c r="FI389" s="83"/>
      <c r="FJ389" s="83"/>
      <c r="FK389" s="83"/>
      <c r="FL389" s="83"/>
      <c r="FM389" s="83"/>
      <c r="FN389" s="83"/>
      <c r="FO389" s="83"/>
      <c r="FP389" s="83"/>
      <c r="FQ389" s="83"/>
      <c r="FR389" s="83"/>
      <c r="FS389" s="83"/>
      <c r="FT389" s="83"/>
      <c r="FU389" s="83"/>
      <c r="FV389" s="83"/>
      <c r="FW389" s="83"/>
      <c r="FX389" s="83"/>
      <c r="FY389" s="83"/>
      <c r="FZ389" s="83"/>
      <c r="GA389" s="83"/>
      <c r="GB389" s="83"/>
      <c r="GC389" s="83"/>
      <c r="GD389" s="83"/>
      <c r="GE389" s="83"/>
      <c r="GF389" s="83"/>
      <c r="GG389" s="83"/>
      <c r="GH389" s="83"/>
      <c r="GI389" s="83"/>
      <c r="GJ389" s="83"/>
      <c r="GK389" s="83"/>
      <c r="GL389" s="83"/>
      <c r="GM389" s="83"/>
      <c r="GN389" s="83"/>
      <c r="GO389" s="83"/>
      <c r="GP389" s="83"/>
      <c r="GQ389" s="83"/>
      <c r="GR389" s="83"/>
      <c r="GS389" s="83"/>
      <c r="GT389" s="83"/>
      <c r="GU389" s="83"/>
      <c r="GV389" s="83"/>
      <c r="GW389" s="83"/>
      <c r="GX389" s="83"/>
      <c r="GY389" s="83"/>
      <c r="GZ389" s="83"/>
      <c r="HA389" s="83"/>
      <c r="HB389" s="83"/>
      <c r="HC389" s="83"/>
      <c r="HD389" s="83"/>
      <c r="HE389" s="83"/>
      <c r="HF389" s="83"/>
      <c r="HG389" s="83"/>
      <c r="HH389" s="83"/>
      <c r="HI389" s="83"/>
      <c r="HJ389" s="83"/>
      <c r="HK389" s="83"/>
      <c r="HL389" s="83"/>
      <c r="HM389" s="83"/>
      <c r="HN389" s="83"/>
      <c r="HO389" s="83"/>
      <c r="HP389" s="83"/>
      <c r="HQ389" s="83"/>
      <c r="HR389" s="83"/>
      <c r="HS389" s="83"/>
      <c r="HT389" s="83"/>
      <c r="HU389" s="83"/>
      <c r="HV389" s="83"/>
      <c r="HW389" s="83"/>
      <c r="HX389" s="83"/>
      <c r="HY389" s="83"/>
      <c r="HZ389" s="83"/>
      <c r="IA389" s="83"/>
      <c r="IB389" s="83"/>
      <c r="IC389" s="83"/>
      <c r="ID389" s="83"/>
      <c r="IE389" s="83"/>
      <c r="IF389" s="83"/>
      <c r="IG389" s="83"/>
    </row>
    <row r="390" spans="1:241"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c r="DD390" s="83"/>
      <c r="DE390" s="83"/>
      <c r="DF390" s="83"/>
      <c r="DG390" s="83"/>
      <c r="DH390" s="83"/>
      <c r="DI390" s="83"/>
      <c r="DJ390" s="83"/>
      <c r="DK390" s="83"/>
      <c r="DL390" s="83"/>
      <c r="DM390" s="83"/>
      <c r="DN390" s="83"/>
      <c r="DO390" s="83"/>
      <c r="DP390" s="83"/>
      <c r="DQ390" s="83"/>
      <c r="DR390" s="83"/>
      <c r="DS390" s="83"/>
      <c r="DT390" s="83"/>
      <c r="DU390" s="83"/>
      <c r="DV390" s="83"/>
      <c r="DW390" s="83"/>
      <c r="DX390" s="83"/>
      <c r="DY390" s="83"/>
      <c r="DZ390" s="83"/>
      <c r="EA390" s="83"/>
      <c r="EB390" s="83"/>
      <c r="EC390" s="83"/>
      <c r="ED390" s="83"/>
      <c r="EE390" s="83"/>
      <c r="EF390" s="83"/>
      <c r="EG390" s="83"/>
      <c r="EH390" s="83"/>
      <c r="EI390" s="83"/>
      <c r="EJ390" s="83"/>
      <c r="EK390" s="83"/>
      <c r="EL390" s="83"/>
      <c r="EM390" s="83"/>
      <c r="EN390" s="83"/>
      <c r="EO390" s="83"/>
      <c r="EP390" s="83"/>
      <c r="EQ390" s="83"/>
      <c r="ER390" s="83"/>
      <c r="ES390" s="83"/>
      <c r="ET390" s="83"/>
      <c r="EU390" s="83"/>
      <c r="EV390" s="83"/>
      <c r="EW390" s="83"/>
      <c r="EX390" s="83"/>
      <c r="EY390" s="83"/>
      <c r="EZ390" s="83"/>
      <c r="FA390" s="83"/>
      <c r="FB390" s="83"/>
      <c r="FC390" s="83"/>
      <c r="FD390" s="83"/>
      <c r="FE390" s="83"/>
      <c r="FF390" s="83"/>
      <c r="FG390" s="83"/>
      <c r="FH390" s="83"/>
      <c r="FI390" s="83"/>
      <c r="FJ390" s="83"/>
      <c r="FK390" s="83"/>
      <c r="FL390" s="83"/>
      <c r="FM390" s="83"/>
      <c r="FN390" s="83"/>
      <c r="FO390" s="83"/>
      <c r="FP390" s="83"/>
      <c r="FQ390" s="83"/>
      <c r="FR390" s="83"/>
      <c r="FS390" s="83"/>
      <c r="FT390" s="83"/>
      <c r="FU390" s="83"/>
      <c r="FV390" s="83"/>
      <c r="FW390" s="83"/>
      <c r="FX390" s="83"/>
      <c r="FY390" s="83"/>
      <c r="FZ390" s="83"/>
      <c r="GA390" s="83"/>
      <c r="GB390" s="83"/>
      <c r="GC390" s="83"/>
      <c r="GD390" s="83"/>
      <c r="GE390" s="83"/>
      <c r="GF390" s="83"/>
      <c r="GG390" s="83"/>
      <c r="GH390" s="83"/>
      <c r="GI390" s="83"/>
      <c r="GJ390" s="83"/>
      <c r="GK390" s="83"/>
      <c r="GL390" s="83"/>
      <c r="GM390" s="83"/>
      <c r="GN390" s="83"/>
      <c r="GO390" s="83"/>
      <c r="GP390" s="83"/>
      <c r="GQ390" s="83"/>
      <c r="GR390" s="83"/>
      <c r="GS390" s="83"/>
      <c r="GT390" s="83"/>
      <c r="GU390" s="83"/>
      <c r="GV390" s="83"/>
      <c r="GW390" s="83"/>
      <c r="GX390" s="83"/>
      <c r="GY390" s="83"/>
      <c r="GZ390" s="83"/>
      <c r="HA390" s="83"/>
      <c r="HB390" s="83"/>
      <c r="HC390" s="83"/>
      <c r="HD390" s="83"/>
      <c r="HE390" s="83"/>
      <c r="HF390" s="83"/>
      <c r="HG390" s="83"/>
      <c r="HH390" s="83"/>
      <c r="HI390" s="83"/>
      <c r="HJ390" s="83"/>
      <c r="HK390" s="83"/>
      <c r="HL390" s="83"/>
      <c r="HM390" s="83"/>
      <c r="HN390" s="83"/>
      <c r="HO390" s="83"/>
      <c r="HP390" s="83"/>
      <c r="HQ390" s="83"/>
      <c r="HR390" s="83"/>
      <c r="HS390" s="83"/>
      <c r="HT390" s="83"/>
      <c r="HU390" s="83"/>
      <c r="HV390" s="83"/>
      <c r="HW390" s="83"/>
      <c r="HX390" s="83"/>
      <c r="HY390" s="83"/>
      <c r="HZ390" s="83"/>
      <c r="IA390" s="83"/>
      <c r="IB390" s="83"/>
      <c r="IC390" s="83"/>
      <c r="ID390" s="83"/>
      <c r="IE390" s="83"/>
      <c r="IF390" s="83"/>
      <c r="IG390" s="83"/>
    </row>
    <row r="391" spans="1:241"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c r="DD391" s="83"/>
      <c r="DE391" s="83"/>
      <c r="DF391" s="83"/>
      <c r="DG391" s="83"/>
      <c r="DH391" s="83"/>
      <c r="DI391" s="83"/>
      <c r="DJ391" s="83"/>
      <c r="DK391" s="83"/>
      <c r="DL391" s="83"/>
      <c r="DM391" s="83"/>
      <c r="DN391" s="83"/>
      <c r="DO391" s="83"/>
      <c r="DP391" s="83"/>
      <c r="DQ391" s="83"/>
      <c r="DR391" s="83"/>
      <c r="DS391" s="83"/>
      <c r="DT391" s="83"/>
      <c r="DU391" s="83"/>
      <c r="DV391" s="83"/>
      <c r="DW391" s="83"/>
      <c r="DX391" s="83"/>
      <c r="DY391" s="83"/>
      <c r="DZ391" s="83"/>
      <c r="EA391" s="83"/>
      <c r="EB391" s="83"/>
      <c r="EC391" s="83"/>
      <c r="ED391" s="83"/>
      <c r="EE391" s="83"/>
      <c r="EF391" s="83"/>
      <c r="EG391" s="83"/>
      <c r="EH391" s="83"/>
      <c r="EI391" s="83"/>
      <c r="EJ391" s="83"/>
      <c r="EK391" s="83"/>
      <c r="EL391" s="83"/>
      <c r="EM391" s="83"/>
      <c r="EN391" s="83"/>
      <c r="EO391" s="83"/>
      <c r="EP391" s="83"/>
      <c r="EQ391" s="83"/>
      <c r="ER391" s="83"/>
      <c r="ES391" s="83"/>
      <c r="ET391" s="83"/>
      <c r="EU391" s="83"/>
      <c r="EV391" s="83"/>
      <c r="EW391" s="83"/>
      <c r="EX391" s="83"/>
      <c r="EY391" s="83"/>
      <c r="EZ391" s="83"/>
      <c r="FA391" s="83"/>
      <c r="FB391" s="83"/>
      <c r="FC391" s="83"/>
      <c r="FD391" s="83"/>
      <c r="FE391" s="83"/>
      <c r="FF391" s="83"/>
      <c r="FG391" s="83"/>
      <c r="FH391" s="83"/>
      <c r="FI391" s="83"/>
      <c r="FJ391" s="83"/>
      <c r="FK391" s="83"/>
      <c r="FL391" s="83"/>
      <c r="FM391" s="83"/>
      <c r="FN391" s="83"/>
      <c r="FO391" s="83"/>
      <c r="FP391" s="83"/>
      <c r="FQ391" s="83"/>
      <c r="FR391" s="83"/>
      <c r="FS391" s="83"/>
      <c r="FT391" s="83"/>
      <c r="FU391" s="83"/>
      <c r="FV391" s="83"/>
      <c r="FW391" s="83"/>
      <c r="FX391" s="83"/>
      <c r="FY391" s="83"/>
      <c r="FZ391" s="83"/>
      <c r="GA391" s="83"/>
      <c r="GB391" s="83"/>
      <c r="GC391" s="83"/>
      <c r="GD391" s="83"/>
      <c r="GE391" s="83"/>
      <c r="GF391" s="83"/>
      <c r="GG391" s="83"/>
      <c r="GH391" s="83"/>
      <c r="GI391" s="83"/>
      <c r="GJ391" s="83"/>
      <c r="GK391" s="83"/>
      <c r="GL391" s="83"/>
      <c r="GM391" s="83"/>
      <c r="GN391" s="83"/>
      <c r="GO391" s="83"/>
      <c r="GP391" s="83"/>
      <c r="GQ391" s="83"/>
      <c r="GR391" s="83"/>
      <c r="GS391" s="83"/>
      <c r="GT391" s="83"/>
      <c r="GU391" s="83"/>
      <c r="GV391" s="83"/>
      <c r="GW391" s="83"/>
      <c r="GX391" s="83"/>
      <c r="GY391" s="83"/>
      <c r="GZ391" s="83"/>
      <c r="HA391" s="83"/>
      <c r="HB391" s="83"/>
      <c r="HC391" s="83"/>
      <c r="HD391" s="83"/>
      <c r="HE391" s="83"/>
      <c r="HF391" s="83"/>
      <c r="HG391" s="83"/>
      <c r="HH391" s="83"/>
      <c r="HI391" s="83"/>
      <c r="HJ391" s="83"/>
      <c r="HK391" s="83"/>
      <c r="HL391" s="83"/>
      <c r="HM391" s="83"/>
      <c r="HN391" s="83"/>
      <c r="HO391" s="83"/>
      <c r="HP391" s="83"/>
      <c r="HQ391" s="83"/>
      <c r="HR391" s="83"/>
      <c r="HS391" s="83"/>
      <c r="HT391" s="83"/>
      <c r="HU391" s="83"/>
      <c r="HV391" s="83"/>
      <c r="HW391" s="83"/>
      <c r="HX391" s="83"/>
      <c r="HY391" s="83"/>
      <c r="HZ391" s="83"/>
      <c r="IA391" s="83"/>
      <c r="IB391" s="83"/>
      <c r="IC391" s="83"/>
      <c r="ID391" s="83"/>
      <c r="IE391" s="83"/>
      <c r="IF391" s="83"/>
      <c r="IG391" s="83"/>
    </row>
    <row r="392" spans="1:241"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c r="DD392" s="83"/>
      <c r="DE392" s="83"/>
      <c r="DF392" s="83"/>
      <c r="DG392" s="83"/>
      <c r="DH392" s="83"/>
      <c r="DI392" s="83"/>
      <c r="DJ392" s="83"/>
      <c r="DK392" s="83"/>
      <c r="DL392" s="83"/>
      <c r="DM392" s="83"/>
      <c r="DN392" s="83"/>
      <c r="DO392" s="83"/>
      <c r="DP392" s="83"/>
      <c r="DQ392" s="83"/>
      <c r="DR392" s="83"/>
      <c r="DS392" s="83"/>
      <c r="DT392" s="83"/>
      <c r="DU392" s="83"/>
      <c r="DV392" s="83"/>
      <c r="DW392" s="83"/>
      <c r="DX392" s="83"/>
      <c r="DY392" s="83"/>
      <c r="DZ392" s="83"/>
      <c r="EA392" s="83"/>
      <c r="EB392" s="83"/>
      <c r="EC392" s="83"/>
      <c r="ED392" s="83"/>
      <c r="EE392" s="83"/>
      <c r="EF392" s="83"/>
      <c r="EG392" s="83"/>
      <c r="EH392" s="83"/>
      <c r="EI392" s="83"/>
      <c r="EJ392" s="83"/>
      <c r="EK392" s="83"/>
      <c r="EL392" s="83"/>
      <c r="EM392" s="83"/>
      <c r="EN392" s="83"/>
      <c r="EO392" s="83"/>
      <c r="EP392" s="83"/>
      <c r="EQ392" s="83"/>
      <c r="ER392" s="83"/>
      <c r="ES392" s="83"/>
      <c r="ET392" s="83"/>
      <c r="EU392" s="83"/>
      <c r="EV392" s="83"/>
      <c r="EW392" s="83"/>
      <c r="EX392" s="83"/>
      <c r="EY392" s="83"/>
      <c r="EZ392" s="83"/>
      <c r="FA392" s="83"/>
      <c r="FB392" s="83"/>
      <c r="FC392" s="83"/>
      <c r="FD392" s="83"/>
      <c r="FE392" s="83"/>
      <c r="FF392" s="83"/>
      <c r="FG392" s="83"/>
      <c r="FH392" s="83"/>
      <c r="FI392" s="83"/>
      <c r="FJ392" s="83"/>
      <c r="FK392" s="83"/>
      <c r="FL392" s="83"/>
      <c r="FM392" s="83"/>
      <c r="FN392" s="83"/>
      <c r="FO392" s="83"/>
      <c r="FP392" s="83"/>
      <c r="FQ392" s="83"/>
      <c r="FR392" s="83"/>
      <c r="FS392" s="83"/>
      <c r="FT392" s="83"/>
      <c r="FU392" s="83"/>
      <c r="FV392" s="83"/>
      <c r="FW392" s="83"/>
      <c r="FX392" s="83"/>
      <c r="FY392" s="83"/>
      <c r="FZ392" s="83"/>
      <c r="GA392" s="83"/>
      <c r="GB392" s="83"/>
      <c r="GC392" s="83"/>
      <c r="GD392" s="83"/>
      <c r="GE392" s="83"/>
      <c r="GF392" s="83"/>
      <c r="GG392" s="83"/>
      <c r="GH392" s="83"/>
      <c r="GI392" s="83"/>
      <c r="GJ392" s="83"/>
      <c r="GK392" s="83"/>
      <c r="GL392" s="83"/>
      <c r="GM392" s="83"/>
      <c r="GN392" s="83"/>
      <c r="GO392" s="83"/>
      <c r="GP392" s="83"/>
      <c r="GQ392" s="83"/>
      <c r="GR392" s="83"/>
      <c r="GS392" s="83"/>
      <c r="GT392" s="83"/>
      <c r="GU392" s="83"/>
      <c r="GV392" s="83"/>
      <c r="GW392" s="83"/>
      <c r="GX392" s="83"/>
      <c r="GY392" s="83"/>
      <c r="GZ392" s="83"/>
      <c r="HA392" s="83"/>
      <c r="HB392" s="83"/>
      <c r="HC392" s="83"/>
      <c r="HD392" s="83"/>
      <c r="HE392" s="83"/>
      <c r="HF392" s="83"/>
      <c r="HG392" s="83"/>
      <c r="HH392" s="83"/>
      <c r="HI392" s="83"/>
      <c r="HJ392" s="83"/>
      <c r="HK392" s="83"/>
      <c r="HL392" s="83"/>
      <c r="HM392" s="83"/>
      <c r="HN392" s="83"/>
      <c r="HO392" s="83"/>
      <c r="HP392" s="83"/>
      <c r="HQ392" s="83"/>
      <c r="HR392" s="83"/>
      <c r="HS392" s="83"/>
      <c r="HT392" s="83"/>
      <c r="HU392" s="83"/>
      <c r="HV392" s="83"/>
      <c r="HW392" s="83"/>
      <c r="HX392" s="83"/>
      <c r="HY392" s="83"/>
      <c r="HZ392" s="83"/>
      <c r="IA392" s="83"/>
      <c r="IB392" s="83"/>
      <c r="IC392" s="83"/>
      <c r="ID392" s="83"/>
      <c r="IE392" s="83"/>
      <c r="IF392" s="83"/>
      <c r="IG392" s="83"/>
    </row>
    <row r="393" spans="1:241"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c r="DD393" s="83"/>
      <c r="DE393" s="83"/>
      <c r="DF393" s="83"/>
      <c r="DG393" s="83"/>
      <c r="DH393" s="83"/>
      <c r="DI393" s="83"/>
      <c r="DJ393" s="83"/>
      <c r="DK393" s="83"/>
      <c r="DL393" s="83"/>
      <c r="DM393" s="83"/>
      <c r="DN393" s="83"/>
      <c r="DO393" s="83"/>
      <c r="DP393" s="83"/>
      <c r="DQ393" s="83"/>
      <c r="DR393" s="83"/>
      <c r="DS393" s="83"/>
      <c r="DT393" s="83"/>
      <c r="DU393" s="83"/>
      <c r="DV393" s="83"/>
      <c r="DW393" s="83"/>
      <c r="DX393" s="83"/>
      <c r="DY393" s="83"/>
      <c r="DZ393" s="83"/>
      <c r="EA393" s="83"/>
      <c r="EB393" s="83"/>
      <c r="EC393" s="83"/>
      <c r="ED393" s="83"/>
      <c r="EE393" s="83"/>
      <c r="EF393" s="83"/>
      <c r="EG393" s="83"/>
      <c r="EH393" s="83"/>
      <c r="EI393" s="83"/>
      <c r="EJ393" s="83"/>
      <c r="EK393" s="83"/>
      <c r="EL393" s="83"/>
      <c r="EM393" s="83"/>
      <c r="EN393" s="83"/>
      <c r="EO393" s="83"/>
      <c r="EP393" s="83"/>
      <c r="EQ393" s="83"/>
      <c r="ER393" s="83"/>
      <c r="ES393" s="83"/>
      <c r="ET393" s="83"/>
      <c r="EU393" s="83"/>
      <c r="EV393" s="83"/>
      <c r="EW393" s="83"/>
      <c r="EX393" s="83"/>
      <c r="EY393" s="83"/>
      <c r="EZ393" s="83"/>
      <c r="FA393" s="83"/>
      <c r="FB393" s="83"/>
      <c r="FC393" s="83"/>
      <c r="FD393" s="83"/>
      <c r="FE393" s="83"/>
      <c r="FF393" s="83"/>
      <c r="FG393" s="83"/>
      <c r="FH393" s="83"/>
      <c r="FI393" s="83"/>
      <c r="FJ393" s="83"/>
      <c r="FK393" s="83"/>
      <c r="FL393" s="83"/>
      <c r="FM393" s="83"/>
      <c r="FN393" s="83"/>
      <c r="FO393" s="83"/>
      <c r="FP393" s="83"/>
      <c r="FQ393" s="83"/>
      <c r="FR393" s="83"/>
      <c r="FS393" s="83"/>
      <c r="FT393" s="83"/>
      <c r="FU393" s="83"/>
      <c r="FV393" s="83"/>
      <c r="FW393" s="83"/>
      <c r="FX393" s="83"/>
      <c r="FY393" s="83"/>
      <c r="FZ393" s="83"/>
      <c r="GA393" s="83"/>
      <c r="GB393" s="83"/>
      <c r="GC393" s="83"/>
      <c r="GD393" s="83"/>
      <c r="GE393" s="83"/>
      <c r="GF393" s="83"/>
      <c r="GG393" s="83"/>
      <c r="GH393" s="83"/>
      <c r="GI393" s="83"/>
      <c r="GJ393" s="83"/>
      <c r="GK393" s="83"/>
      <c r="GL393" s="83"/>
      <c r="GM393" s="83"/>
      <c r="GN393" s="83"/>
      <c r="GO393" s="83"/>
      <c r="GP393" s="83"/>
      <c r="GQ393" s="83"/>
      <c r="GR393" s="83"/>
      <c r="GS393" s="83"/>
      <c r="GT393" s="83"/>
      <c r="GU393" s="83"/>
      <c r="GV393" s="83"/>
      <c r="GW393" s="83"/>
      <c r="GX393" s="83"/>
      <c r="GY393" s="83"/>
      <c r="GZ393" s="83"/>
      <c r="HA393" s="83"/>
      <c r="HB393" s="83"/>
      <c r="HC393" s="83"/>
      <c r="HD393" s="83"/>
      <c r="HE393" s="83"/>
      <c r="HF393" s="83"/>
      <c r="HG393" s="83"/>
      <c r="HH393" s="83"/>
      <c r="HI393" s="83"/>
      <c r="HJ393" s="83"/>
      <c r="HK393" s="83"/>
      <c r="HL393" s="83"/>
      <c r="HM393" s="83"/>
      <c r="HN393" s="83"/>
      <c r="HO393" s="83"/>
      <c r="HP393" s="83"/>
      <c r="HQ393" s="83"/>
      <c r="HR393" s="83"/>
      <c r="HS393" s="83"/>
      <c r="HT393" s="83"/>
      <c r="HU393" s="83"/>
      <c r="HV393" s="83"/>
      <c r="HW393" s="83"/>
      <c r="HX393" s="83"/>
      <c r="HY393" s="83"/>
      <c r="HZ393" s="83"/>
      <c r="IA393" s="83"/>
      <c r="IB393" s="83"/>
      <c r="IC393" s="83"/>
      <c r="ID393" s="83"/>
      <c r="IE393" s="83"/>
      <c r="IF393" s="83"/>
      <c r="IG393" s="83"/>
    </row>
    <row r="394" spans="1:241"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c r="DD394" s="83"/>
      <c r="DE394" s="83"/>
      <c r="DF394" s="83"/>
      <c r="DG394" s="83"/>
      <c r="DH394" s="83"/>
      <c r="DI394" s="83"/>
      <c r="DJ394" s="83"/>
      <c r="DK394" s="83"/>
      <c r="DL394" s="83"/>
      <c r="DM394" s="83"/>
      <c r="DN394" s="83"/>
      <c r="DO394" s="83"/>
      <c r="DP394" s="83"/>
      <c r="DQ394" s="83"/>
      <c r="DR394" s="83"/>
      <c r="DS394" s="83"/>
      <c r="DT394" s="83"/>
      <c r="DU394" s="83"/>
      <c r="DV394" s="83"/>
      <c r="DW394" s="83"/>
      <c r="DX394" s="83"/>
      <c r="DY394" s="83"/>
      <c r="DZ394" s="83"/>
      <c r="EA394" s="83"/>
      <c r="EB394" s="83"/>
      <c r="EC394" s="83"/>
      <c r="ED394" s="83"/>
      <c r="EE394" s="83"/>
      <c r="EF394" s="83"/>
      <c r="EG394" s="83"/>
      <c r="EH394" s="83"/>
      <c r="EI394" s="83"/>
      <c r="EJ394" s="83"/>
      <c r="EK394" s="83"/>
      <c r="EL394" s="83"/>
      <c r="EM394" s="83"/>
      <c r="EN394" s="83"/>
      <c r="EO394" s="83"/>
      <c r="EP394" s="83"/>
      <c r="EQ394" s="83"/>
      <c r="ER394" s="83"/>
      <c r="ES394" s="83"/>
      <c r="ET394" s="83"/>
      <c r="EU394" s="83"/>
      <c r="EV394" s="83"/>
      <c r="EW394" s="83"/>
      <c r="EX394" s="83"/>
      <c r="EY394" s="83"/>
      <c r="EZ394" s="83"/>
      <c r="FA394" s="83"/>
      <c r="FB394" s="83"/>
      <c r="FC394" s="83"/>
      <c r="FD394" s="83"/>
      <c r="FE394" s="83"/>
      <c r="FF394" s="83"/>
      <c r="FG394" s="83"/>
      <c r="FH394" s="83"/>
      <c r="FI394" s="83"/>
      <c r="FJ394" s="83"/>
      <c r="FK394" s="83"/>
      <c r="FL394" s="83"/>
      <c r="FM394" s="83"/>
      <c r="FN394" s="83"/>
      <c r="FO394" s="83"/>
      <c r="FP394" s="83"/>
      <c r="FQ394" s="83"/>
      <c r="FR394" s="83"/>
      <c r="FS394" s="83"/>
      <c r="FT394" s="83"/>
      <c r="FU394" s="83"/>
      <c r="FV394" s="83"/>
      <c r="FW394" s="83"/>
      <c r="FX394" s="83"/>
      <c r="FY394" s="83"/>
      <c r="FZ394" s="83"/>
      <c r="GA394" s="83"/>
      <c r="GB394" s="83"/>
      <c r="GC394" s="83"/>
      <c r="GD394" s="83"/>
      <c r="GE394" s="83"/>
      <c r="GF394" s="83"/>
      <c r="GG394" s="83"/>
      <c r="GH394" s="83"/>
      <c r="GI394" s="83"/>
      <c r="GJ394" s="83"/>
      <c r="GK394" s="83"/>
      <c r="GL394" s="83"/>
      <c r="GM394" s="83"/>
      <c r="GN394" s="83"/>
      <c r="GO394" s="83"/>
      <c r="GP394" s="83"/>
      <c r="GQ394" s="83"/>
      <c r="GR394" s="83"/>
      <c r="GS394" s="83"/>
      <c r="GT394" s="83"/>
      <c r="GU394" s="83"/>
      <c r="GV394" s="83"/>
      <c r="GW394" s="83"/>
      <c r="GX394" s="83"/>
      <c r="GY394" s="83"/>
      <c r="GZ394" s="83"/>
      <c r="HA394" s="83"/>
      <c r="HB394" s="83"/>
      <c r="HC394" s="83"/>
      <c r="HD394" s="83"/>
      <c r="HE394" s="83"/>
      <c r="HF394" s="83"/>
      <c r="HG394" s="83"/>
      <c r="HH394" s="83"/>
      <c r="HI394" s="83"/>
      <c r="HJ394" s="83"/>
      <c r="HK394" s="83"/>
      <c r="HL394" s="83"/>
      <c r="HM394" s="83"/>
      <c r="HN394" s="83"/>
      <c r="HO394" s="83"/>
      <c r="HP394" s="83"/>
      <c r="HQ394" s="83"/>
      <c r="HR394" s="83"/>
      <c r="HS394" s="83"/>
      <c r="HT394" s="83"/>
      <c r="HU394" s="83"/>
      <c r="HV394" s="83"/>
      <c r="HW394" s="83"/>
      <c r="HX394" s="83"/>
      <c r="HY394" s="83"/>
      <c r="HZ394" s="83"/>
      <c r="IA394" s="83"/>
      <c r="IB394" s="83"/>
      <c r="IC394" s="83"/>
      <c r="ID394" s="83"/>
      <c r="IE394" s="83"/>
      <c r="IF394" s="83"/>
      <c r="IG394" s="83"/>
    </row>
    <row r="395" spans="1:241"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c r="DD395" s="83"/>
      <c r="DE395" s="83"/>
      <c r="DF395" s="83"/>
      <c r="DG395" s="83"/>
      <c r="DH395" s="83"/>
      <c r="DI395" s="83"/>
      <c r="DJ395" s="83"/>
      <c r="DK395" s="83"/>
      <c r="DL395" s="83"/>
      <c r="DM395" s="83"/>
      <c r="DN395" s="83"/>
      <c r="DO395" s="83"/>
      <c r="DP395" s="83"/>
      <c r="DQ395" s="83"/>
      <c r="DR395" s="83"/>
      <c r="DS395" s="83"/>
      <c r="DT395" s="83"/>
      <c r="DU395" s="83"/>
      <c r="DV395" s="83"/>
      <c r="DW395" s="83"/>
      <c r="DX395" s="83"/>
      <c r="DY395" s="83"/>
      <c r="DZ395" s="83"/>
      <c r="EA395" s="83"/>
      <c r="EB395" s="83"/>
      <c r="EC395" s="83"/>
      <c r="ED395" s="83"/>
      <c r="EE395" s="83"/>
      <c r="EF395" s="83"/>
      <c r="EG395" s="83"/>
      <c r="EH395" s="83"/>
      <c r="EI395" s="83"/>
      <c r="EJ395" s="83"/>
      <c r="EK395" s="83"/>
      <c r="EL395" s="83"/>
      <c r="EM395" s="83"/>
      <c r="EN395" s="83"/>
      <c r="EO395" s="83"/>
      <c r="EP395" s="83"/>
      <c r="EQ395" s="83"/>
      <c r="ER395" s="83"/>
      <c r="ES395" s="83"/>
      <c r="ET395" s="83"/>
      <c r="EU395" s="83"/>
      <c r="EV395" s="83"/>
      <c r="EW395" s="83"/>
      <c r="EX395" s="83"/>
      <c r="EY395" s="83"/>
      <c r="EZ395" s="83"/>
      <c r="FA395" s="83"/>
      <c r="FB395" s="83"/>
      <c r="FC395" s="83"/>
      <c r="FD395" s="83"/>
      <c r="FE395" s="83"/>
      <c r="FF395" s="83"/>
      <c r="FG395" s="83"/>
      <c r="FH395" s="83"/>
      <c r="FI395" s="83"/>
      <c r="FJ395" s="83"/>
      <c r="FK395" s="83"/>
      <c r="FL395" s="83"/>
      <c r="FM395" s="83"/>
      <c r="FN395" s="83"/>
      <c r="FO395" s="83"/>
      <c r="FP395" s="83"/>
      <c r="FQ395" s="83"/>
      <c r="FR395" s="83"/>
      <c r="FS395" s="83"/>
      <c r="FT395" s="83"/>
      <c r="FU395" s="83"/>
      <c r="FV395" s="83"/>
      <c r="FW395" s="83"/>
      <c r="FX395" s="83"/>
      <c r="FY395" s="83"/>
      <c r="FZ395" s="83"/>
      <c r="GA395" s="83"/>
      <c r="GB395" s="83"/>
      <c r="GC395" s="83"/>
      <c r="GD395" s="83"/>
      <c r="GE395" s="83"/>
      <c r="GF395" s="83"/>
      <c r="GG395" s="83"/>
      <c r="GH395" s="83"/>
      <c r="GI395" s="83"/>
      <c r="GJ395" s="83"/>
      <c r="GK395" s="83"/>
      <c r="GL395" s="83"/>
      <c r="GM395" s="83"/>
      <c r="GN395" s="83"/>
      <c r="GO395" s="83"/>
      <c r="GP395" s="83"/>
      <c r="GQ395" s="83"/>
      <c r="GR395" s="83"/>
      <c r="GS395" s="83"/>
      <c r="GT395" s="83"/>
      <c r="GU395" s="83"/>
      <c r="GV395" s="83"/>
      <c r="GW395" s="83"/>
      <c r="GX395" s="83"/>
      <c r="GY395" s="83"/>
      <c r="GZ395" s="83"/>
      <c r="HA395" s="83"/>
      <c r="HB395" s="83"/>
      <c r="HC395" s="83"/>
      <c r="HD395" s="83"/>
      <c r="HE395" s="83"/>
      <c r="HF395" s="83"/>
      <c r="HG395" s="83"/>
      <c r="HH395" s="83"/>
      <c r="HI395" s="83"/>
      <c r="HJ395" s="83"/>
      <c r="HK395" s="83"/>
      <c r="HL395" s="83"/>
      <c r="HM395" s="83"/>
      <c r="HN395" s="83"/>
      <c r="HO395" s="83"/>
      <c r="HP395" s="83"/>
      <c r="HQ395" s="83"/>
      <c r="HR395" s="83"/>
      <c r="HS395" s="83"/>
      <c r="HT395" s="83"/>
      <c r="HU395" s="83"/>
      <c r="HV395" s="83"/>
      <c r="HW395" s="83"/>
      <c r="HX395" s="83"/>
      <c r="HY395" s="83"/>
      <c r="HZ395" s="83"/>
      <c r="IA395" s="83"/>
      <c r="IB395" s="83"/>
      <c r="IC395" s="83"/>
      <c r="ID395" s="83"/>
      <c r="IE395" s="83"/>
      <c r="IF395" s="83"/>
      <c r="IG395" s="83"/>
    </row>
    <row r="396" spans="1:241"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c r="DD396" s="83"/>
      <c r="DE396" s="83"/>
      <c r="DF396" s="83"/>
      <c r="DG396" s="83"/>
      <c r="DH396" s="83"/>
      <c r="DI396" s="83"/>
      <c r="DJ396" s="83"/>
      <c r="DK396" s="83"/>
      <c r="DL396" s="83"/>
      <c r="DM396" s="83"/>
      <c r="DN396" s="83"/>
      <c r="DO396" s="83"/>
      <c r="DP396" s="83"/>
      <c r="DQ396" s="83"/>
      <c r="DR396" s="83"/>
      <c r="DS396" s="83"/>
      <c r="DT396" s="83"/>
      <c r="DU396" s="83"/>
      <c r="DV396" s="83"/>
      <c r="DW396" s="83"/>
      <c r="DX396" s="83"/>
      <c r="DY396" s="83"/>
      <c r="DZ396" s="83"/>
      <c r="EA396" s="83"/>
      <c r="EB396" s="83"/>
      <c r="EC396" s="83"/>
      <c r="ED396" s="83"/>
      <c r="EE396" s="83"/>
      <c r="EF396" s="83"/>
      <c r="EG396" s="83"/>
      <c r="EH396" s="83"/>
      <c r="EI396" s="83"/>
      <c r="EJ396" s="83"/>
      <c r="EK396" s="83"/>
      <c r="EL396" s="83"/>
      <c r="EM396" s="83"/>
      <c r="EN396" s="83"/>
      <c r="EO396" s="83"/>
      <c r="EP396" s="83"/>
      <c r="EQ396" s="83"/>
      <c r="ER396" s="83"/>
      <c r="ES396" s="83"/>
      <c r="ET396" s="83"/>
      <c r="EU396" s="83"/>
      <c r="EV396" s="83"/>
      <c r="EW396" s="83"/>
      <c r="EX396" s="83"/>
      <c r="EY396" s="83"/>
      <c r="EZ396" s="83"/>
      <c r="FA396" s="83"/>
      <c r="FB396" s="83"/>
      <c r="FC396" s="83"/>
      <c r="FD396" s="83"/>
      <c r="FE396" s="83"/>
      <c r="FF396" s="83"/>
      <c r="FG396" s="83"/>
      <c r="FH396" s="83"/>
      <c r="FI396" s="83"/>
      <c r="FJ396" s="83"/>
      <c r="FK396" s="83"/>
      <c r="FL396" s="83"/>
      <c r="FM396" s="83"/>
      <c r="FN396" s="83"/>
      <c r="FO396" s="83"/>
      <c r="FP396" s="83"/>
      <c r="FQ396" s="83"/>
      <c r="FR396" s="83"/>
      <c r="FS396" s="83"/>
      <c r="FT396" s="83"/>
      <c r="FU396" s="83"/>
      <c r="FV396" s="83"/>
      <c r="FW396" s="83"/>
      <c r="FX396" s="83"/>
      <c r="FY396" s="83"/>
      <c r="FZ396" s="83"/>
      <c r="GA396" s="83"/>
      <c r="GB396" s="83"/>
      <c r="GC396" s="83"/>
      <c r="GD396" s="83"/>
      <c r="GE396" s="83"/>
      <c r="GF396" s="83"/>
      <c r="GG396" s="83"/>
      <c r="GH396" s="83"/>
      <c r="GI396" s="83"/>
      <c r="GJ396" s="83"/>
      <c r="GK396" s="83"/>
      <c r="GL396" s="83"/>
      <c r="GM396" s="83"/>
      <c r="GN396" s="83"/>
      <c r="GO396" s="83"/>
      <c r="GP396" s="83"/>
      <c r="GQ396" s="83"/>
      <c r="GR396" s="83"/>
      <c r="GS396" s="83"/>
      <c r="GT396" s="83"/>
      <c r="GU396" s="83"/>
      <c r="GV396" s="83"/>
      <c r="GW396" s="83"/>
      <c r="GX396" s="83"/>
      <c r="GY396" s="83"/>
      <c r="GZ396" s="83"/>
      <c r="HA396" s="83"/>
      <c r="HB396" s="83"/>
      <c r="HC396" s="83"/>
      <c r="HD396" s="83"/>
      <c r="HE396" s="83"/>
      <c r="HF396" s="83"/>
      <c r="HG396" s="83"/>
      <c r="HH396" s="83"/>
      <c r="HI396" s="83"/>
      <c r="HJ396" s="83"/>
      <c r="HK396" s="83"/>
      <c r="HL396" s="83"/>
      <c r="HM396" s="83"/>
      <c r="HN396" s="83"/>
      <c r="HO396" s="83"/>
      <c r="HP396" s="83"/>
      <c r="HQ396" s="83"/>
      <c r="HR396" s="83"/>
      <c r="HS396" s="83"/>
      <c r="HT396" s="83"/>
      <c r="HU396" s="83"/>
      <c r="HV396" s="83"/>
      <c r="HW396" s="83"/>
      <c r="HX396" s="83"/>
      <c r="HY396" s="83"/>
      <c r="HZ396" s="83"/>
      <c r="IA396" s="83"/>
      <c r="IB396" s="83"/>
      <c r="IC396" s="83"/>
      <c r="ID396" s="83"/>
      <c r="IE396" s="83"/>
      <c r="IF396" s="83"/>
      <c r="IG396" s="83"/>
    </row>
    <row r="397" spans="1:241"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c r="DD397" s="83"/>
      <c r="DE397" s="83"/>
      <c r="DF397" s="83"/>
      <c r="DG397" s="83"/>
      <c r="DH397" s="83"/>
      <c r="DI397" s="83"/>
      <c r="DJ397" s="83"/>
      <c r="DK397" s="83"/>
      <c r="DL397" s="83"/>
      <c r="DM397" s="83"/>
      <c r="DN397" s="83"/>
      <c r="DO397" s="83"/>
      <c r="DP397" s="83"/>
      <c r="DQ397" s="83"/>
      <c r="DR397" s="83"/>
      <c r="DS397" s="83"/>
      <c r="DT397" s="83"/>
      <c r="DU397" s="83"/>
      <c r="DV397" s="83"/>
      <c r="DW397" s="83"/>
      <c r="DX397" s="83"/>
      <c r="DY397" s="83"/>
      <c r="DZ397" s="83"/>
      <c r="EA397" s="83"/>
      <c r="EB397" s="83"/>
      <c r="EC397" s="83"/>
      <c r="ED397" s="83"/>
      <c r="EE397" s="83"/>
      <c r="EF397" s="83"/>
      <c r="EG397" s="83"/>
      <c r="EH397" s="83"/>
      <c r="EI397" s="83"/>
      <c r="EJ397" s="83"/>
      <c r="EK397" s="83"/>
      <c r="EL397" s="83"/>
      <c r="EM397" s="83"/>
      <c r="EN397" s="83"/>
      <c r="EO397" s="83"/>
      <c r="EP397" s="83"/>
      <c r="EQ397" s="83"/>
      <c r="ER397" s="83"/>
      <c r="ES397" s="83"/>
      <c r="ET397" s="83"/>
      <c r="EU397" s="83"/>
      <c r="EV397" s="83"/>
      <c r="EW397" s="83"/>
      <c r="EX397" s="83"/>
      <c r="EY397" s="83"/>
      <c r="EZ397" s="83"/>
      <c r="FA397" s="83"/>
      <c r="FB397" s="83"/>
      <c r="FC397" s="83"/>
      <c r="FD397" s="83"/>
      <c r="FE397" s="83"/>
      <c r="FF397" s="83"/>
      <c r="FG397" s="83"/>
      <c r="FH397" s="83"/>
      <c r="FI397" s="83"/>
      <c r="FJ397" s="83"/>
      <c r="FK397" s="83"/>
      <c r="FL397" s="83"/>
      <c r="FM397" s="83"/>
      <c r="FN397" s="83"/>
      <c r="FO397" s="83"/>
      <c r="FP397" s="83"/>
      <c r="FQ397" s="83"/>
      <c r="FR397" s="83"/>
      <c r="FS397" s="83"/>
      <c r="FT397" s="83"/>
      <c r="FU397" s="83"/>
      <c r="FV397" s="83"/>
      <c r="FW397" s="83"/>
      <c r="FX397" s="83"/>
      <c r="FY397" s="83"/>
      <c r="FZ397" s="83"/>
      <c r="GA397" s="83"/>
      <c r="GB397" s="83"/>
      <c r="GC397" s="83"/>
      <c r="GD397" s="83"/>
      <c r="GE397" s="83"/>
      <c r="GF397" s="83"/>
      <c r="GG397" s="83"/>
      <c r="GH397" s="83"/>
      <c r="GI397" s="83"/>
      <c r="GJ397" s="83"/>
      <c r="GK397" s="83"/>
      <c r="GL397" s="83"/>
      <c r="GM397" s="83"/>
      <c r="GN397" s="83"/>
      <c r="GO397" s="83"/>
      <c r="GP397" s="83"/>
      <c r="GQ397" s="83"/>
      <c r="GR397" s="83"/>
      <c r="GS397" s="83"/>
      <c r="GT397" s="83"/>
      <c r="GU397" s="83"/>
      <c r="GV397" s="83"/>
      <c r="GW397" s="83"/>
      <c r="GX397" s="83"/>
      <c r="GY397" s="83"/>
      <c r="GZ397" s="83"/>
      <c r="HA397" s="83"/>
      <c r="HB397" s="83"/>
      <c r="HC397" s="83"/>
      <c r="HD397" s="83"/>
      <c r="HE397" s="83"/>
      <c r="HF397" s="83"/>
      <c r="HG397" s="83"/>
      <c r="HH397" s="83"/>
      <c r="HI397" s="83"/>
      <c r="HJ397" s="83"/>
      <c r="HK397" s="83"/>
      <c r="HL397" s="83"/>
      <c r="HM397" s="83"/>
      <c r="HN397" s="83"/>
      <c r="HO397" s="83"/>
      <c r="HP397" s="83"/>
      <c r="HQ397" s="83"/>
      <c r="HR397" s="83"/>
      <c r="HS397" s="83"/>
      <c r="HT397" s="83"/>
      <c r="HU397" s="83"/>
      <c r="HV397" s="83"/>
      <c r="HW397" s="83"/>
      <c r="HX397" s="83"/>
      <c r="HY397" s="83"/>
      <c r="HZ397" s="83"/>
      <c r="IA397" s="83"/>
      <c r="IB397" s="83"/>
      <c r="IC397" s="83"/>
      <c r="ID397" s="83"/>
      <c r="IE397" s="83"/>
      <c r="IF397" s="83"/>
      <c r="IG397" s="83"/>
    </row>
    <row r="398" spans="1:241"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c r="DD398" s="83"/>
      <c r="DE398" s="83"/>
      <c r="DF398" s="83"/>
      <c r="DG398" s="83"/>
      <c r="DH398" s="83"/>
      <c r="DI398" s="83"/>
      <c r="DJ398" s="83"/>
      <c r="DK398" s="83"/>
      <c r="DL398" s="83"/>
      <c r="DM398" s="83"/>
      <c r="DN398" s="83"/>
      <c r="DO398" s="83"/>
      <c r="DP398" s="83"/>
      <c r="DQ398" s="83"/>
      <c r="DR398" s="83"/>
      <c r="DS398" s="83"/>
      <c r="DT398" s="83"/>
      <c r="DU398" s="83"/>
      <c r="DV398" s="83"/>
      <c r="DW398" s="83"/>
      <c r="DX398" s="83"/>
      <c r="DY398" s="83"/>
      <c r="DZ398" s="83"/>
      <c r="EA398" s="83"/>
      <c r="EB398" s="83"/>
      <c r="EC398" s="83"/>
      <c r="ED398" s="83"/>
      <c r="EE398" s="83"/>
      <c r="EF398" s="83"/>
      <c r="EG398" s="83"/>
      <c r="EH398" s="83"/>
      <c r="EI398" s="83"/>
      <c r="EJ398" s="83"/>
      <c r="EK398" s="83"/>
      <c r="EL398" s="83"/>
      <c r="EM398" s="83"/>
      <c r="EN398" s="83"/>
      <c r="EO398" s="83"/>
      <c r="EP398" s="83"/>
      <c r="EQ398" s="83"/>
      <c r="ER398" s="83"/>
      <c r="ES398" s="83"/>
      <c r="ET398" s="83"/>
      <c r="EU398" s="83"/>
      <c r="EV398" s="83"/>
      <c r="EW398" s="83"/>
      <c r="EX398" s="83"/>
      <c r="EY398" s="83"/>
      <c r="EZ398" s="83"/>
      <c r="FA398" s="83"/>
      <c r="FB398" s="83"/>
      <c r="FC398" s="83"/>
      <c r="FD398" s="83"/>
      <c r="FE398" s="83"/>
      <c r="FF398" s="83"/>
      <c r="FG398" s="83"/>
      <c r="FH398" s="83"/>
      <c r="FI398" s="83"/>
      <c r="FJ398" s="83"/>
      <c r="FK398" s="83"/>
      <c r="FL398" s="83"/>
      <c r="FM398" s="83"/>
      <c r="FN398" s="83"/>
      <c r="FO398" s="83"/>
      <c r="FP398" s="83"/>
      <c r="FQ398" s="83"/>
      <c r="FR398" s="83"/>
      <c r="FS398" s="83"/>
      <c r="FT398" s="83"/>
      <c r="FU398" s="83"/>
      <c r="FV398" s="83"/>
      <c r="FW398" s="83"/>
      <c r="FX398" s="83"/>
      <c r="FY398" s="83"/>
      <c r="FZ398" s="83"/>
      <c r="GA398" s="83"/>
      <c r="GB398" s="83"/>
      <c r="GC398" s="83"/>
      <c r="GD398" s="83"/>
      <c r="GE398" s="83"/>
      <c r="GF398" s="83"/>
      <c r="GG398" s="83"/>
      <c r="GH398" s="83"/>
      <c r="GI398" s="83"/>
      <c r="GJ398" s="83"/>
      <c r="GK398" s="83"/>
      <c r="GL398" s="83"/>
      <c r="GM398" s="83"/>
      <c r="GN398" s="83"/>
      <c r="GO398" s="83"/>
      <c r="GP398" s="83"/>
      <c r="GQ398" s="83"/>
      <c r="GR398" s="83"/>
      <c r="GS398" s="83"/>
      <c r="GT398" s="83"/>
      <c r="GU398" s="83"/>
      <c r="GV398" s="83"/>
      <c r="GW398" s="83"/>
      <c r="GX398" s="83"/>
      <c r="GY398" s="83"/>
      <c r="GZ398" s="83"/>
      <c r="HA398" s="83"/>
      <c r="HB398" s="83"/>
      <c r="HC398" s="83"/>
      <c r="HD398" s="83"/>
      <c r="HE398" s="83"/>
      <c r="HF398" s="83"/>
      <c r="HG398" s="83"/>
      <c r="HH398" s="83"/>
      <c r="HI398" s="83"/>
      <c r="HJ398" s="83"/>
      <c r="HK398" s="83"/>
      <c r="HL398" s="83"/>
      <c r="HM398" s="83"/>
      <c r="HN398" s="83"/>
      <c r="HO398" s="83"/>
      <c r="HP398" s="83"/>
      <c r="HQ398" s="83"/>
      <c r="HR398" s="83"/>
      <c r="HS398" s="83"/>
      <c r="HT398" s="83"/>
      <c r="HU398" s="83"/>
      <c r="HV398" s="83"/>
      <c r="HW398" s="83"/>
      <c r="HX398" s="83"/>
      <c r="HY398" s="83"/>
      <c r="HZ398" s="83"/>
      <c r="IA398" s="83"/>
      <c r="IB398" s="83"/>
      <c r="IC398" s="83"/>
      <c r="ID398" s="83"/>
      <c r="IE398" s="83"/>
      <c r="IF398" s="83"/>
      <c r="IG398" s="83"/>
    </row>
    <row r="399" spans="1:241"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c r="DD399" s="83"/>
      <c r="DE399" s="83"/>
      <c r="DF399" s="83"/>
      <c r="DG399" s="83"/>
      <c r="DH399" s="83"/>
      <c r="DI399" s="83"/>
      <c r="DJ399" s="83"/>
      <c r="DK399" s="83"/>
      <c r="DL399" s="83"/>
      <c r="DM399" s="83"/>
      <c r="DN399" s="83"/>
      <c r="DO399" s="83"/>
      <c r="DP399" s="83"/>
      <c r="DQ399" s="83"/>
      <c r="DR399" s="83"/>
      <c r="DS399" s="83"/>
      <c r="DT399" s="83"/>
      <c r="DU399" s="83"/>
      <c r="DV399" s="83"/>
      <c r="DW399" s="83"/>
      <c r="DX399" s="83"/>
      <c r="DY399" s="83"/>
      <c r="DZ399" s="83"/>
      <c r="EA399" s="83"/>
      <c r="EB399" s="83"/>
      <c r="EC399" s="83"/>
      <c r="ED399" s="83"/>
      <c r="EE399" s="83"/>
      <c r="EF399" s="83"/>
      <c r="EG399" s="83"/>
      <c r="EH399" s="83"/>
      <c r="EI399" s="83"/>
      <c r="EJ399" s="83"/>
      <c r="EK399" s="83"/>
      <c r="EL399" s="83"/>
      <c r="EM399" s="83"/>
      <c r="EN399" s="83"/>
      <c r="EO399" s="83"/>
      <c r="EP399" s="83"/>
      <c r="EQ399" s="83"/>
      <c r="ER399" s="83"/>
      <c r="ES399" s="83"/>
      <c r="ET399" s="83"/>
      <c r="EU399" s="83"/>
      <c r="EV399" s="83"/>
      <c r="EW399" s="83"/>
      <c r="EX399" s="83"/>
      <c r="EY399" s="83"/>
      <c r="EZ399" s="83"/>
      <c r="FA399" s="83"/>
      <c r="FB399" s="83"/>
      <c r="FC399" s="83"/>
      <c r="FD399" s="83"/>
      <c r="FE399" s="83"/>
      <c r="FF399" s="83"/>
      <c r="FG399" s="83"/>
      <c r="FH399" s="83"/>
      <c r="FI399" s="83"/>
      <c r="FJ399" s="83"/>
      <c r="FK399" s="83"/>
      <c r="FL399" s="83"/>
      <c r="FM399" s="83"/>
      <c r="FN399" s="83"/>
      <c r="FO399" s="83"/>
      <c r="FP399" s="83"/>
      <c r="FQ399" s="83"/>
      <c r="FR399" s="83"/>
      <c r="FS399" s="83"/>
      <c r="FT399" s="83"/>
      <c r="FU399" s="83"/>
      <c r="FV399" s="83"/>
      <c r="FW399" s="83"/>
      <c r="FX399" s="83"/>
      <c r="FY399" s="83"/>
      <c r="FZ399" s="83"/>
      <c r="GA399" s="83"/>
      <c r="GB399" s="83"/>
      <c r="GC399" s="83"/>
      <c r="GD399" s="83"/>
      <c r="GE399" s="83"/>
      <c r="GF399" s="83"/>
      <c r="GG399" s="83"/>
      <c r="GH399" s="83"/>
      <c r="GI399" s="83"/>
      <c r="GJ399" s="83"/>
      <c r="GK399" s="83"/>
      <c r="GL399" s="83"/>
      <c r="GM399" s="83"/>
      <c r="GN399" s="83"/>
      <c r="GO399" s="83"/>
      <c r="GP399" s="83"/>
      <c r="GQ399" s="83"/>
      <c r="GR399" s="83"/>
      <c r="GS399" s="83"/>
      <c r="GT399" s="83"/>
      <c r="GU399" s="83"/>
      <c r="GV399" s="83"/>
      <c r="GW399" s="83"/>
      <c r="GX399" s="83"/>
      <c r="GY399" s="83"/>
      <c r="GZ399" s="83"/>
      <c r="HA399" s="83"/>
      <c r="HB399" s="83"/>
      <c r="HC399" s="83"/>
      <c r="HD399" s="83"/>
      <c r="HE399" s="83"/>
      <c r="HF399" s="83"/>
      <c r="HG399" s="83"/>
      <c r="HH399" s="83"/>
      <c r="HI399" s="83"/>
      <c r="HJ399" s="83"/>
      <c r="HK399" s="83"/>
      <c r="HL399" s="83"/>
      <c r="HM399" s="83"/>
      <c r="HN399" s="83"/>
      <c r="HO399" s="83"/>
      <c r="HP399" s="83"/>
      <c r="HQ399" s="83"/>
      <c r="HR399" s="83"/>
      <c r="HS399" s="83"/>
      <c r="HT399" s="83"/>
      <c r="HU399" s="83"/>
      <c r="HV399" s="83"/>
      <c r="HW399" s="83"/>
      <c r="HX399" s="83"/>
      <c r="HY399" s="83"/>
      <c r="HZ399" s="83"/>
      <c r="IA399" s="83"/>
      <c r="IB399" s="83"/>
      <c r="IC399" s="83"/>
      <c r="ID399" s="83"/>
      <c r="IE399" s="83"/>
      <c r="IF399" s="83"/>
      <c r="IG399" s="83"/>
    </row>
    <row r="400" spans="1:241"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c r="DD400" s="83"/>
      <c r="DE400" s="83"/>
      <c r="DF400" s="83"/>
      <c r="DG400" s="83"/>
      <c r="DH400" s="83"/>
      <c r="DI400" s="83"/>
      <c r="DJ400" s="83"/>
      <c r="DK400" s="83"/>
      <c r="DL400" s="83"/>
      <c r="DM400" s="83"/>
      <c r="DN400" s="83"/>
      <c r="DO400" s="83"/>
      <c r="DP400" s="83"/>
      <c r="DQ400" s="83"/>
      <c r="DR400" s="83"/>
      <c r="DS400" s="83"/>
      <c r="DT400" s="83"/>
      <c r="DU400" s="83"/>
      <c r="DV400" s="83"/>
      <c r="DW400" s="83"/>
      <c r="DX400" s="83"/>
      <c r="DY400" s="83"/>
      <c r="DZ400" s="83"/>
      <c r="EA400" s="83"/>
      <c r="EB400" s="83"/>
      <c r="EC400" s="83"/>
      <c r="ED400" s="83"/>
      <c r="EE400" s="83"/>
      <c r="EF400" s="83"/>
      <c r="EG400" s="83"/>
      <c r="EH400" s="83"/>
      <c r="EI400" s="83"/>
      <c r="EJ400" s="83"/>
      <c r="EK400" s="83"/>
      <c r="EL400" s="83"/>
      <c r="EM400" s="83"/>
      <c r="EN400" s="83"/>
      <c r="EO400" s="83"/>
      <c r="EP400" s="83"/>
      <c r="EQ400" s="83"/>
      <c r="ER400" s="83"/>
      <c r="ES400" s="83"/>
      <c r="ET400" s="83"/>
      <c r="EU400" s="83"/>
      <c r="EV400" s="83"/>
      <c r="EW400" s="83"/>
      <c r="EX400" s="83"/>
      <c r="EY400" s="83"/>
      <c r="EZ400" s="83"/>
      <c r="FA400" s="83"/>
      <c r="FB400" s="83"/>
      <c r="FC400" s="83"/>
      <c r="FD400" s="83"/>
      <c r="FE400" s="83"/>
      <c r="FF400" s="83"/>
      <c r="FG400" s="83"/>
      <c r="FH400" s="83"/>
      <c r="FI400" s="83"/>
      <c r="FJ400" s="83"/>
      <c r="FK400" s="83"/>
      <c r="FL400" s="83"/>
      <c r="FM400" s="83"/>
      <c r="FN400" s="83"/>
      <c r="FO400" s="83"/>
      <c r="FP400" s="83"/>
      <c r="FQ400" s="83"/>
      <c r="FR400" s="83"/>
      <c r="FS400" s="83"/>
      <c r="FT400" s="83"/>
      <c r="FU400" s="83"/>
      <c r="FV400" s="83"/>
      <c r="FW400" s="83"/>
      <c r="FX400" s="83"/>
      <c r="FY400" s="83"/>
      <c r="FZ400" s="83"/>
      <c r="GA400" s="83"/>
      <c r="GB400" s="83"/>
      <c r="GC400" s="83"/>
      <c r="GD400" s="83"/>
      <c r="GE400" s="83"/>
      <c r="GF400" s="83"/>
      <c r="GG400" s="83"/>
      <c r="GH400" s="83"/>
      <c r="GI400" s="83"/>
      <c r="GJ400" s="83"/>
      <c r="GK400" s="83"/>
      <c r="GL400" s="83"/>
      <c r="GM400" s="83"/>
      <c r="GN400" s="83"/>
      <c r="GO400" s="83"/>
      <c r="GP400" s="83"/>
      <c r="GQ400" s="83"/>
      <c r="GR400" s="83"/>
      <c r="GS400" s="83"/>
      <c r="GT400" s="83"/>
      <c r="GU400" s="83"/>
      <c r="GV400" s="83"/>
      <c r="GW400" s="83"/>
      <c r="GX400" s="83"/>
      <c r="GY400" s="83"/>
      <c r="GZ400" s="83"/>
      <c r="HA400" s="83"/>
      <c r="HB400" s="83"/>
      <c r="HC400" s="83"/>
      <c r="HD400" s="83"/>
      <c r="HE400" s="83"/>
      <c r="HF400" s="83"/>
      <c r="HG400" s="83"/>
      <c r="HH400" s="83"/>
      <c r="HI400" s="83"/>
      <c r="HJ400" s="83"/>
      <c r="HK400" s="83"/>
      <c r="HL400" s="83"/>
      <c r="HM400" s="83"/>
      <c r="HN400" s="83"/>
      <c r="HO400" s="83"/>
      <c r="HP400" s="83"/>
      <c r="HQ400" s="83"/>
      <c r="HR400" s="83"/>
      <c r="HS400" s="83"/>
      <c r="HT400" s="83"/>
      <c r="HU400" s="83"/>
      <c r="HV400" s="83"/>
      <c r="HW400" s="83"/>
      <c r="HX400" s="83"/>
      <c r="HY400" s="83"/>
      <c r="HZ400" s="83"/>
      <c r="IA400" s="83"/>
      <c r="IB400" s="83"/>
      <c r="IC400" s="83"/>
      <c r="ID400" s="83"/>
      <c r="IE400" s="83"/>
      <c r="IF400" s="83"/>
      <c r="IG400" s="83"/>
    </row>
    <row r="401" spans="1:241"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c r="DD401" s="83"/>
      <c r="DE401" s="83"/>
      <c r="DF401" s="83"/>
      <c r="DG401" s="83"/>
      <c r="DH401" s="83"/>
      <c r="DI401" s="83"/>
      <c r="DJ401" s="83"/>
      <c r="DK401" s="83"/>
      <c r="DL401" s="83"/>
      <c r="DM401" s="83"/>
      <c r="DN401" s="83"/>
      <c r="DO401" s="83"/>
      <c r="DP401" s="83"/>
      <c r="DQ401" s="83"/>
      <c r="DR401" s="83"/>
      <c r="DS401" s="83"/>
      <c r="DT401" s="83"/>
      <c r="DU401" s="83"/>
      <c r="DV401" s="83"/>
      <c r="DW401" s="83"/>
      <c r="DX401" s="83"/>
      <c r="DY401" s="83"/>
      <c r="DZ401" s="83"/>
      <c r="EA401" s="83"/>
      <c r="EB401" s="83"/>
      <c r="EC401" s="83"/>
      <c r="ED401" s="83"/>
      <c r="EE401" s="83"/>
      <c r="EF401" s="83"/>
      <c r="EG401" s="83"/>
      <c r="EH401" s="83"/>
      <c r="EI401" s="83"/>
      <c r="EJ401" s="83"/>
      <c r="EK401" s="83"/>
      <c r="EL401" s="83"/>
      <c r="EM401" s="83"/>
      <c r="EN401" s="83"/>
      <c r="EO401" s="83"/>
      <c r="EP401" s="83"/>
      <c r="EQ401" s="83"/>
      <c r="ER401" s="83"/>
      <c r="ES401" s="83"/>
      <c r="ET401" s="83"/>
      <c r="EU401" s="83"/>
      <c r="EV401" s="83"/>
      <c r="EW401" s="83"/>
      <c r="EX401" s="83"/>
      <c r="EY401" s="83"/>
      <c r="EZ401" s="83"/>
      <c r="FA401" s="83"/>
      <c r="FB401" s="83"/>
      <c r="FC401" s="83"/>
      <c r="FD401" s="83"/>
      <c r="FE401" s="83"/>
      <c r="FF401" s="83"/>
      <c r="FG401" s="83"/>
      <c r="FH401" s="83"/>
      <c r="FI401" s="83"/>
      <c r="FJ401" s="83"/>
      <c r="FK401" s="83"/>
      <c r="FL401" s="83"/>
      <c r="FM401" s="83"/>
      <c r="FN401" s="83"/>
      <c r="FO401" s="83"/>
      <c r="FP401" s="83"/>
      <c r="FQ401" s="83"/>
      <c r="FR401" s="83"/>
      <c r="FS401" s="83"/>
      <c r="FT401" s="83"/>
      <c r="FU401" s="83"/>
      <c r="FV401" s="83"/>
      <c r="FW401" s="83"/>
      <c r="FX401" s="83"/>
      <c r="FY401" s="83"/>
      <c r="FZ401" s="83"/>
      <c r="GA401" s="83"/>
      <c r="GB401" s="83"/>
      <c r="GC401" s="83"/>
      <c r="GD401" s="83"/>
      <c r="GE401" s="83"/>
      <c r="GF401" s="83"/>
      <c r="GG401" s="83"/>
      <c r="GH401" s="83"/>
      <c r="GI401" s="83"/>
      <c r="GJ401" s="83"/>
      <c r="GK401" s="83"/>
      <c r="GL401" s="83"/>
      <c r="GM401" s="83"/>
      <c r="GN401" s="83"/>
      <c r="GO401" s="83"/>
      <c r="GP401" s="83"/>
      <c r="GQ401" s="83"/>
      <c r="GR401" s="83"/>
      <c r="GS401" s="83"/>
      <c r="GT401" s="83"/>
      <c r="GU401" s="83"/>
      <c r="GV401" s="83"/>
      <c r="GW401" s="83"/>
      <c r="GX401" s="83"/>
      <c r="GY401" s="83"/>
      <c r="GZ401" s="83"/>
      <c r="HA401" s="83"/>
      <c r="HB401" s="83"/>
      <c r="HC401" s="83"/>
      <c r="HD401" s="83"/>
      <c r="HE401" s="83"/>
      <c r="HF401" s="83"/>
      <c r="HG401" s="83"/>
      <c r="HH401" s="83"/>
      <c r="HI401" s="83"/>
      <c r="HJ401" s="83"/>
      <c r="HK401" s="83"/>
      <c r="HL401" s="83"/>
      <c r="HM401" s="83"/>
      <c r="HN401" s="83"/>
      <c r="HO401" s="83"/>
      <c r="HP401" s="83"/>
      <c r="HQ401" s="83"/>
      <c r="HR401" s="83"/>
      <c r="HS401" s="83"/>
      <c r="HT401" s="83"/>
      <c r="HU401" s="83"/>
      <c r="HV401" s="83"/>
      <c r="HW401" s="83"/>
      <c r="HX401" s="83"/>
      <c r="HY401" s="83"/>
      <c r="HZ401" s="83"/>
      <c r="IA401" s="83"/>
      <c r="IB401" s="83"/>
      <c r="IC401" s="83"/>
      <c r="ID401" s="83"/>
      <c r="IE401" s="83"/>
      <c r="IF401" s="83"/>
      <c r="IG401" s="83"/>
    </row>
    <row r="402" spans="1:241"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c r="DD402" s="83"/>
      <c r="DE402" s="83"/>
      <c r="DF402" s="83"/>
      <c r="DG402" s="83"/>
      <c r="DH402" s="83"/>
      <c r="DI402" s="83"/>
      <c r="DJ402" s="83"/>
      <c r="DK402" s="83"/>
      <c r="DL402" s="83"/>
      <c r="DM402" s="83"/>
      <c r="DN402" s="83"/>
      <c r="DO402" s="83"/>
      <c r="DP402" s="83"/>
      <c r="DQ402" s="83"/>
      <c r="DR402" s="83"/>
      <c r="DS402" s="83"/>
      <c r="DT402" s="83"/>
      <c r="DU402" s="83"/>
      <c r="DV402" s="83"/>
      <c r="DW402" s="83"/>
      <c r="DX402" s="83"/>
      <c r="DY402" s="83"/>
      <c r="DZ402" s="83"/>
      <c r="EA402" s="83"/>
      <c r="EB402" s="83"/>
      <c r="EC402" s="83"/>
      <c r="ED402" s="83"/>
      <c r="EE402" s="83"/>
      <c r="EF402" s="83"/>
      <c r="EG402" s="83"/>
      <c r="EH402" s="83"/>
      <c r="EI402" s="83"/>
      <c r="EJ402" s="83"/>
      <c r="EK402" s="83"/>
      <c r="EL402" s="83"/>
      <c r="EM402" s="83"/>
      <c r="EN402" s="83"/>
      <c r="EO402" s="83"/>
      <c r="EP402" s="83"/>
      <c r="EQ402" s="83"/>
      <c r="ER402" s="83"/>
      <c r="ES402" s="83"/>
      <c r="ET402" s="83"/>
      <c r="EU402" s="83"/>
      <c r="EV402" s="83"/>
      <c r="EW402" s="83"/>
      <c r="EX402" s="83"/>
      <c r="EY402" s="83"/>
      <c r="EZ402" s="83"/>
      <c r="FA402" s="83"/>
      <c r="FB402" s="83"/>
      <c r="FC402" s="83"/>
      <c r="FD402" s="83"/>
      <c r="FE402" s="83"/>
      <c r="FF402" s="83"/>
      <c r="FG402" s="83"/>
      <c r="FH402" s="83"/>
      <c r="FI402" s="83"/>
      <c r="FJ402" s="83"/>
      <c r="FK402" s="83"/>
      <c r="FL402" s="83"/>
      <c r="FM402" s="83"/>
      <c r="FN402" s="83"/>
      <c r="FO402" s="83"/>
      <c r="FP402" s="83"/>
      <c r="FQ402" s="83"/>
      <c r="FR402" s="83"/>
      <c r="FS402" s="83"/>
      <c r="FT402" s="83"/>
      <c r="FU402" s="83"/>
      <c r="FV402" s="83"/>
      <c r="FW402" s="83"/>
      <c r="FX402" s="83"/>
      <c r="FY402" s="83"/>
      <c r="FZ402" s="83"/>
      <c r="GA402" s="83"/>
      <c r="GB402" s="83"/>
      <c r="GC402" s="83"/>
      <c r="GD402" s="83"/>
      <c r="GE402" s="83"/>
      <c r="GF402" s="83"/>
      <c r="GG402" s="83"/>
      <c r="GH402" s="83"/>
      <c r="GI402" s="83"/>
      <c r="GJ402" s="83"/>
      <c r="GK402" s="83"/>
      <c r="GL402" s="83"/>
      <c r="GM402" s="83"/>
      <c r="GN402" s="83"/>
      <c r="GO402" s="83"/>
      <c r="GP402" s="83"/>
      <c r="GQ402" s="83"/>
      <c r="GR402" s="83"/>
      <c r="GS402" s="83"/>
      <c r="GT402" s="83"/>
      <c r="GU402" s="83"/>
      <c r="GV402" s="83"/>
      <c r="GW402" s="83"/>
      <c r="GX402" s="83"/>
      <c r="GY402" s="83"/>
      <c r="GZ402" s="83"/>
      <c r="HA402" s="83"/>
      <c r="HB402" s="83"/>
      <c r="HC402" s="83"/>
      <c r="HD402" s="83"/>
      <c r="HE402" s="83"/>
      <c r="HF402" s="83"/>
      <c r="HG402" s="83"/>
      <c r="HH402" s="83"/>
      <c r="HI402" s="83"/>
      <c r="HJ402" s="83"/>
      <c r="HK402" s="83"/>
      <c r="HL402" s="83"/>
      <c r="HM402" s="83"/>
      <c r="HN402" s="83"/>
      <c r="HO402" s="83"/>
      <c r="HP402" s="83"/>
      <c r="HQ402" s="83"/>
      <c r="HR402" s="83"/>
      <c r="HS402" s="83"/>
      <c r="HT402" s="83"/>
      <c r="HU402" s="83"/>
      <c r="HV402" s="83"/>
      <c r="HW402" s="83"/>
      <c r="HX402" s="83"/>
      <c r="HY402" s="83"/>
      <c r="HZ402" s="83"/>
      <c r="IA402" s="83"/>
      <c r="IB402" s="83"/>
      <c r="IC402" s="83"/>
      <c r="ID402" s="83"/>
      <c r="IE402" s="83"/>
      <c r="IF402" s="83"/>
      <c r="IG402" s="83"/>
    </row>
    <row r="403" spans="1:241"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c r="DD403" s="83"/>
      <c r="DE403" s="83"/>
      <c r="DF403" s="83"/>
      <c r="DG403" s="83"/>
      <c r="DH403" s="83"/>
      <c r="DI403" s="83"/>
      <c r="DJ403" s="83"/>
      <c r="DK403" s="83"/>
      <c r="DL403" s="83"/>
      <c r="DM403" s="83"/>
      <c r="DN403" s="83"/>
      <c r="DO403" s="83"/>
      <c r="DP403" s="83"/>
      <c r="DQ403" s="83"/>
      <c r="DR403" s="83"/>
      <c r="DS403" s="83"/>
      <c r="DT403" s="83"/>
      <c r="DU403" s="83"/>
      <c r="DV403" s="83"/>
      <c r="DW403" s="83"/>
      <c r="DX403" s="83"/>
      <c r="DY403" s="83"/>
      <c r="DZ403" s="83"/>
      <c r="EA403" s="83"/>
      <c r="EB403" s="83"/>
      <c r="EC403" s="83"/>
      <c r="ED403" s="83"/>
      <c r="EE403" s="83"/>
      <c r="EF403" s="83"/>
      <c r="EG403" s="83"/>
      <c r="EH403" s="83"/>
      <c r="EI403" s="83"/>
      <c r="EJ403" s="83"/>
      <c r="EK403" s="83"/>
      <c r="EL403" s="83"/>
      <c r="EM403" s="83"/>
      <c r="EN403" s="83"/>
      <c r="EO403" s="83"/>
      <c r="EP403" s="83"/>
      <c r="EQ403" s="83"/>
      <c r="ER403" s="83"/>
      <c r="ES403" s="83"/>
      <c r="ET403" s="83"/>
      <c r="EU403" s="83"/>
      <c r="EV403" s="83"/>
      <c r="EW403" s="83"/>
      <c r="EX403" s="83"/>
      <c r="EY403" s="83"/>
      <c r="EZ403" s="83"/>
      <c r="FA403" s="83"/>
      <c r="FB403" s="83"/>
      <c r="FC403" s="83"/>
      <c r="FD403" s="83"/>
      <c r="FE403" s="83"/>
      <c r="FF403" s="83"/>
      <c r="FG403" s="83"/>
      <c r="FH403" s="83"/>
      <c r="FI403" s="83"/>
      <c r="FJ403" s="83"/>
      <c r="FK403" s="83"/>
      <c r="FL403" s="83"/>
      <c r="FM403" s="83"/>
      <c r="FN403" s="83"/>
      <c r="FO403" s="83"/>
      <c r="FP403" s="83"/>
      <c r="FQ403" s="83"/>
      <c r="FR403" s="83"/>
      <c r="FS403" s="83"/>
      <c r="FT403" s="83"/>
      <c r="FU403" s="83"/>
      <c r="FV403" s="83"/>
      <c r="FW403" s="83"/>
      <c r="FX403" s="83"/>
      <c r="FY403" s="83"/>
      <c r="FZ403" s="83"/>
      <c r="GA403" s="83"/>
      <c r="GB403" s="83"/>
      <c r="GC403" s="83"/>
      <c r="GD403" s="83"/>
      <c r="GE403" s="83"/>
      <c r="GF403" s="83"/>
      <c r="GG403" s="83"/>
      <c r="GH403" s="83"/>
      <c r="GI403" s="83"/>
      <c r="GJ403" s="83"/>
      <c r="GK403" s="83"/>
      <c r="GL403" s="83"/>
      <c r="GM403" s="83"/>
      <c r="GN403" s="83"/>
      <c r="GO403" s="83"/>
      <c r="GP403" s="83"/>
      <c r="GQ403" s="83"/>
      <c r="GR403" s="83"/>
      <c r="GS403" s="83"/>
      <c r="GT403" s="83"/>
      <c r="GU403" s="83"/>
      <c r="GV403" s="83"/>
      <c r="GW403" s="83"/>
      <c r="GX403" s="83"/>
      <c r="GY403" s="83"/>
      <c r="GZ403" s="83"/>
      <c r="HA403" s="83"/>
      <c r="HB403" s="83"/>
      <c r="HC403" s="83"/>
      <c r="HD403" s="83"/>
      <c r="HE403" s="83"/>
      <c r="HF403" s="83"/>
      <c r="HG403" s="83"/>
      <c r="HH403" s="83"/>
      <c r="HI403" s="83"/>
      <c r="HJ403" s="83"/>
      <c r="HK403" s="83"/>
      <c r="HL403" s="83"/>
      <c r="HM403" s="83"/>
      <c r="HN403" s="83"/>
      <c r="HO403" s="83"/>
      <c r="HP403" s="83"/>
      <c r="HQ403" s="83"/>
      <c r="HR403" s="83"/>
      <c r="HS403" s="83"/>
      <c r="HT403" s="83"/>
      <c r="HU403" s="83"/>
      <c r="HV403" s="83"/>
      <c r="HW403" s="83"/>
      <c r="HX403" s="83"/>
      <c r="HY403" s="83"/>
      <c r="HZ403" s="83"/>
      <c r="IA403" s="83"/>
      <c r="IB403" s="83"/>
      <c r="IC403" s="83"/>
      <c r="ID403" s="83"/>
      <c r="IE403" s="83"/>
      <c r="IF403" s="83"/>
      <c r="IG403" s="83"/>
    </row>
    <row r="404" spans="1:241"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c r="DD404" s="83"/>
      <c r="DE404" s="83"/>
      <c r="DF404" s="83"/>
      <c r="DG404" s="83"/>
      <c r="DH404" s="83"/>
      <c r="DI404" s="83"/>
      <c r="DJ404" s="83"/>
      <c r="DK404" s="83"/>
      <c r="DL404" s="83"/>
      <c r="DM404" s="83"/>
      <c r="DN404" s="83"/>
      <c r="DO404" s="83"/>
      <c r="DP404" s="83"/>
      <c r="DQ404" s="83"/>
      <c r="DR404" s="83"/>
      <c r="DS404" s="83"/>
      <c r="DT404" s="83"/>
      <c r="DU404" s="83"/>
      <c r="DV404" s="83"/>
      <c r="DW404" s="83"/>
      <c r="DX404" s="83"/>
      <c r="DY404" s="83"/>
      <c r="DZ404" s="83"/>
      <c r="EA404" s="83"/>
      <c r="EB404" s="83"/>
      <c r="EC404" s="83"/>
      <c r="ED404" s="83"/>
      <c r="EE404" s="83"/>
      <c r="EF404" s="83"/>
      <c r="EG404" s="83"/>
      <c r="EH404" s="83"/>
      <c r="EI404" s="83"/>
      <c r="EJ404" s="83"/>
      <c r="EK404" s="83"/>
      <c r="EL404" s="83"/>
      <c r="EM404" s="83"/>
      <c r="EN404" s="83"/>
      <c r="EO404" s="83"/>
      <c r="EP404" s="83"/>
      <c r="EQ404" s="83"/>
      <c r="ER404" s="83"/>
      <c r="ES404" s="83"/>
      <c r="ET404" s="83"/>
      <c r="EU404" s="83"/>
      <c r="EV404" s="83"/>
      <c r="EW404" s="83"/>
      <c r="EX404" s="83"/>
      <c r="EY404" s="83"/>
      <c r="EZ404" s="83"/>
      <c r="FA404" s="83"/>
      <c r="FB404" s="83"/>
      <c r="FC404" s="83"/>
      <c r="FD404" s="83"/>
      <c r="FE404" s="83"/>
      <c r="FF404" s="83"/>
      <c r="FG404" s="83"/>
      <c r="FH404" s="83"/>
      <c r="FI404" s="83"/>
      <c r="FJ404" s="83"/>
      <c r="FK404" s="83"/>
      <c r="FL404" s="83"/>
      <c r="FM404" s="83"/>
      <c r="FN404" s="83"/>
      <c r="FO404" s="83"/>
      <c r="FP404" s="83"/>
      <c r="FQ404" s="83"/>
      <c r="FR404" s="83"/>
      <c r="FS404" s="83"/>
      <c r="FT404" s="83"/>
      <c r="FU404" s="83"/>
      <c r="FV404" s="83"/>
      <c r="FW404" s="83"/>
      <c r="FX404" s="83"/>
      <c r="FY404" s="83"/>
      <c r="FZ404" s="83"/>
      <c r="GA404" s="83"/>
      <c r="GB404" s="83"/>
      <c r="GC404" s="83"/>
      <c r="GD404" s="83"/>
      <c r="GE404" s="83"/>
      <c r="GF404" s="83"/>
      <c r="GG404" s="83"/>
      <c r="GH404" s="83"/>
      <c r="GI404" s="83"/>
      <c r="GJ404" s="83"/>
      <c r="GK404" s="83"/>
      <c r="GL404" s="83"/>
      <c r="GM404" s="83"/>
      <c r="GN404" s="83"/>
      <c r="GO404" s="83"/>
      <c r="GP404" s="83"/>
      <c r="GQ404" s="83"/>
      <c r="GR404" s="83"/>
      <c r="GS404" s="83"/>
      <c r="GT404" s="83"/>
      <c r="GU404" s="83"/>
      <c r="GV404" s="83"/>
      <c r="GW404" s="83"/>
      <c r="GX404" s="83"/>
      <c r="GY404" s="83"/>
      <c r="GZ404" s="83"/>
      <c r="HA404" s="83"/>
      <c r="HB404" s="83"/>
      <c r="HC404" s="83"/>
      <c r="HD404" s="83"/>
      <c r="HE404" s="83"/>
      <c r="HF404" s="83"/>
      <c r="HG404" s="83"/>
      <c r="HH404" s="83"/>
      <c r="HI404" s="83"/>
      <c r="HJ404" s="83"/>
      <c r="HK404" s="83"/>
      <c r="HL404" s="83"/>
      <c r="HM404" s="83"/>
      <c r="HN404" s="83"/>
      <c r="HO404" s="83"/>
      <c r="HP404" s="83"/>
      <c r="HQ404" s="83"/>
      <c r="HR404" s="83"/>
      <c r="HS404" s="83"/>
      <c r="HT404" s="83"/>
      <c r="HU404" s="83"/>
      <c r="HV404" s="83"/>
      <c r="HW404" s="83"/>
      <c r="HX404" s="83"/>
      <c r="HY404" s="83"/>
      <c r="HZ404" s="83"/>
      <c r="IA404" s="83"/>
      <c r="IB404" s="83"/>
      <c r="IC404" s="83"/>
      <c r="ID404" s="83"/>
      <c r="IE404" s="83"/>
      <c r="IF404" s="83"/>
      <c r="IG404" s="83"/>
    </row>
    <row r="405" spans="1:241"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c r="DD405" s="83"/>
      <c r="DE405" s="83"/>
      <c r="DF405" s="83"/>
      <c r="DG405" s="83"/>
      <c r="DH405" s="83"/>
      <c r="DI405" s="83"/>
      <c r="DJ405" s="83"/>
      <c r="DK405" s="83"/>
      <c r="DL405" s="83"/>
      <c r="DM405" s="83"/>
      <c r="DN405" s="83"/>
      <c r="DO405" s="83"/>
      <c r="DP405" s="83"/>
      <c r="DQ405" s="83"/>
      <c r="DR405" s="83"/>
      <c r="DS405" s="83"/>
      <c r="DT405" s="83"/>
      <c r="DU405" s="83"/>
      <c r="DV405" s="83"/>
      <c r="DW405" s="83"/>
      <c r="DX405" s="83"/>
      <c r="DY405" s="83"/>
      <c r="DZ405" s="83"/>
      <c r="EA405" s="83"/>
      <c r="EB405" s="83"/>
      <c r="EC405" s="83"/>
      <c r="ED405" s="83"/>
      <c r="EE405" s="83"/>
      <c r="EF405" s="83"/>
      <c r="EG405" s="83"/>
      <c r="EH405" s="83"/>
      <c r="EI405" s="83"/>
      <c r="EJ405" s="83"/>
      <c r="EK405" s="83"/>
      <c r="EL405" s="83"/>
      <c r="EM405" s="83"/>
      <c r="EN405" s="83"/>
      <c r="EO405" s="83"/>
      <c r="EP405" s="83"/>
      <c r="EQ405" s="83"/>
      <c r="ER405" s="83"/>
      <c r="ES405" s="83"/>
      <c r="ET405" s="83"/>
      <c r="EU405" s="83"/>
      <c r="EV405" s="83"/>
      <c r="EW405" s="83"/>
      <c r="EX405" s="83"/>
      <c r="EY405" s="83"/>
      <c r="EZ405" s="83"/>
      <c r="FA405" s="83"/>
      <c r="FB405" s="83"/>
      <c r="FC405" s="83"/>
      <c r="FD405" s="83"/>
      <c r="FE405" s="83"/>
      <c r="FF405" s="83"/>
      <c r="FG405" s="83"/>
      <c r="FH405" s="83"/>
      <c r="FI405" s="83"/>
      <c r="FJ405" s="83"/>
      <c r="FK405" s="83"/>
      <c r="FL405" s="83"/>
      <c r="FM405" s="83"/>
      <c r="FN405" s="83"/>
      <c r="FO405" s="83"/>
      <c r="FP405" s="83"/>
      <c r="FQ405" s="83"/>
      <c r="FR405" s="83"/>
      <c r="FS405" s="83"/>
      <c r="FT405" s="83"/>
      <c r="FU405" s="83"/>
      <c r="FV405" s="83"/>
      <c r="FW405" s="83"/>
      <c r="FX405" s="83"/>
      <c r="FY405" s="83"/>
      <c r="FZ405" s="83"/>
      <c r="GA405" s="83"/>
      <c r="GB405" s="83"/>
      <c r="GC405" s="83"/>
      <c r="GD405" s="83"/>
      <c r="GE405" s="83"/>
      <c r="GF405" s="83"/>
      <c r="GG405" s="83"/>
      <c r="GH405" s="83"/>
      <c r="GI405" s="83"/>
      <c r="GJ405" s="83"/>
      <c r="GK405" s="83"/>
      <c r="GL405" s="83"/>
      <c r="GM405" s="83"/>
      <c r="GN405" s="83"/>
      <c r="GO405" s="83"/>
      <c r="GP405" s="83"/>
      <c r="GQ405" s="83"/>
      <c r="GR405" s="83"/>
      <c r="GS405" s="83"/>
      <c r="GT405" s="83"/>
      <c r="GU405" s="83"/>
      <c r="GV405" s="83"/>
      <c r="GW405" s="83"/>
      <c r="GX405" s="83"/>
      <c r="GY405" s="83"/>
      <c r="GZ405" s="83"/>
      <c r="HA405" s="83"/>
      <c r="HB405" s="83"/>
      <c r="HC405" s="83"/>
      <c r="HD405" s="83"/>
      <c r="HE405" s="83"/>
      <c r="HF405" s="83"/>
      <c r="HG405" s="83"/>
      <c r="HH405" s="83"/>
      <c r="HI405" s="83"/>
      <c r="HJ405" s="83"/>
      <c r="HK405" s="83"/>
      <c r="HL405" s="83"/>
      <c r="HM405" s="83"/>
      <c r="HN405" s="83"/>
      <c r="HO405" s="83"/>
      <c r="HP405" s="83"/>
      <c r="HQ405" s="83"/>
      <c r="HR405" s="83"/>
      <c r="HS405" s="83"/>
      <c r="HT405" s="83"/>
      <c r="HU405" s="83"/>
      <c r="HV405" s="83"/>
      <c r="HW405" s="83"/>
      <c r="HX405" s="83"/>
      <c r="HY405" s="83"/>
      <c r="HZ405" s="83"/>
      <c r="IA405" s="83"/>
      <c r="IB405" s="83"/>
      <c r="IC405" s="83"/>
      <c r="ID405" s="83"/>
      <c r="IE405" s="83"/>
      <c r="IF405" s="83"/>
      <c r="IG405" s="83"/>
    </row>
    <row r="406" spans="1:241"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c r="DD406" s="83"/>
      <c r="DE406" s="83"/>
      <c r="DF406" s="83"/>
      <c r="DG406" s="83"/>
      <c r="DH406" s="83"/>
      <c r="DI406" s="83"/>
      <c r="DJ406" s="83"/>
      <c r="DK406" s="83"/>
      <c r="DL406" s="83"/>
      <c r="DM406" s="83"/>
      <c r="DN406" s="83"/>
      <c r="DO406" s="83"/>
      <c r="DP406" s="83"/>
      <c r="DQ406" s="83"/>
      <c r="DR406" s="83"/>
      <c r="DS406" s="83"/>
      <c r="DT406" s="83"/>
      <c r="DU406" s="83"/>
      <c r="DV406" s="83"/>
      <c r="DW406" s="83"/>
      <c r="DX406" s="83"/>
      <c r="DY406" s="83"/>
      <c r="DZ406" s="83"/>
      <c r="EA406" s="83"/>
      <c r="EB406" s="83"/>
      <c r="EC406" s="83"/>
      <c r="ED406" s="83"/>
      <c r="EE406" s="83"/>
      <c r="EF406" s="83"/>
      <c r="EG406" s="83"/>
      <c r="EH406" s="83"/>
      <c r="EI406" s="83"/>
      <c r="EJ406" s="83"/>
      <c r="EK406" s="83"/>
      <c r="EL406" s="83"/>
      <c r="EM406" s="83"/>
      <c r="EN406" s="83"/>
      <c r="EO406" s="83"/>
      <c r="EP406" s="83"/>
      <c r="EQ406" s="83"/>
      <c r="ER406" s="83"/>
      <c r="ES406" s="83"/>
      <c r="ET406" s="83"/>
      <c r="EU406" s="83"/>
      <c r="EV406" s="83"/>
      <c r="EW406" s="83"/>
      <c r="EX406" s="83"/>
      <c r="EY406" s="83"/>
      <c r="EZ406" s="83"/>
      <c r="FA406" s="83"/>
      <c r="FB406" s="83"/>
      <c r="FC406" s="83"/>
      <c r="FD406" s="83"/>
      <c r="FE406" s="83"/>
      <c r="FF406" s="83"/>
      <c r="FG406" s="83"/>
      <c r="FH406" s="83"/>
      <c r="FI406" s="83"/>
      <c r="FJ406" s="83"/>
      <c r="FK406" s="83"/>
      <c r="FL406" s="83"/>
      <c r="FM406" s="83"/>
      <c r="FN406" s="83"/>
      <c r="FO406" s="83"/>
      <c r="FP406" s="83"/>
      <c r="FQ406" s="83"/>
      <c r="FR406" s="83"/>
      <c r="FS406" s="83"/>
      <c r="FT406" s="83"/>
      <c r="FU406" s="83"/>
      <c r="FV406" s="83"/>
      <c r="FW406" s="83"/>
      <c r="FX406" s="83"/>
      <c r="FY406" s="83"/>
      <c r="FZ406" s="83"/>
      <c r="GA406" s="83"/>
      <c r="GB406" s="83"/>
      <c r="GC406" s="83"/>
      <c r="GD406" s="83"/>
      <c r="GE406" s="83"/>
      <c r="GF406" s="83"/>
      <c r="GG406" s="83"/>
      <c r="GH406" s="83"/>
      <c r="GI406" s="83"/>
      <c r="GJ406" s="83"/>
      <c r="GK406" s="83"/>
      <c r="GL406" s="83"/>
      <c r="GM406" s="83"/>
      <c r="GN406" s="83"/>
      <c r="GO406" s="83"/>
      <c r="GP406" s="83"/>
      <c r="GQ406" s="83"/>
      <c r="GR406" s="83"/>
      <c r="GS406" s="83"/>
      <c r="GT406" s="83"/>
      <c r="GU406" s="83"/>
      <c r="GV406" s="83"/>
      <c r="GW406" s="83"/>
      <c r="GX406" s="83"/>
      <c r="GY406" s="83"/>
      <c r="GZ406" s="83"/>
      <c r="HA406" s="83"/>
      <c r="HB406" s="83"/>
      <c r="HC406" s="83"/>
      <c r="HD406" s="83"/>
      <c r="HE406" s="83"/>
      <c r="HF406" s="83"/>
      <c r="HG406" s="83"/>
      <c r="HH406" s="83"/>
      <c r="HI406" s="83"/>
      <c r="HJ406" s="83"/>
      <c r="HK406" s="83"/>
      <c r="HL406" s="83"/>
      <c r="HM406" s="83"/>
      <c r="HN406" s="83"/>
      <c r="HO406" s="83"/>
      <c r="HP406" s="83"/>
      <c r="HQ406" s="83"/>
      <c r="HR406" s="83"/>
      <c r="HS406" s="83"/>
      <c r="HT406" s="83"/>
      <c r="HU406" s="83"/>
      <c r="HV406" s="83"/>
      <c r="HW406" s="83"/>
      <c r="HX406" s="83"/>
      <c r="HY406" s="83"/>
      <c r="HZ406" s="83"/>
      <c r="IA406" s="83"/>
      <c r="IB406" s="83"/>
      <c r="IC406" s="83"/>
      <c r="ID406" s="83"/>
      <c r="IE406" s="83"/>
      <c r="IF406" s="83"/>
      <c r="IG406" s="83"/>
    </row>
    <row r="407" spans="1:241"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c r="DD407" s="83"/>
      <c r="DE407" s="83"/>
      <c r="DF407" s="83"/>
      <c r="DG407" s="83"/>
      <c r="DH407" s="83"/>
      <c r="DI407" s="83"/>
      <c r="DJ407" s="83"/>
      <c r="DK407" s="83"/>
      <c r="DL407" s="83"/>
      <c r="DM407" s="83"/>
      <c r="DN407" s="83"/>
      <c r="DO407" s="83"/>
      <c r="DP407" s="83"/>
      <c r="DQ407" s="83"/>
      <c r="DR407" s="83"/>
      <c r="DS407" s="83"/>
      <c r="DT407" s="83"/>
      <c r="DU407" s="83"/>
      <c r="DV407" s="83"/>
      <c r="DW407" s="83"/>
      <c r="DX407" s="83"/>
      <c r="DY407" s="83"/>
      <c r="DZ407" s="83"/>
      <c r="EA407" s="83"/>
      <c r="EB407" s="83"/>
      <c r="EC407" s="83"/>
      <c r="ED407" s="83"/>
      <c r="EE407" s="83"/>
      <c r="EF407" s="83"/>
      <c r="EG407" s="83"/>
      <c r="EH407" s="83"/>
      <c r="EI407" s="83"/>
      <c r="EJ407" s="83"/>
      <c r="EK407" s="83"/>
      <c r="EL407" s="83"/>
      <c r="EM407" s="83"/>
      <c r="EN407" s="83"/>
      <c r="EO407" s="83"/>
      <c r="EP407" s="83"/>
      <c r="EQ407" s="83"/>
      <c r="ER407" s="83"/>
      <c r="ES407" s="83"/>
      <c r="ET407" s="83"/>
      <c r="EU407" s="83"/>
      <c r="EV407" s="83"/>
      <c r="EW407" s="83"/>
      <c r="EX407" s="83"/>
      <c r="EY407" s="83"/>
      <c r="EZ407" s="83"/>
      <c r="FA407" s="83"/>
      <c r="FB407" s="83"/>
      <c r="FC407" s="83"/>
      <c r="FD407" s="83"/>
      <c r="FE407" s="83"/>
      <c r="FF407" s="83"/>
      <c r="FG407" s="83"/>
      <c r="FH407" s="83"/>
      <c r="FI407" s="83"/>
      <c r="FJ407" s="83"/>
      <c r="FK407" s="83"/>
      <c r="FL407" s="83"/>
      <c r="FM407" s="83"/>
      <c r="FN407" s="83"/>
      <c r="FO407" s="83"/>
      <c r="FP407" s="83"/>
      <c r="FQ407" s="83"/>
      <c r="FR407" s="83"/>
      <c r="FS407" s="83"/>
      <c r="FT407" s="83"/>
      <c r="FU407" s="83"/>
      <c r="FV407" s="83"/>
      <c r="FW407" s="83"/>
      <c r="FX407" s="83"/>
      <c r="FY407" s="83"/>
      <c r="FZ407" s="83"/>
      <c r="GA407" s="83"/>
      <c r="GB407" s="83"/>
      <c r="GC407" s="83"/>
      <c r="GD407" s="83"/>
      <c r="GE407" s="83"/>
      <c r="GF407" s="83"/>
      <c r="GG407" s="83"/>
      <c r="GH407" s="83"/>
      <c r="GI407" s="83"/>
      <c r="GJ407" s="83"/>
      <c r="GK407" s="83"/>
      <c r="GL407" s="83"/>
      <c r="GM407" s="83"/>
      <c r="GN407" s="83"/>
      <c r="GO407" s="83"/>
      <c r="GP407" s="83"/>
      <c r="GQ407" s="83"/>
      <c r="GR407" s="83"/>
      <c r="GS407" s="83"/>
      <c r="GT407" s="83"/>
      <c r="GU407" s="83"/>
      <c r="GV407" s="83"/>
      <c r="GW407" s="83"/>
      <c r="GX407" s="83"/>
      <c r="GY407" s="83"/>
      <c r="GZ407" s="83"/>
      <c r="HA407" s="83"/>
      <c r="HB407" s="83"/>
      <c r="HC407" s="83"/>
      <c r="HD407" s="83"/>
      <c r="HE407" s="83"/>
      <c r="HF407" s="83"/>
      <c r="HG407" s="83"/>
      <c r="HH407" s="83"/>
      <c r="HI407" s="83"/>
      <c r="HJ407" s="83"/>
      <c r="HK407" s="83"/>
      <c r="HL407" s="83"/>
      <c r="HM407" s="83"/>
      <c r="HN407" s="83"/>
      <c r="HO407" s="83"/>
      <c r="HP407" s="83"/>
      <c r="HQ407" s="83"/>
      <c r="HR407" s="83"/>
      <c r="HS407" s="83"/>
      <c r="HT407" s="83"/>
      <c r="HU407" s="83"/>
      <c r="HV407" s="83"/>
      <c r="HW407" s="83"/>
      <c r="HX407" s="83"/>
      <c r="HY407" s="83"/>
      <c r="HZ407" s="83"/>
      <c r="IA407" s="83"/>
      <c r="IB407" s="83"/>
      <c r="IC407" s="83"/>
      <c r="ID407" s="83"/>
      <c r="IE407" s="83"/>
      <c r="IF407" s="83"/>
      <c r="IG407" s="83"/>
    </row>
    <row r="408" spans="1:241"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c r="DD408" s="83"/>
      <c r="DE408" s="83"/>
      <c r="DF408" s="83"/>
      <c r="DG408" s="83"/>
      <c r="DH408" s="83"/>
      <c r="DI408" s="83"/>
      <c r="DJ408" s="83"/>
      <c r="DK408" s="83"/>
      <c r="DL408" s="83"/>
      <c r="DM408" s="83"/>
      <c r="DN408" s="83"/>
      <c r="DO408" s="83"/>
      <c r="DP408" s="83"/>
      <c r="DQ408" s="83"/>
      <c r="DR408" s="83"/>
      <c r="DS408" s="83"/>
      <c r="DT408" s="83"/>
      <c r="DU408" s="83"/>
      <c r="DV408" s="83"/>
      <c r="DW408" s="83"/>
      <c r="DX408" s="83"/>
      <c r="DY408" s="83"/>
      <c r="DZ408" s="83"/>
      <c r="EA408" s="83"/>
      <c r="EB408" s="83"/>
      <c r="EC408" s="83"/>
      <c r="ED408" s="83"/>
      <c r="EE408" s="83"/>
      <c r="EF408" s="83"/>
      <c r="EG408" s="83"/>
      <c r="EH408" s="83"/>
      <c r="EI408" s="83"/>
      <c r="EJ408" s="83"/>
      <c r="EK408" s="83"/>
      <c r="EL408" s="83"/>
      <c r="EM408" s="83"/>
      <c r="EN408" s="83"/>
      <c r="EO408" s="83"/>
      <c r="EP408" s="83"/>
      <c r="EQ408" s="83"/>
      <c r="ER408" s="83"/>
      <c r="ES408" s="83"/>
      <c r="ET408" s="83"/>
      <c r="EU408" s="83"/>
      <c r="EV408" s="83"/>
      <c r="EW408" s="83"/>
      <c r="EX408" s="83"/>
      <c r="EY408" s="83"/>
      <c r="EZ408" s="83"/>
      <c r="FA408" s="83"/>
      <c r="FB408" s="83"/>
      <c r="FC408" s="83"/>
      <c r="FD408" s="83"/>
      <c r="FE408" s="83"/>
      <c r="FF408" s="83"/>
      <c r="FG408" s="83"/>
      <c r="FH408" s="83"/>
      <c r="FI408" s="83"/>
      <c r="FJ408" s="83"/>
      <c r="FK408" s="83"/>
      <c r="FL408" s="83"/>
      <c r="FM408" s="83"/>
      <c r="FN408" s="83"/>
      <c r="FO408" s="83"/>
      <c r="FP408" s="83"/>
      <c r="FQ408" s="83"/>
      <c r="FR408" s="83"/>
      <c r="FS408" s="83"/>
      <c r="FT408" s="83"/>
      <c r="FU408" s="83"/>
      <c r="FV408" s="83"/>
      <c r="FW408" s="83"/>
      <c r="FX408" s="83"/>
      <c r="FY408" s="83"/>
      <c r="FZ408" s="83"/>
      <c r="GA408" s="83"/>
      <c r="GB408" s="83"/>
      <c r="GC408" s="83"/>
      <c r="GD408" s="83"/>
      <c r="GE408" s="83"/>
      <c r="GF408" s="83"/>
      <c r="GG408" s="83"/>
      <c r="GH408" s="83"/>
      <c r="GI408" s="83"/>
      <c r="GJ408" s="83"/>
      <c r="GK408" s="83"/>
      <c r="GL408" s="83"/>
      <c r="GM408" s="83"/>
      <c r="GN408" s="83"/>
      <c r="GO408" s="83"/>
      <c r="GP408" s="83"/>
      <c r="GQ408" s="83"/>
      <c r="GR408" s="83"/>
      <c r="GS408" s="83"/>
      <c r="GT408" s="83"/>
      <c r="GU408" s="83"/>
      <c r="GV408" s="83"/>
      <c r="GW408" s="83"/>
      <c r="GX408" s="83"/>
      <c r="GY408" s="83"/>
      <c r="GZ408" s="83"/>
      <c r="HA408" s="83"/>
      <c r="HB408" s="83"/>
      <c r="HC408" s="83"/>
      <c r="HD408" s="83"/>
      <c r="HE408" s="83"/>
      <c r="HF408" s="83"/>
      <c r="HG408" s="83"/>
      <c r="HH408" s="83"/>
      <c r="HI408" s="83"/>
      <c r="HJ408" s="83"/>
      <c r="HK408" s="83"/>
      <c r="HL408" s="83"/>
      <c r="HM408" s="83"/>
      <c r="HN408" s="83"/>
      <c r="HO408" s="83"/>
      <c r="HP408" s="83"/>
      <c r="HQ408" s="83"/>
      <c r="HR408" s="83"/>
      <c r="HS408" s="83"/>
      <c r="HT408" s="83"/>
      <c r="HU408" s="83"/>
      <c r="HV408" s="83"/>
      <c r="HW408" s="83"/>
      <c r="HX408" s="83"/>
      <c r="HY408" s="83"/>
      <c r="HZ408" s="83"/>
      <c r="IA408" s="83"/>
      <c r="IB408" s="83"/>
      <c r="IC408" s="83"/>
      <c r="ID408" s="83"/>
      <c r="IE408" s="83"/>
      <c r="IF408" s="83"/>
      <c r="IG408" s="83"/>
    </row>
    <row r="409" spans="1:241"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c r="DD409" s="83"/>
      <c r="DE409" s="83"/>
      <c r="DF409" s="83"/>
      <c r="DG409" s="83"/>
      <c r="DH409" s="83"/>
      <c r="DI409" s="83"/>
      <c r="DJ409" s="83"/>
      <c r="DK409" s="83"/>
      <c r="DL409" s="83"/>
      <c r="DM409" s="83"/>
      <c r="DN409" s="83"/>
      <c r="DO409" s="83"/>
      <c r="DP409" s="83"/>
      <c r="DQ409" s="83"/>
      <c r="DR409" s="83"/>
      <c r="DS409" s="83"/>
      <c r="DT409" s="83"/>
      <c r="DU409" s="83"/>
      <c r="DV409" s="83"/>
      <c r="DW409" s="83"/>
      <c r="DX409" s="83"/>
      <c r="DY409" s="83"/>
      <c r="DZ409" s="83"/>
      <c r="EA409" s="83"/>
      <c r="EB409" s="83"/>
      <c r="EC409" s="83"/>
      <c r="ED409" s="83"/>
      <c r="EE409" s="83"/>
      <c r="EF409" s="83"/>
      <c r="EG409" s="83"/>
      <c r="EH409" s="83"/>
      <c r="EI409" s="83"/>
      <c r="EJ409" s="83"/>
      <c r="EK409" s="83"/>
      <c r="EL409" s="83"/>
      <c r="EM409" s="83"/>
      <c r="EN409" s="83"/>
      <c r="EO409" s="83"/>
      <c r="EP409" s="83"/>
      <c r="EQ409" s="83"/>
      <c r="ER409" s="83"/>
      <c r="ES409" s="83"/>
      <c r="ET409" s="83"/>
      <c r="EU409" s="83"/>
      <c r="EV409" s="83"/>
      <c r="EW409" s="83"/>
      <c r="EX409" s="83"/>
      <c r="EY409" s="83"/>
      <c r="EZ409" s="83"/>
      <c r="FA409" s="83"/>
      <c r="FB409" s="83"/>
      <c r="FC409" s="83"/>
      <c r="FD409" s="83"/>
      <c r="FE409" s="83"/>
      <c r="FF409" s="83"/>
      <c r="FG409" s="83"/>
      <c r="FH409" s="83"/>
      <c r="FI409" s="83"/>
      <c r="FJ409" s="83"/>
      <c r="FK409" s="83"/>
      <c r="FL409" s="83"/>
      <c r="FM409" s="83"/>
      <c r="FN409" s="83"/>
      <c r="FO409" s="83"/>
      <c r="FP409" s="83"/>
      <c r="FQ409" s="83"/>
      <c r="FR409" s="83"/>
      <c r="FS409" s="83"/>
      <c r="FT409" s="83"/>
      <c r="FU409" s="83"/>
      <c r="FV409" s="83"/>
      <c r="FW409" s="83"/>
      <c r="FX409" s="83"/>
      <c r="FY409" s="83"/>
      <c r="FZ409" s="83"/>
      <c r="GA409" s="83"/>
      <c r="GB409" s="83"/>
      <c r="GC409" s="83"/>
      <c r="GD409" s="83"/>
      <c r="GE409" s="83"/>
      <c r="GF409" s="83"/>
      <c r="GG409" s="83"/>
      <c r="GH409" s="83"/>
      <c r="GI409" s="83"/>
      <c r="GJ409" s="83"/>
      <c r="GK409" s="83"/>
      <c r="GL409" s="83"/>
      <c r="GM409" s="83"/>
      <c r="GN409" s="83"/>
      <c r="GO409" s="83"/>
      <c r="GP409" s="83"/>
      <c r="GQ409" s="83"/>
      <c r="GR409" s="83"/>
      <c r="GS409" s="83"/>
      <c r="GT409" s="83"/>
      <c r="GU409" s="83"/>
      <c r="GV409" s="83"/>
      <c r="GW409" s="83"/>
      <c r="GX409" s="83"/>
      <c r="GY409" s="83"/>
      <c r="GZ409" s="83"/>
      <c r="HA409" s="83"/>
      <c r="HB409" s="83"/>
      <c r="HC409" s="83"/>
      <c r="HD409" s="83"/>
      <c r="HE409" s="83"/>
      <c r="HF409" s="83"/>
      <c r="HG409" s="83"/>
      <c r="HH409" s="83"/>
      <c r="HI409" s="83"/>
      <c r="HJ409" s="83"/>
      <c r="HK409" s="83"/>
      <c r="HL409" s="83"/>
      <c r="HM409" s="83"/>
      <c r="HN409" s="83"/>
      <c r="HO409" s="83"/>
      <c r="HP409" s="83"/>
      <c r="HQ409" s="83"/>
      <c r="HR409" s="83"/>
      <c r="HS409" s="83"/>
      <c r="HT409" s="83"/>
      <c r="HU409" s="83"/>
      <c r="HV409" s="83"/>
      <c r="HW409" s="83"/>
      <c r="HX409" s="83"/>
      <c r="HY409" s="83"/>
      <c r="HZ409" s="83"/>
      <c r="IA409" s="83"/>
      <c r="IB409" s="83"/>
      <c r="IC409" s="83"/>
      <c r="ID409" s="83"/>
      <c r="IE409" s="83"/>
      <c r="IF409" s="83"/>
      <c r="IG409" s="83"/>
    </row>
    <row r="410" spans="1:241"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c r="DD410" s="83"/>
      <c r="DE410" s="83"/>
      <c r="DF410" s="83"/>
      <c r="DG410" s="83"/>
      <c r="DH410" s="83"/>
      <c r="DI410" s="83"/>
      <c r="DJ410" s="83"/>
      <c r="DK410" s="83"/>
      <c r="DL410" s="83"/>
      <c r="DM410" s="83"/>
      <c r="DN410" s="83"/>
      <c r="DO410" s="83"/>
      <c r="DP410" s="83"/>
      <c r="DQ410" s="83"/>
      <c r="DR410" s="83"/>
      <c r="DS410" s="83"/>
      <c r="DT410" s="83"/>
      <c r="DU410" s="83"/>
      <c r="DV410" s="83"/>
      <c r="DW410" s="83"/>
      <c r="DX410" s="83"/>
      <c r="DY410" s="83"/>
      <c r="DZ410" s="83"/>
      <c r="EA410" s="83"/>
      <c r="EB410" s="83"/>
      <c r="EC410" s="83"/>
      <c r="ED410" s="83"/>
      <c r="EE410" s="83"/>
      <c r="EF410" s="83"/>
      <c r="EG410" s="83"/>
      <c r="EH410" s="83"/>
      <c r="EI410" s="83"/>
      <c r="EJ410" s="83"/>
      <c r="EK410" s="83"/>
      <c r="EL410" s="83"/>
      <c r="EM410" s="83"/>
      <c r="EN410" s="83"/>
      <c r="EO410" s="83"/>
      <c r="EP410" s="83"/>
      <c r="EQ410" s="83"/>
      <c r="ER410" s="83"/>
      <c r="ES410" s="83"/>
      <c r="ET410" s="83"/>
      <c r="EU410" s="83"/>
      <c r="EV410" s="83"/>
      <c r="EW410" s="83"/>
      <c r="EX410" s="83"/>
      <c r="EY410" s="83"/>
      <c r="EZ410" s="83"/>
      <c r="FA410" s="83"/>
      <c r="FB410" s="83"/>
      <c r="FC410" s="83"/>
      <c r="FD410" s="83"/>
      <c r="FE410" s="83"/>
      <c r="FF410" s="83"/>
      <c r="FG410" s="83"/>
      <c r="FH410" s="83"/>
      <c r="FI410" s="83"/>
      <c r="FJ410" s="83"/>
      <c r="FK410" s="83"/>
      <c r="FL410" s="83"/>
      <c r="FM410" s="83"/>
      <c r="FN410" s="83"/>
      <c r="FO410" s="83"/>
      <c r="FP410" s="83"/>
      <c r="FQ410" s="83"/>
      <c r="FR410" s="83"/>
      <c r="FS410" s="83"/>
      <c r="FT410" s="83"/>
      <c r="FU410" s="83"/>
      <c r="FV410" s="83"/>
      <c r="FW410" s="83"/>
      <c r="FX410" s="83"/>
      <c r="FY410" s="83"/>
      <c r="FZ410" s="83"/>
      <c r="GA410" s="83"/>
      <c r="GB410" s="83"/>
      <c r="GC410" s="83"/>
      <c r="GD410" s="83"/>
      <c r="GE410" s="83"/>
      <c r="GF410" s="83"/>
      <c r="GG410" s="83"/>
      <c r="GH410" s="83"/>
      <c r="GI410" s="83"/>
      <c r="GJ410" s="83"/>
      <c r="GK410" s="83"/>
      <c r="GL410" s="83"/>
      <c r="GM410" s="83"/>
      <c r="GN410" s="83"/>
      <c r="GO410" s="83"/>
      <c r="GP410" s="83"/>
      <c r="GQ410" s="83"/>
      <c r="GR410" s="83"/>
      <c r="GS410" s="83"/>
      <c r="GT410" s="83"/>
      <c r="GU410" s="83"/>
      <c r="GV410" s="83"/>
      <c r="GW410" s="83"/>
      <c r="GX410" s="83"/>
      <c r="GY410" s="83"/>
      <c r="GZ410" s="83"/>
      <c r="HA410" s="83"/>
      <c r="HB410" s="83"/>
      <c r="HC410" s="83"/>
      <c r="HD410" s="83"/>
      <c r="HE410" s="83"/>
      <c r="HF410" s="83"/>
      <c r="HG410" s="83"/>
      <c r="HH410" s="83"/>
      <c r="HI410" s="83"/>
      <c r="HJ410" s="83"/>
      <c r="HK410" s="83"/>
      <c r="HL410" s="83"/>
      <c r="HM410" s="83"/>
      <c r="HN410" s="83"/>
      <c r="HO410" s="83"/>
      <c r="HP410" s="83"/>
      <c r="HQ410" s="83"/>
      <c r="HR410" s="83"/>
      <c r="HS410" s="83"/>
      <c r="HT410" s="83"/>
      <c r="HU410" s="83"/>
      <c r="HV410" s="83"/>
      <c r="HW410" s="83"/>
      <c r="HX410" s="83"/>
      <c r="HY410" s="83"/>
      <c r="HZ410" s="83"/>
      <c r="IA410" s="83"/>
      <c r="IB410" s="83"/>
      <c r="IC410" s="83"/>
      <c r="ID410" s="83"/>
      <c r="IE410" s="83"/>
      <c r="IF410" s="83"/>
      <c r="IG410" s="83"/>
    </row>
    <row r="411" spans="1:241"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c r="DD411" s="83"/>
      <c r="DE411" s="83"/>
      <c r="DF411" s="83"/>
      <c r="DG411" s="83"/>
      <c r="DH411" s="83"/>
      <c r="DI411" s="83"/>
      <c r="DJ411" s="83"/>
      <c r="DK411" s="83"/>
      <c r="DL411" s="83"/>
      <c r="DM411" s="83"/>
      <c r="DN411" s="83"/>
      <c r="DO411" s="83"/>
      <c r="DP411" s="83"/>
      <c r="DQ411" s="83"/>
      <c r="DR411" s="83"/>
      <c r="DS411" s="83"/>
      <c r="DT411" s="83"/>
      <c r="DU411" s="83"/>
      <c r="DV411" s="83"/>
      <c r="DW411" s="83"/>
      <c r="DX411" s="83"/>
      <c r="DY411" s="83"/>
      <c r="DZ411" s="83"/>
      <c r="EA411" s="83"/>
      <c r="EB411" s="83"/>
      <c r="EC411" s="83"/>
      <c r="ED411" s="83"/>
      <c r="EE411" s="83"/>
      <c r="EF411" s="83"/>
      <c r="EG411" s="83"/>
      <c r="EH411" s="83"/>
      <c r="EI411" s="83"/>
      <c r="EJ411" s="83"/>
      <c r="EK411" s="83"/>
      <c r="EL411" s="83"/>
      <c r="EM411" s="83"/>
      <c r="EN411" s="83"/>
      <c r="EO411" s="83"/>
      <c r="EP411" s="83"/>
      <c r="EQ411" s="83"/>
      <c r="ER411" s="83"/>
      <c r="ES411" s="83"/>
      <c r="ET411" s="83"/>
      <c r="EU411" s="83"/>
      <c r="EV411" s="83"/>
      <c r="EW411" s="83"/>
      <c r="EX411" s="83"/>
      <c r="EY411" s="83"/>
      <c r="EZ411" s="83"/>
      <c r="FA411" s="83"/>
      <c r="FB411" s="83"/>
      <c r="FC411" s="83"/>
      <c r="FD411" s="83"/>
      <c r="FE411" s="83"/>
      <c r="FF411" s="83"/>
      <c r="FG411" s="83"/>
      <c r="FH411" s="83"/>
      <c r="FI411" s="83"/>
      <c r="FJ411" s="83"/>
      <c r="FK411" s="83"/>
      <c r="FL411" s="83"/>
      <c r="FM411" s="83"/>
      <c r="FN411" s="83"/>
      <c r="FO411" s="83"/>
      <c r="FP411" s="83"/>
      <c r="FQ411" s="83"/>
      <c r="FR411" s="83"/>
      <c r="FS411" s="83"/>
      <c r="FT411" s="83"/>
      <c r="FU411" s="83"/>
      <c r="FV411" s="83"/>
      <c r="FW411" s="83"/>
      <c r="FX411" s="83"/>
      <c r="FY411" s="83"/>
      <c r="FZ411" s="83"/>
      <c r="GA411" s="83"/>
      <c r="GB411" s="83"/>
      <c r="GC411" s="83"/>
      <c r="GD411" s="83"/>
      <c r="GE411" s="83"/>
      <c r="GF411" s="83"/>
      <c r="GG411" s="83"/>
      <c r="GH411" s="83"/>
      <c r="GI411" s="83"/>
      <c r="GJ411" s="83"/>
      <c r="GK411" s="83"/>
      <c r="GL411" s="83"/>
      <c r="GM411" s="83"/>
      <c r="GN411" s="83"/>
      <c r="GO411" s="83"/>
      <c r="GP411" s="83"/>
      <c r="GQ411" s="83"/>
      <c r="GR411" s="83"/>
      <c r="GS411" s="83"/>
      <c r="GT411" s="83"/>
      <c r="GU411" s="83"/>
      <c r="GV411" s="83"/>
      <c r="GW411" s="83"/>
      <c r="GX411" s="83"/>
      <c r="GY411" s="83"/>
      <c r="GZ411" s="83"/>
      <c r="HA411" s="83"/>
      <c r="HB411" s="83"/>
      <c r="HC411" s="83"/>
      <c r="HD411" s="83"/>
      <c r="HE411" s="83"/>
      <c r="HF411" s="83"/>
      <c r="HG411" s="83"/>
      <c r="HH411" s="83"/>
      <c r="HI411" s="83"/>
      <c r="HJ411" s="83"/>
      <c r="HK411" s="83"/>
      <c r="HL411" s="83"/>
      <c r="HM411" s="83"/>
      <c r="HN411" s="83"/>
      <c r="HO411" s="83"/>
      <c r="HP411" s="83"/>
      <c r="HQ411" s="83"/>
      <c r="HR411" s="83"/>
      <c r="HS411" s="83"/>
      <c r="HT411" s="83"/>
      <c r="HU411" s="83"/>
      <c r="HV411" s="83"/>
      <c r="HW411" s="83"/>
      <c r="HX411" s="83"/>
      <c r="HY411" s="83"/>
      <c r="HZ411" s="83"/>
      <c r="IA411" s="83"/>
      <c r="IB411" s="83"/>
      <c r="IC411" s="83"/>
      <c r="ID411" s="83"/>
      <c r="IE411" s="83"/>
      <c r="IF411" s="83"/>
      <c r="IG411" s="83"/>
    </row>
    <row r="412" spans="1:241"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c r="DD412" s="83"/>
      <c r="DE412" s="83"/>
      <c r="DF412" s="83"/>
      <c r="DG412" s="83"/>
      <c r="DH412" s="83"/>
      <c r="DI412" s="83"/>
      <c r="DJ412" s="83"/>
      <c r="DK412" s="83"/>
      <c r="DL412" s="83"/>
      <c r="DM412" s="83"/>
      <c r="DN412" s="83"/>
      <c r="DO412" s="83"/>
      <c r="DP412" s="83"/>
      <c r="DQ412" s="83"/>
      <c r="DR412" s="83"/>
      <c r="DS412" s="83"/>
      <c r="DT412" s="83"/>
      <c r="DU412" s="83"/>
      <c r="DV412" s="83"/>
      <c r="DW412" s="83"/>
      <c r="DX412" s="83"/>
      <c r="DY412" s="83"/>
      <c r="DZ412" s="83"/>
      <c r="EA412" s="83"/>
      <c r="EB412" s="83"/>
      <c r="EC412" s="83"/>
      <c r="ED412" s="83"/>
      <c r="EE412" s="83"/>
      <c r="EF412" s="83"/>
      <c r="EG412" s="83"/>
      <c r="EH412" s="83"/>
      <c r="EI412" s="83"/>
      <c r="EJ412" s="83"/>
      <c r="EK412" s="83"/>
      <c r="EL412" s="83"/>
      <c r="EM412" s="83"/>
      <c r="EN412" s="83"/>
      <c r="EO412" s="83"/>
      <c r="EP412" s="83"/>
      <c r="EQ412" s="83"/>
      <c r="ER412" s="83"/>
      <c r="ES412" s="83"/>
      <c r="ET412" s="83"/>
      <c r="EU412" s="83"/>
      <c r="EV412" s="83"/>
      <c r="EW412" s="83"/>
      <c r="EX412" s="83"/>
      <c r="EY412" s="83"/>
      <c r="EZ412" s="83"/>
      <c r="FA412" s="83"/>
      <c r="FB412" s="83"/>
      <c r="FC412" s="83"/>
      <c r="FD412" s="83"/>
      <c r="FE412" s="83"/>
      <c r="FF412" s="83"/>
      <c r="FG412" s="83"/>
      <c r="FH412" s="83"/>
      <c r="FI412" s="83"/>
      <c r="FJ412" s="83"/>
      <c r="FK412" s="83"/>
      <c r="FL412" s="83"/>
      <c r="FM412" s="83"/>
      <c r="FN412" s="83"/>
      <c r="FO412" s="83"/>
      <c r="FP412" s="83"/>
      <c r="FQ412" s="83"/>
      <c r="FR412" s="83"/>
      <c r="FS412" s="83"/>
      <c r="FT412" s="83"/>
      <c r="FU412" s="83"/>
      <c r="FV412" s="83"/>
      <c r="FW412" s="83"/>
      <c r="FX412" s="83"/>
      <c r="FY412" s="83"/>
      <c r="FZ412" s="83"/>
      <c r="GA412" s="83"/>
      <c r="GB412" s="83"/>
      <c r="GC412" s="83"/>
      <c r="GD412" s="83"/>
      <c r="GE412" s="83"/>
      <c r="GF412" s="83"/>
      <c r="GG412" s="83"/>
      <c r="GH412" s="83"/>
      <c r="GI412" s="83"/>
      <c r="GJ412" s="83"/>
      <c r="GK412" s="83"/>
      <c r="GL412" s="83"/>
      <c r="GM412" s="83"/>
      <c r="GN412" s="83"/>
      <c r="GO412" s="83"/>
      <c r="GP412" s="83"/>
      <c r="GQ412" s="83"/>
      <c r="GR412" s="83"/>
      <c r="GS412" s="83"/>
      <c r="GT412" s="83"/>
      <c r="GU412" s="83"/>
      <c r="GV412" s="83"/>
      <c r="GW412" s="83"/>
      <c r="GX412" s="83"/>
      <c r="GY412" s="83"/>
      <c r="GZ412" s="83"/>
      <c r="HA412" s="83"/>
      <c r="HB412" s="83"/>
      <c r="HC412" s="83"/>
      <c r="HD412" s="83"/>
      <c r="HE412" s="83"/>
      <c r="HF412" s="83"/>
      <c r="HG412" s="83"/>
      <c r="HH412" s="83"/>
      <c r="HI412" s="83"/>
      <c r="HJ412" s="83"/>
      <c r="HK412" s="83"/>
      <c r="HL412" s="83"/>
      <c r="HM412" s="83"/>
      <c r="HN412" s="83"/>
      <c r="HO412" s="83"/>
      <c r="HP412" s="83"/>
      <c r="HQ412" s="83"/>
      <c r="HR412" s="83"/>
      <c r="HS412" s="83"/>
      <c r="HT412" s="83"/>
      <c r="HU412" s="83"/>
      <c r="HV412" s="83"/>
      <c r="HW412" s="83"/>
      <c r="HX412" s="83"/>
      <c r="HY412" s="83"/>
      <c r="HZ412" s="83"/>
      <c r="IA412" s="83"/>
      <c r="IB412" s="83"/>
      <c r="IC412" s="83"/>
      <c r="ID412" s="83"/>
      <c r="IE412" s="83"/>
      <c r="IF412" s="83"/>
      <c r="IG412" s="83"/>
    </row>
    <row r="413" spans="1:241"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c r="DD413" s="83"/>
      <c r="DE413" s="83"/>
      <c r="DF413" s="83"/>
      <c r="DG413" s="83"/>
      <c r="DH413" s="83"/>
      <c r="DI413" s="83"/>
      <c r="DJ413" s="83"/>
      <c r="DK413" s="83"/>
      <c r="DL413" s="83"/>
      <c r="DM413" s="83"/>
      <c r="DN413" s="83"/>
      <c r="DO413" s="83"/>
      <c r="DP413" s="83"/>
      <c r="DQ413" s="83"/>
      <c r="DR413" s="83"/>
      <c r="DS413" s="83"/>
      <c r="DT413" s="83"/>
      <c r="DU413" s="83"/>
      <c r="DV413" s="83"/>
      <c r="DW413" s="83"/>
      <c r="DX413" s="83"/>
      <c r="DY413" s="83"/>
      <c r="DZ413" s="83"/>
      <c r="EA413" s="83"/>
      <c r="EB413" s="83"/>
      <c r="EC413" s="83"/>
      <c r="ED413" s="83"/>
      <c r="EE413" s="83"/>
      <c r="EF413" s="83"/>
      <c r="EG413" s="83"/>
      <c r="EH413" s="83"/>
      <c r="EI413" s="83"/>
      <c r="EJ413" s="83"/>
      <c r="EK413" s="83"/>
      <c r="EL413" s="83"/>
      <c r="EM413" s="83"/>
      <c r="EN413" s="83"/>
      <c r="EO413" s="83"/>
      <c r="EP413" s="83"/>
      <c r="EQ413" s="83"/>
      <c r="ER413" s="83"/>
      <c r="ES413" s="83"/>
      <c r="ET413" s="83"/>
      <c r="EU413" s="83"/>
      <c r="EV413" s="83"/>
      <c r="EW413" s="83"/>
      <c r="EX413" s="83"/>
      <c r="EY413" s="83"/>
      <c r="EZ413" s="83"/>
      <c r="FA413" s="83"/>
      <c r="FB413" s="83"/>
      <c r="FC413" s="83"/>
      <c r="FD413" s="83"/>
      <c r="FE413" s="83"/>
      <c r="FF413" s="83"/>
      <c r="FG413" s="83"/>
      <c r="FH413" s="83"/>
      <c r="FI413" s="83"/>
      <c r="FJ413" s="83"/>
      <c r="FK413" s="83"/>
      <c r="FL413" s="83"/>
      <c r="FM413" s="83"/>
      <c r="FN413" s="83"/>
      <c r="FO413" s="83"/>
      <c r="FP413" s="83"/>
      <c r="FQ413" s="83"/>
      <c r="FR413" s="83"/>
      <c r="FS413" s="83"/>
      <c r="FT413" s="83"/>
      <c r="FU413" s="83"/>
      <c r="FV413" s="83"/>
      <c r="FW413" s="83"/>
      <c r="FX413" s="83"/>
      <c r="FY413" s="83"/>
      <c r="FZ413" s="83"/>
      <c r="GA413" s="83"/>
      <c r="GB413" s="83"/>
      <c r="GC413" s="83"/>
      <c r="GD413" s="83"/>
      <c r="GE413" s="83"/>
      <c r="GF413" s="83"/>
      <c r="GG413" s="83"/>
      <c r="GH413" s="83"/>
      <c r="GI413" s="83"/>
      <c r="GJ413" s="83"/>
      <c r="GK413" s="83"/>
      <c r="GL413" s="83"/>
      <c r="GM413" s="83"/>
      <c r="GN413" s="83"/>
      <c r="GO413" s="83"/>
      <c r="GP413" s="83"/>
      <c r="GQ413" s="83"/>
      <c r="GR413" s="83"/>
      <c r="GS413" s="83"/>
      <c r="GT413" s="83"/>
      <c r="GU413" s="83"/>
      <c r="GV413" s="83"/>
      <c r="GW413" s="83"/>
      <c r="GX413" s="83"/>
      <c r="GY413" s="83"/>
      <c r="GZ413" s="83"/>
      <c r="HA413" s="83"/>
      <c r="HB413" s="83"/>
      <c r="HC413" s="83"/>
      <c r="HD413" s="83"/>
      <c r="HE413" s="83"/>
      <c r="HF413" s="83"/>
      <c r="HG413" s="83"/>
      <c r="HH413" s="83"/>
      <c r="HI413" s="83"/>
      <c r="HJ413" s="83"/>
      <c r="HK413" s="83"/>
      <c r="HL413" s="83"/>
      <c r="HM413" s="83"/>
      <c r="HN413" s="83"/>
      <c r="HO413" s="83"/>
      <c r="HP413" s="83"/>
      <c r="HQ413" s="83"/>
      <c r="HR413" s="83"/>
      <c r="HS413" s="83"/>
      <c r="HT413" s="83"/>
      <c r="HU413" s="83"/>
      <c r="HV413" s="83"/>
      <c r="HW413" s="83"/>
      <c r="HX413" s="83"/>
      <c r="HY413" s="83"/>
      <c r="HZ413" s="83"/>
      <c r="IA413" s="83"/>
      <c r="IB413" s="83"/>
      <c r="IC413" s="83"/>
      <c r="ID413" s="83"/>
      <c r="IE413" s="83"/>
      <c r="IF413" s="83"/>
      <c r="IG413" s="83"/>
    </row>
    <row r="414" spans="1:241"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c r="DD414" s="83"/>
      <c r="DE414" s="83"/>
      <c r="DF414" s="83"/>
      <c r="DG414" s="83"/>
      <c r="DH414" s="83"/>
      <c r="DI414" s="83"/>
      <c r="DJ414" s="83"/>
      <c r="DK414" s="83"/>
      <c r="DL414" s="83"/>
      <c r="DM414" s="83"/>
      <c r="DN414" s="83"/>
      <c r="DO414" s="83"/>
      <c r="DP414" s="83"/>
      <c r="DQ414" s="83"/>
      <c r="DR414" s="83"/>
      <c r="DS414" s="83"/>
      <c r="DT414" s="83"/>
      <c r="DU414" s="83"/>
      <c r="DV414" s="83"/>
      <c r="DW414" s="83"/>
      <c r="DX414" s="83"/>
      <c r="DY414" s="83"/>
      <c r="DZ414" s="83"/>
      <c r="EA414" s="83"/>
      <c r="EB414" s="83"/>
      <c r="EC414" s="83"/>
      <c r="ED414" s="83"/>
      <c r="EE414" s="83"/>
      <c r="EF414" s="83"/>
      <c r="EG414" s="83"/>
      <c r="EH414" s="83"/>
      <c r="EI414" s="83"/>
      <c r="EJ414" s="83"/>
      <c r="EK414" s="83"/>
      <c r="EL414" s="83"/>
      <c r="EM414" s="83"/>
      <c r="EN414" s="83"/>
      <c r="EO414" s="83"/>
      <c r="EP414" s="83"/>
      <c r="EQ414" s="83"/>
      <c r="ER414" s="83"/>
      <c r="ES414" s="83"/>
      <c r="ET414" s="83"/>
      <c r="EU414" s="83"/>
      <c r="EV414" s="83"/>
      <c r="EW414" s="83"/>
      <c r="EX414" s="83"/>
      <c r="EY414" s="83"/>
      <c r="EZ414" s="83"/>
      <c r="FA414" s="83"/>
      <c r="FB414" s="83"/>
      <c r="FC414" s="83"/>
      <c r="FD414" s="83"/>
      <c r="FE414" s="83"/>
      <c r="FF414" s="83"/>
      <c r="FG414" s="83"/>
      <c r="FH414" s="83"/>
      <c r="FI414" s="83"/>
      <c r="FJ414" s="83"/>
      <c r="FK414" s="83"/>
      <c r="FL414" s="83"/>
      <c r="FM414" s="83"/>
      <c r="FN414" s="83"/>
      <c r="FO414" s="83"/>
      <c r="FP414" s="83"/>
      <c r="FQ414" s="83"/>
      <c r="FR414" s="83"/>
      <c r="FS414" s="83"/>
      <c r="FT414" s="83"/>
      <c r="FU414" s="83"/>
      <c r="FV414" s="83"/>
      <c r="FW414" s="83"/>
      <c r="FX414" s="83"/>
      <c r="FY414" s="83"/>
      <c r="FZ414" s="83"/>
      <c r="GA414" s="83"/>
      <c r="GB414" s="83"/>
      <c r="GC414" s="83"/>
      <c r="GD414" s="83"/>
      <c r="GE414" s="83"/>
      <c r="GF414" s="83"/>
      <c r="GG414" s="83"/>
      <c r="GH414" s="83"/>
      <c r="GI414" s="83"/>
      <c r="GJ414" s="83"/>
      <c r="GK414" s="83"/>
      <c r="GL414" s="83"/>
      <c r="GM414" s="83"/>
      <c r="GN414" s="83"/>
      <c r="GO414" s="83"/>
      <c r="GP414" s="83"/>
      <c r="GQ414" s="83"/>
      <c r="GR414" s="83"/>
      <c r="GS414" s="83"/>
      <c r="GT414" s="83"/>
      <c r="GU414" s="83"/>
      <c r="GV414" s="83"/>
      <c r="GW414" s="83"/>
      <c r="GX414" s="83"/>
      <c r="GY414" s="83"/>
      <c r="GZ414" s="83"/>
      <c r="HA414" s="83"/>
      <c r="HB414" s="83"/>
      <c r="HC414" s="83"/>
      <c r="HD414" s="83"/>
      <c r="HE414" s="83"/>
      <c r="HF414" s="83"/>
      <c r="HG414" s="83"/>
      <c r="HH414" s="83"/>
      <c r="HI414" s="83"/>
      <c r="HJ414" s="83"/>
      <c r="HK414" s="83"/>
      <c r="HL414" s="83"/>
      <c r="HM414" s="83"/>
      <c r="HN414" s="83"/>
      <c r="HO414" s="83"/>
      <c r="HP414" s="83"/>
      <c r="HQ414" s="83"/>
      <c r="HR414" s="83"/>
      <c r="HS414" s="83"/>
      <c r="HT414" s="83"/>
      <c r="HU414" s="83"/>
      <c r="HV414" s="83"/>
      <c r="HW414" s="83"/>
      <c r="HX414" s="83"/>
      <c r="HY414" s="83"/>
      <c r="HZ414" s="83"/>
      <c r="IA414" s="83"/>
      <c r="IB414" s="83"/>
      <c r="IC414" s="83"/>
      <c r="ID414" s="83"/>
      <c r="IE414" s="83"/>
      <c r="IF414" s="83"/>
      <c r="IG414" s="83"/>
    </row>
    <row r="415" spans="1:241"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c r="DD415" s="83"/>
      <c r="DE415" s="83"/>
      <c r="DF415" s="83"/>
      <c r="DG415" s="83"/>
      <c r="DH415" s="83"/>
      <c r="DI415" s="83"/>
      <c r="DJ415" s="83"/>
      <c r="DK415" s="83"/>
      <c r="DL415" s="83"/>
      <c r="DM415" s="83"/>
      <c r="DN415" s="83"/>
      <c r="DO415" s="83"/>
      <c r="DP415" s="83"/>
      <c r="DQ415" s="83"/>
      <c r="DR415" s="83"/>
      <c r="DS415" s="83"/>
      <c r="DT415" s="83"/>
      <c r="DU415" s="83"/>
      <c r="DV415" s="83"/>
      <c r="DW415" s="83"/>
      <c r="DX415" s="83"/>
      <c r="DY415" s="83"/>
      <c r="DZ415" s="83"/>
      <c r="EA415" s="83"/>
      <c r="EB415" s="83"/>
      <c r="EC415" s="83"/>
      <c r="ED415" s="83"/>
      <c r="EE415" s="83"/>
      <c r="EF415" s="83"/>
      <c r="EG415" s="83"/>
      <c r="EH415" s="83"/>
      <c r="EI415" s="83"/>
      <c r="EJ415" s="83"/>
      <c r="EK415" s="83"/>
      <c r="EL415" s="83"/>
      <c r="EM415" s="83"/>
      <c r="EN415" s="83"/>
      <c r="EO415" s="83"/>
      <c r="EP415" s="83"/>
      <c r="EQ415" s="83"/>
      <c r="ER415" s="83"/>
      <c r="ES415" s="83"/>
      <c r="ET415" s="83"/>
      <c r="EU415" s="83"/>
      <c r="EV415" s="83"/>
      <c r="EW415" s="83"/>
      <c r="EX415" s="83"/>
      <c r="EY415" s="83"/>
      <c r="EZ415" s="83"/>
      <c r="FA415" s="83"/>
      <c r="FB415" s="83"/>
      <c r="FC415" s="83"/>
      <c r="FD415" s="83"/>
      <c r="FE415" s="83"/>
      <c r="FF415" s="83"/>
      <c r="FG415" s="83"/>
      <c r="FH415" s="83"/>
      <c r="FI415" s="83"/>
      <c r="FJ415" s="83"/>
      <c r="FK415" s="83"/>
      <c r="FL415" s="83"/>
      <c r="FM415" s="83"/>
      <c r="FN415" s="83"/>
      <c r="FO415" s="83"/>
      <c r="FP415" s="83"/>
      <c r="FQ415" s="83"/>
      <c r="FR415" s="83"/>
      <c r="FS415" s="83"/>
      <c r="FT415" s="83"/>
      <c r="FU415" s="83"/>
      <c r="FV415" s="83"/>
      <c r="FW415" s="83"/>
      <c r="FX415" s="83"/>
      <c r="FY415" s="83"/>
      <c r="FZ415" s="83"/>
      <c r="GA415" s="83"/>
      <c r="GB415" s="83"/>
      <c r="GC415" s="83"/>
      <c r="GD415" s="83"/>
      <c r="GE415" s="83"/>
      <c r="GF415" s="83"/>
      <c r="GG415" s="83"/>
      <c r="GH415" s="83"/>
      <c r="GI415" s="83"/>
      <c r="GJ415" s="83"/>
      <c r="GK415" s="83"/>
      <c r="GL415" s="83"/>
      <c r="GM415" s="83"/>
      <c r="GN415" s="83"/>
      <c r="GO415" s="83"/>
      <c r="GP415" s="83"/>
      <c r="GQ415" s="83"/>
      <c r="GR415" s="83"/>
      <c r="GS415" s="83"/>
      <c r="GT415" s="83"/>
      <c r="GU415" s="83"/>
      <c r="GV415" s="83"/>
      <c r="GW415" s="83"/>
      <c r="GX415" s="83"/>
      <c r="GY415" s="83"/>
      <c r="GZ415" s="83"/>
      <c r="HA415" s="83"/>
      <c r="HB415" s="83"/>
      <c r="HC415" s="83"/>
      <c r="HD415" s="83"/>
      <c r="HE415" s="83"/>
      <c r="HF415" s="83"/>
      <c r="HG415" s="83"/>
      <c r="HH415" s="83"/>
      <c r="HI415" s="83"/>
      <c r="HJ415" s="83"/>
      <c r="HK415" s="83"/>
      <c r="HL415" s="83"/>
      <c r="HM415" s="83"/>
      <c r="HN415" s="83"/>
      <c r="HO415" s="83"/>
      <c r="HP415" s="83"/>
      <c r="HQ415" s="83"/>
      <c r="HR415" s="83"/>
      <c r="HS415" s="83"/>
      <c r="HT415" s="83"/>
      <c r="HU415" s="83"/>
      <c r="HV415" s="83"/>
      <c r="HW415" s="83"/>
      <c r="HX415" s="83"/>
      <c r="HY415" s="83"/>
      <c r="HZ415" s="83"/>
      <c r="IA415" s="83"/>
      <c r="IB415" s="83"/>
      <c r="IC415" s="83"/>
      <c r="ID415" s="83"/>
      <c r="IE415" s="83"/>
      <c r="IF415" s="83"/>
      <c r="IG415" s="83"/>
    </row>
    <row r="416" spans="1:241"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c r="DD416" s="83"/>
      <c r="DE416" s="83"/>
      <c r="DF416" s="83"/>
      <c r="DG416" s="83"/>
      <c r="DH416" s="83"/>
      <c r="DI416" s="83"/>
      <c r="DJ416" s="83"/>
      <c r="DK416" s="83"/>
      <c r="DL416" s="83"/>
      <c r="DM416" s="83"/>
      <c r="DN416" s="83"/>
      <c r="DO416" s="83"/>
      <c r="DP416" s="83"/>
      <c r="DQ416" s="83"/>
      <c r="DR416" s="83"/>
      <c r="DS416" s="83"/>
      <c r="DT416" s="83"/>
      <c r="DU416" s="83"/>
      <c r="DV416" s="83"/>
      <c r="DW416" s="83"/>
      <c r="DX416" s="83"/>
      <c r="DY416" s="83"/>
      <c r="DZ416" s="83"/>
      <c r="EA416" s="83"/>
      <c r="EB416" s="83"/>
      <c r="EC416" s="83"/>
      <c r="ED416" s="83"/>
      <c r="EE416" s="83"/>
      <c r="EF416" s="83"/>
      <c r="EG416" s="83"/>
      <c r="EH416" s="83"/>
      <c r="EI416" s="83"/>
      <c r="EJ416" s="83"/>
      <c r="EK416" s="83"/>
      <c r="EL416" s="83"/>
      <c r="EM416" s="83"/>
      <c r="EN416" s="83"/>
      <c r="EO416" s="83"/>
      <c r="EP416" s="83"/>
      <c r="EQ416" s="83"/>
      <c r="ER416" s="83"/>
      <c r="ES416" s="83"/>
      <c r="ET416" s="83"/>
      <c r="EU416" s="83"/>
      <c r="EV416" s="83"/>
      <c r="EW416" s="83"/>
      <c r="EX416" s="83"/>
      <c r="EY416" s="83"/>
      <c r="EZ416" s="83"/>
      <c r="FA416" s="83"/>
      <c r="FB416" s="83"/>
      <c r="FC416" s="83"/>
      <c r="FD416" s="83"/>
      <c r="FE416" s="83"/>
      <c r="FF416" s="83"/>
      <c r="FG416" s="83"/>
      <c r="FH416" s="83"/>
      <c r="FI416" s="83"/>
      <c r="FJ416" s="83"/>
      <c r="FK416" s="83"/>
      <c r="FL416" s="83"/>
      <c r="FM416" s="83"/>
      <c r="FN416" s="83"/>
      <c r="FO416" s="83"/>
      <c r="FP416" s="83"/>
      <c r="FQ416" s="83"/>
      <c r="FR416" s="83"/>
      <c r="FS416" s="83"/>
      <c r="FT416" s="83"/>
      <c r="FU416" s="83"/>
      <c r="FV416" s="83"/>
      <c r="FW416" s="83"/>
      <c r="FX416" s="83"/>
      <c r="FY416" s="83"/>
      <c r="FZ416" s="83"/>
      <c r="GA416" s="83"/>
      <c r="GB416" s="83"/>
      <c r="GC416" s="83"/>
      <c r="GD416" s="83"/>
      <c r="GE416" s="83"/>
      <c r="GF416" s="83"/>
      <c r="GG416" s="83"/>
      <c r="GH416" s="83"/>
      <c r="GI416" s="83"/>
      <c r="GJ416" s="83"/>
      <c r="GK416" s="83"/>
      <c r="GL416" s="83"/>
      <c r="GM416" s="83"/>
      <c r="GN416" s="83"/>
      <c r="GO416" s="83"/>
      <c r="GP416" s="83"/>
      <c r="GQ416" s="83"/>
      <c r="GR416" s="83"/>
      <c r="GS416" s="83"/>
      <c r="GT416" s="83"/>
      <c r="GU416" s="83"/>
      <c r="GV416" s="83"/>
      <c r="GW416" s="83"/>
      <c r="GX416" s="83"/>
      <c r="GY416" s="83"/>
      <c r="GZ416" s="83"/>
      <c r="HA416" s="83"/>
      <c r="HB416" s="83"/>
      <c r="HC416" s="83"/>
      <c r="HD416" s="83"/>
      <c r="HE416" s="83"/>
      <c r="HF416" s="83"/>
      <c r="HG416" s="83"/>
      <c r="HH416" s="83"/>
      <c r="HI416" s="83"/>
      <c r="HJ416" s="83"/>
      <c r="HK416" s="83"/>
      <c r="HL416" s="83"/>
      <c r="HM416" s="83"/>
      <c r="HN416" s="83"/>
      <c r="HO416" s="83"/>
      <c r="HP416" s="83"/>
      <c r="HQ416" s="83"/>
      <c r="HR416" s="83"/>
      <c r="HS416" s="83"/>
      <c r="HT416" s="83"/>
      <c r="HU416" s="83"/>
      <c r="HV416" s="83"/>
      <c r="HW416" s="83"/>
      <c r="HX416" s="83"/>
      <c r="HY416" s="83"/>
      <c r="HZ416" s="83"/>
      <c r="IA416" s="83"/>
      <c r="IB416" s="83"/>
      <c r="IC416" s="83"/>
      <c r="ID416" s="83"/>
      <c r="IE416" s="83"/>
      <c r="IF416" s="83"/>
      <c r="IG416" s="83"/>
    </row>
    <row r="417" spans="1:241"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c r="DD417" s="83"/>
      <c r="DE417" s="83"/>
      <c r="DF417" s="83"/>
      <c r="DG417" s="83"/>
      <c r="DH417" s="83"/>
      <c r="DI417" s="83"/>
      <c r="DJ417" s="83"/>
      <c r="DK417" s="83"/>
      <c r="DL417" s="83"/>
      <c r="DM417" s="83"/>
      <c r="DN417" s="83"/>
      <c r="DO417" s="83"/>
      <c r="DP417" s="83"/>
      <c r="DQ417" s="83"/>
      <c r="DR417" s="83"/>
      <c r="DS417" s="83"/>
      <c r="DT417" s="83"/>
      <c r="DU417" s="83"/>
      <c r="DV417" s="83"/>
      <c r="DW417" s="83"/>
      <c r="DX417" s="83"/>
      <c r="DY417" s="83"/>
      <c r="DZ417" s="83"/>
      <c r="EA417" s="83"/>
      <c r="EB417" s="83"/>
      <c r="EC417" s="83"/>
      <c r="ED417" s="83"/>
      <c r="EE417" s="83"/>
      <c r="EF417" s="83"/>
      <c r="EG417" s="83"/>
      <c r="EH417" s="83"/>
      <c r="EI417" s="83"/>
      <c r="EJ417" s="83"/>
      <c r="EK417" s="83"/>
      <c r="EL417" s="83"/>
      <c r="EM417" s="83"/>
      <c r="EN417" s="83"/>
      <c r="EO417" s="83"/>
      <c r="EP417" s="83"/>
      <c r="EQ417" s="83"/>
      <c r="ER417" s="83"/>
      <c r="ES417" s="83"/>
      <c r="ET417" s="83"/>
      <c r="EU417" s="83"/>
      <c r="EV417" s="83"/>
      <c r="EW417" s="83"/>
      <c r="EX417" s="83"/>
      <c r="EY417" s="83"/>
      <c r="EZ417" s="83"/>
      <c r="FA417" s="83"/>
      <c r="FB417" s="83"/>
      <c r="FC417" s="83"/>
      <c r="FD417" s="83"/>
      <c r="FE417" s="83"/>
      <c r="FF417" s="83"/>
      <c r="FG417" s="83"/>
      <c r="FH417" s="83"/>
      <c r="FI417" s="83"/>
      <c r="FJ417" s="83"/>
      <c r="FK417" s="83"/>
      <c r="FL417" s="83"/>
      <c r="FM417" s="83"/>
      <c r="FN417" s="83"/>
      <c r="FO417" s="83"/>
      <c r="FP417" s="83"/>
      <c r="FQ417" s="83"/>
      <c r="FR417" s="83"/>
      <c r="FS417" s="83"/>
      <c r="FT417" s="83"/>
      <c r="FU417" s="83"/>
      <c r="FV417" s="83"/>
      <c r="FW417" s="83"/>
      <c r="FX417" s="83"/>
      <c r="FY417" s="83"/>
      <c r="FZ417" s="83"/>
      <c r="GA417" s="83"/>
      <c r="GB417" s="83"/>
      <c r="GC417" s="83"/>
      <c r="GD417" s="83"/>
      <c r="GE417" s="83"/>
      <c r="GF417" s="83"/>
      <c r="GG417" s="83"/>
      <c r="GH417" s="83"/>
      <c r="GI417" s="83"/>
      <c r="GJ417" s="83"/>
      <c r="GK417" s="83"/>
      <c r="GL417" s="83"/>
      <c r="GM417" s="83"/>
      <c r="GN417" s="83"/>
      <c r="GO417" s="83"/>
      <c r="GP417" s="83"/>
      <c r="GQ417" s="83"/>
      <c r="GR417" s="83"/>
      <c r="GS417" s="83"/>
      <c r="GT417" s="83"/>
      <c r="GU417" s="83"/>
      <c r="GV417" s="83"/>
      <c r="GW417" s="83"/>
      <c r="GX417" s="83"/>
      <c r="GY417" s="83"/>
      <c r="GZ417" s="83"/>
      <c r="HA417" s="83"/>
      <c r="HB417" s="83"/>
      <c r="HC417" s="83"/>
      <c r="HD417" s="83"/>
      <c r="HE417" s="83"/>
      <c r="HF417" s="83"/>
      <c r="HG417" s="83"/>
      <c r="HH417" s="83"/>
      <c r="HI417" s="83"/>
      <c r="HJ417" s="83"/>
      <c r="HK417" s="83"/>
      <c r="HL417" s="83"/>
      <c r="HM417" s="83"/>
      <c r="HN417" s="83"/>
      <c r="HO417" s="83"/>
      <c r="HP417" s="83"/>
      <c r="HQ417" s="83"/>
      <c r="HR417" s="83"/>
      <c r="HS417" s="83"/>
      <c r="HT417" s="83"/>
      <c r="HU417" s="83"/>
      <c r="HV417" s="83"/>
      <c r="HW417" s="83"/>
      <c r="HX417" s="83"/>
      <c r="HY417" s="83"/>
      <c r="HZ417" s="83"/>
      <c r="IA417" s="83"/>
      <c r="IB417" s="83"/>
      <c r="IC417" s="83"/>
      <c r="ID417" s="83"/>
      <c r="IE417" s="83"/>
      <c r="IF417" s="83"/>
      <c r="IG417" s="83"/>
    </row>
    <row r="418" spans="1:241"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c r="DD418" s="83"/>
      <c r="DE418" s="83"/>
      <c r="DF418" s="83"/>
      <c r="DG418" s="83"/>
      <c r="DH418" s="83"/>
      <c r="DI418" s="83"/>
      <c r="DJ418" s="83"/>
      <c r="DK418" s="83"/>
      <c r="DL418" s="83"/>
      <c r="DM418" s="83"/>
      <c r="DN418" s="83"/>
      <c r="DO418" s="83"/>
      <c r="DP418" s="83"/>
      <c r="DQ418" s="83"/>
      <c r="DR418" s="83"/>
      <c r="DS418" s="83"/>
      <c r="DT418" s="83"/>
      <c r="DU418" s="83"/>
      <c r="DV418" s="83"/>
      <c r="DW418" s="83"/>
      <c r="DX418" s="83"/>
      <c r="DY418" s="83"/>
      <c r="DZ418" s="83"/>
      <c r="EA418" s="83"/>
      <c r="EB418" s="83"/>
      <c r="EC418" s="83"/>
      <c r="ED418" s="83"/>
      <c r="EE418" s="83"/>
      <c r="EF418" s="83"/>
      <c r="EG418" s="83"/>
      <c r="EH418" s="83"/>
      <c r="EI418" s="83"/>
      <c r="EJ418" s="83"/>
      <c r="EK418" s="83"/>
      <c r="EL418" s="83"/>
      <c r="EM418" s="83"/>
      <c r="EN418" s="83"/>
      <c r="EO418" s="83"/>
      <c r="EP418" s="83"/>
      <c r="EQ418" s="83"/>
      <c r="ER418" s="83"/>
      <c r="ES418" s="83"/>
      <c r="ET418" s="83"/>
      <c r="EU418" s="83"/>
      <c r="EV418" s="83"/>
      <c r="EW418" s="83"/>
      <c r="EX418" s="83"/>
      <c r="EY418" s="83"/>
      <c r="EZ418" s="83"/>
      <c r="FA418" s="83"/>
      <c r="FB418" s="83"/>
      <c r="FC418" s="83"/>
      <c r="FD418" s="83"/>
      <c r="FE418" s="83"/>
      <c r="FF418" s="83"/>
      <c r="FG418" s="83"/>
      <c r="FH418" s="83"/>
      <c r="FI418" s="83"/>
      <c r="FJ418" s="83"/>
      <c r="FK418" s="83"/>
      <c r="FL418" s="83"/>
      <c r="FM418" s="83"/>
      <c r="FN418" s="83"/>
      <c r="FO418" s="83"/>
      <c r="FP418" s="83"/>
      <c r="FQ418" s="83"/>
      <c r="FR418" s="83"/>
      <c r="FS418" s="83"/>
      <c r="FT418" s="83"/>
      <c r="FU418" s="83"/>
      <c r="FV418" s="83"/>
      <c r="FW418" s="83"/>
      <c r="FX418" s="83"/>
      <c r="FY418" s="83"/>
      <c r="FZ418" s="83"/>
      <c r="GA418" s="83"/>
      <c r="GB418" s="83"/>
      <c r="GC418" s="83"/>
      <c r="GD418" s="83"/>
      <c r="GE418" s="83"/>
      <c r="GF418" s="83"/>
      <c r="GG418" s="83"/>
      <c r="GH418" s="83"/>
      <c r="GI418" s="83"/>
      <c r="GJ418" s="83"/>
      <c r="GK418" s="83"/>
      <c r="GL418" s="83"/>
      <c r="GM418" s="83"/>
      <c r="GN418" s="83"/>
      <c r="GO418" s="83"/>
      <c r="GP418" s="83"/>
      <c r="GQ418" s="83"/>
      <c r="GR418" s="83"/>
      <c r="GS418" s="83"/>
      <c r="GT418" s="83"/>
      <c r="GU418" s="83"/>
      <c r="GV418" s="83"/>
      <c r="GW418" s="83"/>
      <c r="GX418" s="83"/>
      <c r="GY418" s="83"/>
      <c r="GZ418" s="83"/>
      <c r="HA418" s="83"/>
      <c r="HB418" s="83"/>
      <c r="HC418" s="83"/>
      <c r="HD418" s="83"/>
      <c r="HE418" s="83"/>
      <c r="HF418" s="83"/>
      <c r="HG418" s="83"/>
      <c r="HH418" s="83"/>
      <c r="HI418" s="83"/>
      <c r="HJ418" s="83"/>
      <c r="HK418" s="83"/>
      <c r="HL418" s="83"/>
      <c r="HM418" s="83"/>
      <c r="HN418" s="83"/>
      <c r="HO418" s="83"/>
      <c r="HP418" s="83"/>
      <c r="HQ418" s="83"/>
      <c r="HR418" s="83"/>
      <c r="HS418" s="83"/>
      <c r="HT418" s="83"/>
      <c r="HU418" s="83"/>
      <c r="HV418" s="83"/>
      <c r="HW418" s="83"/>
      <c r="HX418" s="83"/>
      <c r="HY418" s="83"/>
      <c r="HZ418" s="83"/>
      <c r="IA418" s="83"/>
      <c r="IB418" s="83"/>
      <c r="IC418" s="83"/>
      <c r="ID418" s="83"/>
      <c r="IE418" s="83"/>
      <c r="IF418" s="83"/>
      <c r="IG418" s="83"/>
    </row>
    <row r="419" spans="1:241"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c r="DD419" s="83"/>
      <c r="DE419" s="83"/>
      <c r="DF419" s="83"/>
      <c r="DG419" s="83"/>
      <c r="DH419" s="83"/>
      <c r="DI419" s="83"/>
      <c r="DJ419" s="83"/>
      <c r="DK419" s="83"/>
      <c r="DL419" s="83"/>
      <c r="DM419" s="83"/>
      <c r="DN419" s="83"/>
      <c r="DO419" s="83"/>
      <c r="DP419" s="83"/>
      <c r="DQ419" s="83"/>
      <c r="DR419" s="83"/>
      <c r="DS419" s="83"/>
      <c r="DT419" s="83"/>
      <c r="DU419" s="83"/>
      <c r="DV419" s="83"/>
      <c r="DW419" s="83"/>
      <c r="DX419" s="83"/>
      <c r="DY419" s="83"/>
      <c r="DZ419" s="83"/>
      <c r="EA419" s="83"/>
      <c r="EB419" s="83"/>
      <c r="EC419" s="83"/>
      <c r="ED419" s="83"/>
      <c r="EE419" s="83"/>
      <c r="EF419" s="83"/>
      <c r="EG419" s="83"/>
      <c r="EH419" s="83"/>
      <c r="EI419" s="83"/>
      <c r="EJ419" s="83"/>
      <c r="EK419" s="83"/>
      <c r="EL419" s="83"/>
      <c r="EM419" s="83"/>
      <c r="EN419" s="83"/>
      <c r="EO419" s="83"/>
      <c r="EP419" s="83"/>
      <c r="EQ419" s="83"/>
      <c r="ER419" s="83"/>
      <c r="ES419" s="83"/>
      <c r="ET419" s="83"/>
      <c r="EU419" s="83"/>
      <c r="EV419" s="83"/>
      <c r="EW419" s="83"/>
      <c r="EX419" s="83"/>
      <c r="EY419" s="83"/>
      <c r="EZ419" s="83"/>
      <c r="FA419" s="83"/>
      <c r="FB419" s="83"/>
      <c r="FC419" s="83"/>
      <c r="FD419" s="83"/>
      <c r="FE419" s="83"/>
      <c r="FF419" s="83"/>
      <c r="FG419" s="83"/>
      <c r="FH419" s="83"/>
      <c r="FI419" s="83"/>
      <c r="FJ419" s="83"/>
      <c r="FK419" s="83"/>
      <c r="FL419" s="83"/>
      <c r="FM419" s="83"/>
      <c r="FN419" s="83"/>
      <c r="FO419" s="83"/>
      <c r="FP419" s="83"/>
      <c r="FQ419" s="83"/>
      <c r="FR419" s="83"/>
      <c r="FS419" s="83"/>
      <c r="FT419" s="83"/>
      <c r="FU419" s="83"/>
      <c r="FV419" s="83"/>
      <c r="FW419" s="83"/>
      <c r="FX419" s="83"/>
      <c r="FY419" s="83"/>
      <c r="FZ419" s="83"/>
      <c r="GA419" s="83"/>
      <c r="GB419" s="83"/>
      <c r="GC419" s="83"/>
      <c r="GD419" s="83"/>
      <c r="GE419" s="83"/>
      <c r="GF419" s="83"/>
      <c r="GG419" s="83"/>
      <c r="GH419" s="83"/>
      <c r="GI419" s="83"/>
      <c r="GJ419" s="83"/>
      <c r="GK419" s="83"/>
      <c r="GL419" s="83"/>
      <c r="GM419" s="83"/>
      <c r="GN419" s="83"/>
      <c r="GO419" s="83"/>
      <c r="GP419" s="83"/>
      <c r="GQ419" s="83"/>
      <c r="GR419" s="83"/>
      <c r="GS419" s="83"/>
      <c r="GT419" s="83"/>
      <c r="GU419" s="83"/>
      <c r="GV419" s="83"/>
      <c r="GW419" s="83"/>
      <c r="GX419" s="83"/>
      <c r="GY419" s="83"/>
      <c r="GZ419" s="83"/>
      <c r="HA419" s="83"/>
      <c r="HB419" s="83"/>
      <c r="HC419" s="83"/>
      <c r="HD419" s="83"/>
      <c r="HE419" s="83"/>
      <c r="HF419" s="83"/>
      <c r="HG419" s="83"/>
      <c r="HH419" s="83"/>
      <c r="HI419" s="83"/>
      <c r="HJ419" s="83"/>
      <c r="HK419" s="83"/>
      <c r="HL419" s="83"/>
      <c r="HM419" s="83"/>
      <c r="HN419" s="83"/>
      <c r="HO419" s="83"/>
      <c r="HP419" s="83"/>
      <c r="HQ419" s="83"/>
      <c r="HR419" s="83"/>
      <c r="HS419" s="83"/>
      <c r="HT419" s="83"/>
      <c r="HU419" s="83"/>
      <c r="HV419" s="83"/>
      <c r="HW419" s="83"/>
      <c r="HX419" s="83"/>
      <c r="HY419" s="83"/>
      <c r="HZ419" s="83"/>
      <c r="IA419" s="83"/>
      <c r="IB419" s="83"/>
      <c r="IC419" s="83"/>
      <c r="ID419" s="83"/>
      <c r="IE419" s="83"/>
      <c r="IF419" s="83"/>
      <c r="IG419" s="83"/>
    </row>
    <row r="420" spans="1:241"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c r="DD420" s="83"/>
      <c r="DE420" s="83"/>
      <c r="DF420" s="83"/>
      <c r="DG420" s="83"/>
      <c r="DH420" s="83"/>
      <c r="DI420" s="83"/>
      <c r="DJ420" s="83"/>
      <c r="DK420" s="83"/>
      <c r="DL420" s="83"/>
      <c r="DM420" s="83"/>
      <c r="DN420" s="83"/>
      <c r="DO420" s="83"/>
      <c r="DP420" s="83"/>
      <c r="DQ420" s="83"/>
      <c r="DR420" s="83"/>
      <c r="DS420" s="83"/>
      <c r="DT420" s="83"/>
      <c r="DU420" s="83"/>
      <c r="DV420" s="83"/>
      <c r="DW420" s="83"/>
      <c r="DX420" s="83"/>
      <c r="DY420" s="83"/>
      <c r="DZ420" s="83"/>
      <c r="EA420" s="83"/>
      <c r="EB420" s="83"/>
      <c r="EC420" s="83"/>
      <c r="ED420" s="83"/>
      <c r="EE420" s="83"/>
      <c r="EF420" s="83"/>
      <c r="EG420" s="83"/>
      <c r="EH420" s="83"/>
      <c r="EI420" s="83"/>
      <c r="EJ420" s="83"/>
      <c r="EK420" s="83"/>
      <c r="EL420" s="83"/>
      <c r="EM420" s="83"/>
      <c r="EN420" s="83"/>
      <c r="EO420" s="83"/>
      <c r="EP420" s="83"/>
      <c r="EQ420" s="83"/>
      <c r="ER420" s="83"/>
      <c r="ES420" s="83"/>
      <c r="ET420" s="83"/>
      <c r="EU420" s="83"/>
      <c r="EV420" s="83"/>
      <c r="EW420" s="83"/>
      <c r="EX420" s="83"/>
      <c r="EY420" s="83"/>
      <c r="EZ420" s="83"/>
      <c r="FA420" s="83"/>
      <c r="FB420" s="83"/>
      <c r="FC420" s="83"/>
      <c r="FD420" s="83"/>
      <c r="FE420" s="83"/>
      <c r="FF420" s="83"/>
      <c r="FG420" s="83"/>
      <c r="FH420" s="83"/>
      <c r="FI420" s="83"/>
      <c r="FJ420" s="83"/>
      <c r="FK420" s="83"/>
      <c r="FL420" s="83"/>
      <c r="FM420" s="83"/>
      <c r="FN420" s="83"/>
      <c r="FO420" s="83"/>
      <c r="FP420" s="83"/>
      <c r="FQ420" s="83"/>
      <c r="FR420" s="83"/>
      <c r="FS420" s="83"/>
      <c r="FT420" s="83"/>
      <c r="FU420" s="83"/>
      <c r="FV420" s="83"/>
      <c r="FW420" s="83"/>
      <c r="FX420" s="83"/>
      <c r="FY420" s="83"/>
      <c r="FZ420" s="83"/>
      <c r="GA420" s="83"/>
      <c r="GB420" s="83"/>
      <c r="GC420" s="83"/>
      <c r="GD420" s="83"/>
      <c r="GE420" s="83"/>
      <c r="GF420" s="83"/>
      <c r="GG420" s="83"/>
      <c r="GH420" s="83"/>
      <c r="GI420" s="83"/>
      <c r="GJ420" s="83"/>
      <c r="GK420" s="83"/>
      <c r="GL420" s="83"/>
      <c r="GM420" s="83"/>
      <c r="GN420" s="83"/>
      <c r="GO420" s="83"/>
      <c r="GP420" s="83"/>
      <c r="GQ420" s="83"/>
      <c r="GR420" s="83"/>
      <c r="GS420" s="83"/>
      <c r="GT420" s="83"/>
      <c r="GU420" s="83"/>
      <c r="GV420" s="83"/>
      <c r="GW420" s="83"/>
      <c r="GX420" s="83"/>
      <c r="GY420" s="83"/>
      <c r="GZ420" s="83"/>
      <c r="HA420" s="83"/>
      <c r="HB420" s="83"/>
      <c r="HC420" s="83"/>
      <c r="HD420" s="83"/>
      <c r="HE420" s="83"/>
      <c r="HF420" s="83"/>
      <c r="HG420" s="83"/>
      <c r="HH420" s="83"/>
      <c r="HI420" s="83"/>
      <c r="HJ420" s="83"/>
      <c r="HK420" s="83"/>
      <c r="HL420" s="83"/>
      <c r="HM420" s="83"/>
      <c r="HN420" s="83"/>
      <c r="HO420" s="83"/>
      <c r="HP420" s="83"/>
      <c r="HQ420" s="83"/>
      <c r="HR420" s="83"/>
      <c r="HS420" s="83"/>
      <c r="HT420" s="83"/>
      <c r="HU420" s="83"/>
      <c r="HV420" s="83"/>
      <c r="HW420" s="83"/>
      <c r="HX420" s="83"/>
      <c r="HY420" s="83"/>
      <c r="HZ420" s="83"/>
      <c r="IA420" s="83"/>
      <c r="IB420" s="83"/>
      <c r="IC420" s="83"/>
      <c r="ID420" s="83"/>
      <c r="IE420" s="83"/>
      <c r="IF420" s="83"/>
      <c r="IG420" s="83"/>
    </row>
    <row r="421" spans="1:241"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c r="DD421" s="83"/>
      <c r="DE421" s="83"/>
      <c r="DF421" s="83"/>
      <c r="DG421" s="83"/>
      <c r="DH421" s="83"/>
      <c r="DI421" s="83"/>
      <c r="DJ421" s="83"/>
      <c r="DK421" s="83"/>
      <c r="DL421" s="83"/>
      <c r="DM421" s="83"/>
      <c r="DN421" s="83"/>
      <c r="DO421" s="83"/>
      <c r="DP421" s="83"/>
      <c r="DQ421" s="83"/>
      <c r="DR421" s="83"/>
      <c r="DS421" s="83"/>
      <c r="DT421" s="83"/>
      <c r="DU421" s="83"/>
      <c r="DV421" s="83"/>
      <c r="DW421" s="83"/>
      <c r="DX421" s="83"/>
      <c r="DY421" s="83"/>
      <c r="DZ421" s="83"/>
      <c r="EA421" s="83"/>
      <c r="EB421" s="83"/>
      <c r="EC421" s="83"/>
      <c r="ED421" s="83"/>
      <c r="EE421" s="83"/>
      <c r="EF421" s="83"/>
      <c r="EG421" s="83"/>
      <c r="EH421" s="83"/>
      <c r="EI421" s="83"/>
      <c r="EJ421" s="83"/>
      <c r="EK421" s="83"/>
      <c r="EL421" s="83"/>
      <c r="EM421" s="83"/>
      <c r="EN421" s="83"/>
      <c r="EO421" s="83"/>
      <c r="EP421" s="83"/>
      <c r="EQ421" s="83"/>
      <c r="ER421" s="83"/>
      <c r="ES421" s="83"/>
      <c r="ET421" s="83"/>
      <c r="EU421" s="83"/>
      <c r="EV421" s="83"/>
      <c r="EW421" s="83"/>
      <c r="EX421" s="83"/>
      <c r="EY421" s="83"/>
      <c r="EZ421" s="83"/>
      <c r="FA421" s="83"/>
      <c r="FB421" s="83"/>
      <c r="FC421" s="83"/>
      <c r="FD421" s="83"/>
      <c r="FE421" s="83"/>
      <c r="FF421" s="83"/>
      <c r="FG421" s="83"/>
      <c r="FH421" s="83"/>
      <c r="FI421" s="83"/>
      <c r="FJ421" s="83"/>
      <c r="FK421" s="83"/>
      <c r="FL421" s="83"/>
      <c r="FM421" s="83"/>
      <c r="FN421" s="83"/>
      <c r="FO421" s="83"/>
      <c r="FP421" s="83"/>
      <c r="FQ421" s="83"/>
      <c r="FR421" s="83"/>
      <c r="FS421" s="83"/>
      <c r="FT421" s="83"/>
      <c r="FU421" s="83"/>
      <c r="FV421" s="83"/>
      <c r="FW421" s="83"/>
      <c r="FX421" s="83"/>
      <c r="FY421" s="83"/>
      <c r="FZ421" s="83"/>
      <c r="GA421" s="83"/>
      <c r="GB421" s="83"/>
      <c r="GC421" s="83"/>
      <c r="GD421" s="83"/>
      <c r="GE421" s="83"/>
      <c r="GF421" s="83"/>
      <c r="GG421" s="83"/>
      <c r="GH421" s="83"/>
      <c r="GI421" s="83"/>
      <c r="GJ421" s="83"/>
      <c r="GK421" s="83"/>
      <c r="GL421" s="83"/>
      <c r="GM421" s="83"/>
      <c r="GN421" s="83"/>
      <c r="GO421" s="83"/>
      <c r="GP421" s="83"/>
      <c r="GQ421" s="83"/>
      <c r="GR421" s="83"/>
      <c r="GS421" s="83"/>
      <c r="GT421" s="83"/>
      <c r="GU421" s="83"/>
      <c r="GV421" s="83"/>
      <c r="GW421" s="83"/>
      <c r="GX421" s="83"/>
      <c r="GY421" s="83"/>
      <c r="GZ421" s="83"/>
      <c r="HA421" s="83"/>
      <c r="HB421" s="83"/>
      <c r="HC421" s="83"/>
      <c r="HD421" s="83"/>
      <c r="HE421" s="83"/>
      <c r="HF421" s="83"/>
      <c r="HG421" s="83"/>
      <c r="HH421" s="83"/>
      <c r="HI421" s="83"/>
      <c r="HJ421" s="83"/>
      <c r="HK421" s="83"/>
      <c r="HL421" s="83"/>
      <c r="HM421" s="83"/>
      <c r="HN421" s="83"/>
      <c r="HO421" s="83"/>
      <c r="HP421" s="83"/>
      <c r="HQ421" s="83"/>
      <c r="HR421" s="83"/>
      <c r="HS421" s="83"/>
      <c r="HT421" s="83"/>
      <c r="HU421" s="83"/>
      <c r="HV421" s="83"/>
      <c r="HW421" s="83"/>
      <c r="HX421" s="83"/>
      <c r="HY421" s="83"/>
      <c r="HZ421" s="83"/>
      <c r="IA421" s="83"/>
      <c r="IB421" s="83"/>
      <c r="IC421" s="83"/>
      <c r="ID421" s="83"/>
      <c r="IE421" s="83"/>
      <c r="IF421" s="83"/>
      <c r="IG421" s="83"/>
    </row>
    <row r="422" spans="1:241"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c r="DD422" s="83"/>
      <c r="DE422" s="83"/>
      <c r="DF422" s="83"/>
      <c r="DG422" s="83"/>
      <c r="DH422" s="83"/>
      <c r="DI422" s="83"/>
      <c r="DJ422" s="83"/>
      <c r="DK422" s="83"/>
      <c r="DL422" s="83"/>
      <c r="DM422" s="83"/>
      <c r="DN422" s="83"/>
      <c r="DO422" s="83"/>
      <c r="DP422" s="83"/>
      <c r="DQ422" s="83"/>
      <c r="DR422" s="83"/>
      <c r="DS422" s="83"/>
      <c r="DT422" s="83"/>
      <c r="DU422" s="83"/>
      <c r="DV422" s="83"/>
      <c r="DW422" s="83"/>
      <c r="DX422" s="83"/>
      <c r="DY422" s="83"/>
      <c r="DZ422" s="83"/>
      <c r="EA422" s="83"/>
      <c r="EB422" s="83"/>
      <c r="EC422" s="83"/>
      <c r="ED422" s="83"/>
      <c r="EE422" s="83"/>
      <c r="EF422" s="83"/>
      <c r="EG422" s="83"/>
      <c r="EH422" s="83"/>
      <c r="EI422" s="83"/>
      <c r="EJ422" s="83"/>
      <c r="EK422" s="83"/>
      <c r="EL422" s="83"/>
      <c r="EM422" s="83"/>
      <c r="EN422" s="83"/>
      <c r="EO422" s="83"/>
      <c r="EP422" s="83"/>
      <c r="EQ422" s="83"/>
      <c r="ER422" s="83"/>
      <c r="ES422" s="83"/>
      <c r="ET422" s="83"/>
      <c r="EU422" s="83"/>
      <c r="EV422" s="83"/>
      <c r="EW422" s="83"/>
      <c r="EX422" s="83"/>
      <c r="EY422" s="83"/>
      <c r="EZ422" s="83"/>
      <c r="FA422" s="83"/>
      <c r="FB422" s="83"/>
      <c r="FC422" s="83"/>
      <c r="FD422" s="83"/>
      <c r="FE422" s="83"/>
      <c r="FF422" s="83"/>
      <c r="FG422" s="83"/>
      <c r="FH422" s="83"/>
      <c r="FI422" s="83"/>
      <c r="FJ422" s="83"/>
      <c r="FK422" s="83"/>
      <c r="FL422" s="83"/>
      <c r="FM422" s="83"/>
      <c r="FN422" s="83"/>
      <c r="FO422" s="83"/>
      <c r="FP422" s="83"/>
      <c r="FQ422" s="83"/>
      <c r="FR422" s="83"/>
      <c r="FS422" s="83"/>
      <c r="FT422" s="83"/>
      <c r="FU422" s="83"/>
      <c r="FV422" s="83"/>
      <c r="FW422" s="83"/>
      <c r="FX422" s="83"/>
      <c r="FY422" s="83"/>
      <c r="FZ422" s="83"/>
      <c r="GA422" s="83"/>
      <c r="GB422" s="83"/>
      <c r="GC422" s="83"/>
      <c r="GD422" s="83"/>
      <c r="GE422" s="83"/>
      <c r="GF422" s="83"/>
      <c r="GG422" s="83"/>
      <c r="GH422" s="83"/>
      <c r="GI422" s="83"/>
      <c r="GJ422" s="83"/>
      <c r="GK422" s="83"/>
      <c r="GL422" s="83"/>
      <c r="GM422" s="83"/>
      <c r="GN422" s="83"/>
      <c r="GO422" s="83"/>
      <c r="GP422" s="83"/>
      <c r="GQ422" s="83"/>
      <c r="GR422" s="83"/>
      <c r="GS422" s="83"/>
      <c r="GT422" s="83"/>
      <c r="GU422" s="83"/>
      <c r="GV422" s="83"/>
      <c r="GW422" s="83"/>
      <c r="GX422" s="83"/>
      <c r="GY422" s="83"/>
      <c r="GZ422" s="83"/>
      <c r="HA422" s="83"/>
      <c r="HB422" s="83"/>
      <c r="HC422" s="83"/>
      <c r="HD422" s="83"/>
      <c r="HE422" s="83"/>
      <c r="HF422" s="83"/>
      <c r="HG422" s="83"/>
      <c r="HH422" s="83"/>
      <c r="HI422" s="83"/>
      <c r="HJ422" s="83"/>
      <c r="HK422" s="83"/>
      <c r="HL422" s="83"/>
      <c r="HM422" s="83"/>
      <c r="HN422" s="83"/>
      <c r="HO422" s="83"/>
      <c r="HP422" s="83"/>
      <c r="HQ422" s="83"/>
      <c r="HR422" s="83"/>
      <c r="HS422" s="83"/>
      <c r="HT422" s="83"/>
      <c r="HU422" s="83"/>
      <c r="HV422" s="83"/>
      <c r="HW422" s="83"/>
      <c r="HX422" s="83"/>
      <c r="HY422" s="83"/>
      <c r="HZ422" s="83"/>
      <c r="IA422" s="83"/>
      <c r="IB422" s="83"/>
      <c r="IC422" s="83"/>
      <c r="ID422" s="83"/>
      <c r="IE422" s="83"/>
      <c r="IF422" s="83"/>
      <c r="IG422" s="83"/>
    </row>
    <row r="423" spans="1:241"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c r="DD423" s="83"/>
      <c r="DE423" s="83"/>
      <c r="DF423" s="83"/>
      <c r="DG423" s="83"/>
      <c r="DH423" s="83"/>
      <c r="DI423" s="83"/>
      <c r="DJ423" s="83"/>
      <c r="DK423" s="83"/>
      <c r="DL423" s="83"/>
      <c r="DM423" s="83"/>
      <c r="DN423" s="83"/>
      <c r="DO423" s="83"/>
      <c r="DP423" s="83"/>
      <c r="DQ423" s="83"/>
      <c r="DR423" s="83"/>
      <c r="DS423" s="83"/>
      <c r="DT423" s="83"/>
      <c r="DU423" s="83"/>
      <c r="DV423" s="83"/>
      <c r="DW423" s="83"/>
      <c r="DX423" s="83"/>
      <c r="DY423" s="83"/>
      <c r="DZ423" s="83"/>
      <c r="EA423" s="83"/>
      <c r="EB423" s="83"/>
      <c r="EC423" s="83"/>
      <c r="ED423" s="83"/>
      <c r="EE423" s="83"/>
      <c r="EF423" s="83"/>
      <c r="EG423" s="83"/>
      <c r="EH423" s="83"/>
      <c r="EI423" s="83"/>
      <c r="EJ423" s="83"/>
      <c r="EK423" s="83"/>
      <c r="EL423" s="83"/>
      <c r="EM423" s="83"/>
      <c r="EN423" s="83"/>
      <c r="EO423" s="83"/>
      <c r="EP423" s="83"/>
      <c r="EQ423" s="83"/>
      <c r="ER423" s="83"/>
      <c r="ES423" s="83"/>
      <c r="ET423" s="83"/>
      <c r="EU423" s="83"/>
      <c r="EV423" s="83"/>
      <c r="EW423" s="83"/>
      <c r="EX423" s="83"/>
      <c r="EY423" s="83"/>
      <c r="EZ423" s="83"/>
      <c r="FA423" s="83"/>
      <c r="FB423" s="83"/>
      <c r="FC423" s="83"/>
      <c r="FD423" s="83"/>
      <c r="FE423" s="83"/>
      <c r="FF423" s="83"/>
      <c r="FG423" s="83"/>
      <c r="FH423" s="83"/>
      <c r="FI423" s="83"/>
      <c r="FJ423" s="83"/>
      <c r="FK423" s="83"/>
      <c r="FL423" s="83"/>
      <c r="FM423" s="83"/>
      <c r="FN423" s="83"/>
      <c r="FO423" s="83"/>
      <c r="FP423" s="83"/>
      <c r="FQ423" s="83"/>
      <c r="FR423" s="83"/>
      <c r="FS423" s="83"/>
      <c r="FT423" s="83"/>
      <c r="FU423" s="83"/>
      <c r="FV423" s="83"/>
      <c r="FW423" s="83"/>
      <c r="FX423" s="83"/>
      <c r="FY423" s="83"/>
      <c r="FZ423" s="83"/>
      <c r="GA423" s="83"/>
      <c r="GB423" s="83"/>
      <c r="GC423" s="83"/>
      <c r="GD423" s="83"/>
      <c r="GE423" s="83"/>
      <c r="GF423" s="83"/>
      <c r="GG423" s="83"/>
      <c r="GH423" s="83"/>
      <c r="GI423" s="83"/>
      <c r="GJ423" s="83"/>
      <c r="GK423" s="83"/>
      <c r="GL423" s="83"/>
      <c r="GM423" s="83"/>
      <c r="GN423" s="83"/>
      <c r="GO423" s="83"/>
      <c r="GP423" s="83"/>
      <c r="GQ423" s="83"/>
      <c r="GR423" s="83"/>
      <c r="GS423" s="83"/>
      <c r="GT423" s="83"/>
      <c r="GU423" s="83"/>
      <c r="GV423" s="83"/>
      <c r="GW423" s="83"/>
      <c r="GX423" s="83"/>
      <c r="GY423" s="83"/>
      <c r="GZ423" s="83"/>
      <c r="HA423" s="83"/>
      <c r="HB423" s="83"/>
      <c r="HC423" s="83"/>
      <c r="HD423" s="83"/>
      <c r="HE423" s="83"/>
      <c r="HF423" s="83"/>
      <c r="HG423" s="83"/>
      <c r="HH423" s="83"/>
      <c r="HI423" s="83"/>
      <c r="HJ423" s="83"/>
      <c r="HK423" s="83"/>
      <c r="HL423" s="83"/>
      <c r="HM423" s="83"/>
      <c r="HN423" s="83"/>
      <c r="HO423" s="83"/>
      <c r="HP423" s="83"/>
      <c r="HQ423" s="83"/>
      <c r="HR423" s="83"/>
      <c r="HS423" s="83"/>
      <c r="HT423" s="83"/>
      <c r="HU423" s="83"/>
      <c r="HV423" s="83"/>
      <c r="HW423" s="83"/>
      <c r="HX423" s="83"/>
      <c r="HY423" s="83"/>
      <c r="HZ423" s="83"/>
      <c r="IA423" s="83"/>
      <c r="IB423" s="83"/>
      <c r="IC423" s="83"/>
      <c r="ID423" s="83"/>
      <c r="IE423" s="83"/>
      <c r="IF423" s="83"/>
      <c r="IG423" s="83"/>
    </row>
    <row r="424" spans="1:241"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c r="DD424" s="83"/>
      <c r="DE424" s="83"/>
      <c r="DF424" s="83"/>
      <c r="DG424" s="83"/>
      <c r="DH424" s="83"/>
      <c r="DI424" s="83"/>
      <c r="DJ424" s="83"/>
      <c r="DK424" s="83"/>
      <c r="DL424" s="83"/>
      <c r="DM424" s="83"/>
      <c r="DN424" s="83"/>
      <c r="DO424" s="83"/>
      <c r="DP424" s="83"/>
      <c r="DQ424" s="83"/>
      <c r="DR424" s="83"/>
      <c r="DS424" s="83"/>
      <c r="DT424" s="83"/>
      <c r="DU424" s="83"/>
      <c r="DV424" s="83"/>
      <c r="DW424" s="83"/>
      <c r="DX424" s="83"/>
      <c r="DY424" s="83"/>
      <c r="DZ424" s="83"/>
      <c r="EA424" s="83"/>
      <c r="EB424" s="83"/>
      <c r="EC424" s="83"/>
      <c r="ED424" s="83"/>
      <c r="EE424" s="83"/>
      <c r="EF424" s="83"/>
      <c r="EG424" s="83"/>
      <c r="EH424" s="83"/>
      <c r="EI424" s="83"/>
      <c r="EJ424" s="83"/>
      <c r="EK424" s="83"/>
      <c r="EL424" s="83"/>
      <c r="EM424" s="83"/>
      <c r="EN424" s="83"/>
      <c r="EO424" s="83"/>
      <c r="EP424" s="83"/>
      <c r="EQ424" s="83"/>
      <c r="ER424" s="83"/>
      <c r="ES424" s="83"/>
      <c r="ET424" s="83"/>
      <c r="EU424" s="83"/>
      <c r="EV424" s="83"/>
      <c r="EW424" s="83"/>
      <c r="EX424" s="83"/>
      <c r="EY424" s="83"/>
      <c r="EZ424" s="83"/>
      <c r="FA424" s="83"/>
      <c r="FB424" s="83"/>
      <c r="FC424" s="83"/>
      <c r="FD424" s="83"/>
      <c r="FE424" s="83"/>
      <c r="FF424" s="83"/>
      <c r="FG424" s="83"/>
      <c r="FH424" s="83"/>
      <c r="FI424" s="83"/>
      <c r="FJ424" s="83"/>
      <c r="FK424" s="83"/>
      <c r="FL424" s="83"/>
      <c r="FM424" s="83"/>
      <c r="FN424" s="83"/>
      <c r="FO424" s="83"/>
      <c r="FP424" s="83"/>
      <c r="FQ424" s="83"/>
      <c r="FR424" s="83"/>
      <c r="FS424" s="83"/>
      <c r="FT424" s="83"/>
      <c r="FU424" s="83"/>
      <c r="FV424" s="83"/>
      <c r="FW424" s="83"/>
      <c r="FX424" s="83"/>
      <c r="FY424" s="83"/>
      <c r="FZ424" s="83"/>
      <c r="GA424" s="83"/>
      <c r="GB424" s="83"/>
      <c r="GC424" s="83"/>
      <c r="GD424" s="83"/>
      <c r="GE424" s="83"/>
      <c r="GF424" s="83"/>
      <c r="GG424" s="83"/>
      <c r="GH424" s="83"/>
      <c r="GI424" s="83"/>
      <c r="GJ424" s="83"/>
      <c r="GK424" s="83"/>
      <c r="GL424" s="83"/>
      <c r="GM424" s="83"/>
      <c r="GN424" s="83"/>
      <c r="GO424" s="83"/>
      <c r="GP424" s="83"/>
      <c r="GQ424" s="83"/>
      <c r="GR424" s="83"/>
      <c r="GS424" s="83"/>
      <c r="GT424" s="83"/>
      <c r="GU424" s="83"/>
      <c r="GV424" s="83"/>
      <c r="GW424" s="83"/>
      <c r="GX424" s="83"/>
      <c r="GY424" s="83"/>
      <c r="GZ424" s="83"/>
      <c r="HA424" s="83"/>
      <c r="HB424" s="83"/>
      <c r="HC424" s="83"/>
      <c r="HD424" s="83"/>
      <c r="HE424" s="83"/>
      <c r="HF424" s="83"/>
      <c r="HG424" s="83"/>
      <c r="HH424" s="83"/>
      <c r="HI424" s="83"/>
      <c r="HJ424" s="83"/>
      <c r="HK424" s="83"/>
      <c r="HL424" s="83"/>
      <c r="HM424" s="83"/>
      <c r="HN424" s="83"/>
      <c r="HO424" s="83"/>
      <c r="HP424" s="83"/>
      <c r="HQ424" s="83"/>
      <c r="HR424" s="83"/>
      <c r="HS424" s="83"/>
      <c r="HT424" s="83"/>
      <c r="HU424" s="83"/>
      <c r="HV424" s="83"/>
      <c r="HW424" s="83"/>
      <c r="HX424" s="83"/>
      <c r="HY424" s="83"/>
      <c r="HZ424" s="83"/>
      <c r="IA424" s="83"/>
      <c r="IB424" s="83"/>
      <c r="IC424" s="83"/>
      <c r="ID424" s="83"/>
      <c r="IE424" s="83"/>
      <c r="IF424" s="83"/>
      <c r="IG424" s="83"/>
    </row>
    <row r="425" spans="1:241"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c r="DD425" s="83"/>
      <c r="DE425" s="83"/>
      <c r="DF425" s="83"/>
      <c r="DG425" s="83"/>
      <c r="DH425" s="83"/>
      <c r="DI425" s="83"/>
      <c r="DJ425" s="83"/>
      <c r="DK425" s="83"/>
      <c r="DL425" s="83"/>
      <c r="DM425" s="83"/>
      <c r="DN425" s="83"/>
      <c r="DO425" s="83"/>
      <c r="DP425" s="83"/>
      <c r="DQ425" s="83"/>
      <c r="DR425" s="83"/>
      <c r="DS425" s="83"/>
      <c r="DT425" s="83"/>
      <c r="DU425" s="83"/>
      <c r="DV425" s="83"/>
      <c r="DW425" s="83"/>
      <c r="DX425" s="83"/>
      <c r="DY425" s="83"/>
      <c r="DZ425" s="83"/>
      <c r="EA425" s="83"/>
      <c r="EB425" s="83"/>
      <c r="EC425" s="83"/>
      <c r="ED425" s="83"/>
      <c r="EE425" s="83"/>
      <c r="EF425" s="83"/>
      <c r="EG425" s="83"/>
      <c r="EH425" s="83"/>
      <c r="EI425" s="83"/>
      <c r="EJ425" s="83"/>
      <c r="EK425" s="83"/>
      <c r="EL425" s="83"/>
      <c r="EM425" s="83"/>
      <c r="EN425" s="83"/>
      <c r="EO425" s="83"/>
      <c r="EP425" s="83"/>
      <c r="EQ425" s="83"/>
      <c r="ER425" s="83"/>
      <c r="ES425" s="83"/>
      <c r="ET425" s="83"/>
      <c r="EU425" s="83"/>
      <c r="EV425" s="83"/>
      <c r="EW425" s="83"/>
      <c r="EX425" s="83"/>
      <c r="EY425" s="83"/>
      <c r="EZ425" s="83"/>
      <c r="FA425" s="83"/>
      <c r="FB425" s="83"/>
      <c r="FC425" s="83"/>
      <c r="FD425" s="83"/>
      <c r="FE425" s="83"/>
      <c r="FF425" s="83"/>
      <c r="FG425" s="83"/>
      <c r="FH425" s="83"/>
      <c r="FI425" s="83"/>
      <c r="FJ425" s="83"/>
      <c r="FK425" s="83"/>
      <c r="FL425" s="83"/>
      <c r="FM425" s="83"/>
      <c r="FN425" s="83"/>
      <c r="FO425" s="83"/>
      <c r="FP425" s="83"/>
      <c r="FQ425" s="83"/>
      <c r="FR425" s="83"/>
      <c r="FS425" s="83"/>
      <c r="FT425" s="83"/>
      <c r="FU425" s="83"/>
      <c r="FV425" s="83"/>
      <c r="FW425" s="83"/>
      <c r="FX425" s="83"/>
      <c r="FY425" s="83"/>
      <c r="FZ425" s="83"/>
      <c r="GA425" s="83"/>
      <c r="GB425" s="83"/>
      <c r="GC425" s="83"/>
      <c r="GD425" s="83"/>
      <c r="GE425" s="83"/>
      <c r="GF425" s="83"/>
      <c r="GG425" s="83"/>
      <c r="GH425" s="83"/>
      <c r="GI425" s="83"/>
      <c r="GJ425" s="83"/>
      <c r="GK425" s="83"/>
      <c r="GL425" s="83"/>
      <c r="GM425" s="83"/>
      <c r="GN425" s="83"/>
      <c r="GO425" s="83"/>
      <c r="GP425" s="83"/>
      <c r="GQ425" s="83"/>
      <c r="GR425" s="83"/>
      <c r="GS425" s="83"/>
      <c r="GT425" s="83"/>
      <c r="GU425" s="83"/>
      <c r="GV425" s="83"/>
      <c r="GW425" s="83"/>
      <c r="GX425" s="83"/>
      <c r="GY425" s="83"/>
      <c r="GZ425" s="83"/>
      <c r="HA425" s="83"/>
      <c r="HB425" s="83"/>
      <c r="HC425" s="83"/>
      <c r="HD425" s="83"/>
      <c r="HE425" s="83"/>
      <c r="HF425" s="83"/>
      <c r="HG425" s="83"/>
      <c r="HH425" s="83"/>
      <c r="HI425" s="83"/>
      <c r="HJ425" s="83"/>
      <c r="HK425" s="83"/>
      <c r="HL425" s="83"/>
      <c r="HM425" s="83"/>
      <c r="HN425" s="83"/>
      <c r="HO425" s="83"/>
      <c r="HP425" s="83"/>
      <c r="HQ425" s="83"/>
      <c r="HR425" s="83"/>
      <c r="HS425" s="83"/>
      <c r="HT425" s="83"/>
      <c r="HU425" s="83"/>
      <c r="HV425" s="83"/>
      <c r="HW425" s="83"/>
      <c r="HX425" s="83"/>
      <c r="HY425" s="83"/>
      <c r="HZ425" s="83"/>
      <c r="IA425" s="83"/>
      <c r="IB425" s="83"/>
      <c r="IC425" s="83"/>
      <c r="ID425" s="83"/>
      <c r="IE425" s="83"/>
      <c r="IF425" s="83"/>
      <c r="IG425" s="83"/>
    </row>
    <row r="426" spans="1:241"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c r="DD426" s="83"/>
      <c r="DE426" s="83"/>
      <c r="DF426" s="83"/>
      <c r="DG426" s="83"/>
      <c r="DH426" s="83"/>
      <c r="DI426" s="83"/>
      <c r="DJ426" s="83"/>
      <c r="DK426" s="83"/>
      <c r="DL426" s="83"/>
      <c r="DM426" s="83"/>
      <c r="DN426" s="83"/>
      <c r="DO426" s="83"/>
      <c r="DP426" s="83"/>
      <c r="DQ426" s="83"/>
      <c r="DR426" s="83"/>
      <c r="DS426" s="83"/>
      <c r="DT426" s="83"/>
      <c r="DU426" s="83"/>
      <c r="DV426" s="83"/>
      <c r="DW426" s="83"/>
      <c r="DX426" s="83"/>
      <c r="DY426" s="83"/>
      <c r="DZ426" s="83"/>
      <c r="EA426" s="83"/>
      <c r="EB426" s="83"/>
      <c r="EC426" s="83"/>
      <c r="ED426" s="83"/>
      <c r="EE426" s="83"/>
      <c r="EF426" s="83"/>
      <c r="EG426" s="83"/>
      <c r="EH426" s="83"/>
      <c r="EI426" s="83"/>
      <c r="EJ426" s="83"/>
      <c r="EK426" s="83"/>
      <c r="EL426" s="83"/>
      <c r="EM426" s="83"/>
      <c r="EN426" s="83"/>
      <c r="EO426" s="83"/>
      <c r="EP426" s="83"/>
      <c r="EQ426" s="83"/>
      <c r="ER426" s="83"/>
      <c r="ES426" s="83"/>
      <c r="ET426" s="83"/>
      <c r="EU426" s="83"/>
      <c r="EV426" s="83"/>
      <c r="EW426" s="83"/>
      <c r="EX426" s="83"/>
      <c r="EY426" s="83"/>
      <c r="EZ426" s="83"/>
      <c r="FA426" s="83"/>
      <c r="FB426" s="83"/>
      <c r="FC426" s="83"/>
      <c r="FD426" s="83"/>
      <c r="FE426" s="83"/>
      <c r="FF426" s="83"/>
      <c r="FG426" s="83"/>
      <c r="FH426" s="83"/>
      <c r="FI426" s="83"/>
      <c r="FJ426" s="83"/>
      <c r="FK426" s="83"/>
      <c r="FL426" s="83"/>
      <c r="FM426" s="83"/>
      <c r="FN426" s="83"/>
      <c r="FO426" s="83"/>
      <c r="FP426" s="83"/>
      <c r="FQ426" s="83"/>
      <c r="FR426" s="83"/>
      <c r="FS426" s="83"/>
      <c r="FT426" s="83"/>
      <c r="FU426" s="83"/>
      <c r="FV426" s="83"/>
      <c r="FW426" s="83"/>
      <c r="FX426" s="83"/>
      <c r="FY426" s="83"/>
      <c r="FZ426" s="83"/>
      <c r="GA426" s="83"/>
      <c r="GB426" s="83"/>
      <c r="GC426" s="83"/>
      <c r="GD426" s="83"/>
      <c r="GE426" s="83"/>
      <c r="GF426" s="83"/>
      <c r="GG426" s="83"/>
      <c r="GH426" s="83"/>
      <c r="GI426" s="83"/>
      <c r="GJ426" s="83"/>
      <c r="GK426" s="83"/>
      <c r="GL426" s="83"/>
      <c r="GM426" s="83"/>
      <c r="GN426" s="83"/>
      <c r="GO426" s="83"/>
      <c r="GP426" s="83"/>
      <c r="GQ426" s="83"/>
      <c r="GR426" s="83"/>
      <c r="GS426" s="83"/>
      <c r="GT426" s="83"/>
      <c r="GU426" s="83"/>
      <c r="GV426" s="83"/>
      <c r="GW426" s="83"/>
      <c r="GX426" s="83"/>
      <c r="GY426" s="83"/>
      <c r="GZ426" s="83"/>
      <c r="HA426" s="83"/>
      <c r="HB426" s="83"/>
      <c r="HC426" s="83"/>
      <c r="HD426" s="83"/>
      <c r="HE426" s="83"/>
      <c r="HF426" s="83"/>
      <c r="HG426" s="83"/>
      <c r="HH426" s="83"/>
      <c r="HI426" s="83"/>
      <c r="HJ426" s="83"/>
      <c r="HK426" s="83"/>
      <c r="HL426" s="83"/>
      <c r="HM426" s="83"/>
      <c r="HN426" s="83"/>
      <c r="HO426" s="83"/>
      <c r="HP426" s="83"/>
      <c r="HQ426" s="83"/>
      <c r="HR426" s="83"/>
      <c r="HS426" s="83"/>
      <c r="HT426" s="83"/>
      <c r="HU426" s="83"/>
      <c r="HV426" s="83"/>
      <c r="HW426" s="83"/>
      <c r="HX426" s="83"/>
      <c r="HY426" s="83"/>
      <c r="HZ426" s="83"/>
      <c r="IA426" s="83"/>
      <c r="IB426" s="83"/>
      <c r="IC426" s="83"/>
      <c r="ID426" s="83"/>
      <c r="IE426" s="83"/>
      <c r="IF426" s="83"/>
      <c r="IG426" s="83"/>
    </row>
    <row r="427" spans="1:241"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c r="DD427" s="83"/>
      <c r="DE427" s="83"/>
      <c r="DF427" s="83"/>
      <c r="DG427" s="83"/>
      <c r="DH427" s="83"/>
      <c r="DI427" s="83"/>
      <c r="DJ427" s="83"/>
      <c r="DK427" s="83"/>
      <c r="DL427" s="83"/>
      <c r="DM427" s="83"/>
      <c r="DN427" s="83"/>
      <c r="DO427" s="83"/>
      <c r="DP427" s="83"/>
      <c r="DQ427" s="83"/>
      <c r="DR427" s="83"/>
      <c r="DS427" s="83"/>
      <c r="DT427" s="83"/>
      <c r="DU427" s="83"/>
      <c r="DV427" s="83"/>
      <c r="DW427" s="83"/>
      <c r="DX427" s="83"/>
      <c r="DY427" s="83"/>
      <c r="DZ427" s="83"/>
      <c r="EA427" s="83"/>
      <c r="EB427" s="83"/>
      <c r="EC427" s="83"/>
      <c r="ED427" s="83"/>
      <c r="EE427" s="83"/>
      <c r="EF427" s="83"/>
      <c r="EG427" s="83"/>
      <c r="EH427" s="83"/>
      <c r="EI427" s="83"/>
      <c r="EJ427" s="83"/>
      <c r="EK427" s="83"/>
      <c r="EL427" s="83"/>
      <c r="EM427" s="83"/>
      <c r="EN427" s="83"/>
      <c r="EO427" s="83"/>
      <c r="EP427" s="83"/>
      <c r="EQ427" s="83"/>
      <c r="ER427" s="83"/>
      <c r="ES427" s="83"/>
      <c r="ET427" s="83"/>
      <c r="EU427" s="83"/>
      <c r="EV427" s="83"/>
      <c r="EW427" s="83"/>
      <c r="EX427" s="83"/>
      <c r="EY427" s="83"/>
      <c r="EZ427" s="83"/>
      <c r="FA427" s="83"/>
      <c r="FB427" s="83"/>
      <c r="FC427" s="83"/>
      <c r="FD427" s="83"/>
      <c r="FE427" s="83"/>
      <c r="FF427" s="83"/>
      <c r="FG427" s="83"/>
      <c r="FH427" s="83"/>
      <c r="FI427" s="83"/>
      <c r="FJ427" s="83"/>
      <c r="FK427" s="83"/>
      <c r="FL427" s="83"/>
      <c r="FM427" s="83"/>
      <c r="FN427" s="83"/>
      <c r="FO427" s="83"/>
      <c r="FP427" s="83"/>
      <c r="FQ427" s="83"/>
      <c r="FR427" s="83"/>
      <c r="FS427" s="83"/>
      <c r="FT427" s="83"/>
      <c r="FU427" s="83"/>
      <c r="FV427" s="83"/>
      <c r="FW427" s="83"/>
      <c r="FX427" s="83"/>
      <c r="FY427" s="83"/>
      <c r="FZ427" s="83"/>
      <c r="GA427" s="83"/>
      <c r="GB427" s="83"/>
      <c r="GC427" s="83"/>
      <c r="GD427" s="83"/>
      <c r="GE427" s="83"/>
      <c r="GF427" s="83"/>
      <c r="GG427" s="83"/>
      <c r="GH427" s="83"/>
      <c r="GI427" s="83"/>
      <c r="GJ427" s="83"/>
      <c r="GK427" s="83"/>
      <c r="GL427" s="83"/>
      <c r="GM427" s="83"/>
      <c r="GN427" s="83"/>
      <c r="GO427" s="83"/>
      <c r="GP427" s="83"/>
      <c r="GQ427" s="83"/>
      <c r="GR427" s="83"/>
      <c r="GS427" s="83"/>
      <c r="GT427" s="83"/>
      <c r="GU427" s="83"/>
      <c r="GV427" s="83"/>
      <c r="GW427" s="83"/>
      <c r="GX427" s="83"/>
      <c r="GY427" s="83"/>
      <c r="GZ427" s="83"/>
      <c r="HA427" s="83"/>
      <c r="HB427" s="83"/>
      <c r="HC427" s="83"/>
      <c r="HD427" s="83"/>
      <c r="HE427" s="83"/>
      <c r="HF427" s="83"/>
      <c r="HG427" s="83"/>
      <c r="HH427" s="83"/>
      <c r="HI427" s="83"/>
      <c r="HJ427" s="83"/>
      <c r="HK427" s="83"/>
      <c r="HL427" s="83"/>
      <c r="HM427" s="83"/>
      <c r="HN427" s="83"/>
      <c r="HO427" s="83"/>
      <c r="HP427" s="83"/>
      <c r="HQ427" s="83"/>
      <c r="HR427" s="83"/>
      <c r="HS427" s="83"/>
      <c r="HT427" s="83"/>
      <c r="HU427" s="83"/>
      <c r="HV427" s="83"/>
      <c r="HW427" s="83"/>
      <c r="HX427" s="83"/>
      <c r="HY427" s="83"/>
      <c r="HZ427" s="83"/>
      <c r="IA427" s="83"/>
      <c r="IB427" s="83"/>
      <c r="IC427" s="83"/>
      <c r="ID427" s="83"/>
      <c r="IE427" s="83"/>
      <c r="IF427" s="83"/>
      <c r="IG427" s="83"/>
    </row>
    <row r="428" spans="1:241"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c r="DD428" s="83"/>
      <c r="DE428" s="83"/>
      <c r="DF428" s="83"/>
      <c r="DG428" s="83"/>
      <c r="DH428" s="83"/>
      <c r="DI428" s="83"/>
      <c r="DJ428" s="83"/>
      <c r="DK428" s="83"/>
      <c r="DL428" s="83"/>
      <c r="DM428" s="83"/>
      <c r="DN428" s="83"/>
      <c r="DO428" s="83"/>
      <c r="DP428" s="83"/>
      <c r="DQ428" s="83"/>
      <c r="DR428" s="83"/>
      <c r="DS428" s="83"/>
      <c r="DT428" s="83"/>
      <c r="DU428" s="83"/>
      <c r="DV428" s="83"/>
      <c r="DW428" s="83"/>
      <c r="DX428" s="83"/>
      <c r="DY428" s="83"/>
      <c r="DZ428" s="83"/>
      <c r="EA428" s="83"/>
      <c r="EB428" s="83"/>
      <c r="EC428" s="83"/>
      <c r="ED428" s="83"/>
      <c r="EE428" s="83"/>
      <c r="EF428" s="83"/>
      <c r="EG428" s="83"/>
      <c r="EH428" s="83"/>
      <c r="EI428" s="83"/>
      <c r="EJ428" s="83"/>
      <c r="EK428" s="83"/>
      <c r="EL428" s="83"/>
      <c r="EM428" s="83"/>
      <c r="EN428" s="83"/>
      <c r="EO428" s="83"/>
      <c r="EP428" s="83"/>
      <c r="EQ428" s="83"/>
      <c r="ER428" s="83"/>
      <c r="ES428" s="83"/>
      <c r="ET428" s="83"/>
      <c r="EU428" s="83"/>
      <c r="EV428" s="83"/>
      <c r="EW428" s="83"/>
      <c r="EX428" s="83"/>
      <c r="EY428" s="83"/>
      <c r="EZ428" s="83"/>
      <c r="FA428" s="83"/>
      <c r="FB428" s="83"/>
      <c r="FC428" s="83"/>
      <c r="FD428" s="83"/>
      <c r="FE428" s="83"/>
      <c r="FF428" s="83"/>
      <c r="FG428" s="83"/>
      <c r="FH428" s="83"/>
      <c r="FI428" s="83"/>
      <c r="FJ428" s="83"/>
      <c r="FK428" s="83"/>
      <c r="FL428" s="83"/>
      <c r="FM428" s="83"/>
      <c r="FN428" s="83"/>
      <c r="FO428" s="83"/>
      <c r="FP428" s="83"/>
      <c r="FQ428" s="83"/>
      <c r="FR428" s="83"/>
      <c r="FS428" s="83"/>
      <c r="FT428" s="83"/>
      <c r="FU428" s="83"/>
      <c r="FV428" s="83"/>
      <c r="FW428" s="83"/>
      <c r="FX428" s="83"/>
      <c r="FY428" s="83"/>
      <c r="FZ428" s="83"/>
      <c r="GA428" s="83"/>
      <c r="GB428" s="83"/>
      <c r="GC428" s="83"/>
      <c r="GD428" s="83"/>
      <c r="GE428" s="83"/>
      <c r="GF428" s="83"/>
      <c r="GG428" s="83"/>
      <c r="GH428" s="83"/>
      <c r="GI428" s="83"/>
      <c r="GJ428" s="83"/>
      <c r="GK428" s="83"/>
      <c r="GL428" s="83"/>
      <c r="GM428" s="83"/>
      <c r="GN428" s="83"/>
      <c r="GO428" s="83"/>
      <c r="GP428" s="83"/>
      <c r="GQ428" s="83"/>
      <c r="GR428" s="83"/>
      <c r="GS428" s="83"/>
      <c r="GT428" s="83"/>
      <c r="GU428" s="83"/>
      <c r="GV428" s="83"/>
      <c r="GW428" s="83"/>
      <c r="GX428" s="83"/>
      <c r="GY428" s="83"/>
      <c r="GZ428" s="83"/>
      <c r="HA428" s="83"/>
      <c r="HB428" s="83"/>
      <c r="HC428" s="83"/>
      <c r="HD428" s="83"/>
      <c r="HE428" s="83"/>
      <c r="HF428" s="83"/>
      <c r="HG428" s="83"/>
      <c r="HH428" s="83"/>
      <c r="HI428" s="83"/>
      <c r="HJ428" s="83"/>
      <c r="HK428" s="83"/>
      <c r="HL428" s="83"/>
      <c r="HM428" s="83"/>
      <c r="HN428" s="83"/>
      <c r="HO428" s="83"/>
      <c r="HP428" s="83"/>
      <c r="HQ428" s="83"/>
      <c r="HR428" s="83"/>
      <c r="HS428" s="83"/>
      <c r="HT428" s="83"/>
      <c r="HU428" s="83"/>
      <c r="HV428" s="83"/>
      <c r="HW428" s="83"/>
      <c r="HX428" s="83"/>
      <c r="HY428" s="83"/>
      <c r="HZ428" s="83"/>
      <c r="IA428" s="83"/>
      <c r="IB428" s="83"/>
      <c r="IC428" s="83"/>
      <c r="ID428" s="83"/>
      <c r="IE428" s="83"/>
      <c r="IF428" s="83"/>
      <c r="IG428" s="83"/>
    </row>
    <row r="429" spans="1:241"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c r="DD429" s="83"/>
      <c r="DE429" s="83"/>
      <c r="DF429" s="83"/>
      <c r="DG429" s="83"/>
      <c r="DH429" s="83"/>
      <c r="DI429" s="83"/>
      <c r="DJ429" s="83"/>
      <c r="DK429" s="83"/>
      <c r="DL429" s="83"/>
      <c r="DM429" s="83"/>
      <c r="DN429" s="83"/>
      <c r="DO429" s="83"/>
      <c r="DP429" s="83"/>
      <c r="DQ429" s="83"/>
      <c r="DR429" s="83"/>
      <c r="DS429" s="83"/>
      <c r="DT429" s="83"/>
      <c r="DU429" s="83"/>
      <c r="DV429" s="83"/>
      <c r="DW429" s="83"/>
      <c r="DX429" s="83"/>
      <c r="DY429" s="83"/>
      <c r="DZ429" s="83"/>
      <c r="EA429" s="83"/>
      <c r="EB429" s="83"/>
      <c r="EC429" s="83"/>
      <c r="ED429" s="83"/>
      <c r="EE429" s="83"/>
      <c r="EF429" s="83"/>
      <c r="EG429" s="83"/>
      <c r="EH429" s="83"/>
      <c r="EI429" s="83"/>
      <c r="EJ429" s="83"/>
      <c r="EK429" s="83"/>
      <c r="EL429" s="83"/>
      <c r="EM429" s="83"/>
      <c r="EN429" s="83"/>
      <c r="EO429" s="83"/>
      <c r="EP429" s="83"/>
      <c r="EQ429" s="83"/>
      <c r="ER429" s="83"/>
      <c r="ES429" s="83"/>
      <c r="ET429" s="83"/>
      <c r="EU429" s="83"/>
      <c r="EV429" s="83"/>
      <c r="EW429" s="83"/>
      <c r="EX429" s="83"/>
      <c r="EY429" s="83"/>
      <c r="EZ429" s="83"/>
      <c r="FA429" s="83"/>
      <c r="FB429" s="83"/>
      <c r="FC429" s="83"/>
      <c r="FD429" s="83"/>
      <c r="FE429" s="83"/>
      <c r="FF429" s="83"/>
      <c r="FG429" s="83"/>
      <c r="FH429" s="83"/>
      <c r="FI429" s="83"/>
      <c r="FJ429" s="83"/>
      <c r="FK429" s="83"/>
      <c r="FL429" s="83"/>
      <c r="FM429" s="83"/>
      <c r="FN429" s="83"/>
      <c r="FO429" s="83"/>
      <c r="FP429" s="83"/>
      <c r="FQ429" s="83"/>
      <c r="FR429" s="83"/>
      <c r="FS429" s="83"/>
      <c r="FT429" s="83"/>
      <c r="FU429" s="83"/>
      <c r="FV429" s="83"/>
      <c r="FW429" s="83"/>
      <c r="FX429" s="83"/>
      <c r="FY429" s="83"/>
      <c r="FZ429" s="83"/>
      <c r="GA429" s="83"/>
      <c r="GB429" s="83"/>
      <c r="GC429" s="83"/>
      <c r="GD429" s="83"/>
      <c r="GE429" s="83"/>
      <c r="GF429" s="83"/>
      <c r="GG429" s="83"/>
      <c r="GH429" s="83"/>
      <c r="GI429" s="83"/>
      <c r="GJ429" s="83"/>
      <c r="GK429" s="83"/>
      <c r="GL429" s="83"/>
      <c r="GM429" s="83"/>
      <c r="GN429" s="83"/>
      <c r="GO429" s="83"/>
      <c r="GP429" s="83"/>
      <c r="GQ429" s="83"/>
      <c r="GR429" s="83"/>
      <c r="GS429" s="83"/>
      <c r="GT429" s="83"/>
      <c r="GU429" s="83"/>
      <c r="GV429" s="83"/>
      <c r="GW429" s="83"/>
      <c r="GX429" s="83"/>
      <c r="GY429" s="83"/>
      <c r="GZ429" s="83"/>
      <c r="HA429" s="83"/>
      <c r="HB429" s="83"/>
      <c r="HC429" s="83"/>
      <c r="HD429" s="83"/>
      <c r="HE429" s="83"/>
      <c r="HF429" s="83"/>
      <c r="HG429" s="83"/>
      <c r="HH429" s="83"/>
      <c r="HI429" s="83"/>
      <c r="HJ429" s="83"/>
      <c r="HK429" s="83"/>
      <c r="HL429" s="83"/>
      <c r="HM429" s="83"/>
      <c r="HN429" s="83"/>
      <c r="HO429" s="83"/>
      <c r="HP429" s="83"/>
      <c r="HQ429" s="83"/>
      <c r="HR429" s="83"/>
      <c r="HS429" s="83"/>
      <c r="HT429" s="83"/>
      <c r="HU429" s="83"/>
      <c r="HV429" s="83"/>
      <c r="HW429" s="83"/>
      <c r="HX429" s="83"/>
      <c r="HY429" s="83"/>
      <c r="HZ429" s="83"/>
      <c r="IA429" s="83"/>
      <c r="IB429" s="83"/>
      <c r="IC429" s="83"/>
      <c r="ID429" s="83"/>
      <c r="IE429" s="83"/>
      <c r="IF429" s="83"/>
      <c r="IG429" s="83"/>
    </row>
    <row r="430" spans="1:241"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c r="DD430" s="83"/>
      <c r="DE430" s="83"/>
      <c r="DF430" s="83"/>
      <c r="DG430" s="83"/>
      <c r="DH430" s="83"/>
      <c r="DI430" s="83"/>
      <c r="DJ430" s="83"/>
      <c r="DK430" s="83"/>
      <c r="DL430" s="83"/>
      <c r="DM430" s="83"/>
      <c r="DN430" s="83"/>
      <c r="DO430" s="83"/>
      <c r="DP430" s="83"/>
      <c r="DQ430" s="83"/>
      <c r="DR430" s="83"/>
      <c r="DS430" s="83"/>
      <c r="DT430" s="83"/>
      <c r="DU430" s="83"/>
      <c r="DV430" s="83"/>
      <c r="DW430" s="83"/>
      <c r="DX430" s="83"/>
      <c r="DY430" s="83"/>
      <c r="DZ430" s="83"/>
      <c r="EA430" s="83"/>
      <c r="EB430" s="83"/>
      <c r="EC430" s="83"/>
      <c r="ED430" s="83"/>
      <c r="EE430" s="83"/>
      <c r="EF430" s="83"/>
      <c r="EG430" s="83"/>
      <c r="EH430" s="83"/>
      <c r="EI430" s="83"/>
      <c r="EJ430" s="83"/>
      <c r="EK430" s="83"/>
      <c r="EL430" s="83"/>
      <c r="EM430" s="83"/>
      <c r="EN430" s="83"/>
      <c r="EO430" s="83"/>
      <c r="EP430" s="83"/>
      <c r="EQ430" s="83"/>
      <c r="ER430" s="83"/>
      <c r="ES430" s="83"/>
      <c r="ET430" s="83"/>
      <c r="EU430" s="83"/>
      <c r="EV430" s="83"/>
      <c r="EW430" s="83"/>
      <c r="EX430" s="83"/>
      <c r="EY430" s="83"/>
      <c r="EZ430" s="83"/>
      <c r="FA430" s="83"/>
      <c r="FB430" s="83"/>
      <c r="FC430" s="83"/>
      <c r="FD430" s="83"/>
      <c r="FE430" s="83"/>
      <c r="FF430" s="83"/>
      <c r="FG430" s="83"/>
      <c r="FH430" s="83"/>
      <c r="FI430" s="83"/>
      <c r="FJ430" s="83"/>
      <c r="FK430" s="83"/>
      <c r="FL430" s="83"/>
      <c r="FM430" s="83"/>
      <c r="FN430" s="83"/>
      <c r="FO430" s="83"/>
      <c r="FP430" s="83"/>
      <c r="FQ430" s="83"/>
      <c r="FR430" s="83"/>
      <c r="FS430" s="83"/>
      <c r="FT430" s="83"/>
      <c r="FU430" s="83"/>
      <c r="FV430" s="83"/>
      <c r="FW430" s="83"/>
      <c r="FX430" s="83"/>
      <c r="FY430" s="83"/>
      <c r="FZ430" s="83"/>
      <c r="GA430" s="83"/>
      <c r="GB430" s="83"/>
      <c r="GC430" s="83"/>
      <c r="GD430" s="83"/>
      <c r="GE430" s="83"/>
      <c r="GF430" s="83"/>
      <c r="GG430" s="83"/>
      <c r="GH430" s="83"/>
      <c r="GI430" s="83"/>
      <c r="GJ430" s="83"/>
      <c r="GK430" s="83"/>
      <c r="GL430" s="83"/>
      <c r="GM430" s="83"/>
      <c r="GN430" s="83"/>
      <c r="GO430" s="83"/>
      <c r="GP430" s="83"/>
      <c r="GQ430" s="83"/>
      <c r="GR430" s="83"/>
      <c r="GS430" s="83"/>
      <c r="GT430" s="83"/>
      <c r="GU430" s="83"/>
      <c r="GV430" s="83"/>
      <c r="GW430" s="83"/>
      <c r="GX430" s="83"/>
      <c r="GY430" s="83"/>
      <c r="GZ430" s="83"/>
      <c r="HA430" s="83"/>
      <c r="HB430" s="83"/>
      <c r="HC430" s="83"/>
      <c r="HD430" s="83"/>
      <c r="HE430" s="83"/>
      <c r="HF430" s="83"/>
      <c r="HG430" s="83"/>
      <c r="HH430" s="83"/>
      <c r="HI430" s="83"/>
      <c r="HJ430" s="83"/>
      <c r="HK430" s="83"/>
      <c r="HL430" s="83"/>
      <c r="HM430" s="83"/>
      <c r="HN430" s="83"/>
      <c r="HO430" s="83"/>
      <c r="HP430" s="83"/>
      <c r="HQ430" s="83"/>
      <c r="HR430" s="83"/>
      <c r="HS430" s="83"/>
      <c r="HT430" s="83"/>
      <c r="HU430" s="83"/>
      <c r="HV430" s="83"/>
      <c r="HW430" s="83"/>
      <c r="HX430" s="83"/>
      <c r="HY430" s="83"/>
      <c r="HZ430" s="83"/>
      <c r="IA430" s="83"/>
      <c r="IB430" s="83"/>
      <c r="IC430" s="83"/>
      <c r="ID430" s="83"/>
      <c r="IE430" s="83"/>
      <c r="IF430" s="83"/>
      <c r="IG430" s="83"/>
    </row>
    <row r="431" spans="1:241"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c r="DD431" s="83"/>
      <c r="DE431" s="83"/>
      <c r="DF431" s="83"/>
      <c r="DG431" s="83"/>
      <c r="DH431" s="83"/>
      <c r="DI431" s="83"/>
      <c r="DJ431" s="83"/>
      <c r="DK431" s="83"/>
      <c r="DL431" s="83"/>
      <c r="DM431" s="83"/>
      <c r="DN431" s="83"/>
      <c r="DO431" s="83"/>
      <c r="DP431" s="83"/>
      <c r="DQ431" s="83"/>
      <c r="DR431" s="83"/>
      <c r="DS431" s="83"/>
      <c r="DT431" s="83"/>
      <c r="DU431" s="83"/>
      <c r="DV431" s="83"/>
      <c r="DW431" s="83"/>
      <c r="DX431" s="83"/>
      <c r="DY431" s="83"/>
      <c r="DZ431" s="83"/>
      <c r="EA431" s="83"/>
      <c r="EB431" s="83"/>
      <c r="EC431" s="83"/>
      <c r="ED431" s="83"/>
      <c r="EE431" s="83"/>
      <c r="EF431" s="83"/>
      <c r="EG431" s="83"/>
      <c r="EH431" s="83"/>
      <c r="EI431" s="83"/>
      <c r="EJ431" s="83"/>
      <c r="EK431" s="83"/>
      <c r="EL431" s="83"/>
      <c r="EM431" s="83"/>
      <c r="EN431" s="83"/>
      <c r="EO431" s="83"/>
      <c r="EP431" s="83"/>
      <c r="EQ431" s="83"/>
      <c r="ER431" s="83"/>
      <c r="ES431" s="83"/>
      <c r="ET431" s="83"/>
      <c r="EU431" s="83"/>
      <c r="EV431" s="83"/>
      <c r="EW431" s="83"/>
      <c r="EX431" s="83"/>
      <c r="EY431" s="83"/>
      <c r="EZ431" s="83"/>
      <c r="FA431" s="83"/>
      <c r="FB431" s="83"/>
      <c r="FC431" s="83"/>
      <c r="FD431" s="83"/>
      <c r="FE431" s="83"/>
      <c r="FF431" s="83"/>
      <c r="FG431" s="83"/>
      <c r="FH431" s="83"/>
      <c r="FI431" s="83"/>
      <c r="FJ431" s="83"/>
      <c r="FK431" s="83"/>
      <c r="FL431" s="83"/>
      <c r="FM431" s="83"/>
      <c r="FN431" s="83"/>
      <c r="FO431" s="83"/>
      <c r="FP431" s="83"/>
      <c r="FQ431" s="83"/>
      <c r="FR431" s="83"/>
      <c r="FS431" s="83"/>
      <c r="FT431" s="83"/>
      <c r="FU431" s="83"/>
      <c r="FV431" s="83"/>
      <c r="FW431" s="83"/>
      <c r="FX431" s="83"/>
      <c r="FY431" s="83"/>
      <c r="FZ431" s="83"/>
      <c r="GA431" s="83"/>
      <c r="GB431" s="83"/>
      <c r="GC431" s="83"/>
      <c r="GD431" s="83"/>
      <c r="GE431" s="83"/>
      <c r="GF431" s="83"/>
      <c r="GG431" s="83"/>
      <c r="GH431" s="83"/>
      <c r="GI431" s="83"/>
      <c r="GJ431" s="83"/>
      <c r="GK431" s="83"/>
      <c r="GL431" s="83"/>
      <c r="GM431" s="83"/>
      <c r="GN431" s="83"/>
      <c r="GO431" s="83"/>
      <c r="GP431" s="83"/>
      <c r="GQ431" s="83"/>
      <c r="GR431" s="83"/>
      <c r="GS431" s="83"/>
      <c r="GT431" s="83"/>
      <c r="GU431" s="83"/>
      <c r="GV431" s="83"/>
      <c r="GW431" s="83"/>
      <c r="GX431" s="83"/>
      <c r="GY431" s="83"/>
      <c r="GZ431" s="83"/>
      <c r="HA431" s="83"/>
      <c r="HB431" s="83"/>
      <c r="HC431" s="83"/>
      <c r="HD431" s="83"/>
      <c r="HE431" s="83"/>
      <c r="HF431" s="83"/>
      <c r="HG431" s="83"/>
      <c r="HH431" s="83"/>
      <c r="HI431" s="83"/>
      <c r="HJ431" s="83"/>
      <c r="HK431" s="83"/>
      <c r="HL431" s="83"/>
      <c r="HM431" s="83"/>
      <c r="HN431" s="83"/>
      <c r="HO431" s="83"/>
      <c r="HP431" s="83"/>
      <c r="HQ431" s="83"/>
      <c r="HR431" s="83"/>
      <c r="HS431" s="83"/>
      <c r="HT431" s="83"/>
      <c r="HU431" s="83"/>
      <c r="HV431" s="83"/>
      <c r="HW431" s="83"/>
      <c r="HX431" s="83"/>
      <c r="HY431" s="83"/>
      <c r="HZ431" s="83"/>
      <c r="IA431" s="83"/>
      <c r="IB431" s="83"/>
      <c r="IC431" s="83"/>
      <c r="ID431" s="83"/>
      <c r="IE431" s="83"/>
      <c r="IF431" s="83"/>
      <c r="IG431" s="83"/>
    </row>
    <row r="432" spans="1:241"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c r="DD432" s="83"/>
      <c r="DE432" s="83"/>
      <c r="DF432" s="83"/>
      <c r="DG432" s="83"/>
      <c r="DH432" s="83"/>
      <c r="DI432" s="83"/>
      <c r="DJ432" s="83"/>
      <c r="DK432" s="83"/>
      <c r="DL432" s="83"/>
      <c r="DM432" s="83"/>
      <c r="DN432" s="83"/>
      <c r="DO432" s="83"/>
      <c r="DP432" s="83"/>
      <c r="DQ432" s="83"/>
      <c r="DR432" s="83"/>
      <c r="DS432" s="83"/>
      <c r="DT432" s="83"/>
      <c r="DU432" s="83"/>
      <c r="DV432" s="83"/>
      <c r="DW432" s="83"/>
      <c r="DX432" s="83"/>
      <c r="DY432" s="83"/>
      <c r="DZ432" s="83"/>
      <c r="EA432" s="83"/>
      <c r="EB432" s="83"/>
      <c r="EC432" s="83"/>
      <c r="ED432" s="83"/>
      <c r="EE432" s="83"/>
      <c r="EF432" s="83"/>
      <c r="EG432" s="83"/>
      <c r="EH432" s="83"/>
      <c r="EI432" s="83"/>
      <c r="EJ432" s="83"/>
      <c r="EK432" s="83"/>
      <c r="EL432" s="83"/>
      <c r="EM432" s="83"/>
      <c r="EN432" s="83"/>
      <c r="EO432" s="83"/>
      <c r="EP432" s="83"/>
      <c r="EQ432" s="83"/>
      <c r="ER432" s="83"/>
      <c r="ES432" s="83"/>
      <c r="ET432" s="83"/>
      <c r="EU432" s="83"/>
      <c r="EV432" s="83"/>
      <c r="EW432" s="83"/>
      <c r="EX432" s="83"/>
      <c r="EY432" s="83"/>
      <c r="EZ432" s="83"/>
      <c r="FA432" s="83"/>
      <c r="FB432" s="83"/>
      <c r="FC432" s="83"/>
      <c r="FD432" s="83"/>
      <c r="FE432" s="83"/>
      <c r="FF432" s="83"/>
      <c r="FG432" s="83"/>
      <c r="FH432" s="83"/>
      <c r="FI432" s="83"/>
      <c r="FJ432" s="83"/>
      <c r="FK432" s="83"/>
      <c r="FL432" s="83"/>
      <c r="FM432" s="83"/>
      <c r="FN432" s="83"/>
      <c r="FO432" s="83"/>
      <c r="FP432" s="83"/>
      <c r="FQ432" s="83"/>
      <c r="FR432" s="83"/>
      <c r="FS432" s="83"/>
      <c r="FT432" s="83"/>
      <c r="FU432" s="83"/>
      <c r="FV432" s="83"/>
      <c r="FW432" s="83"/>
      <c r="FX432" s="83"/>
      <c r="FY432" s="83"/>
      <c r="FZ432" s="83"/>
      <c r="GA432" s="83"/>
      <c r="GB432" s="83"/>
      <c r="GC432" s="83"/>
      <c r="GD432" s="83"/>
      <c r="GE432" s="83"/>
      <c r="GF432" s="83"/>
      <c r="GG432" s="83"/>
      <c r="GH432" s="83"/>
      <c r="GI432" s="83"/>
      <c r="GJ432" s="83"/>
      <c r="GK432" s="83"/>
      <c r="GL432" s="83"/>
      <c r="GM432" s="83"/>
      <c r="GN432" s="83"/>
      <c r="GO432" s="83"/>
      <c r="GP432" s="83"/>
      <c r="GQ432" s="83"/>
      <c r="GR432" s="83"/>
      <c r="GS432" s="83"/>
      <c r="GT432" s="83"/>
      <c r="GU432" s="83"/>
      <c r="GV432" s="83"/>
      <c r="GW432" s="83"/>
      <c r="GX432" s="83"/>
      <c r="GY432" s="83"/>
      <c r="GZ432" s="83"/>
      <c r="HA432" s="83"/>
      <c r="HB432" s="83"/>
      <c r="HC432" s="83"/>
      <c r="HD432" s="83"/>
      <c r="HE432" s="83"/>
      <c r="HF432" s="83"/>
      <c r="HG432" s="83"/>
      <c r="HH432" s="83"/>
      <c r="HI432" s="83"/>
      <c r="HJ432" s="83"/>
      <c r="HK432" s="83"/>
      <c r="HL432" s="83"/>
      <c r="HM432" s="83"/>
      <c r="HN432" s="83"/>
      <c r="HO432" s="83"/>
      <c r="HP432" s="83"/>
      <c r="HQ432" s="83"/>
      <c r="HR432" s="83"/>
      <c r="HS432" s="83"/>
      <c r="HT432" s="83"/>
      <c r="HU432" s="83"/>
      <c r="HV432" s="83"/>
      <c r="HW432" s="83"/>
      <c r="HX432" s="83"/>
      <c r="HY432" s="83"/>
      <c r="HZ432" s="83"/>
      <c r="IA432" s="83"/>
      <c r="IB432" s="83"/>
      <c r="IC432" s="83"/>
      <c r="ID432" s="83"/>
      <c r="IE432" s="83"/>
      <c r="IF432" s="83"/>
      <c r="IG432" s="83"/>
    </row>
    <row r="433" spans="1:241"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c r="DD433" s="83"/>
      <c r="DE433" s="83"/>
      <c r="DF433" s="83"/>
      <c r="DG433" s="83"/>
      <c r="DH433" s="83"/>
      <c r="DI433" s="83"/>
      <c r="DJ433" s="83"/>
      <c r="DK433" s="83"/>
      <c r="DL433" s="83"/>
      <c r="DM433" s="83"/>
      <c r="DN433" s="83"/>
      <c r="DO433" s="83"/>
      <c r="DP433" s="83"/>
      <c r="DQ433" s="83"/>
      <c r="DR433" s="83"/>
      <c r="DS433" s="83"/>
      <c r="DT433" s="83"/>
      <c r="DU433" s="83"/>
      <c r="DV433" s="83"/>
      <c r="DW433" s="83"/>
      <c r="DX433" s="83"/>
      <c r="DY433" s="83"/>
      <c r="DZ433" s="83"/>
      <c r="EA433" s="83"/>
      <c r="EB433" s="83"/>
      <c r="EC433" s="83"/>
      <c r="ED433" s="83"/>
      <c r="EE433" s="83"/>
      <c r="EF433" s="83"/>
      <c r="EG433" s="83"/>
      <c r="EH433" s="83"/>
      <c r="EI433" s="83"/>
      <c r="EJ433" s="83"/>
      <c r="EK433" s="83"/>
      <c r="EL433" s="83"/>
      <c r="EM433" s="83"/>
      <c r="EN433" s="83"/>
      <c r="EO433" s="83"/>
      <c r="EP433" s="83"/>
      <c r="EQ433" s="83"/>
      <c r="ER433" s="83"/>
      <c r="ES433" s="83"/>
      <c r="ET433" s="83"/>
      <c r="EU433" s="83"/>
      <c r="EV433" s="83"/>
      <c r="EW433" s="83"/>
      <c r="EX433" s="83"/>
      <c r="EY433" s="83"/>
      <c r="EZ433" s="83"/>
      <c r="FA433" s="83"/>
      <c r="FB433" s="83"/>
      <c r="FC433" s="83"/>
      <c r="FD433" s="83"/>
      <c r="FE433" s="83"/>
      <c r="FF433" s="83"/>
      <c r="FG433" s="83"/>
      <c r="FH433" s="83"/>
      <c r="FI433" s="83"/>
      <c r="FJ433" s="83"/>
      <c r="FK433" s="83"/>
      <c r="FL433" s="83"/>
      <c r="FM433" s="83"/>
      <c r="FN433" s="83"/>
      <c r="FO433" s="83"/>
      <c r="FP433" s="83"/>
      <c r="FQ433" s="83"/>
      <c r="FR433" s="83"/>
      <c r="FS433" s="83"/>
      <c r="FT433" s="83"/>
      <c r="FU433" s="83"/>
      <c r="FV433" s="83"/>
      <c r="FW433" s="83"/>
      <c r="FX433" s="83"/>
      <c r="FY433" s="83"/>
      <c r="FZ433" s="83"/>
      <c r="GA433" s="83"/>
      <c r="GB433" s="83"/>
      <c r="GC433" s="83"/>
      <c r="GD433" s="83"/>
      <c r="GE433" s="83"/>
      <c r="GF433" s="83"/>
      <c r="GG433" s="83"/>
      <c r="GH433" s="83"/>
      <c r="GI433" s="83"/>
      <c r="GJ433" s="83"/>
      <c r="GK433" s="83"/>
      <c r="GL433" s="83"/>
      <c r="GM433" s="83"/>
      <c r="GN433" s="83"/>
      <c r="GO433" s="83"/>
      <c r="GP433" s="83"/>
      <c r="GQ433" s="83"/>
      <c r="GR433" s="83"/>
      <c r="GS433" s="83"/>
      <c r="GT433" s="83"/>
      <c r="GU433" s="83"/>
      <c r="GV433" s="83"/>
      <c r="GW433" s="83"/>
      <c r="GX433" s="83"/>
      <c r="GY433" s="83"/>
      <c r="GZ433" s="83"/>
      <c r="HA433" s="83"/>
      <c r="HB433" s="83"/>
      <c r="HC433" s="83"/>
      <c r="HD433" s="83"/>
      <c r="HE433" s="83"/>
      <c r="HF433" s="83"/>
      <c r="HG433" s="83"/>
      <c r="HH433" s="83"/>
      <c r="HI433" s="83"/>
      <c r="HJ433" s="83"/>
      <c r="HK433" s="83"/>
      <c r="HL433" s="83"/>
      <c r="HM433" s="83"/>
      <c r="HN433" s="83"/>
      <c r="HO433" s="83"/>
      <c r="HP433" s="83"/>
      <c r="HQ433" s="83"/>
      <c r="HR433" s="83"/>
      <c r="HS433" s="83"/>
      <c r="HT433" s="83"/>
      <c r="HU433" s="83"/>
      <c r="HV433" s="83"/>
      <c r="HW433" s="83"/>
      <c r="HX433" s="83"/>
      <c r="HY433" s="83"/>
      <c r="HZ433" s="83"/>
      <c r="IA433" s="83"/>
      <c r="IB433" s="83"/>
      <c r="IC433" s="83"/>
      <c r="ID433" s="83"/>
      <c r="IE433" s="83"/>
      <c r="IF433" s="83"/>
      <c r="IG433" s="83"/>
    </row>
    <row r="434" spans="1:241"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c r="DD434" s="83"/>
      <c r="DE434" s="83"/>
      <c r="DF434" s="83"/>
      <c r="DG434" s="83"/>
      <c r="DH434" s="83"/>
      <c r="DI434" s="83"/>
      <c r="DJ434" s="83"/>
      <c r="DK434" s="83"/>
      <c r="DL434" s="83"/>
      <c r="DM434" s="83"/>
      <c r="DN434" s="83"/>
      <c r="DO434" s="83"/>
      <c r="DP434" s="83"/>
      <c r="DQ434" s="83"/>
      <c r="DR434" s="83"/>
      <c r="DS434" s="83"/>
      <c r="DT434" s="83"/>
      <c r="DU434" s="83"/>
      <c r="DV434" s="83"/>
      <c r="DW434" s="83"/>
      <c r="DX434" s="83"/>
      <c r="DY434" s="83"/>
      <c r="DZ434" s="83"/>
      <c r="EA434" s="83"/>
      <c r="EB434" s="83"/>
      <c r="EC434" s="83"/>
      <c r="ED434" s="83"/>
      <c r="EE434" s="83"/>
      <c r="EF434" s="83"/>
      <c r="EG434" s="83"/>
      <c r="EH434" s="83"/>
      <c r="EI434" s="83"/>
      <c r="EJ434" s="83"/>
      <c r="EK434" s="83"/>
      <c r="EL434" s="83"/>
      <c r="EM434" s="83"/>
      <c r="EN434" s="83"/>
      <c r="EO434" s="83"/>
      <c r="EP434" s="83"/>
      <c r="EQ434" s="83"/>
      <c r="ER434" s="83"/>
      <c r="ES434" s="83"/>
      <c r="ET434" s="83"/>
      <c r="EU434" s="83"/>
      <c r="EV434" s="83"/>
      <c r="EW434" s="83"/>
      <c r="EX434" s="83"/>
      <c r="EY434" s="83"/>
      <c r="EZ434" s="83"/>
      <c r="FA434" s="83"/>
      <c r="FB434" s="83"/>
      <c r="FC434" s="83"/>
      <c r="FD434" s="83"/>
      <c r="FE434" s="83"/>
      <c r="FF434" s="83"/>
      <c r="FG434" s="83"/>
      <c r="FH434" s="83"/>
      <c r="FI434" s="83"/>
      <c r="FJ434" s="83"/>
      <c r="FK434" s="83"/>
      <c r="FL434" s="83"/>
      <c r="FM434" s="83"/>
      <c r="FN434" s="83"/>
      <c r="FO434" s="83"/>
      <c r="FP434" s="83"/>
      <c r="FQ434" s="83"/>
      <c r="FR434" s="83"/>
      <c r="FS434" s="83"/>
      <c r="FT434" s="83"/>
      <c r="FU434" s="83"/>
      <c r="FV434" s="83"/>
      <c r="FW434" s="83"/>
      <c r="FX434" s="83"/>
      <c r="FY434" s="83"/>
      <c r="FZ434" s="83"/>
      <c r="GA434" s="83"/>
      <c r="GB434" s="83"/>
      <c r="GC434" s="83"/>
      <c r="GD434" s="83"/>
      <c r="GE434" s="83"/>
      <c r="GF434" s="83"/>
      <c r="GG434" s="83"/>
      <c r="GH434" s="83"/>
      <c r="GI434" s="83"/>
      <c r="GJ434" s="83"/>
      <c r="GK434" s="83"/>
      <c r="GL434" s="83"/>
      <c r="GM434" s="83"/>
      <c r="GN434" s="83"/>
      <c r="GO434" s="83"/>
      <c r="GP434" s="83"/>
      <c r="GQ434" s="83"/>
      <c r="GR434" s="83"/>
      <c r="GS434" s="83"/>
      <c r="GT434" s="83"/>
      <c r="GU434" s="83"/>
      <c r="GV434" s="83"/>
      <c r="GW434" s="83"/>
      <c r="GX434" s="83"/>
      <c r="GY434" s="83"/>
      <c r="GZ434" s="83"/>
      <c r="HA434" s="83"/>
      <c r="HB434" s="83"/>
      <c r="HC434" s="83"/>
      <c r="HD434" s="83"/>
      <c r="HE434" s="83"/>
      <c r="HF434" s="83"/>
      <c r="HG434" s="83"/>
      <c r="HH434" s="83"/>
      <c r="HI434" s="83"/>
      <c r="HJ434" s="83"/>
      <c r="HK434" s="83"/>
      <c r="HL434" s="83"/>
      <c r="HM434" s="83"/>
      <c r="HN434" s="83"/>
      <c r="HO434" s="83"/>
      <c r="HP434" s="83"/>
      <c r="HQ434" s="83"/>
      <c r="HR434" s="83"/>
      <c r="HS434" s="83"/>
      <c r="HT434" s="83"/>
      <c r="HU434" s="83"/>
      <c r="HV434" s="83"/>
      <c r="HW434" s="83"/>
      <c r="HX434" s="83"/>
      <c r="HY434" s="83"/>
      <c r="HZ434" s="83"/>
      <c r="IA434" s="83"/>
      <c r="IB434" s="83"/>
      <c r="IC434" s="83"/>
      <c r="ID434" s="83"/>
      <c r="IE434" s="83"/>
      <c r="IF434" s="83"/>
      <c r="IG434" s="83"/>
    </row>
    <row r="435" spans="1:241"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c r="DD435" s="83"/>
      <c r="DE435" s="83"/>
      <c r="DF435" s="83"/>
      <c r="DG435" s="83"/>
      <c r="DH435" s="83"/>
      <c r="DI435" s="83"/>
      <c r="DJ435" s="83"/>
      <c r="DK435" s="83"/>
      <c r="DL435" s="83"/>
      <c r="DM435" s="83"/>
      <c r="DN435" s="83"/>
      <c r="DO435" s="83"/>
      <c r="DP435" s="83"/>
      <c r="DQ435" s="83"/>
      <c r="DR435" s="83"/>
      <c r="DS435" s="83"/>
      <c r="DT435" s="83"/>
      <c r="DU435" s="83"/>
      <c r="DV435" s="83"/>
      <c r="DW435" s="83"/>
      <c r="DX435" s="83"/>
      <c r="DY435" s="83"/>
      <c r="DZ435" s="83"/>
      <c r="EA435" s="83"/>
      <c r="EB435" s="83"/>
      <c r="EC435" s="83"/>
      <c r="ED435" s="83"/>
      <c r="EE435" s="83"/>
      <c r="EF435" s="83"/>
      <c r="EG435" s="83"/>
      <c r="EH435" s="83"/>
      <c r="EI435" s="83"/>
      <c r="EJ435" s="83"/>
      <c r="EK435" s="83"/>
      <c r="EL435" s="83"/>
      <c r="EM435" s="83"/>
      <c r="EN435" s="83"/>
      <c r="EO435" s="83"/>
      <c r="EP435" s="83"/>
      <c r="EQ435" s="83"/>
      <c r="ER435" s="83"/>
      <c r="ES435" s="83"/>
      <c r="ET435" s="83"/>
      <c r="EU435" s="83"/>
      <c r="EV435" s="83"/>
      <c r="EW435" s="83"/>
      <c r="EX435" s="83"/>
      <c r="EY435" s="83"/>
      <c r="EZ435" s="83"/>
      <c r="FA435" s="83"/>
      <c r="FB435" s="83"/>
      <c r="FC435" s="83"/>
      <c r="FD435" s="83"/>
      <c r="FE435" s="83"/>
      <c r="FF435" s="83"/>
      <c r="FG435" s="83"/>
      <c r="FH435" s="83"/>
      <c r="FI435" s="83"/>
      <c r="FJ435" s="83"/>
      <c r="FK435" s="83"/>
      <c r="FL435" s="83"/>
      <c r="FM435" s="83"/>
      <c r="FN435" s="83"/>
      <c r="FO435" s="83"/>
      <c r="FP435" s="83"/>
      <c r="FQ435" s="83"/>
      <c r="FR435" s="83"/>
      <c r="FS435" s="83"/>
      <c r="FT435" s="83"/>
      <c r="FU435" s="83"/>
      <c r="FV435" s="83"/>
      <c r="FW435" s="83"/>
      <c r="FX435" s="83"/>
      <c r="FY435" s="83"/>
      <c r="FZ435" s="83"/>
      <c r="GA435" s="83"/>
      <c r="GB435" s="83"/>
      <c r="GC435" s="83"/>
      <c r="GD435" s="83"/>
      <c r="GE435" s="83"/>
      <c r="GF435" s="83"/>
      <c r="GG435" s="83"/>
      <c r="GH435" s="83"/>
      <c r="GI435" s="83"/>
      <c r="GJ435" s="83"/>
      <c r="GK435" s="83"/>
      <c r="GL435" s="83"/>
      <c r="GM435" s="83"/>
      <c r="GN435" s="83"/>
      <c r="GO435" s="83"/>
      <c r="GP435" s="83"/>
      <c r="GQ435" s="83"/>
      <c r="GR435" s="83"/>
      <c r="GS435" s="83"/>
      <c r="GT435" s="83"/>
      <c r="GU435" s="83"/>
      <c r="GV435" s="83"/>
      <c r="GW435" s="83"/>
      <c r="GX435" s="83"/>
      <c r="GY435" s="83"/>
      <c r="GZ435" s="83"/>
      <c r="HA435" s="83"/>
      <c r="HB435" s="83"/>
      <c r="HC435" s="83"/>
      <c r="HD435" s="83"/>
      <c r="HE435" s="83"/>
      <c r="HF435" s="83"/>
      <c r="HG435" s="83"/>
      <c r="HH435" s="83"/>
      <c r="HI435" s="83"/>
      <c r="HJ435" s="83"/>
      <c r="HK435" s="83"/>
      <c r="HL435" s="83"/>
      <c r="HM435" s="83"/>
      <c r="HN435" s="83"/>
      <c r="HO435" s="83"/>
      <c r="HP435" s="83"/>
      <c r="HQ435" s="83"/>
      <c r="HR435" s="83"/>
      <c r="HS435" s="83"/>
      <c r="HT435" s="83"/>
      <c r="HU435" s="83"/>
      <c r="HV435" s="83"/>
      <c r="HW435" s="83"/>
      <c r="HX435" s="83"/>
      <c r="HY435" s="83"/>
      <c r="HZ435" s="83"/>
      <c r="IA435" s="83"/>
      <c r="IB435" s="83"/>
      <c r="IC435" s="83"/>
      <c r="ID435" s="83"/>
      <c r="IE435" s="83"/>
      <c r="IF435" s="83"/>
      <c r="IG435" s="83"/>
    </row>
    <row r="436" spans="1:241"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c r="DD436" s="83"/>
      <c r="DE436" s="83"/>
      <c r="DF436" s="83"/>
      <c r="DG436" s="83"/>
      <c r="DH436" s="83"/>
      <c r="DI436" s="83"/>
      <c r="DJ436" s="83"/>
      <c r="DK436" s="83"/>
      <c r="DL436" s="83"/>
      <c r="DM436" s="83"/>
      <c r="DN436" s="83"/>
      <c r="DO436" s="83"/>
      <c r="DP436" s="83"/>
      <c r="DQ436" s="83"/>
      <c r="DR436" s="83"/>
      <c r="DS436" s="83"/>
      <c r="DT436" s="83"/>
      <c r="DU436" s="83"/>
      <c r="DV436" s="83"/>
      <c r="DW436" s="83"/>
      <c r="DX436" s="83"/>
      <c r="DY436" s="83"/>
      <c r="DZ436" s="83"/>
      <c r="EA436" s="83"/>
      <c r="EB436" s="83"/>
      <c r="EC436" s="83"/>
      <c r="ED436" s="83"/>
      <c r="EE436" s="83"/>
      <c r="EF436" s="83"/>
      <c r="EG436" s="83"/>
      <c r="EH436" s="83"/>
      <c r="EI436" s="83"/>
      <c r="EJ436" s="83"/>
      <c r="EK436" s="83"/>
      <c r="EL436" s="83"/>
      <c r="EM436" s="83"/>
      <c r="EN436" s="83"/>
      <c r="EO436" s="83"/>
      <c r="EP436" s="83"/>
      <c r="EQ436" s="83"/>
      <c r="ER436" s="83"/>
      <c r="ES436" s="83"/>
      <c r="ET436" s="83"/>
      <c r="EU436" s="83"/>
      <c r="EV436" s="83"/>
      <c r="EW436" s="83"/>
      <c r="EX436" s="83"/>
      <c r="EY436" s="83"/>
      <c r="EZ436" s="83"/>
      <c r="FA436" s="83"/>
      <c r="FB436" s="83"/>
      <c r="FC436" s="83"/>
      <c r="FD436" s="83"/>
      <c r="FE436" s="83"/>
      <c r="FF436" s="83"/>
      <c r="FG436" s="83"/>
      <c r="FH436" s="83"/>
      <c r="FI436" s="83"/>
      <c r="FJ436" s="83"/>
      <c r="FK436" s="83"/>
      <c r="FL436" s="83"/>
      <c r="FM436" s="83"/>
      <c r="FN436" s="83"/>
      <c r="FO436" s="83"/>
      <c r="FP436" s="83"/>
      <c r="FQ436" s="83"/>
      <c r="FR436" s="83"/>
      <c r="FS436" s="83"/>
      <c r="FT436" s="83"/>
      <c r="FU436" s="83"/>
      <c r="FV436" s="83"/>
      <c r="FW436" s="83"/>
      <c r="FX436" s="83"/>
      <c r="FY436" s="83"/>
      <c r="FZ436" s="83"/>
      <c r="GA436" s="83"/>
      <c r="GB436" s="83"/>
      <c r="GC436" s="83"/>
      <c r="GD436" s="83"/>
      <c r="GE436" s="83"/>
      <c r="GF436" s="83"/>
      <c r="GG436" s="83"/>
      <c r="GH436" s="83"/>
      <c r="GI436" s="83"/>
      <c r="GJ436" s="83"/>
      <c r="GK436" s="83"/>
      <c r="GL436" s="83"/>
      <c r="GM436" s="83"/>
      <c r="GN436" s="83"/>
      <c r="GO436" s="83"/>
      <c r="GP436" s="83"/>
      <c r="GQ436" s="83"/>
      <c r="GR436" s="83"/>
      <c r="GS436" s="83"/>
      <c r="GT436" s="83"/>
      <c r="GU436" s="83"/>
      <c r="GV436" s="83"/>
      <c r="GW436" s="83"/>
      <c r="GX436" s="83"/>
      <c r="GY436" s="83"/>
      <c r="GZ436" s="83"/>
      <c r="HA436" s="83"/>
      <c r="HB436" s="83"/>
      <c r="HC436" s="83"/>
      <c r="HD436" s="83"/>
      <c r="HE436" s="83"/>
      <c r="HF436" s="83"/>
      <c r="HG436" s="83"/>
      <c r="HH436" s="83"/>
      <c r="HI436" s="83"/>
      <c r="HJ436" s="83"/>
      <c r="HK436" s="83"/>
      <c r="HL436" s="83"/>
      <c r="HM436" s="83"/>
      <c r="HN436" s="83"/>
      <c r="HO436" s="83"/>
      <c r="HP436" s="83"/>
      <c r="HQ436" s="83"/>
      <c r="HR436" s="83"/>
      <c r="HS436" s="83"/>
      <c r="HT436" s="83"/>
      <c r="HU436" s="83"/>
      <c r="HV436" s="83"/>
      <c r="HW436" s="83"/>
      <c r="HX436" s="83"/>
      <c r="HY436" s="83"/>
      <c r="HZ436" s="83"/>
      <c r="IA436" s="83"/>
      <c r="IB436" s="83"/>
      <c r="IC436" s="83"/>
      <c r="ID436" s="83"/>
      <c r="IE436" s="83"/>
      <c r="IF436" s="83"/>
      <c r="IG436" s="83"/>
    </row>
    <row r="437" spans="1:241"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c r="DD437" s="83"/>
      <c r="DE437" s="83"/>
      <c r="DF437" s="83"/>
      <c r="DG437" s="83"/>
      <c r="DH437" s="83"/>
      <c r="DI437" s="83"/>
      <c r="DJ437" s="83"/>
      <c r="DK437" s="83"/>
      <c r="DL437" s="83"/>
      <c r="DM437" s="83"/>
      <c r="DN437" s="83"/>
      <c r="DO437" s="83"/>
      <c r="DP437" s="83"/>
      <c r="DQ437" s="83"/>
      <c r="DR437" s="83"/>
      <c r="DS437" s="83"/>
      <c r="DT437" s="83"/>
      <c r="DU437" s="83"/>
      <c r="DV437" s="83"/>
      <c r="DW437" s="83"/>
      <c r="DX437" s="83"/>
      <c r="DY437" s="83"/>
      <c r="DZ437" s="83"/>
      <c r="EA437" s="83"/>
      <c r="EB437" s="83"/>
      <c r="EC437" s="83"/>
      <c r="ED437" s="83"/>
      <c r="EE437" s="83"/>
      <c r="EF437" s="83"/>
      <c r="EG437" s="83"/>
      <c r="EH437" s="83"/>
      <c r="EI437" s="83"/>
      <c r="EJ437" s="83"/>
      <c r="EK437" s="83"/>
      <c r="EL437" s="83"/>
      <c r="EM437" s="83"/>
      <c r="EN437" s="83"/>
      <c r="EO437" s="83"/>
      <c r="EP437" s="83"/>
      <c r="EQ437" s="83"/>
      <c r="ER437" s="83"/>
      <c r="ES437" s="83"/>
      <c r="ET437" s="83"/>
      <c r="EU437" s="83"/>
      <c r="EV437" s="83"/>
      <c r="EW437" s="83"/>
      <c r="EX437" s="83"/>
      <c r="EY437" s="83"/>
      <c r="EZ437" s="83"/>
      <c r="FA437" s="83"/>
      <c r="FB437" s="83"/>
      <c r="FC437" s="83"/>
      <c r="FD437" s="83"/>
      <c r="FE437" s="83"/>
      <c r="FF437" s="83"/>
      <c r="FG437" s="83"/>
      <c r="FH437" s="83"/>
      <c r="FI437" s="83"/>
      <c r="FJ437" s="83"/>
      <c r="FK437" s="83"/>
      <c r="FL437" s="83"/>
      <c r="FM437" s="83"/>
      <c r="FN437" s="83"/>
      <c r="FO437" s="83"/>
      <c r="FP437" s="83"/>
      <c r="FQ437" s="83"/>
      <c r="FR437" s="83"/>
      <c r="FS437" s="83"/>
      <c r="FT437" s="83"/>
      <c r="FU437" s="83"/>
      <c r="FV437" s="83"/>
      <c r="FW437" s="83"/>
      <c r="FX437" s="83"/>
      <c r="FY437" s="83"/>
      <c r="FZ437" s="83"/>
      <c r="GA437" s="83"/>
      <c r="GB437" s="83"/>
      <c r="GC437" s="83"/>
      <c r="GD437" s="83"/>
      <c r="GE437" s="83"/>
      <c r="GF437" s="83"/>
      <c r="GG437" s="83"/>
      <c r="GH437" s="83"/>
      <c r="GI437" s="83"/>
      <c r="GJ437" s="83"/>
      <c r="GK437" s="83"/>
      <c r="GL437" s="83"/>
      <c r="GM437" s="83"/>
      <c r="GN437" s="83"/>
      <c r="GO437" s="83"/>
      <c r="GP437" s="83"/>
      <c r="GQ437" s="83"/>
      <c r="GR437" s="83"/>
      <c r="GS437" s="83"/>
      <c r="GT437" s="83"/>
      <c r="GU437" s="83"/>
      <c r="GV437" s="83"/>
      <c r="GW437" s="83"/>
      <c r="GX437" s="83"/>
      <c r="GY437" s="83"/>
      <c r="GZ437" s="83"/>
      <c r="HA437" s="83"/>
      <c r="HB437" s="83"/>
      <c r="HC437" s="83"/>
      <c r="HD437" s="83"/>
      <c r="HE437" s="83"/>
      <c r="HF437" s="83"/>
      <c r="HG437" s="83"/>
      <c r="HH437" s="83"/>
      <c r="HI437" s="83"/>
      <c r="HJ437" s="83"/>
      <c r="HK437" s="83"/>
      <c r="HL437" s="83"/>
      <c r="HM437" s="83"/>
      <c r="HN437" s="83"/>
      <c r="HO437" s="83"/>
      <c r="HP437" s="83"/>
      <c r="HQ437" s="83"/>
      <c r="HR437" s="83"/>
      <c r="HS437" s="83"/>
      <c r="HT437" s="83"/>
      <c r="HU437" s="83"/>
      <c r="HV437" s="83"/>
      <c r="HW437" s="83"/>
      <c r="HX437" s="83"/>
      <c r="HY437" s="83"/>
      <c r="HZ437" s="83"/>
      <c r="IA437" s="83"/>
      <c r="IB437" s="83"/>
      <c r="IC437" s="83"/>
      <c r="ID437" s="83"/>
      <c r="IE437" s="83"/>
      <c r="IF437" s="83"/>
      <c r="IG437" s="83"/>
    </row>
    <row r="438" spans="1:241"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c r="DD438" s="83"/>
      <c r="DE438" s="83"/>
      <c r="DF438" s="83"/>
      <c r="DG438" s="83"/>
      <c r="DH438" s="83"/>
      <c r="DI438" s="83"/>
      <c r="DJ438" s="83"/>
      <c r="DK438" s="83"/>
      <c r="DL438" s="83"/>
      <c r="DM438" s="83"/>
      <c r="DN438" s="83"/>
      <c r="DO438" s="83"/>
      <c r="DP438" s="83"/>
      <c r="DQ438" s="83"/>
      <c r="DR438" s="83"/>
      <c r="DS438" s="83"/>
      <c r="DT438" s="83"/>
      <c r="DU438" s="83"/>
      <c r="DV438" s="83"/>
      <c r="DW438" s="83"/>
      <c r="DX438" s="83"/>
      <c r="DY438" s="83"/>
      <c r="DZ438" s="83"/>
      <c r="EA438" s="83"/>
      <c r="EB438" s="83"/>
      <c r="EC438" s="83"/>
      <c r="ED438" s="83"/>
      <c r="EE438" s="83"/>
      <c r="EF438" s="83"/>
      <c r="EG438" s="83"/>
      <c r="EH438" s="83"/>
      <c r="EI438" s="83"/>
      <c r="EJ438" s="83"/>
      <c r="EK438" s="83"/>
      <c r="EL438" s="83"/>
      <c r="EM438" s="83"/>
      <c r="EN438" s="83"/>
      <c r="EO438" s="83"/>
      <c r="EP438" s="83"/>
      <c r="EQ438" s="83"/>
      <c r="ER438" s="83"/>
      <c r="ES438" s="83"/>
      <c r="ET438" s="83"/>
      <c r="EU438" s="83"/>
      <c r="EV438" s="83"/>
      <c r="EW438" s="83"/>
      <c r="EX438" s="83"/>
      <c r="EY438" s="83"/>
      <c r="EZ438" s="83"/>
      <c r="FA438" s="83"/>
      <c r="FB438" s="83"/>
      <c r="FC438" s="83"/>
      <c r="FD438" s="83"/>
      <c r="FE438" s="83"/>
      <c r="FF438" s="83"/>
      <c r="FG438" s="83"/>
      <c r="FH438" s="83"/>
      <c r="FI438" s="83"/>
      <c r="FJ438" s="83"/>
      <c r="FK438" s="83"/>
      <c r="FL438" s="83"/>
      <c r="FM438" s="83"/>
      <c r="FN438" s="83"/>
      <c r="FO438" s="83"/>
      <c r="FP438" s="83"/>
      <c r="FQ438" s="83"/>
      <c r="FR438" s="83"/>
      <c r="FS438" s="83"/>
      <c r="FT438" s="83"/>
      <c r="FU438" s="83"/>
      <c r="FV438" s="83"/>
      <c r="FW438" s="83"/>
      <c r="FX438" s="83"/>
      <c r="FY438" s="83"/>
      <c r="FZ438" s="83"/>
      <c r="GA438" s="83"/>
      <c r="GB438" s="83"/>
      <c r="GC438" s="83"/>
      <c r="GD438" s="83"/>
      <c r="GE438" s="83"/>
      <c r="GF438" s="83"/>
      <c r="GG438" s="83"/>
      <c r="GH438" s="83"/>
      <c r="GI438" s="83"/>
      <c r="GJ438" s="83"/>
      <c r="GK438" s="83"/>
      <c r="GL438" s="83"/>
      <c r="GM438" s="83"/>
      <c r="GN438" s="83"/>
      <c r="GO438" s="83"/>
      <c r="GP438" s="83"/>
      <c r="GQ438" s="83"/>
      <c r="GR438" s="83"/>
      <c r="GS438" s="83"/>
      <c r="GT438" s="83"/>
      <c r="GU438" s="83"/>
      <c r="GV438" s="83"/>
      <c r="GW438" s="83"/>
      <c r="GX438" s="83"/>
      <c r="GY438" s="83"/>
      <c r="GZ438" s="83"/>
      <c r="HA438" s="83"/>
      <c r="HB438" s="83"/>
      <c r="HC438" s="83"/>
      <c r="HD438" s="83"/>
      <c r="HE438" s="83"/>
      <c r="HF438" s="83"/>
      <c r="HG438" s="83"/>
      <c r="HH438" s="83"/>
      <c r="HI438" s="83"/>
      <c r="HJ438" s="83"/>
      <c r="HK438" s="83"/>
      <c r="HL438" s="83"/>
      <c r="HM438" s="83"/>
      <c r="HN438" s="83"/>
      <c r="HO438" s="83"/>
      <c r="HP438" s="83"/>
      <c r="HQ438" s="83"/>
      <c r="HR438" s="83"/>
      <c r="HS438" s="83"/>
      <c r="HT438" s="83"/>
      <c r="HU438" s="83"/>
      <c r="HV438" s="83"/>
      <c r="HW438" s="83"/>
      <c r="HX438" s="83"/>
      <c r="HY438" s="83"/>
      <c r="HZ438" s="83"/>
      <c r="IA438" s="83"/>
      <c r="IB438" s="83"/>
      <c r="IC438" s="83"/>
      <c r="ID438" s="83"/>
      <c r="IE438" s="83"/>
      <c r="IF438" s="83"/>
      <c r="IG438" s="83"/>
    </row>
    <row r="439" spans="1:241"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c r="DD439" s="83"/>
      <c r="DE439" s="83"/>
      <c r="DF439" s="83"/>
      <c r="DG439" s="83"/>
      <c r="DH439" s="83"/>
      <c r="DI439" s="83"/>
      <c r="DJ439" s="83"/>
      <c r="DK439" s="83"/>
      <c r="DL439" s="83"/>
      <c r="DM439" s="83"/>
      <c r="DN439" s="83"/>
      <c r="DO439" s="83"/>
      <c r="DP439" s="83"/>
      <c r="DQ439" s="83"/>
      <c r="DR439" s="83"/>
      <c r="DS439" s="83"/>
      <c r="DT439" s="83"/>
      <c r="DU439" s="83"/>
      <c r="DV439" s="83"/>
      <c r="DW439" s="83"/>
      <c r="DX439" s="83"/>
      <c r="DY439" s="83"/>
      <c r="DZ439" s="83"/>
      <c r="EA439" s="83"/>
      <c r="EB439" s="83"/>
      <c r="EC439" s="83"/>
      <c r="ED439" s="83"/>
      <c r="EE439" s="83"/>
      <c r="EF439" s="83"/>
      <c r="EG439" s="83"/>
      <c r="EH439" s="83"/>
      <c r="EI439" s="83"/>
      <c r="EJ439" s="83"/>
      <c r="EK439" s="83"/>
      <c r="EL439" s="83"/>
      <c r="EM439" s="83"/>
      <c r="EN439" s="83"/>
      <c r="EO439" s="83"/>
      <c r="EP439" s="83"/>
      <c r="EQ439" s="83"/>
      <c r="ER439" s="83"/>
      <c r="ES439" s="83"/>
      <c r="ET439" s="83"/>
      <c r="EU439" s="83"/>
      <c r="EV439" s="83"/>
      <c r="EW439" s="83"/>
      <c r="EX439" s="83"/>
      <c r="EY439" s="83"/>
      <c r="EZ439" s="83"/>
      <c r="FA439" s="83"/>
      <c r="FB439" s="83"/>
      <c r="FC439" s="83"/>
      <c r="FD439" s="83"/>
      <c r="FE439" s="83"/>
      <c r="FF439" s="83"/>
      <c r="FG439" s="83"/>
      <c r="FH439" s="83"/>
      <c r="FI439" s="83"/>
      <c r="FJ439" s="83"/>
      <c r="FK439" s="83"/>
      <c r="FL439" s="83"/>
      <c r="FM439" s="83"/>
      <c r="FN439" s="83"/>
      <c r="FO439" s="83"/>
      <c r="FP439" s="83"/>
      <c r="FQ439" s="83"/>
      <c r="FR439" s="83"/>
      <c r="FS439" s="83"/>
      <c r="FT439" s="83"/>
      <c r="FU439" s="83"/>
      <c r="FV439" s="83"/>
      <c r="FW439" s="83"/>
      <c r="FX439" s="83"/>
      <c r="FY439" s="83"/>
      <c r="FZ439" s="83"/>
      <c r="GA439" s="83"/>
      <c r="GB439" s="83"/>
      <c r="GC439" s="83"/>
      <c r="GD439" s="83"/>
      <c r="GE439" s="83"/>
      <c r="GF439" s="83"/>
      <c r="GG439" s="83"/>
      <c r="GH439" s="83"/>
      <c r="GI439" s="83"/>
      <c r="GJ439" s="83"/>
      <c r="GK439" s="83"/>
      <c r="GL439" s="83"/>
      <c r="GM439" s="83"/>
      <c r="GN439" s="83"/>
      <c r="GO439" s="83"/>
      <c r="GP439" s="83"/>
      <c r="GQ439" s="83"/>
      <c r="GR439" s="83"/>
      <c r="GS439" s="83"/>
      <c r="GT439" s="83"/>
      <c r="GU439" s="83"/>
      <c r="GV439" s="83"/>
      <c r="GW439" s="83"/>
      <c r="GX439" s="83"/>
      <c r="GY439" s="83"/>
      <c r="GZ439" s="83"/>
      <c r="HA439" s="83"/>
      <c r="HB439" s="83"/>
      <c r="HC439" s="83"/>
      <c r="HD439" s="83"/>
      <c r="HE439" s="83"/>
      <c r="HF439" s="83"/>
      <c r="HG439" s="83"/>
      <c r="HH439" s="83"/>
      <c r="HI439" s="83"/>
      <c r="HJ439" s="83"/>
      <c r="HK439" s="83"/>
      <c r="HL439" s="83"/>
      <c r="HM439" s="83"/>
      <c r="HN439" s="83"/>
      <c r="HO439" s="83"/>
      <c r="HP439" s="83"/>
      <c r="HQ439" s="83"/>
      <c r="HR439" s="83"/>
      <c r="HS439" s="83"/>
      <c r="HT439" s="83"/>
      <c r="HU439" s="83"/>
      <c r="HV439" s="83"/>
      <c r="HW439" s="83"/>
      <c r="HX439" s="83"/>
      <c r="HY439" s="83"/>
      <c r="HZ439" s="83"/>
      <c r="IA439" s="83"/>
      <c r="IB439" s="83"/>
      <c r="IC439" s="83"/>
      <c r="ID439" s="83"/>
      <c r="IE439" s="83"/>
      <c r="IF439" s="83"/>
      <c r="IG439" s="83"/>
    </row>
    <row r="440" spans="1:241"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c r="DD440" s="83"/>
      <c r="DE440" s="83"/>
      <c r="DF440" s="83"/>
      <c r="DG440" s="83"/>
      <c r="DH440" s="83"/>
      <c r="DI440" s="83"/>
      <c r="DJ440" s="83"/>
      <c r="DK440" s="83"/>
      <c r="DL440" s="83"/>
      <c r="DM440" s="83"/>
      <c r="DN440" s="83"/>
      <c r="DO440" s="83"/>
      <c r="DP440" s="83"/>
      <c r="DQ440" s="83"/>
      <c r="DR440" s="83"/>
      <c r="DS440" s="83"/>
      <c r="DT440" s="83"/>
      <c r="DU440" s="83"/>
      <c r="DV440" s="83"/>
      <c r="DW440" s="83"/>
      <c r="DX440" s="83"/>
      <c r="DY440" s="83"/>
      <c r="DZ440" s="83"/>
      <c r="EA440" s="83"/>
      <c r="EB440" s="83"/>
      <c r="EC440" s="83"/>
      <c r="ED440" s="83"/>
      <c r="EE440" s="83"/>
      <c r="EF440" s="83"/>
      <c r="EG440" s="83"/>
      <c r="EH440" s="83"/>
      <c r="EI440" s="83"/>
      <c r="EJ440" s="83"/>
      <c r="EK440" s="83"/>
      <c r="EL440" s="83"/>
      <c r="EM440" s="83"/>
      <c r="EN440" s="83"/>
      <c r="EO440" s="83"/>
      <c r="EP440" s="83"/>
      <c r="EQ440" s="83"/>
      <c r="ER440" s="83"/>
      <c r="ES440" s="83"/>
      <c r="ET440" s="83"/>
      <c r="EU440" s="83"/>
      <c r="EV440" s="83"/>
      <c r="EW440" s="83"/>
      <c r="EX440" s="83"/>
      <c r="EY440" s="83"/>
      <c r="EZ440" s="83"/>
      <c r="FA440" s="83"/>
      <c r="FB440" s="83"/>
      <c r="FC440" s="83"/>
      <c r="FD440" s="83"/>
      <c r="FE440" s="83"/>
      <c r="FF440" s="83"/>
      <c r="FG440" s="83"/>
      <c r="FH440" s="83"/>
      <c r="FI440" s="83"/>
      <c r="FJ440" s="83"/>
      <c r="FK440" s="83"/>
      <c r="FL440" s="83"/>
      <c r="FM440" s="83"/>
      <c r="FN440" s="83"/>
      <c r="FO440" s="83"/>
      <c r="FP440" s="83"/>
      <c r="FQ440" s="83"/>
      <c r="FR440" s="83"/>
      <c r="FS440" s="83"/>
      <c r="FT440" s="83"/>
      <c r="FU440" s="83"/>
      <c r="FV440" s="83"/>
      <c r="FW440" s="83"/>
      <c r="FX440" s="83"/>
      <c r="FY440" s="83"/>
      <c r="FZ440" s="83"/>
      <c r="GA440" s="83"/>
      <c r="GB440" s="83"/>
      <c r="GC440" s="83"/>
      <c r="GD440" s="83"/>
      <c r="GE440" s="83"/>
      <c r="GF440" s="83"/>
      <c r="GG440" s="83"/>
      <c r="GH440" s="83"/>
      <c r="GI440" s="83"/>
      <c r="GJ440" s="83"/>
      <c r="GK440" s="83"/>
      <c r="GL440" s="83"/>
      <c r="GM440" s="83"/>
      <c r="GN440" s="83"/>
      <c r="GO440" s="83"/>
      <c r="GP440" s="83"/>
      <c r="GQ440" s="83"/>
      <c r="GR440" s="83"/>
      <c r="GS440" s="83"/>
      <c r="GT440" s="83"/>
      <c r="GU440" s="83"/>
      <c r="GV440" s="83"/>
      <c r="GW440" s="83"/>
      <c r="GX440" s="83"/>
      <c r="GY440" s="83"/>
      <c r="GZ440" s="83"/>
      <c r="HA440" s="83"/>
      <c r="HB440" s="83"/>
      <c r="HC440" s="83"/>
      <c r="HD440" s="83"/>
      <c r="HE440" s="83"/>
      <c r="HF440" s="83"/>
      <c r="HG440" s="83"/>
      <c r="HH440" s="83"/>
      <c r="HI440" s="83"/>
      <c r="HJ440" s="83"/>
      <c r="HK440" s="83"/>
      <c r="HL440" s="83"/>
      <c r="HM440" s="83"/>
      <c r="HN440" s="83"/>
      <c r="HO440" s="83"/>
      <c r="HP440" s="83"/>
      <c r="HQ440" s="83"/>
      <c r="HR440" s="83"/>
      <c r="HS440" s="83"/>
      <c r="HT440" s="83"/>
      <c r="HU440" s="83"/>
      <c r="HV440" s="83"/>
      <c r="HW440" s="83"/>
      <c r="HX440" s="83"/>
      <c r="HY440" s="83"/>
      <c r="HZ440" s="83"/>
      <c r="IA440" s="83"/>
      <c r="IB440" s="83"/>
      <c r="IC440" s="83"/>
      <c r="ID440" s="83"/>
      <c r="IE440" s="83"/>
      <c r="IF440" s="83"/>
      <c r="IG440" s="83"/>
    </row>
    <row r="441" spans="1:241"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c r="DD441" s="83"/>
      <c r="DE441" s="83"/>
      <c r="DF441" s="83"/>
      <c r="DG441" s="83"/>
      <c r="DH441" s="83"/>
      <c r="DI441" s="83"/>
      <c r="DJ441" s="83"/>
      <c r="DK441" s="83"/>
      <c r="DL441" s="83"/>
      <c r="DM441" s="83"/>
      <c r="DN441" s="83"/>
      <c r="DO441" s="83"/>
      <c r="DP441" s="83"/>
      <c r="DQ441" s="83"/>
      <c r="DR441" s="83"/>
      <c r="DS441" s="83"/>
      <c r="DT441" s="83"/>
      <c r="DU441" s="83"/>
      <c r="DV441" s="83"/>
      <c r="DW441" s="83"/>
      <c r="DX441" s="83"/>
      <c r="DY441" s="83"/>
      <c r="DZ441" s="83"/>
      <c r="EA441" s="83"/>
      <c r="EB441" s="83"/>
      <c r="EC441" s="83"/>
      <c r="ED441" s="83"/>
      <c r="EE441" s="83"/>
      <c r="EF441" s="83"/>
      <c r="EG441" s="83"/>
      <c r="EH441" s="83"/>
      <c r="EI441" s="83"/>
      <c r="EJ441" s="83"/>
      <c r="EK441" s="83"/>
      <c r="EL441" s="83"/>
      <c r="EM441" s="83"/>
      <c r="EN441" s="83"/>
      <c r="EO441" s="83"/>
      <c r="EP441" s="83"/>
      <c r="EQ441" s="83"/>
      <c r="ER441" s="83"/>
      <c r="ES441" s="83"/>
      <c r="ET441" s="83"/>
      <c r="EU441" s="83"/>
      <c r="EV441" s="83"/>
      <c r="EW441" s="83"/>
      <c r="EX441" s="83"/>
      <c r="EY441" s="83"/>
      <c r="EZ441" s="83"/>
      <c r="FA441" s="83"/>
      <c r="FB441" s="83"/>
      <c r="FC441" s="83"/>
      <c r="FD441" s="83"/>
      <c r="FE441" s="83"/>
      <c r="FF441" s="83"/>
      <c r="FG441" s="83"/>
      <c r="FH441" s="83"/>
      <c r="FI441" s="83"/>
      <c r="FJ441" s="83"/>
      <c r="FK441" s="83"/>
      <c r="FL441" s="83"/>
      <c r="FM441" s="83"/>
      <c r="FN441" s="83"/>
      <c r="FO441" s="83"/>
      <c r="FP441" s="83"/>
      <c r="FQ441" s="83"/>
      <c r="FR441" s="83"/>
      <c r="FS441" s="83"/>
      <c r="FT441" s="83"/>
      <c r="FU441" s="83"/>
      <c r="FV441" s="83"/>
      <c r="FW441" s="83"/>
      <c r="FX441" s="83"/>
      <c r="FY441" s="83"/>
      <c r="FZ441" s="83"/>
      <c r="GA441" s="83"/>
      <c r="GB441" s="83"/>
      <c r="GC441" s="83"/>
      <c r="GD441" s="83"/>
      <c r="GE441" s="83"/>
      <c r="GF441" s="83"/>
      <c r="GG441" s="83"/>
      <c r="GH441" s="83"/>
      <c r="GI441" s="83"/>
      <c r="GJ441" s="83"/>
      <c r="GK441" s="83"/>
      <c r="GL441" s="83"/>
      <c r="GM441" s="83"/>
      <c r="GN441" s="83"/>
      <c r="GO441" s="83"/>
      <c r="GP441" s="83"/>
      <c r="GQ441" s="83"/>
      <c r="GR441" s="83"/>
      <c r="GS441" s="83"/>
      <c r="GT441" s="83"/>
      <c r="GU441" s="83"/>
      <c r="GV441" s="83"/>
      <c r="GW441" s="83"/>
      <c r="GX441" s="83"/>
      <c r="GY441" s="83"/>
      <c r="GZ441" s="83"/>
      <c r="HA441" s="83"/>
      <c r="HB441" s="83"/>
      <c r="HC441" s="83"/>
      <c r="HD441" s="83"/>
      <c r="HE441" s="83"/>
      <c r="HF441" s="83"/>
      <c r="HG441" s="83"/>
      <c r="HH441" s="83"/>
      <c r="HI441" s="83"/>
      <c r="HJ441" s="83"/>
      <c r="HK441" s="83"/>
      <c r="HL441" s="83"/>
      <c r="HM441" s="83"/>
      <c r="HN441" s="83"/>
      <c r="HO441" s="83"/>
      <c r="HP441" s="83"/>
      <c r="HQ441" s="83"/>
      <c r="HR441" s="83"/>
      <c r="HS441" s="83"/>
      <c r="HT441" s="83"/>
      <c r="HU441" s="83"/>
      <c r="HV441" s="83"/>
      <c r="HW441" s="83"/>
      <c r="HX441" s="83"/>
      <c r="HY441" s="83"/>
      <c r="HZ441" s="83"/>
      <c r="IA441" s="83"/>
      <c r="IB441" s="83"/>
      <c r="IC441" s="83"/>
      <c r="ID441" s="83"/>
      <c r="IE441" s="83"/>
      <c r="IF441" s="83"/>
      <c r="IG441" s="83"/>
    </row>
    <row r="442" spans="1:241"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c r="DD442" s="83"/>
      <c r="DE442" s="83"/>
      <c r="DF442" s="83"/>
      <c r="DG442" s="83"/>
      <c r="DH442" s="83"/>
      <c r="DI442" s="83"/>
      <c r="DJ442" s="83"/>
      <c r="DK442" s="83"/>
      <c r="DL442" s="83"/>
      <c r="DM442" s="83"/>
      <c r="DN442" s="83"/>
      <c r="DO442" s="83"/>
      <c r="DP442" s="83"/>
      <c r="DQ442" s="83"/>
      <c r="DR442" s="83"/>
      <c r="DS442" s="83"/>
      <c r="DT442" s="83"/>
      <c r="DU442" s="83"/>
      <c r="DV442" s="83"/>
      <c r="DW442" s="83"/>
      <c r="DX442" s="83"/>
      <c r="DY442" s="83"/>
      <c r="DZ442" s="83"/>
      <c r="EA442" s="83"/>
      <c r="EB442" s="83"/>
      <c r="EC442" s="83"/>
      <c r="ED442" s="83"/>
      <c r="EE442" s="83"/>
      <c r="EF442" s="83"/>
      <c r="EG442" s="83"/>
      <c r="EH442" s="83"/>
      <c r="EI442" s="83"/>
      <c r="EJ442" s="83"/>
      <c r="EK442" s="83"/>
      <c r="EL442" s="83"/>
      <c r="EM442" s="83"/>
      <c r="EN442" s="83"/>
      <c r="EO442" s="83"/>
      <c r="EP442" s="83"/>
      <c r="EQ442" s="83"/>
      <c r="ER442" s="83"/>
      <c r="ES442" s="83"/>
      <c r="ET442" s="83"/>
      <c r="EU442" s="83"/>
      <c r="EV442" s="83"/>
      <c r="EW442" s="83"/>
      <c r="EX442" s="83"/>
      <c r="EY442" s="83"/>
      <c r="EZ442" s="83"/>
      <c r="FA442" s="83"/>
      <c r="FB442" s="83"/>
      <c r="FC442" s="83"/>
      <c r="FD442" s="83"/>
      <c r="FE442" s="83"/>
      <c r="FF442" s="83"/>
      <c r="FG442" s="83"/>
      <c r="FH442" s="83"/>
      <c r="FI442" s="83"/>
      <c r="FJ442" s="83"/>
      <c r="FK442" s="83"/>
      <c r="FL442" s="83"/>
      <c r="FM442" s="83"/>
      <c r="FN442" s="83"/>
      <c r="FO442" s="83"/>
      <c r="FP442" s="83"/>
      <c r="FQ442" s="83"/>
      <c r="FR442" s="83"/>
      <c r="FS442" s="83"/>
      <c r="FT442" s="83"/>
      <c r="FU442" s="83"/>
      <c r="FV442" s="83"/>
      <c r="FW442" s="83"/>
      <c r="FX442" s="83"/>
      <c r="FY442" s="83"/>
      <c r="FZ442" s="83"/>
      <c r="GA442" s="83"/>
      <c r="GB442" s="83"/>
      <c r="GC442" s="83"/>
      <c r="GD442" s="83"/>
      <c r="GE442" s="83"/>
      <c r="GF442" s="83"/>
      <c r="GG442" s="83"/>
      <c r="GH442" s="83"/>
      <c r="GI442" s="83"/>
      <c r="GJ442" s="83"/>
      <c r="GK442" s="83"/>
      <c r="GL442" s="83"/>
      <c r="GM442" s="83"/>
      <c r="GN442" s="83"/>
      <c r="GO442" s="83"/>
      <c r="GP442" s="83"/>
      <c r="GQ442" s="83"/>
      <c r="GR442" s="83"/>
      <c r="GS442" s="83"/>
      <c r="GT442" s="83"/>
      <c r="GU442" s="83"/>
      <c r="GV442" s="83"/>
      <c r="GW442" s="83"/>
      <c r="GX442" s="83"/>
      <c r="GY442" s="83"/>
      <c r="GZ442" s="83"/>
      <c r="HA442" s="83"/>
      <c r="HB442" s="83"/>
      <c r="HC442" s="83"/>
      <c r="HD442" s="83"/>
      <c r="HE442" s="83"/>
      <c r="HF442" s="83"/>
      <c r="HG442" s="83"/>
      <c r="HH442" s="83"/>
      <c r="HI442" s="83"/>
      <c r="HJ442" s="83"/>
      <c r="HK442" s="83"/>
      <c r="HL442" s="83"/>
      <c r="HM442" s="83"/>
      <c r="HN442" s="83"/>
      <c r="HO442" s="83"/>
      <c r="HP442" s="83"/>
      <c r="HQ442" s="83"/>
      <c r="HR442" s="83"/>
      <c r="HS442" s="83"/>
      <c r="HT442" s="83"/>
      <c r="HU442" s="83"/>
      <c r="HV442" s="83"/>
      <c r="HW442" s="83"/>
      <c r="HX442" s="83"/>
      <c r="HY442" s="83"/>
      <c r="HZ442" s="83"/>
      <c r="IA442" s="83"/>
      <c r="IB442" s="83"/>
      <c r="IC442" s="83"/>
      <c r="ID442" s="83"/>
      <c r="IE442" s="83"/>
      <c r="IF442" s="83"/>
      <c r="IG442" s="83"/>
    </row>
    <row r="443" spans="1:241"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c r="DD443" s="83"/>
      <c r="DE443" s="83"/>
      <c r="DF443" s="83"/>
      <c r="DG443" s="83"/>
      <c r="DH443" s="83"/>
      <c r="DI443" s="83"/>
      <c r="DJ443" s="83"/>
      <c r="DK443" s="83"/>
      <c r="DL443" s="83"/>
      <c r="DM443" s="83"/>
      <c r="DN443" s="83"/>
      <c r="DO443" s="83"/>
      <c r="DP443" s="83"/>
      <c r="DQ443" s="83"/>
      <c r="DR443" s="83"/>
      <c r="DS443" s="83"/>
      <c r="DT443" s="83"/>
      <c r="DU443" s="83"/>
      <c r="DV443" s="83"/>
      <c r="DW443" s="83"/>
      <c r="DX443" s="83"/>
      <c r="DY443" s="83"/>
      <c r="DZ443" s="83"/>
      <c r="EA443" s="83"/>
      <c r="EB443" s="83"/>
      <c r="EC443" s="83"/>
      <c r="ED443" s="83"/>
      <c r="EE443" s="83"/>
      <c r="EF443" s="83"/>
      <c r="EG443" s="83"/>
      <c r="EH443" s="83"/>
      <c r="EI443" s="83"/>
      <c r="EJ443" s="83"/>
      <c r="EK443" s="83"/>
      <c r="EL443" s="83"/>
      <c r="EM443" s="83"/>
      <c r="EN443" s="83"/>
      <c r="EO443" s="83"/>
      <c r="EP443" s="83"/>
      <c r="EQ443" s="83"/>
      <c r="ER443" s="83"/>
      <c r="ES443" s="83"/>
      <c r="ET443" s="83"/>
      <c r="EU443" s="83"/>
      <c r="EV443" s="83"/>
      <c r="EW443" s="83"/>
      <c r="EX443" s="83"/>
      <c r="EY443" s="83"/>
      <c r="EZ443" s="83"/>
      <c r="FA443" s="83"/>
      <c r="FB443" s="83"/>
      <c r="FC443" s="83"/>
      <c r="FD443" s="83"/>
      <c r="FE443" s="83"/>
      <c r="FF443" s="83"/>
      <c r="FG443" s="83"/>
      <c r="FH443" s="83"/>
      <c r="FI443" s="83"/>
      <c r="FJ443" s="83"/>
      <c r="FK443" s="83"/>
      <c r="FL443" s="83"/>
      <c r="FM443" s="83"/>
      <c r="FN443" s="83"/>
      <c r="FO443" s="83"/>
      <c r="FP443" s="83"/>
      <c r="FQ443" s="83"/>
      <c r="FR443" s="83"/>
      <c r="FS443" s="83"/>
      <c r="FT443" s="83"/>
      <c r="FU443" s="83"/>
      <c r="FV443" s="83"/>
      <c r="FW443" s="83"/>
      <c r="FX443" s="83"/>
      <c r="FY443" s="83"/>
      <c r="FZ443" s="83"/>
      <c r="GA443" s="83"/>
      <c r="GB443" s="83"/>
      <c r="GC443" s="83"/>
      <c r="GD443" s="83"/>
      <c r="GE443" s="83"/>
      <c r="GF443" s="83"/>
      <c r="GG443" s="83"/>
      <c r="GH443" s="83"/>
      <c r="GI443" s="83"/>
      <c r="GJ443" s="83"/>
      <c r="GK443" s="83"/>
      <c r="GL443" s="83"/>
      <c r="GM443" s="83"/>
      <c r="GN443" s="83"/>
      <c r="GO443" s="83"/>
      <c r="GP443" s="83"/>
      <c r="GQ443" s="83"/>
      <c r="GR443" s="83"/>
      <c r="GS443" s="83"/>
      <c r="GT443" s="83"/>
      <c r="GU443" s="83"/>
      <c r="GV443" s="83"/>
      <c r="GW443" s="83"/>
      <c r="GX443" s="83"/>
      <c r="GY443" s="83"/>
      <c r="GZ443" s="83"/>
      <c r="HA443" s="83"/>
      <c r="HB443" s="83"/>
      <c r="HC443" s="83"/>
      <c r="HD443" s="83"/>
      <c r="HE443" s="83"/>
      <c r="HF443" s="83"/>
      <c r="HG443" s="83"/>
      <c r="HH443" s="83"/>
      <c r="HI443" s="83"/>
      <c r="HJ443" s="83"/>
      <c r="HK443" s="83"/>
      <c r="HL443" s="83"/>
      <c r="HM443" s="83"/>
      <c r="HN443" s="83"/>
      <c r="HO443" s="83"/>
      <c r="HP443" s="83"/>
      <c r="HQ443" s="83"/>
      <c r="HR443" s="83"/>
      <c r="HS443" s="83"/>
      <c r="HT443" s="83"/>
      <c r="HU443" s="83"/>
      <c r="HV443" s="83"/>
      <c r="HW443" s="83"/>
      <c r="HX443" s="83"/>
      <c r="HY443" s="83"/>
      <c r="HZ443" s="83"/>
      <c r="IA443" s="83"/>
      <c r="IB443" s="83"/>
      <c r="IC443" s="83"/>
      <c r="ID443" s="83"/>
      <c r="IE443" s="83"/>
      <c r="IF443" s="83"/>
      <c r="IG443" s="83"/>
    </row>
    <row r="444" spans="1:241"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c r="DD444" s="83"/>
      <c r="DE444" s="83"/>
      <c r="DF444" s="83"/>
      <c r="DG444" s="83"/>
      <c r="DH444" s="83"/>
      <c r="DI444" s="83"/>
      <c r="DJ444" s="83"/>
      <c r="DK444" s="83"/>
      <c r="DL444" s="83"/>
      <c r="DM444" s="83"/>
      <c r="DN444" s="83"/>
      <c r="DO444" s="83"/>
      <c r="DP444" s="83"/>
      <c r="DQ444" s="83"/>
      <c r="DR444" s="83"/>
      <c r="DS444" s="83"/>
      <c r="DT444" s="83"/>
      <c r="DU444" s="83"/>
      <c r="DV444" s="83"/>
      <c r="DW444" s="83"/>
      <c r="DX444" s="83"/>
      <c r="DY444" s="83"/>
      <c r="DZ444" s="83"/>
      <c r="EA444" s="83"/>
      <c r="EB444" s="83"/>
      <c r="EC444" s="83"/>
      <c r="ED444" s="83"/>
      <c r="EE444" s="83"/>
      <c r="EF444" s="83"/>
      <c r="EG444" s="83"/>
      <c r="EH444" s="83"/>
      <c r="EI444" s="83"/>
      <c r="EJ444" s="83"/>
      <c r="EK444" s="83"/>
      <c r="EL444" s="83"/>
      <c r="EM444" s="83"/>
      <c r="EN444" s="83"/>
      <c r="EO444" s="83"/>
      <c r="EP444" s="83"/>
      <c r="EQ444" s="83"/>
      <c r="ER444" s="83"/>
      <c r="ES444" s="83"/>
      <c r="ET444" s="83"/>
      <c r="EU444" s="83"/>
      <c r="EV444" s="83"/>
      <c r="EW444" s="83"/>
      <c r="EX444" s="83"/>
      <c r="EY444" s="83"/>
      <c r="EZ444" s="83"/>
      <c r="FA444" s="83"/>
      <c r="FB444" s="83"/>
      <c r="FC444" s="83"/>
      <c r="FD444" s="83"/>
      <c r="FE444" s="83"/>
      <c r="FF444" s="83"/>
      <c r="FG444" s="83"/>
      <c r="FH444" s="83"/>
      <c r="FI444" s="83"/>
      <c r="FJ444" s="83"/>
      <c r="FK444" s="83"/>
      <c r="FL444" s="83"/>
      <c r="FM444" s="83"/>
      <c r="FN444" s="83"/>
      <c r="FO444" s="83"/>
      <c r="FP444" s="83"/>
      <c r="FQ444" s="83"/>
      <c r="FR444" s="83"/>
      <c r="FS444" s="83"/>
      <c r="FT444" s="83"/>
      <c r="FU444" s="83"/>
      <c r="FV444" s="83"/>
      <c r="FW444" s="83"/>
      <c r="FX444" s="83"/>
      <c r="FY444" s="83"/>
      <c r="FZ444" s="83"/>
      <c r="GA444" s="83"/>
      <c r="GB444" s="83"/>
      <c r="GC444" s="83"/>
      <c r="GD444" s="83"/>
      <c r="GE444" s="83"/>
      <c r="GF444" s="83"/>
      <c r="GG444" s="83"/>
      <c r="GH444" s="83"/>
      <c r="GI444" s="83"/>
      <c r="GJ444" s="83"/>
      <c r="GK444" s="83"/>
      <c r="GL444" s="83"/>
      <c r="GM444" s="83"/>
      <c r="GN444" s="83"/>
      <c r="GO444" s="83"/>
      <c r="GP444" s="83"/>
      <c r="GQ444" s="83"/>
      <c r="GR444" s="83"/>
      <c r="GS444" s="83"/>
      <c r="GT444" s="83"/>
      <c r="GU444" s="83"/>
      <c r="GV444" s="83"/>
      <c r="GW444" s="83"/>
      <c r="GX444" s="83"/>
      <c r="GY444" s="83"/>
      <c r="GZ444" s="83"/>
      <c r="HA444" s="83"/>
      <c r="HB444" s="83"/>
      <c r="HC444" s="83"/>
      <c r="HD444" s="83"/>
      <c r="HE444" s="83"/>
      <c r="HF444" s="83"/>
      <c r="HG444" s="83"/>
      <c r="HH444" s="83"/>
      <c r="HI444" s="83"/>
      <c r="HJ444" s="83"/>
      <c r="HK444" s="83"/>
      <c r="HL444" s="83"/>
      <c r="HM444" s="83"/>
      <c r="HN444" s="83"/>
      <c r="HO444" s="83"/>
      <c r="HP444" s="83"/>
      <c r="HQ444" s="83"/>
      <c r="HR444" s="83"/>
      <c r="HS444" s="83"/>
      <c r="HT444" s="83"/>
      <c r="HU444" s="83"/>
      <c r="HV444" s="83"/>
      <c r="HW444" s="83"/>
      <c r="HX444" s="83"/>
      <c r="HY444" s="83"/>
      <c r="HZ444" s="83"/>
      <c r="IA444" s="83"/>
      <c r="IB444" s="83"/>
      <c r="IC444" s="83"/>
      <c r="ID444" s="83"/>
      <c r="IE444" s="83"/>
      <c r="IF444" s="83"/>
      <c r="IG444" s="83"/>
    </row>
    <row r="445" spans="1:241"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c r="DD445" s="83"/>
      <c r="DE445" s="83"/>
      <c r="DF445" s="83"/>
      <c r="DG445" s="83"/>
      <c r="DH445" s="83"/>
      <c r="DI445" s="83"/>
      <c r="DJ445" s="83"/>
      <c r="DK445" s="83"/>
      <c r="DL445" s="83"/>
      <c r="DM445" s="83"/>
      <c r="DN445" s="83"/>
      <c r="DO445" s="83"/>
      <c r="DP445" s="83"/>
      <c r="DQ445" s="83"/>
      <c r="DR445" s="83"/>
      <c r="DS445" s="83"/>
      <c r="DT445" s="83"/>
      <c r="DU445" s="83"/>
      <c r="DV445" s="83"/>
      <c r="DW445" s="83"/>
      <c r="DX445" s="83"/>
      <c r="DY445" s="83"/>
      <c r="DZ445" s="83"/>
      <c r="EA445" s="83"/>
      <c r="EB445" s="83"/>
      <c r="EC445" s="83"/>
      <c r="ED445" s="83"/>
      <c r="EE445" s="83"/>
      <c r="EF445" s="83"/>
      <c r="EG445" s="83"/>
      <c r="EH445" s="83"/>
      <c r="EI445" s="83"/>
      <c r="EJ445" s="83"/>
      <c r="EK445" s="83"/>
      <c r="EL445" s="83"/>
      <c r="EM445" s="83"/>
      <c r="EN445" s="83"/>
      <c r="EO445" s="83"/>
      <c r="EP445" s="83"/>
      <c r="EQ445" s="83"/>
      <c r="ER445" s="83"/>
      <c r="ES445" s="83"/>
      <c r="ET445" s="83"/>
      <c r="EU445" s="83"/>
      <c r="EV445" s="83"/>
      <c r="EW445" s="83"/>
      <c r="EX445" s="83"/>
      <c r="EY445" s="83"/>
      <c r="EZ445" s="83"/>
      <c r="FA445" s="83"/>
      <c r="FB445" s="83"/>
      <c r="FC445" s="83"/>
      <c r="FD445" s="83"/>
      <c r="FE445" s="83"/>
      <c r="FF445" s="83"/>
      <c r="FG445" s="83"/>
      <c r="FH445" s="83"/>
      <c r="FI445" s="83"/>
      <c r="FJ445" s="83"/>
      <c r="FK445" s="83"/>
      <c r="FL445" s="83"/>
      <c r="FM445" s="83"/>
      <c r="FN445" s="83"/>
      <c r="FO445" s="83"/>
      <c r="FP445" s="83"/>
      <c r="FQ445" s="83"/>
      <c r="FR445" s="83"/>
      <c r="FS445" s="83"/>
      <c r="FT445" s="83"/>
      <c r="FU445" s="83"/>
      <c r="FV445" s="83"/>
      <c r="FW445" s="83"/>
      <c r="FX445" s="83"/>
      <c r="FY445" s="83"/>
      <c r="FZ445" s="83"/>
      <c r="GA445" s="83"/>
      <c r="GB445" s="83"/>
      <c r="GC445" s="83"/>
      <c r="GD445" s="83"/>
      <c r="GE445" s="83"/>
      <c r="GF445" s="83"/>
      <c r="GG445" s="83"/>
      <c r="GH445" s="83"/>
      <c r="GI445" s="83"/>
      <c r="GJ445" s="83"/>
      <c r="GK445" s="83"/>
      <c r="GL445" s="83"/>
      <c r="GM445" s="83"/>
      <c r="GN445" s="83"/>
      <c r="GO445" s="83"/>
      <c r="GP445" s="83"/>
      <c r="GQ445" s="83"/>
      <c r="GR445" s="83"/>
      <c r="GS445" s="83"/>
      <c r="GT445" s="83"/>
      <c r="GU445" s="83"/>
      <c r="GV445" s="83"/>
      <c r="GW445" s="83"/>
      <c r="GX445" s="83"/>
      <c r="GY445" s="83"/>
      <c r="GZ445" s="83"/>
      <c r="HA445" s="83"/>
      <c r="HB445" s="83"/>
      <c r="HC445" s="83"/>
      <c r="HD445" s="83"/>
      <c r="HE445" s="83"/>
      <c r="HF445" s="83"/>
      <c r="HG445" s="83"/>
      <c r="HH445" s="83"/>
      <c r="HI445" s="83"/>
      <c r="HJ445" s="83"/>
      <c r="HK445" s="83"/>
      <c r="HL445" s="83"/>
      <c r="HM445" s="83"/>
      <c r="HN445" s="83"/>
      <c r="HO445" s="83"/>
      <c r="HP445" s="83"/>
      <c r="HQ445" s="83"/>
      <c r="HR445" s="83"/>
      <c r="HS445" s="83"/>
      <c r="HT445" s="83"/>
      <c r="HU445" s="83"/>
      <c r="HV445" s="83"/>
      <c r="HW445" s="83"/>
      <c r="HX445" s="83"/>
      <c r="HY445" s="83"/>
      <c r="HZ445" s="83"/>
      <c r="IA445" s="83"/>
      <c r="IB445" s="83"/>
      <c r="IC445" s="83"/>
      <c r="ID445" s="83"/>
      <c r="IE445" s="83"/>
      <c r="IF445" s="83"/>
      <c r="IG445" s="83"/>
    </row>
    <row r="446" spans="1:241"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c r="DD446" s="83"/>
      <c r="DE446" s="83"/>
      <c r="DF446" s="83"/>
      <c r="DG446" s="83"/>
      <c r="DH446" s="83"/>
      <c r="DI446" s="83"/>
      <c r="DJ446" s="83"/>
      <c r="DK446" s="83"/>
      <c r="DL446" s="83"/>
      <c r="DM446" s="83"/>
      <c r="DN446" s="83"/>
      <c r="DO446" s="83"/>
      <c r="DP446" s="83"/>
      <c r="DQ446" s="83"/>
      <c r="DR446" s="83"/>
      <c r="DS446" s="83"/>
      <c r="DT446" s="83"/>
      <c r="DU446" s="83"/>
      <c r="DV446" s="83"/>
      <c r="DW446" s="83"/>
      <c r="DX446" s="83"/>
      <c r="DY446" s="83"/>
      <c r="DZ446" s="83"/>
      <c r="EA446" s="83"/>
      <c r="EB446" s="83"/>
      <c r="EC446" s="83"/>
      <c r="ED446" s="83"/>
      <c r="EE446" s="83"/>
      <c r="EF446" s="83"/>
      <c r="EG446" s="83"/>
      <c r="EH446" s="83"/>
      <c r="EI446" s="83"/>
      <c r="EJ446" s="83"/>
      <c r="EK446" s="83"/>
      <c r="EL446" s="83"/>
      <c r="EM446" s="83"/>
      <c r="EN446" s="83"/>
      <c r="EO446" s="83"/>
      <c r="EP446" s="83"/>
      <c r="EQ446" s="83"/>
      <c r="ER446" s="83"/>
      <c r="ES446" s="83"/>
      <c r="ET446" s="83"/>
      <c r="EU446" s="83"/>
      <c r="EV446" s="83"/>
      <c r="EW446" s="83"/>
      <c r="EX446" s="83"/>
      <c r="EY446" s="83"/>
      <c r="EZ446" s="83"/>
      <c r="FA446" s="83"/>
      <c r="FB446" s="83"/>
      <c r="FC446" s="83"/>
      <c r="FD446" s="83"/>
      <c r="FE446" s="83"/>
      <c r="FF446" s="83"/>
      <c r="FG446" s="83"/>
      <c r="FH446" s="83"/>
      <c r="FI446" s="83"/>
      <c r="FJ446" s="83"/>
      <c r="FK446" s="83"/>
      <c r="FL446" s="83"/>
      <c r="FM446" s="83"/>
      <c r="FN446" s="83"/>
      <c r="FO446" s="83"/>
      <c r="FP446" s="83"/>
      <c r="FQ446" s="83"/>
      <c r="FR446" s="83"/>
      <c r="FS446" s="83"/>
      <c r="FT446" s="83"/>
      <c r="FU446" s="83"/>
      <c r="FV446" s="83"/>
      <c r="FW446" s="83"/>
      <c r="FX446" s="83"/>
      <c r="FY446" s="83"/>
      <c r="FZ446" s="83"/>
      <c r="GA446" s="83"/>
      <c r="GB446" s="83"/>
      <c r="GC446" s="83"/>
      <c r="GD446" s="83"/>
      <c r="GE446" s="83"/>
      <c r="GF446" s="83"/>
      <c r="GG446" s="83"/>
      <c r="GH446" s="83"/>
      <c r="GI446" s="83"/>
      <c r="GJ446" s="83"/>
      <c r="GK446" s="83"/>
      <c r="GL446" s="83"/>
      <c r="GM446" s="83"/>
      <c r="GN446" s="83"/>
      <c r="GO446" s="83"/>
      <c r="GP446" s="83"/>
      <c r="GQ446" s="83"/>
      <c r="GR446" s="83"/>
      <c r="GS446" s="83"/>
      <c r="GT446" s="83"/>
      <c r="GU446" s="83"/>
      <c r="GV446" s="83"/>
      <c r="GW446" s="83"/>
      <c r="GX446" s="83"/>
      <c r="GY446" s="83"/>
      <c r="GZ446" s="83"/>
      <c r="HA446" s="83"/>
      <c r="HB446" s="83"/>
      <c r="HC446" s="83"/>
      <c r="HD446" s="83"/>
      <c r="HE446" s="83"/>
      <c r="HF446" s="83"/>
      <c r="HG446" s="83"/>
      <c r="HH446" s="83"/>
      <c r="HI446" s="83"/>
      <c r="HJ446" s="83"/>
      <c r="HK446" s="83"/>
      <c r="HL446" s="83"/>
      <c r="HM446" s="83"/>
      <c r="HN446" s="83"/>
      <c r="HO446" s="83"/>
      <c r="HP446" s="83"/>
      <c r="HQ446" s="83"/>
      <c r="HR446" s="83"/>
      <c r="HS446" s="83"/>
      <c r="HT446" s="83"/>
      <c r="HU446" s="83"/>
      <c r="HV446" s="83"/>
      <c r="HW446" s="83"/>
      <c r="HX446" s="83"/>
      <c r="HY446" s="83"/>
      <c r="HZ446" s="83"/>
      <c r="IA446" s="83"/>
      <c r="IB446" s="83"/>
      <c r="IC446" s="83"/>
      <c r="ID446" s="83"/>
      <c r="IE446" s="83"/>
      <c r="IF446" s="83"/>
      <c r="IG446" s="83"/>
    </row>
    <row r="447" spans="1:241"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c r="DD447" s="83"/>
      <c r="DE447" s="83"/>
      <c r="DF447" s="83"/>
      <c r="DG447" s="83"/>
      <c r="DH447" s="83"/>
      <c r="DI447" s="83"/>
      <c r="DJ447" s="83"/>
      <c r="DK447" s="83"/>
      <c r="DL447" s="83"/>
      <c r="DM447" s="83"/>
      <c r="DN447" s="83"/>
      <c r="DO447" s="83"/>
      <c r="DP447" s="83"/>
      <c r="DQ447" s="83"/>
      <c r="DR447" s="83"/>
      <c r="DS447" s="83"/>
      <c r="DT447" s="83"/>
      <c r="DU447" s="83"/>
      <c r="DV447" s="83"/>
      <c r="DW447" s="83"/>
      <c r="DX447" s="83"/>
      <c r="DY447" s="83"/>
      <c r="DZ447" s="83"/>
      <c r="EA447" s="83"/>
      <c r="EB447" s="83"/>
      <c r="EC447" s="83"/>
      <c r="ED447" s="83"/>
      <c r="EE447" s="83"/>
      <c r="EF447" s="83"/>
      <c r="EG447" s="83"/>
      <c r="EH447" s="83"/>
      <c r="EI447" s="83"/>
      <c r="EJ447" s="83"/>
      <c r="EK447" s="83"/>
      <c r="EL447" s="83"/>
      <c r="EM447" s="83"/>
      <c r="EN447" s="83"/>
      <c r="EO447" s="83"/>
      <c r="EP447" s="83"/>
      <c r="EQ447" s="83"/>
      <c r="ER447" s="83"/>
      <c r="ES447" s="83"/>
      <c r="ET447" s="83"/>
      <c r="EU447" s="83"/>
      <c r="EV447" s="83"/>
      <c r="EW447" s="83"/>
      <c r="EX447" s="83"/>
      <c r="EY447" s="83"/>
      <c r="EZ447" s="83"/>
      <c r="FA447" s="83"/>
      <c r="FB447" s="83"/>
      <c r="FC447" s="83"/>
      <c r="FD447" s="83"/>
      <c r="FE447" s="83"/>
      <c r="FF447" s="83"/>
      <c r="FG447" s="83"/>
      <c r="FH447" s="83"/>
      <c r="FI447" s="83"/>
      <c r="FJ447" s="83"/>
      <c r="FK447" s="83"/>
      <c r="FL447" s="83"/>
      <c r="FM447" s="83"/>
      <c r="FN447" s="83"/>
      <c r="FO447" s="83"/>
      <c r="FP447" s="83"/>
      <c r="FQ447" s="83"/>
      <c r="FR447" s="83"/>
      <c r="FS447" s="83"/>
      <c r="FT447" s="83"/>
      <c r="FU447" s="83"/>
      <c r="FV447" s="83"/>
      <c r="FW447" s="83"/>
      <c r="FX447" s="83"/>
      <c r="FY447" s="83"/>
      <c r="FZ447" s="83"/>
      <c r="GA447" s="83"/>
      <c r="GB447" s="83"/>
      <c r="GC447" s="83"/>
      <c r="GD447" s="83"/>
      <c r="GE447" s="83"/>
      <c r="GF447" s="83"/>
      <c r="GG447" s="83"/>
      <c r="GH447" s="83"/>
      <c r="GI447" s="83"/>
      <c r="GJ447" s="83"/>
      <c r="GK447" s="83"/>
      <c r="GL447" s="83"/>
      <c r="GM447" s="83"/>
      <c r="GN447" s="83"/>
      <c r="GO447" s="83"/>
      <c r="GP447" s="83"/>
      <c r="GQ447" s="83"/>
      <c r="GR447" s="83"/>
      <c r="GS447" s="83"/>
      <c r="GT447" s="83"/>
      <c r="GU447" s="83"/>
      <c r="GV447" s="83"/>
      <c r="GW447" s="83"/>
      <c r="GX447" s="83"/>
      <c r="GY447" s="83"/>
      <c r="GZ447" s="83"/>
      <c r="HA447" s="83"/>
      <c r="HB447" s="83"/>
      <c r="HC447" s="83"/>
      <c r="HD447" s="83"/>
      <c r="HE447" s="83"/>
      <c r="HF447" s="83"/>
      <c r="HG447" s="83"/>
      <c r="HH447" s="83"/>
      <c r="HI447" s="83"/>
      <c r="HJ447" s="83"/>
      <c r="HK447" s="83"/>
      <c r="HL447" s="83"/>
      <c r="HM447" s="83"/>
      <c r="HN447" s="83"/>
      <c r="HO447" s="83"/>
      <c r="HP447" s="83"/>
      <c r="HQ447" s="83"/>
      <c r="HR447" s="83"/>
      <c r="HS447" s="83"/>
      <c r="HT447" s="83"/>
      <c r="HU447" s="83"/>
      <c r="HV447" s="83"/>
      <c r="HW447" s="83"/>
      <c r="HX447" s="83"/>
      <c r="HY447" s="83"/>
      <c r="HZ447" s="83"/>
      <c r="IA447" s="83"/>
      <c r="IB447" s="83"/>
      <c r="IC447" s="83"/>
      <c r="ID447" s="83"/>
      <c r="IE447" s="83"/>
      <c r="IF447" s="83"/>
      <c r="IG447" s="83"/>
    </row>
    <row r="448" spans="1:241"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c r="DD448" s="83"/>
      <c r="DE448" s="83"/>
      <c r="DF448" s="83"/>
      <c r="DG448" s="83"/>
      <c r="DH448" s="83"/>
      <c r="DI448" s="83"/>
      <c r="DJ448" s="83"/>
      <c r="DK448" s="83"/>
      <c r="DL448" s="83"/>
      <c r="DM448" s="83"/>
      <c r="DN448" s="83"/>
      <c r="DO448" s="83"/>
      <c r="DP448" s="83"/>
      <c r="DQ448" s="83"/>
      <c r="DR448" s="83"/>
      <c r="DS448" s="83"/>
      <c r="DT448" s="83"/>
      <c r="DU448" s="83"/>
      <c r="DV448" s="83"/>
      <c r="DW448" s="83"/>
      <c r="DX448" s="83"/>
      <c r="DY448" s="83"/>
      <c r="DZ448" s="83"/>
      <c r="EA448" s="83"/>
      <c r="EB448" s="83"/>
      <c r="EC448" s="83"/>
      <c r="ED448" s="83"/>
      <c r="EE448" s="83"/>
      <c r="EF448" s="83"/>
      <c r="EG448" s="83"/>
      <c r="EH448" s="83"/>
      <c r="EI448" s="83"/>
      <c r="EJ448" s="83"/>
      <c r="EK448" s="83"/>
      <c r="EL448" s="83"/>
      <c r="EM448" s="83"/>
      <c r="EN448" s="83"/>
      <c r="EO448" s="83"/>
      <c r="EP448" s="83"/>
      <c r="EQ448" s="83"/>
      <c r="ER448" s="83"/>
      <c r="ES448" s="83"/>
      <c r="ET448" s="83"/>
      <c r="EU448" s="83"/>
      <c r="EV448" s="83"/>
      <c r="EW448" s="83"/>
      <c r="EX448" s="83"/>
      <c r="EY448" s="83"/>
      <c r="EZ448" s="83"/>
      <c r="FA448" s="83"/>
      <c r="FB448" s="83"/>
      <c r="FC448" s="83"/>
      <c r="FD448" s="83"/>
      <c r="FE448" s="83"/>
      <c r="FF448" s="83"/>
      <c r="FG448" s="83"/>
      <c r="FH448" s="83"/>
      <c r="FI448" s="83"/>
      <c r="FJ448" s="83"/>
      <c r="FK448" s="83"/>
      <c r="FL448" s="83"/>
      <c r="FM448" s="83"/>
      <c r="FN448" s="83"/>
      <c r="FO448" s="83"/>
      <c r="FP448" s="83"/>
      <c r="FQ448" s="83"/>
      <c r="FR448" s="83"/>
      <c r="FS448" s="83"/>
      <c r="FT448" s="83"/>
      <c r="FU448" s="83"/>
      <c r="FV448" s="83"/>
      <c r="FW448" s="83"/>
      <c r="FX448" s="83"/>
      <c r="FY448" s="83"/>
      <c r="FZ448" s="83"/>
      <c r="GA448" s="83"/>
      <c r="GB448" s="83"/>
      <c r="GC448" s="83"/>
      <c r="GD448" s="83"/>
      <c r="GE448" s="83"/>
      <c r="GF448" s="83"/>
      <c r="GG448" s="83"/>
      <c r="GH448" s="83"/>
      <c r="GI448" s="83"/>
      <c r="GJ448" s="83"/>
      <c r="GK448" s="83"/>
      <c r="GL448" s="83"/>
      <c r="GM448" s="83"/>
      <c r="GN448" s="83"/>
      <c r="GO448" s="83"/>
      <c r="GP448" s="83"/>
      <c r="GQ448" s="83"/>
      <c r="GR448" s="83"/>
      <c r="GS448" s="83"/>
      <c r="GT448" s="83"/>
      <c r="GU448" s="83"/>
      <c r="GV448" s="83"/>
      <c r="GW448" s="83"/>
      <c r="GX448" s="83"/>
      <c r="GY448" s="83"/>
      <c r="GZ448" s="83"/>
      <c r="HA448" s="83"/>
      <c r="HB448" s="83"/>
      <c r="HC448" s="83"/>
      <c r="HD448" s="83"/>
      <c r="HE448" s="83"/>
      <c r="HF448" s="83"/>
      <c r="HG448" s="83"/>
      <c r="HH448" s="83"/>
      <c r="HI448" s="83"/>
      <c r="HJ448" s="83"/>
      <c r="HK448" s="83"/>
      <c r="HL448" s="83"/>
      <c r="HM448" s="83"/>
      <c r="HN448" s="83"/>
      <c r="HO448" s="83"/>
      <c r="HP448" s="83"/>
      <c r="HQ448" s="83"/>
      <c r="HR448" s="83"/>
      <c r="HS448" s="83"/>
      <c r="HT448" s="83"/>
      <c r="HU448" s="83"/>
      <c r="HV448" s="83"/>
      <c r="HW448" s="83"/>
      <c r="HX448" s="83"/>
      <c r="HY448" s="83"/>
      <c r="HZ448" s="83"/>
      <c r="IA448" s="83"/>
      <c r="IB448" s="83"/>
      <c r="IC448" s="83"/>
      <c r="ID448" s="83"/>
      <c r="IE448" s="83"/>
      <c r="IF448" s="83"/>
      <c r="IG448" s="83"/>
    </row>
    <row r="449" spans="1:241"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c r="DD449" s="83"/>
      <c r="DE449" s="83"/>
      <c r="DF449" s="83"/>
      <c r="DG449" s="83"/>
      <c r="DH449" s="83"/>
      <c r="DI449" s="83"/>
      <c r="DJ449" s="83"/>
      <c r="DK449" s="83"/>
      <c r="DL449" s="83"/>
      <c r="DM449" s="83"/>
      <c r="DN449" s="83"/>
      <c r="DO449" s="83"/>
      <c r="DP449" s="83"/>
      <c r="DQ449" s="83"/>
      <c r="DR449" s="83"/>
      <c r="DS449" s="83"/>
      <c r="DT449" s="83"/>
      <c r="DU449" s="83"/>
      <c r="DV449" s="83"/>
      <c r="DW449" s="83"/>
      <c r="DX449" s="83"/>
      <c r="DY449" s="83"/>
      <c r="DZ449" s="83"/>
      <c r="EA449" s="83"/>
      <c r="EB449" s="83"/>
      <c r="EC449" s="83"/>
      <c r="ED449" s="83"/>
      <c r="EE449" s="83"/>
      <c r="EF449" s="83"/>
      <c r="EG449" s="83"/>
      <c r="EH449" s="83"/>
      <c r="EI449" s="83"/>
      <c r="EJ449" s="83"/>
      <c r="EK449" s="83"/>
      <c r="EL449" s="83"/>
      <c r="EM449" s="83"/>
      <c r="EN449" s="83"/>
      <c r="EO449" s="83"/>
      <c r="EP449" s="83"/>
      <c r="EQ449" s="83"/>
      <c r="ER449" s="83"/>
      <c r="ES449" s="83"/>
      <c r="ET449" s="83"/>
      <c r="EU449" s="83"/>
      <c r="EV449" s="83"/>
      <c r="EW449" s="83"/>
      <c r="EX449" s="83"/>
      <c r="EY449" s="83"/>
      <c r="EZ449" s="83"/>
      <c r="FA449" s="83"/>
      <c r="FB449" s="83"/>
      <c r="FC449" s="83"/>
      <c r="FD449" s="83"/>
      <c r="FE449" s="83"/>
      <c r="FF449" s="83"/>
      <c r="FG449" s="83"/>
      <c r="FH449" s="83"/>
      <c r="FI449" s="83"/>
      <c r="FJ449" s="83"/>
      <c r="FK449" s="83"/>
      <c r="FL449" s="83"/>
      <c r="FM449" s="83"/>
      <c r="FN449" s="83"/>
      <c r="FO449" s="83"/>
      <c r="FP449" s="83"/>
      <c r="FQ449" s="83"/>
      <c r="FR449" s="83"/>
      <c r="FS449" s="83"/>
      <c r="FT449" s="83"/>
      <c r="FU449" s="83"/>
      <c r="FV449" s="83"/>
      <c r="FW449" s="83"/>
      <c r="FX449" s="83"/>
      <c r="FY449" s="83"/>
      <c r="FZ449" s="83"/>
      <c r="GA449" s="83"/>
      <c r="GB449" s="83"/>
      <c r="GC449" s="83"/>
      <c r="GD449" s="83"/>
      <c r="GE449" s="83"/>
      <c r="GF449" s="83"/>
      <c r="GG449" s="83"/>
      <c r="GH449" s="83"/>
      <c r="GI449" s="83"/>
      <c r="GJ449" s="83"/>
      <c r="GK449" s="83"/>
      <c r="GL449" s="83"/>
      <c r="GM449" s="83"/>
      <c r="GN449" s="83"/>
      <c r="GO449" s="83"/>
      <c r="GP449" s="83"/>
      <c r="GQ449" s="83"/>
      <c r="GR449" s="83"/>
      <c r="GS449" s="83"/>
      <c r="GT449" s="83"/>
      <c r="GU449" s="83"/>
      <c r="GV449" s="83"/>
      <c r="GW449" s="83"/>
      <c r="GX449" s="83"/>
      <c r="GY449" s="83"/>
      <c r="GZ449" s="83"/>
      <c r="HA449" s="83"/>
      <c r="HB449" s="83"/>
      <c r="HC449" s="83"/>
      <c r="HD449" s="83"/>
      <c r="HE449" s="83"/>
      <c r="HF449" s="83"/>
      <c r="HG449" s="83"/>
      <c r="HH449" s="83"/>
      <c r="HI449" s="83"/>
      <c r="HJ449" s="83"/>
      <c r="HK449" s="83"/>
      <c r="HL449" s="83"/>
      <c r="HM449" s="83"/>
      <c r="HN449" s="83"/>
      <c r="HO449" s="83"/>
      <c r="HP449" s="83"/>
      <c r="HQ449" s="83"/>
      <c r="HR449" s="83"/>
      <c r="HS449" s="83"/>
      <c r="HT449" s="83"/>
      <c r="HU449" s="83"/>
      <c r="HV449" s="83"/>
      <c r="HW449" s="83"/>
      <c r="HX449" s="83"/>
      <c r="HY449" s="83"/>
      <c r="HZ449" s="83"/>
      <c r="IA449" s="83"/>
      <c r="IB449" s="83"/>
      <c r="IC449" s="83"/>
      <c r="ID449" s="83"/>
      <c r="IE449" s="83"/>
      <c r="IF449" s="83"/>
      <c r="IG449" s="83"/>
    </row>
    <row r="450" spans="1:241"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c r="DD450" s="83"/>
      <c r="DE450" s="83"/>
      <c r="DF450" s="83"/>
      <c r="DG450" s="83"/>
      <c r="DH450" s="83"/>
      <c r="DI450" s="83"/>
      <c r="DJ450" s="83"/>
      <c r="DK450" s="83"/>
      <c r="DL450" s="83"/>
      <c r="DM450" s="83"/>
      <c r="DN450" s="83"/>
      <c r="DO450" s="83"/>
      <c r="DP450" s="83"/>
      <c r="DQ450" s="83"/>
      <c r="DR450" s="83"/>
      <c r="DS450" s="83"/>
      <c r="DT450" s="83"/>
      <c r="DU450" s="83"/>
      <c r="DV450" s="83"/>
      <c r="DW450" s="83"/>
      <c r="DX450" s="83"/>
      <c r="DY450" s="83"/>
      <c r="DZ450" s="83"/>
      <c r="EA450" s="83"/>
      <c r="EB450" s="83"/>
      <c r="EC450" s="83"/>
      <c r="ED450" s="83"/>
      <c r="EE450" s="83"/>
      <c r="EF450" s="83"/>
      <c r="EG450" s="83"/>
      <c r="EH450" s="83"/>
      <c r="EI450" s="83"/>
      <c r="EJ450" s="83"/>
      <c r="EK450" s="83"/>
      <c r="EL450" s="83"/>
      <c r="EM450" s="83"/>
      <c r="EN450" s="83"/>
      <c r="EO450" s="83"/>
      <c r="EP450" s="83"/>
      <c r="EQ450" s="83"/>
      <c r="ER450" s="83"/>
      <c r="ES450" s="83"/>
      <c r="ET450" s="83"/>
      <c r="EU450" s="83"/>
      <c r="EV450" s="83"/>
      <c r="EW450" s="83"/>
      <c r="EX450" s="83"/>
      <c r="EY450" s="83"/>
      <c r="EZ450" s="83"/>
      <c r="FA450" s="83"/>
      <c r="FB450" s="83"/>
      <c r="FC450" s="83"/>
      <c r="FD450" s="83"/>
      <c r="FE450" s="83"/>
      <c r="FF450" s="83"/>
      <c r="FG450" s="83"/>
      <c r="FH450" s="83"/>
      <c r="FI450" s="83"/>
      <c r="FJ450" s="83"/>
      <c r="FK450" s="83"/>
      <c r="FL450" s="83"/>
      <c r="FM450" s="83"/>
      <c r="FN450" s="83"/>
      <c r="FO450" s="83"/>
      <c r="FP450" s="83"/>
      <c r="FQ450" s="83"/>
      <c r="FR450" s="83"/>
      <c r="FS450" s="83"/>
      <c r="FT450" s="83"/>
      <c r="FU450" s="83"/>
      <c r="FV450" s="83"/>
      <c r="FW450" s="83"/>
      <c r="FX450" s="83"/>
      <c r="FY450" s="83"/>
      <c r="FZ450" s="83"/>
      <c r="GA450" s="83"/>
      <c r="GB450" s="83"/>
      <c r="GC450" s="83"/>
      <c r="GD450" s="83"/>
      <c r="GE450" s="83"/>
      <c r="GF450" s="83"/>
      <c r="GG450" s="83"/>
      <c r="GH450" s="83"/>
      <c r="GI450" s="83"/>
      <c r="GJ450" s="83"/>
      <c r="GK450" s="83"/>
      <c r="GL450" s="83"/>
      <c r="GM450" s="83"/>
      <c r="GN450" s="83"/>
      <c r="GO450" s="83"/>
      <c r="GP450" s="83"/>
      <c r="GQ450" s="83"/>
      <c r="GR450" s="83"/>
      <c r="GS450" s="83"/>
      <c r="GT450" s="83"/>
      <c r="GU450" s="83"/>
      <c r="GV450" s="83"/>
      <c r="GW450" s="83"/>
      <c r="GX450" s="83"/>
      <c r="GY450" s="83"/>
      <c r="GZ450" s="83"/>
      <c r="HA450" s="83"/>
      <c r="HB450" s="83"/>
      <c r="HC450" s="83"/>
      <c r="HD450" s="83"/>
      <c r="HE450" s="83"/>
      <c r="HF450" s="83"/>
      <c r="HG450" s="83"/>
      <c r="HH450" s="83"/>
      <c r="HI450" s="83"/>
      <c r="HJ450" s="83"/>
      <c r="HK450" s="83"/>
      <c r="HL450" s="83"/>
      <c r="HM450" s="83"/>
      <c r="HN450" s="83"/>
      <c r="HO450" s="83"/>
      <c r="HP450" s="83"/>
      <c r="HQ450" s="83"/>
      <c r="HR450" s="83"/>
      <c r="HS450" s="83"/>
      <c r="HT450" s="83"/>
      <c r="HU450" s="83"/>
      <c r="HV450" s="83"/>
      <c r="HW450" s="83"/>
      <c r="HX450" s="83"/>
      <c r="HY450" s="83"/>
      <c r="HZ450" s="83"/>
      <c r="IA450" s="83"/>
      <c r="IB450" s="83"/>
      <c r="IC450" s="83"/>
      <c r="ID450" s="83"/>
      <c r="IE450" s="83"/>
      <c r="IF450" s="83"/>
      <c r="IG450" s="83"/>
    </row>
    <row r="451" spans="1:241"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c r="DD451" s="83"/>
      <c r="DE451" s="83"/>
      <c r="DF451" s="83"/>
      <c r="DG451" s="83"/>
      <c r="DH451" s="83"/>
      <c r="DI451" s="83"/>
      <c r="DJ451" s="83"/>
      <c r="DK451" s="83"/>
      <c r="DL451" s="83"/>
      <c r="DM451" s="83"/>
      <c r="DN451" s="83"/>
      <c r="DO451" s="83"/>
      <c r="DP451" s="83"/>
      <c r="DQ451" s="83"/>
      <c r="DR451" s="83"/>
      <c r="DS451" s="83"/>
      <c r="DT451" s="83"/>
      <c r="DU451" s="83"/>
      <c r="DV451" s="83"/>
      <c r="DW451" s="83"/>
      <c r="DX451" s="83"/>
      <c r="DY451" s="83"/>
      <c r="DZ451" s="83"/>
      <c r="EA451" s="83"/>
      <c r="EB451" s="83"/>
      <c r="EC451" s="83"/>
      <c r="ED451" s="83"/>
      <c r="EE451" s="83"/>
      <c r="EF451" s="83"/>
      <c r="EG451" s="83"/>
      <c r="EH451" s="83"/>
      <c r="EI451" s="83"/>
      <c r="EJ451" s="83"/>
      <c r="EK451" s="83"/>
      <c r="EL451" s="83"/>
      <c r="EM451" s="83"/>
      <c r="EN451" s="83"/>
      <c r="EO451" s="83"/>
      <c r="EP451" s="83"/>
      <c r="EQ451" s="83"/>
      <c r="ER451" s="83"/>
      <c r="ES451" s="83"/>
      <c r="ET451" s="83"/>
      <c r="EU451" s="83"/>
      <c r="EV451" s="83"/>
      <c r="EW451" s="83"/>
      <c r="EX451" s="83"/>
      <c r="EY451" s="83"/>
      <c r="EZ451" s="83"/>
      <c r="FA451" s="83"/>
      <c r="FB451" s="83"/>
      <c r="FC451" s="83"/>
      <c r="FD451" s="83"/>
      <c r="FE451" s="83"/>
      <c r="FF451" s="83"/>
      <c r="FG451" s="83"/>
      <c r="FH451" s="83"/>
      <c r="FI451" s="83"/>
      <c r="FJ451" s="83"/>
      <c r="FK451" s="83"/>
      <c r="FL451" s="83"/>
      <c r="FM451" s="83"/>
      <c r="FN451" s="83"/>
      <c r="FO451" s="83"/>
      <c r="FP451" s="83"/>
      <c r="FQ451" s="83"/>
      <c r="FR451" s="83"/>
      <c r="FS451" s="83"/>
      <c r="FT451" s="83"/>
      <c r="FU451" s="83"/>
      <c r="FV451" s="83"/>
      <c r="FW451" s="83"/>
      <c r="FX451" s="83"/>
      <c r="FY451" s="83"/>
      <c r="FZ451" s="83"/>
      <c r="GA451" s="83"/>
      <c r="GB451" s="83"/>
      <c r="GC451" s="83"/>
      <c r="GD451" s="83"/>
      <c r="GE451" s="83"/>
      <c r="GF451" s="83"/>
      <c r="GG451" s="83"/>
      <c r="GH451" s="83"/>
      <c r="GI451" s="83"/>
      <c r="GJ451" s="83"/>
      <c r="GK451" s="83"/>
      <c r="GL451" s="83"/>
      <c r="GM451" s="83"/>
      <c r="GN451" s="83"/>
      <c r="GO451" s="83"/>
      <c r="GP451" s="83"/>
      <c r="GQ451" s="83"/>
      <c r="GR451" s="83"/>
      <c r="GS451" s="83"/>
      <c r="GT451" s="83"/>
      <c r="GU451" s="83"/>
      <c r="GV451" s="83"/>
      <c r="GW451" s="83"/>
      <c r="GX451" s="83"/>
      <c r="GY451" s="83"/>
      <c r="GZ451" s="83"/>
      <c r="HA451" s="83"/>
      <c r="HB451" s="83"/>
      <c r="HC451" s="83"/>
      <c r="HD451" s="83"/>
      <c r="HE451" s="83"/>
      <c r="HF451" s="83"/>
      <c r="HG451" s="83"/>
      <c r="HH451" s="83"/>
      <c r="HI451" s="83"/>
      <c r="HJ451" s="83"/>
      <c r="HK451" s="83"/>
      <c r="HL451" s="83"/>
      <c r="HM451" s="83"/>
      <c r="HN451" s="83"/>
      <c r="HO451" s="83"/>
      <c r="HP451" s="83"/>
      <c r="HQ451" s="83"/>
      <c r="HR451" s="83"/>
      <c r="HS451" s="83"/>
      <c r="HT451" s="83"/>
      <c r="HU451" s="83"/>
      <c r="HV451" s="83"/>
      <c r="HW451" s="83"/>
      <c r="HX451" s="83"/>
      <c r="HY451" s="83"/>
      <c r="HZ451" s="83"/>
      <c r="IA451" s="83"/>
      <c r="IB451" s="83"/>
      <c r="IC451" s="83"/>
      <c r="ID451" s="83"/>
      <c r="IE451" s="83"/>
      <c r="IF451" s="83"/>
      <c r="IG451" s="83"/>
    </row>
    <row r="452" spans="1:241"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c r="DD452" s="83"/>
      <c r="DE452" s="83"/>
      <c r="DF452" s="83"/>
      <c r="DG452" s="83"/>
      <c r="DH452" s="83"/>
      <c r="DI452" s="83"/>
      <c r="DJ452" s="83"/>
      <c r="DK452" s="83"/>
      <c r="DL452" s="83"/>
      <c r="DM452" s="83"/>
      <c r="DN452" s="83"/>
      <c r="DO452" s="83"/>
      <c r="DP452" s="83"/>
      <c r="DQ452" s="83"/>
      <c r="DR452" s="83"/>
      <c r="DS452" s="83"/>
      <c r="DT452" s="83"/>
      <c r="DU452" s="83"/>
      <c r="DV452" s="83"/>
      <c r="DW452" s="83"/>
      <c r="DX452" s="83"/>
      <c r="DY452" s="83"/>
      <c r="DZ452" s="83"/>
      <c r="EA452" s="83"/>
      <c r="EB452" s="83"/>
      <c r="EC452" s="83"/>
      <c r="ED452" s="83"/>
      <c r="EE452" s="83"/>
      <c r="EF452" s="83"/>
      <c r="EG452" s="83"/>
      <c r="EH452" s="83"/>
      <c r="EI452" s="83"/>
      <c r="EJ452" s="83"/>
      <c r="EK452" s="83"/>
      <c r="EL452" s="83"/>
      <c r="EM452" s="83"/>
      <c r="EN452" s="83"/>
      <c r="EO452" s="83"/>
      <c r="EP452" s="83"/>
      <c r="EQ452" s="83"/>
      <c r="ER452" s="83"/>
      <c r="ES452" s="83"/>
      <c r="ET452" s="83"/>
      <c r="EU452" s="83"/>
      <c r="EV452" s="83"/>
      <c r="EW452" s="83"/>
      <c r="EX452" s="83"/>
      <c r="EY452" s="83"/>
      <c r="EZ452" s="83"/>
      <c r="FA452" s="83"/>
      <c r="FB452" s="83"/>
      <c r="FC452" s="83"/>
      <c r="FD452" s="83"/>
      <c r="FE452" s="83"/>
      <c r="FF452" s="83"/>
      <c r="FG452" s="83"/>
      <c r="FH452" s="83"/>
      <c r="FI452" s="83"/>
      <c r="FJ452" s="83"/>
      <c r="FK452" s="83"/>
      <c r="FL452" s="83"/>
      <c r="FM452" s="83"/>
      <c r="FN452" s="83"/>
      <c r="FO452" s="83"/>
      <c r="FP452" s="83"/>
      <c r="FQ452" s="83"/>
      <c r="FR452" s="83"/>
      <c r="FS452" s="83"/>
      <c r="FT452" s="83"/>
      <c r="FU452" s="83"/>
      <c r="FV452" s="83"/>
      <c r="FW452" s="83"/>
      <c r="FX452" s="83"/>
      <c r="FY452" s="83"/>
      <c r="FZ452" s="83"/>
      <c r="GA452" s="83"/>
      <c r="GB452" s="83"/>
      <c r="GC452" s="83"/>
      <c r="GD452" s="83"/>
      <c r="GE452" s="83"/>
      <c r="GF452" s="83"/>
      <c r="GG452" s="83"/>
      <c r="GH452" s="83"/>
      <c r="GI452" s="83"/>
      <c r="GJ452" s="83"/>
      <c r="GK452" s="83"/>
      <c r="GL452" s="83"/>
      <c r="GM452" s="83"/>
      <c r="GN452" s="83"/>
      <c r="GO452" s="83"/>
      <c r="GP452" s="83"/>
      <c r="GQ452" s="83"/>
      <c r="GR452" s="83"/>
      <c r="GS452" s="83"/>
      <c r="GT452" s="83"/>
      <c r="GU452" s="83"/>
      <c r="GV452" s="83"/>
      <c r="GW452" s="83"/>
      <c r="GX452" s="83"/>
      <c r="GY452" s="83"/>
      <c r="GZ452" s="83"/>
      <c r="HA452" s="83"/>
      <c r="HB452" s="83"/>
      <c r="HC452" s="83"/>
      <c r="HD452" s="83"/>
      <c r="HE452" s="83"/>
      <c r="HF452" s="83"/>
      <c r="HG452" s="83"/>
      <c r="HH452" s="83"/>
      <c r="HI452" s="83"/>
      <c r="HJ452" s="83"/>
      <c r="HK452" s="83"/>
      <c r="HL452" s="83"/>
      <c r="HM452" s="83"/>
      <c r="HN452" s="83"/>
      <c r="HO452" s="83"/>
      <c r="HP452" s="83"/>
      <c r="HQ452" s="83"/>
      <c r="HR452" s="83"/>
      <c r="HS452" s="83"/>
      <c r="HT452" s="83"/>
      <c r="HU452" s="83"/>
      <c r="HV452" s="83"/>
      <c r="HW452" s="83"/>
      <c r="HX452" s="83"/>
      <c r="HY452" s="83"/>
      <c r="HZ452" s="83"/>
      <c r="IA452" s="83"/>
      <c r="IB452" s="83"/>
      <c r="IC452" s="83"/>
      <c r="ID452" s="83"/>
      <c r="IE452" s="83"/>
      <c r="IF452" s="83"/>
      <c r="IG452" s="83"/>
    </row>
    <row r="453" spans="1:241"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c r="DD453" s="83"/>
      <c r="DE453" s="83"/>
      <c r="DF453" s="83"/>
      <c r="DG453" s="83"/>
      <c r="DH453" s="83"/>
      <c r="DI453" s="83"/>
      <c r="DJ453" s="83"/>
      <c r="DK453" s="83"/>
      <c r="DL453" s="83"/>
      <c r="DM453" s="83"/>
      <c r="DN453" s="83"/>
      <c r="DO453" s="83"/>
      <c r="DP453" s="83"/>
      <c r="DQ453" s="83"/>
      <c r="DR453" s="83"/>
      <c r="DS453" s="83"/>
      <c r="DT453" s="83"/>
      <c r="DU453" s="83"/>
      <c r="DV453" s="83"/>
      <c r="DW453" s="83"/>
      <c r="DX453" s="83"/>
      <c r="DY453" s="83"/>
      <c r="DZ453" s="83"/>
      <c r="EA453" s="83"/>
      <c r="EB453" s="83"/>
      <c r="EC453" s="83"/>
      <c r="ED453" s="83"/>
      <c r="EE453" s="83"/>
      <c r="EF453" s="83"/>
      <c r="EG453" s="83"/>
      <c r="EH453" s="83"/>
      <c r="EI453" s="83"/>
      <c r="EJ453" s="83"/>
      <c r="EK453" s="83"/>
      <c r="EL453" s="83"/>
      <c r="EM453" s="83"/>
      <c r="EN453" s="83"/>
      <c r="EO453" s="83"/>
      <c r="EP453" s="83"/>
      <c r="EQ453" s="83"/>
      <c r="ER453" s="83"/>
      <c r="ES453" s="83"/>
      <c r="ET453" s="83"/>
      <c r="EU453" s="83"/>
      <c r="EV453" s="83"/>
      <c r="EW453" s="83"/>
      <c r="EX453" s="83"/>
      <c r="EY453" s="83"/>
      <c r="EZ453" s="83"/>
      <c r="FA453" s="83"/>
      <c r="FB453" s="83"/>
      <c r="FC453" s="83"/>
      <c r="FD453" s="83"/>
      <c r="FE453" s="83"/>
      <c r="FF453" s="83"/>
      <c r="FG453" s="83"/>
      <c r="FH453" s="83"/>
      <c r="FI453" s="83"/>
      <c r="FJ453" s="83"/>
      <c r="FK453" s="83"/>
      <c r="FL453" s="83"/>
      <c r="FM453" s="83"/>
      <c r="FN453" s="83"/>
      <c r="FO453" s="83"/>
      <c r="FP453" s="83"/>
      <c r="FQ453" s="83"/>
      <c r="FR453" s="83"/>
      <c r="FS453" s="83"/>
      <c r="FT453" s="83"/>
      <c r="FU453" s="83"/>
      <c r="FV453" s="83"/>
      <c r="FW453" s="83"/>
      <c r="FX453" s="83"/>
      <c r="FY453" s="83"/>
      <c r="FZ453" s="83"/>
      <c r="GA453" s="83"/>
      <c r="GB453" s="83"/>
      <c r="GC453" s="83"/>
      <c r="GD453" s="83"/>
      <c r="GE453" s="83"/>
      <c r="GF453" s="83"/>
      <c r="GG453" s="83"/>
      <c r="GH453" s="83"/>
      <c r="GI453" s="83"/>
      <c r="GJ453" s="83"/>
      <c r="GK453" s="83"/>
      <c r="GL453" s="83"/>
      <c r="GM453" s="83"/>
      <c r="GN453" s="83"/>
      <c r="GO453" s="83"/>
      <c r="GP453" s="83"/>
      <c r="GQ453" s="83"/>
      <c r="GR453" s="83"/>
      <c r="GS453" s="83"/>
      <c r="GT453" s="83"/>
      <c r="GU453" s="83"/>
      <c r="GV453" s="83"/>
      <c r="GW453" s="83"/>
      <c r="GX453" s="83"/>
      <c r="GY453" s="83"/>
      <c r="GZ453" s="83"/>
      <c r="HA453" s="83"/>
      <c r="HB453" s="83"/>
      <c r="HC453" s="83"/>
      <c r="HD453" s="83"/>
      <c r="HE453" s="83"/>
      <c r="HF453" s="83"/>
      <c r="HG453" s="83"/>
      <c r="HH453" s="83"/>
      <c r="HI453" s="83"/>
      <c r="HJ453" s="83"/>
      <c r="HK453" s="83"/>
      <c r="HL453" s="83"/>
      <c r="HM453" s="83"/>
      <c r="HN453" s="83"/>
      <c r="HO453" s="83"/>
      <c r="HP453" s="83"/>
      <c r="HQ453" s="83"/>
      <c r="HR453" s="83"/>
      <c r="HS453" s="83"/>
      <c r="HT453" s="83"/>
      <c r="HU453" s="83"/>
      <c r="HV453" s="83"/>
      <c r="HW453" s="83"/>
      <c r="HX453" s="83"/>
      <c r="HY453" s="83"/>
      <c r="HZ453" s="83"/>
      <c r="IA453" s="83"/>
      <c r="IB453" s="83"/>
      <c r="IC453" s="83"/>
      <c r="ID453" s="83"/>
      <c r="IE453" s="83"/>
      <c r="IF453" s="83"/>
      <c r="IG453" s="83"/>
    </row>
    <row r="454" spans="1:241"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c r="DD454" s="83"/>
      <c r="DE454" s="83"/>
      <c r="DF454" s="83"/>
      <c r="DG454" s="83"/>
      <c r="DH454" s="83"/>
      <c r="DI454" s="83"/>
      <c r="DJ454" s="83"/>
      <c r="DK454" s="83"/>
      <c r="DL454" s="83"/>
      <c r="DM454" s="83"/>
      <c r="DN454" s="83"/>
      <c r="DO454" s="83"/>
      <c r="DP454" s="83"/>
      <c r="DQ454" s="83"/>
      <c r="DR454" s="83"/>
      <c r="DS454" s="83"/>
      <c r="DT454" s="83"/>
      <c r="DU454" s="83"/>
      <c r="DV454" s="83"/>
      <c r="DW454" s="83"/>
      <c r="DX454" s="83"/>
      <c r="DY454" s="83"/>
      <c r="DZ454" s="83"/>
      <c r="EA454" s="83"/>
      <c r="EB454" s="83"/>
      <c r="EC454" s="83"/>
      <c r="ED454" s="83"/>
      <c r="EE454" s="83"/>
      <c r="EF454" s="83"/>
      <c r="EG454" s="83"/>
      <c r="EH454" s="83"/>
      <c r="EI454" s="83"/>
      <c r="EJ454" s="83"/>
      <c r="EK454" s="83"/>
      <c r="EL454" s="83"/>
      <c r="EM454" s="83"/>
      <c r="EN454" s="83"/>
      <c r="EO454" s="83"/>
      <c r="EP454" s="83"/>
      <c r="EQ454" s="83"/>
      <c r="ER454" s="83"/>
      <c r="ES454" s="83"/>
      <c r="ET454" s="83"/>
      <c r="EU454" s="83"/>
      <c r="EV454" s="83"/>
      <c r="EW454" s="83"/>
      <c r="EX454" s="83"/>
      <c r="EY454" s="83"/>
      <c r="EZ454" s="83"/>
      <c r="FA454" s="83"/>
      <c r="FB454" s="83"/>
      <c r="FC454" s="83"/>
      <c r="FD454" s="83"/>
      <c r="FE454" s="83"/>
      <c r="FF454" s="83"/>
      <c r="FG454" s="83"/>
      <c r="FH454" s="83"/>
      <c r="FI454" s="83"/>
      <c r="FJ454" s="83"/>
      <c r="FK454" s="83"/>
      <c r="FL454" s="83"/>
      <c r="FM454" s="83"/>
      <c r="FN454" s="83"/>
      <c r="FO454" s="83"/>
      <c r="FP454" s="83"/>
      <c r="FQ454" s="83"/>
      <c r="FR454" s="83"/>
      <c r="FS454" s="83"/>
      <c r="FT454" s="83"/>
      <c r="FU454" s="83"/>
      <c r="FV454" s="83"/>
      <c r="FW454" s="83"/>
      <c r="FX454" s="83"/>
      <c r="FY454" s="83"/>
      <c r="FZ454" s="83"/>
      <c r="GA454" s="83"/>
      <c r="GB454" s="83"/>
      <c r="GC454" s="83"/>
      <c r="GD454" s="83"/>
      <c r="GE454" s="83"/>
      <c r="GF454" s="83"/>
      <c r="GG454" s="83"/>
      <c r="GH454" s="83"/>
      <c r="GI454" s="83"/>
      <c r="GJ454" s="83"/>
      <c r="GK454" s="83"/>
      <c r="GL454" s="83"/>
      <c r="GM454" s="83"/>
      <c r="GN454" s="83"/>
      <c r="GO454" s="83"/>
      <c r="GP454" s="83"/>
      <c r="GQ454" s="83"/>
      <c r="GR454" s="83"/>
      <c r="GS454" s="83"/>
      <c r="GT454" s="83"/>
      <c r="GU454" s="83"/>
      <c r="GV454" s="83"/>
      <c r="GW454" s="83"/>
      <c r="GX454" s="83"/>
      <c r="GY454" s="83"/>
      <c r="GZ454" s="83"/>
      <c r="HA454" s="83"/>
      <c r="HB454" s="83"/>
      <c r="HC454" s="83"/>
      <c r="HD454" s="83"/>
      <c r="HE454" s="83"/>
      <c r="HF454" s="83"/>
      <c r="HG454" s="83"/>
      <c r="HH454" s="83"/>
      <c r="HI454" s="83"/>
      <c r="HJ454" s="83"/>
      <c r="HK454" s="83"/>
      <c r="HL454" s="83"/>
      <c r="HM454" s="83"/>
      <c r="HN454" s="83"/>
      <c r="HO454" s="83"/>
      <c r="HP454" s="83"/>
      <c r="HQ454" s="83"/>
      <c r="HR454" s="83"/>
      <c r="HS454" s="83"/>
      <c r="HT454" s="83"/>
      <c r="HU454" s="83"/>
      <c r="HV454" s="83"/>
      <c r="HW454" s="83"/>
      <c r="HX454" s="83"/>
      <c r="HY454" s="83"/>
      <c r="HZ454" s="83"/>
      <c r="IA454" s="83"/>
      <c r="IB454" s="83"/>
      <c r="IC454" s="83"/>
      <c r="ID454" s="83"/>
      <c r="IE454" s="83"/>
      <c r="IF454" s="83"/>
      <c r="IG454" s="83"/>
    </row>
    <row r="455" spans="1:241"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c r="DD455" s="83"/>
      <c r="DE455" s="83"/>
      <c r="DF455" s="83"/>
      <c r="DG455" s="83"/>
      <c r="DH455" s="83"/>
      <c r="DI455" s="83"/>
      <c r="DJ455" s="83"/>
      <c r="DK455" s="83"/>
      <c r="DL455" s="83"/>
      <c r="DM455" s="83"/>
      <c r="DN455" s="83"/>
      <c r="DO455" s="83"/>
      <c r="DP455" s="83"/>
      <c r="DQ455" s="83"/>
      <c r="DR455" s="83"/>
      <c r="DS455" s="83"/>
      <c r="DT455" s="83"/>
      <c r="DU455" s="83"/>
      <c r="DV455" s="83"/>
      <c r="DW455" s="83"/>
      <c r="DX455" s="83"/>
      <c r="DY455" s="83"/>
      <c r="DZ455" s="83"/>
      <c r="EA455" s="83"/>
      <c r="EB455" s="83"/>
      <c r="EC455" s="83"/>
      <c r="ED455" s="83"/>
      <c r="EE455" s="83"/>
      <c r="EF455" s="83"/>
      <c r="EG455" s="83"/>
      <c r="EH455" s="83"/>
      <c r="EI455" s="83"/>
      <c r="EJ455" s="83"/>
      <c r="EK455" s="83"/>
      <c r="EL455" s="83"/>
      <c r="EM455" s="83"/>
      <c r="EN455" s="83"/>
      <c r="EO455" s="83"/>
      <c r="EP455" s="83"/>
      <c r="EQ455" s="83"/>
      <c r="ER455" s="83"/>
      <c r="ES455" s="83"/>
      <c r="ET455" s="83"/>
      <c r="EU455" s="83"/>
      <c r="EV455" s="83"/>
      <c r="EW455" s="83"/>
      <c r="EX455" s="83"/>
      <c r="EY455" s="83"/>
      <c r="EZ455" s="83"/>
      <c r="FA455" s="83"/>
      <c r="FB455" s="83"/>
      <c r="FC455" s="83"/>
      <c r="FD455" s="83"/>
      <c r="FE455" s="83"/>
      <c r="FF455" s="83"/>
      <c r="FG455" s="83"/>
      <c r="FH455" s="83"/>
      <c r="FI455" s="83"/>
      <c r="FJ455" s="83"/>
      <c r="FK455" s="83"/>
      <c r="FL455" s="83"/>
      <c r="FM455" s="83"/>
      <c r="FN455" s="83"/>
      <c r="FO455" s="83"/>
      <c r="FP455" s="83"/>
      <c r="FQ455" s="83"/>
      <c r="FR455" s="83"/>
      <c r="FS455" s="83"/>
      <c r="FT455" s="83"/>
      <c r="FU455" s="83"/>
      <c r="FV455" s="83"/>
      <c r="FW455" s="83"/>
      <c r="FX455" s="83"/>
      <c r="FY455" s="83"/>
      <c r="FZ455" s="83"/>
      <c r="GA455" s="83"/>
      <c r="GB455" s="83"/>
      <c r="GC455" s="83"/>
      <c r="GD455" s="83"/>
      <c r="GE455" s="83"/>
      <c r="GF455" s="83"/>
      <c r="GG455" s="83"/>
      <c r="GH455" s="83"/>
      <c r="GI455" s="83"/>
      <c r="GJ455" s="83"/>
      <c r="GK455" s="83"/>
      <c r="GL455" s="83"/>
      <c r="GM455" s="83"/>
      <c r="GN455" s="83"/>
      <c r="GO455" s="83"/>
      <c r="GP455" s="83"/>
      <c r="GQ455" s="83"/>
      <c r="GR455" s="83"/>
      <c r="GS455" s="83"/>
      <c r="GT455" s="83"/>
      <c r="GU455" s="83"/>
      <c r="GV455" s="83"/>
      <c r="GW455" s="83"/>
      <c r="GX455" s="83"/>
      <c r="GY455" s="83"/>
      <c r="GZ455" s="83"/>
      <c r="HA455" s="83"/>
      <c r="HB455" s="83"/>
      <c r="HC455" s="83"/>
      <c r="HD455" s="83"/>
      <c r="HE455" s="83"/>
      <c r="HF455" s="83"/>
      <c r="HG455" s="83"/>
      <c r="HH455" s="83"/>
      <c r="HI455" s="83"/>
      <c r="HJ455" s="83"/>
      <c r="HK455" s="83"/>
      <c r="HL455" s="83"/>
      <c r="HM455" s="83"/>
      <c r="HN455" s="83"/>
      <c r="HO455" s="83"/>
      <c r="HP455" s="83"/>
      <c r="HQ455" s="83"/>
      <c r="HR455" s="83"/>
      <c r="HS455" s="83"/>
      <c r="HT455" s="83"/>
      <c r="HU455" s="83"/>
      <c r="HV455" s="83"/>
      <c r="HW455" s="83"/>
      <c r="HX455" s="83"/>
      <c r="HY455" s="83"/>
      <c r="HZ455" s="83"/>
      <c r="IA455" s="83"/>
      <c r="IB455" s="83"/>
      <c r="IC455" s="83"/>
      <c r="ID455" s="83"/>
      <c r="IE455" s="83"/>
      <c r="IF455" s="83"/>
      <c r="IG455" s="83"/>
    </row>
    <row r="456" spans="1:241"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c r="DD456" s="83"/>
      <c r="DE456" s="83"/>
      <c r="DF456" s="83"/>
      <c r="DG456" s="83"/>
      <c r="DH456" s="83"/>
      <c r="DI456" s="83"/>
      <c r="DJ456" s="83"/>
      <c r="DK456" s="83"/>
      <c r="DL456" s="83"/>
      <c r="DM456" s="83"/>
      <c r="DN456" s="83"/>
      <c r="DO456" s="83"/>
      <c r="DP456" s="83"/>
      <c r="DQ456" s="83"/>
      <c r="DR456" s="83"/>
      <c r="DS456" s="83"/>
      <c r="DT456" s="83"/>
      <c r="DU456" s="83"/>
      <c r="DV456" s="83"/>
      <c r="DW456" s="83"/>
      <c r="DX456" s="83"/>
      <c r="DY456" s="83"/>
      <c r="DZ456" s="83"/>
      <c r="EA456" s="83"/>
      <c r="EB456" s="83"/>
      <c r="EC456" s="83"/>
      <c r="ED456" s="83"/>
      <c r="EE456" s="83"/>
      <c r="EF456" s="83"/>
      <c r="EG456" s="83"/>
      <c r="EH456" s="83"/>
      <c r="EI456" s="83"/>
      <c r="EJ456" s="83"/>
      <c r="EK456" s="83"/>
      <c r="EL456" s="83"/>
      <c r="EM456" s="83"/>
      <c r="EN456" s="83"/>
      <c r="EO456" s="83"/>
      <c r="EP456" s="83"/>
      <c r="EQ456" s="83"/>
      <c r="ER456" s="83"/>
      <c r="ES456" s="83"/>
      <c r="ET456" s="83"/>
      <c r="EU456" s="83"/>
      <c r="EV456" s="83"/>
      <c r="EW456" s="83"/>
      <c r="EX456" s="83"/>
      <c r="EY456" s="83"/>
      <c r="EZ456" s="83"/>
      <c r="FA456" s="83"/>
      <c r="FB456" s="83"/>
      <c r="FC456" s="83"/>
      <c r="FD456" s="83"/>
      <c r="FE456" s="83"/>
      <c r="FF456" s="83"/>
      <c r="FG456" s="83"/>
      <c r="FH456" s="83"/>
      <c r="FI456" s="83"/>
      <c r="FJ456" s="83"/>
      <c r="FK456" s="83"/>
      <c r="FL456" s="83"/>
      <c r="FM456" s="83"/>
      <c r="FN456" s="83"/>
      <c r="FO456" s="83"/>
      <c r="FP456" s="83"/>
      <c r="FQ456" s="83"/>
      <c r="FR456" s="83"/>
      <c r="FS456" s="83"/>
      <c r="FT456" s="83"/>
      <c r="FU456" s="83"/>
      <c r="FV456" s="83"/>
      <c r="FW456" s="83"/>
      <c r="FX456" s="83"/>
      <c r="FY456" s="83"/>
      <c r="FZ456" s="83"/>
      <c r="GA456" s="83"/>
      <c r="GB456" s="83"/>
      <c r="GC456" s="83"/>
      <c r="GD456" s="83"/>
      <c r="GE456" s="83"/>
      <c r="GF456" s="83"/>
      <c r="GG456" s="83"/>
      <c r="GH456" s="83"/>
      <c r="GI456" s="83"/>
      <c r="GJ456" s="83"/>
      <c r="GK456" s="83"/>
      <c r="GL456" s="83"/>
      <c r="GM456" s="83"/>
      <c r="GN456" s="83"/>
      <c r="GO456" s="83"/>
      <c r="GP456" s="83"/>
      <c r="GQ456" s="83"/>
      <c r="GR456" s="83"/>
      <c r="GS456" s="83"/>
      <c r="GT456" s="83"/>
      <c r="GU456" s="83"/>
      <c r="GV456" s="83"/>
      <c r="GW456" s="83"/>
      <c r="GX456" s="83"/>
      <c r="GY456" s="83"/>
      <c r="GZ456" s="83"/>
      <c r="HA456" s="83"/>
      <c r="HB456" s="83"/>
      <c r="HC456" s="83"/>
      <c r="HD456" s="83"/>
      <c r="HE456" s="83"/>
      <c r="HF456" s="83"/>
      <c r="HG456" s="83"/>
      <c r="HH456" s="83"/>
      <c r="HI456" s="83"/>
      <c r="HJ456" s="83"/>
      <c r="HK456" s="83"/>
      <c r="HL456" s="83"/>
      <c r="HM456" s="83"/>
      <c r="HN456" s="83"/>
      <c r="HO456" s="83"/>
      <c r="HP456" s="83"/>
      <c r="HQ456" s="83"/>
      <c r="HR456" s="83"/>
      <c r="HS456" s="83"/>
      <c r="HT456" s="83"/>
      <c r="HU456" s="83"/>
      <c r="HV456" s="83"/>
      <c r="HW456" s="83"/>
      <c r="HX456" s="83"/>
      <c r="HY456" s="83"/>
      <c r="HZ456" s="83"/>
      <c r="IA456" s="83"/>
      <c r="IB456" s="83"/>
      <c r="IC456" s="83"/>
      <c r="ID456" s="83"/>
      <c r="IE456" s="83"/>
      <c r="IF456" s="83"/>
      <c r="IG456" s="83"/>
    </row>
    <row r="457" spans="1:241"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c r="DD457" s="83"/>
      <c r="DE457" s="83"/>
      <c r="DF457" s="83"/>
      <c r="DG457" s="83"/>
      <c r="DH457" s="83"/>
      <c r="DI457" s="83"/>
      <c r="DJ457" s="83"/>
      <c r="DK457" s="83"/>
      <c r="DL457" s="83"/>
      <c r="DM457" s="83"/>
      <c r="DN457" s="83"/>
      <c r="DO457" s="83"/>
      <c r="DP457" s="83"/>
      <c r="DQ457" s="83"/>
      <c r="DR457" s="83"/>
      <c r="DS457" s="83"/>
      <c r="DT457" s="83"/>
      <c r="DU457" s="83"/>
      <c r="DV457" s="83"/>
      <c r="DW457" s="83"/>
      <c r="DX457" s="83"/>
      <c r="DY457" s="83"/>
      <c r="DZ457" s="83"/>
      <c r="EA457" s="83"/>
      <c r="EB457" s="83"/>
      <c r="EC457" s="83"/>
      <c r="ED457" s="83"/>
      <c r="EE457" s="83"/>
      <c r="EF457" s="83"/>
      <c r="EG457" s="83"/>
      <c r="EH457" s="83"/>
      <c r="EI457" s="83"/>
      <c r="EJ457" s="83"/>
      <c r="EK457" s="83"/>
      <c r="EL457" s="83"/>
      <c r="EM457" s="83"/>
      <c r="EN457" s="83"/>
      <c r="EO457" s="83"/>
      <c r="EP457" s="83"/>
      <c r="EQ457" s="83"/>
      <c r="ER457" s="83"/>
      <c r="ES457" s="83"/>
      <c r="ET457" s="83"/>
      <c r="EU457" s="83"/>
      <c r="EV457" s="83"/>
      <c r="EW457" s="83"/>
      <c r="EX457" s="83"/>
      <c r="EY457" s="83"/>
      <c r="EZ457" s="83"/>
      <c r="FA457" s="83"/>
      <c r="FB457" s="83"/>
      <c r="FC457" s="83"/>
      <c r="FD457" s="83"/>
      <c r="FE457" s="83"/>
      <c r="FF457" s="83"/>
      <c r="FG457" s="83"/>
      <c r="FH457" s="83"/>
      <c r="FI457" s="83"/>
      <c r="FJ457" s="83"/>
      <c r="FK457" s="83"/>
      <c r="FL457" s="83"/>
      <c r="FM457" s="83"/>
      <c r="FN457" s="83"/>
      <c r="FO457" s="83"/>
      <c r="FP457" s="83"/>
      <c r="FQ457" s="83"/>
      <c r="FR457" s="83"/>
      <c r="FS457" s="83"/>
      <c r="FT457" s="83"/>
      <c r="FU457" s="83"/>
      <c r="FV457" s="83"/>
      <c r="FW457" s="83"/>
      <c r="FX457" s="83"/>
      <c r="FY457" s="83"/>
      <c r="FZ457" s="83"/>
      <c r="GA457" s="83"/>
      <c r="GB457" s="83"/>
      <c r="GC457" s="83"/>
      <c r="GD457" s="83"/>
      <c r="GE457" s="83"/>
      <c r="GF457" s="83"/>
      <c r="GG457" s="83"/>
      <c r="GH457" s="83"/>
      <c r="GI457" s="83"/>
      <c r="GJ457" s="83"/>
      <c r="GK457" s="83"/>
      <c r="GL457" s="83"/>
      <c r="GM457" s="83"/>
      <c r="GN457" s="83"/>
      <c r="GO457" s="83"/>
      <c r="GP457" s="83"/>
      <c r="GQ457" s="83"/>
      <c r="GR457" s="83"/>
      <c r="GS457" s="83"/>
      <c r="GT457" s="83"/>
      <c r="GU457" s="83"/>
      <c r="GV457" s="83"/>
      <c r="GW457" s="83"/>
      <c r="GX457" s="83"/>
      <c r="GY457" s="83"/>
      <c r="GZ457" s="83"/>
      <c r="HA457" s="83"/>
      <c r="HB457" s="83"/>
      <c r="HC457" s="83"/>
      <c r="HD457" s="83"/>
      <c r="HE457" s="83"/>
      <c r="HF457" s="83"/>
      <c r="HG457" s="83"/>
      <c r="HH457" s="83"/>
      <c r="HI457" s="83"/>
      <c r="HJ457" s="83"/>
      <c r="HK457" s="83"/>
      <c r="HL457" s="83"/>
      <c r="HM457" s="83"/>
      <c r="HN457" s="83"/>
      <c r="HO457" s="83"/>
      <c r="HP457" s="83"/>
      <c r="HQ457" s="83"/>
      <c r="HR457" s="83"/>
      <c r="HS457" s="83"/>
      <c r="HT457" s="83"/>
      <c r="HU457" s="83"/>
      <c r="HV457" s="83"/>
      <c r="HW457" s="83"/>
      <c r="HX457" s="83"/>
      <c r="HY457" s="83"/>
      <c r="HZ457" s="83"/>
      <c r="IA457" s="83"/>
      <c r="IB457" s="83"/>
      <c r="IC457" s="83"/>
      <c r="ID457" s="83"/>
      <c r="IE457" s="83"/>
      <c r="IF457" s="83"/>
      <c r="IG457" s="83"/>
    </row>
    <row r="458" spans="1:241"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c r="DD458" s="83"/>
      <c r="DE458" s="83"/>
      <c r="DF458" s="83"/>
      <c r="DG458" s="83"/>
      <c r="DH458" s="83"/>
      <c r="DI458" s="83"/>
      <c r="DJ458" s="83"/>
      <c r="DK458" s="83"/>
      <c r="DL458" s="83"/>
      <c r="DM458" s="83"/>
      <c r="DN458" s="83"/>
      <c r="DO458" s="83"/>
      <c r="DP458" s="83"/>
      <c r="DQ458" s="83"/>
      <c r="DR458" s="83"/>
      <c r="DS458" s="83"/>
      <c r="DT458" s="83"/>
      <c r="DU458" s="83"/>
      <c r="DV458" s="83"/>
      <c r="DW458" s="83"/>
      <c r="DX458" s="83"/>
      <c r="DY458" s="83"/>
      <c r="DZ458" s="83"/>
      <c r="EA458" s="83"/>
      <c r="EB458" s="83"/>
      <c r="EC458" s="83"/>
      <c r="ED458" s="83"/>
      <c r="EE458" s="83"/>
      <c r="EF458" s="83"/>
      <c r="EG458" s="83"/>
      <c r="EH458" s="83"/>
      <c r="EI458" s="83"/>
      <c r="EJ458" s="83"/>
      <c r="EK458" s="83"/>
      <c r="EL458" s="83"/>
      <c r="EM458" s="83"/>
      <c r="EN458" s="83"/>
      <c r="EO458" s="83"/>
      <c r="EP458" s="83"/>
      <c r="EQ458" s="83"/>
      <c r="ER458" s="83"/>
      <c r="ES458" s="83"/>
      <c r="ET458" s="83"/>
      <c r="EU458" s="83"/>
      <c r="EV458" s="83"/>
      <c r="EW458" s="83"/>
      <c r="EX458" s="83"/>
      <c r="EY458" s="83"/>
      <c r="EZ458" s="83"/>
      <c r="FA458" s="83"/>
      <c r="FB458" s="83"/>
      <c r="FC458" s="83"/>
      <c r="FD458" s="83"/>
      <c r="FE458" s="83"/>
      <c r="FF458" s="83"/>
      <c r="FG458" s="83"/>
      <c r="FH458" s="83"/>
      <c r="FI458" s="83"/>
      <c r="FJ458" s="83"/>
      <c r="FK458" s="83"/>
      <c r="FL458" s="83"/>
      <c r="FM458" s="83"/>
      <c r="FN458" s="83"/>
      <c r="FO458" s="83"/>
      <c r="FP458" s="83"/>
      <c r="FQ458" s="83"/>
      <c r="FR458" s="83"/>
      <c r="FS458" s="83"/>
      <c r="FT458" s="83"/>
      <c r="FU458" s="83"/>
      <c r="FV458" s="83"/>
      <c r="FW458" s="83"/>
      <c r="FX458" s="83"/>
      <c r="FY458" s="83"/>
      <c r="FZ458" s="83"/>
      <c r="GA458" s="83"/>
      <c r="GB458" s="83"/>
      <c r="GC458" s="83"/>
      <c r="GD458" s="83"/>
      <c r="GE458" s="83"/>
      <c r="GF458" s="83"/>
      <c r="GG458" s="83"/>
      <c r="GH458" s="83"/>
      <c r="GI458" s="83"/>
      <c r="GJ458" s="83"/>
      <c r="GK458" s="83"/>
      <c r="GL458" s="83"/>
      <c r="GM458" s="83"/>
      <c r="GN458" s="83"/>
      <c r="GO458" s="83"/>
      <c r="GP458" s="83"/>
      <c r="GQ458" s="83"/>
      <c r="GR458" s="83"/>
      <c r="GS458" s="83"/>
      <c r="GT458" s="83"/>
      <c r="GU458" s="83"/>
      <c r="GV458" s="83"/>
      <c r="GW458" s="83"/>
      <c r="GX458" s="83"/>
      <c r="GY458" s="83"/>
      <c r="GZ458" s="83"/>
      <c r="HA458" s="83"/>
      <c r="HB458" s="83"/>
      <c r="HC458" s="83"/>
      <c r="HD458" s="83"/>
      <c r="HE458" s="83"/>
      <c r="HF458" s="83"/>
      <c r="HG458" s="83"/>
      <c r="HH458" s="83"/>
      <c r="HI458" s="83"/>
      <c r="HJ458" s="83"/>
      <c r="HK458" s="83"/>
      <c r="HL458" s="83"/>
      <c r="HM458" s="83"/>
      <c r="HN458" s="83"/>
      <c r="HO458" s="83"/>
      <c r="HP458" s="83"/>
      <c r="HQ458" s="83"/>
      <c r="HR458" s="83"/>
      <c r="HS458" s="83"/>
      <c r="HT458" s="83"/>
      <c r="HU458" s="83"/>
      <c r="HV458" s="83"/>
      <c r="HW458" s="83"/>
      <c r="HX458" s="83"/>
      <c r="HY458" s="83"/>
      <c r="HZ458" s="83"/>
      <c r="IA458" s="83"/>
      <c r="IB458" s="83"/>
      <c r="IC458" s="83"/>
      <c r="ID458" s="83"/>
      <c r="IE458" s="83"/>
      <c r="IF458" s="83"/>
      <c r="IG458" s="83"/>
    </row>
    <row r="459" spans="1:241"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c r="DD459" s="83"/>
      <c r="DE459" s="83"/>
      <c r="DF459" s="83"/>
      <c r="DG459" s="83"/>
      <c r="DH459" s="83"/>
      <c r="DI459" s="83"/>
      <c r="DJ459" s="83"/>
      <c r="DK459" s="83"/>
      <c r="DL459" s="83"/>
      <c r="DM459" s="83"/>
      <c r="DN459" s="83"/>
      <c r="DO459" s="83"/>
      <c r="DP459" s="83"/>
      <c r="DQ459" s="83"/>
      <c r="DR459" s="83"/>
      <c r="DS459" s="83"/>
      <c r="DT459" s="83"/>
      <c r="DU459" s="83"/>
      <c r="DV459" s="83"/>
      <c r="DW459" s="83"/>
      <c r="DX459" s="83"/>
      <c r="DY459" s="83"/>
      <c r="DZ459" s="83"/>
      <c r="EA459" s="83"/>
      <c r="EB459" s="83"/>
      <c r="EC459" s="83"/>
      <c r="ED459" s="83"/>
      <c r="EE459" s="83"/>
      <c r="EF459" s="83"/>
      <c r="EG459" s="83"/>
      <c r="EH459" s="83"/>
      <c r="EI459" s="83"/>
      <c r="EJ459" s="83"/>
      <c r="EK459" s="83"/>
      <c r="EL459" s="83"/>
      <c r="EM459" s="83"/>
      <c r="EN459" s="83"/>
      <c r="EO459" s="83"/>
      <c r="EP459" s="83"/>
      <c r="EQ459" s="83"/>
      <c r="ER459" s="83"/>
      <c r="ES459" s="83"/>
      <c r="ET459" s="83"/>
      <c r="EU459" s="83"/>
      <c r="EV459" s="83"/>
      <c r="EW459" s="83"/>
      <c r="EX459" s="83"/>
      <c r="EY459" s="83"/>
      <c r="EZ459" s="83"/>
      <c r="FA459" s="83"/>
      <c r="FB459" s="83"/>
      <c r="FC459" s="83"/>
      <c r="FD459" s="83"/>
      <c r="FE459" s="83"/>
      <c r="FF459" s="83"/>
      <c r="FG459" s="83"/>
      <c r="FH459" s="83"/>
      <c r="FI459" s="83"/>
      <c r="FJ459" s="83"/>
      <c r="FK459" s="83"/>
      <c r="FL459" s="83"/>
      <c r="FM459" s="83"/>
      <c r="FN459" s="83"/>
      <c r="FO459" s="83"/>
      <c r="FP459" s="83"/>
      <c r="FQ459" s="83"/>
      <c r="FR459" s="83"/>
      <c r="FS459" s="83"/>
      <c r="FT459" s="83"/>
      <c r="FU459" s="83"/>
      <c r="FV459" s="83"/>
      <c r="FW459" s="83"/>
      <c r="FX459" s="83"/>
      <c r="FY459" s="83"/>
      <c r="FZ459" s="83"/>
      <c r="GA459" s="83"/>
      <c r="GB459" s="83"/>
      <c r="GC459" s="83"/>
      <c r="GD459" s="83"/>
      <c r="GE459" s="83"/>
      <c r="GF459" s="83"/>
      <c r="GG459" s="83"/>
      <c r="GH459" s="83"/>
      <c r="GI459" s="83"/>
      <c r="GJ459" s="83"/>
      <c r="GK459" s="83"/>
      <c r="GL459" s="83"/>
      <c r="GM459" s="83"/>
      <c r="GN459" s="83"/>
      <c r="GO459" s="83"/>
      <c r="GP459" s="83"/>
      <c r="GQ459" s="83"/>
      <c r="GR459" s="83"/>
      <c r="GS459" s="83"/>
      <c r="GT459" s="83"/>
      <c r="GU459" s="83"/>
      <c r="GV459" s="83"/>
      <c r="GW459" s="83"/>
      <c r="GX459" s="83"/>
      <c r="GY459" s="83"/>
      <c r="GZ459" s="83"/>
      <c r="HA459" s="83"/>
      <c r="HB459" s="83"/>
      <c r="HC459" s="83"/>
      <c r="HD459" s="83"/>
      <c r="HE459" s="83"/>
      <c r="HF459" s="83"/>
      <c r="HG459" s="83"/>
      <c r="HH459" s="83"/>
      <c r="HI459" s="83"/>
      <c r="HJ459" s="83"/>
      <c r="HK459" s="83"/>
      <c r="HL459" s="83"/>
      <c r="HM459" s="83"/>
      <c r="HN459" s="83"/>
      <c r="HO459" s="83"/>
      <c r="HP459" s="83"/>
      <c r="HQ459" s="83"/>
      <c r="HR459" s="83"/>
      <c r="HS459" s="83"/>
      <c r="HT459" s="83"/>
      <c r="HU459" s="83"/>
      <c r="HV459" s="83"/>
      <c r="HW459" s="83"/>
      <c r="HX459" s="83"/>
      <c r="HY459" s="83"/>
      <c r="HZ459" s="83"/>
      <c r="IA459" s="83"/>
      <c r="IB459" s="83"/>
      <c r="IC459" s="83"/>
      <c r="ID459" s="83"/>
      <c r="IE459" s="83"/>
      <c r="IF459" s="83"/>
      <c r="IG459" s="83"/>
    </row>
    <row r="460" spans="1:241"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c r="DD460" s="83"/>
      <c r="DE460" s="83"/>
      <c r="DF460" s="83"/>
      <c r="DG460" s="83"/>
      <c r="DH460" s="83"/>
      <c r="DI460" s="83"/>
      <c r="DJ460" s="83"/>
      <c r="DK460" s="83"/>
      <c r="DL460" s="83"/>
      <c r="DM460" s="83"/>
      <c r="DN460" s="83"/>
      <c r="DO460" s="83"/>
      <c r="DP460" s="83"/>
      <c r="DQ460" s="83"/>
      <c r="DR460" s="83"/>
      <c r="DS460" s="83"/>
      <c r="DT460" s="83"/>
      <c r="DU460" s="83"/>
      <c r="DV460" s="83"/>
      <c r="DW460" s="83"/>
      <c r="DX460" s="83"/>
      <c r="DY460" s="83"/>
      <c r="DZ460" s="83"/>
      <c r="EA460" s="83"/>
      <c r="EB460" s="83"/>
      <c r="EC460" s="83"/>
      <c r="ED460" s="83"/>
      <c r="EE460" s="83"/>
      <c r="EF460" s="83"/>
      <c r="EG460" s="83"/>
      <c r="EH460" s="83"/>
      <c r="EI460" s="83"/>
      <c r="EJ460" s="83"/>
      <c r="EK460" s="83"/>
      <c r="EL460" s="83"/>
      <c r="EM460" s="83"/>
      <c r="EN460" s="83"/>
      <c r="EO460" s="83"/>
      <c r="EP460" s="83"/>
      <c r="EQ460" s="83"/>
      <c r="ER460" s="83"/>
      <c r="ES460" s="83"/>
      <c r="ET460" s="83"/>
      <c r="EU460" s="83"/>
      <c r="EV460" s="83"/>
      <c r="EW460" s="83"/>
      <c r="EX460" s="83"/>
      <c r="EY460" s="83"/>
      <c r="EZ460" s="83"/>
      <c r="FA460" s="83"/>
      <c r="FB460" s="83"/>
      <c r="FC460" s="83"/>
      <c r="FD460" s="83"/>
      <c r="FE460" s="83"/>
      <c r="FF460" s="83"/>
      <c r="FG460" s="83"/>
      <c r="FH460" s="83"/>
      <c r="FI460" s="83"/>
      <c r="FJ460" s="83"/>
      <c r="FK460" s="83"/>
      <c r="FL460" s="83"/>
      <c r="FM460" s="83"/>
      <c r="FN460" s="83"/>
      <c r="FO460" s="83"/>
      <c r="FP460" s="83"/>
      <c r="FQ460" s="83"/>
      <c r="FR460" s="83"/>
      <c r="FS460" s="83"/>
      <c r="FT460" s="83"/>
      <c r="FU460" s="83"/>
      <c r="FV460" s="83"/>
      <c r="FW460" s="83"/>
      <c r="FX460" s="83"/>
      <c r="FY460" s="83"/>
      <c r="FZ460" s="83"/>
      <c r="GA460" s="83"/>
      <c r="GB460" s="83"/>
      <c r="GC460" s="83"/>
      <c r="GD460" s="83"/>
      <c r="GE460" s="83"/>
      <c r="GF460" s="83"/>
      <c r="GG460" s="83"/>
      <c r="GH460" s="83"/>
      <c r="GI460" s="83"/>
      <c r="GJ460" s="83"/>
      <c r="GK460" s="83"/>
      <c r="GL460" s="83"/>
      <c r="GM460" s="83"/>
      <c r="GN460" s="83"/>
      <c r="GO460" s="83"/>
      <c r="GP460" s="83"/>
      <c r="GQ460" s="83"/>
      <c r="GR460" s="83"/>
      <c r="GS460" s="83"/>
      <c r="GT460" s="83"/>
      <c r="GU460" s="83"/>
      <c r="GV460" s="83"/>
      <c r="GW460" s="83"/>
      <c r="GX460" s="83"/>
      <c r="GY460" s="83"/>
      <c r="GZ460" s="83"/>
      <c r="HA460" s="83"/>
      <c r="HB460" s="83"/>
      <c r="HC460" s="83"/>
      <c r="HD460" s="83"/>
      <c r="HE460" s="83"/>
      <c r="HF460" s="83"/>
      <c r="HG460" s="83"/>
      <c r="HH460" s="83"/>
      <c r="HI460" s="83"/>
      <c r="HJ460" s="83"/>
      <c r="HK460" s="83"/>
      <c r="HL460" s="83"/>
      <c r="HM460" s="83"/>
      <c r="HN460" s="83"/>
      <c r="HO460" s="83"/>
      <c r="HP460" s="83"/>
      <c r="HQ460" s="83"/>
      <c r="HR460" s="83"/>
      <c r="HS460" s="83"/>
      <c r="HT460" s="83"/>
      <c r="HU460" s="83"/>
      <c r="HV460" s="83"/>
      <c r="HW460" s="83"/>
      <c r="HX460" s="83"/>
      <c r="HY460" s="83"/>
      <c r="HZ460" s="83"/>
      <c r="IA460" s="83"/>
      <c r="IB460" s="83"/>
      <c r="IC460" s="83"/>
      <c r="ID460" s="83"/>
      <c r="IE460" s="83"/>
      <c r="IF460" s="83"/>
      <c r="IG460" s="83"/>
    </row>
    <row r="461" spans="1:241"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c r="DD461" s="83"/>
      <c r="DE461" s="83"/>
      <c r="DF461" s="83"/>
      <c r="DG461" s="83"/>
      <c r="DH461" s="83"/>
      <c r="DI461" s="83"/>
      <c r="DJ461" s="83"/>
      <c r="DK461" s="83"/>
      <c r="DL461" s="83"/>
      <c r="DM461" s="83"/>
      <c r="DN461" s="83"/>
      <c r="DO461" s="83"/>
      <c r="DP461" s="83"/>
      <c r="DQ461" s="83"/>
      <c r="DR461" s="83"/>
      <c r="DS461" s="83"/>
      <c r="DT461" s="83"/>
      <c r="DU461" s="83"/>
      <c r="DV461" s="83"/>
      <c r="DW461" s="83"/>
      <c r="DX461" s="83"/>
      <c r="DY461" s="83"/>
      <c r="DZ461" s="83"/>
      <c r="EA461" s="83"/>
      <c r="EB461" s="83"/>
      <c r="EC461" s="83"/>
      <c r="ED461" s="83"/>
      <c r="EE461" s="83"/>
      <c r="EF461" s="83"/>
      <c r="EG461" s="83"/>
      <c r="EH461" s="83"/>
      <c r="EI461" s="83"/>
      <c r="EJ461" s="83"/>
      <c r="EK461" s="83"/>
      <c r="EL461" s="83"/>
      <c r="EM461" s="83"/>
      <c r="EN461" s="83"/>
      <c r="EO461" s="83"/>
      <c r="EP461" s="83"/>
      <c r="EQ461" s="83"/>
      <c r="ER461" s="83"/>
      <c r="ES461" s="83"/>
      <c r="ET461" s="83"/>
      <c r="EU461" s="83"/>
      <c r="EV461" s="83"/>
      <c r="EW461" s="83"/>
      <c r="EX461" s="83"/>
      <c r="EY461" s="83"/>
      <c r="EZ461" s="83"/>
      <c r="FA461" s="83"/>
      <c r="FB461" s="83"/>
      <c r="FC461" s="83"/>
      <c r="FD461" s="83"/>
      <c r="FE461" s="83"/>
      <c r="FF461" s="83"/>
      <c r="FG461" s="83"/>
      <c r="FH461" s="83"/>
      <c r="FI461" s="83"/>
      <c r="FJ461" s="83"/>
      <c r="FK461" s="83"/>
      <c r="FL461" s="83"/>
      <c r="FM461" s="83"/>
      <c r="FN461" s="83"/>
      <c r="FO461" s="83"/>
      <c r="FP461" s="83"/>
      <c r="FQ461" s="83"/>
      <c r="FR461" s="83"/>
      <c r="FS461" s="83"/>
      <c r="FT461" s="83"/>
      <c r="FU461" s="83"/>
      <c r="FV461" s="83"/>
      <c r="FW461" s="83"/>
      <c r="FX461" s="83"/>
      <c r="FY461" s="83"/>
      <c r="FZ461" s="83"/>
      <c r="GA461" s="83"/>
      <c r="GB461" s="83"/>
      <c r="GC461" s="83"/>
      <c r="GD461" s="83"/>
      <c r="GE461" s="83"/>
      <c r="GF461" s="83"/>
      <c r="GG461" s="83"/>
      <c r="GH461" s="83"/>
      <c r="GI461" s="83"/>
      <c r="GJ461" s="83"/>
      <c r="GK461" s="83"/>
      <c r="GL461" s="83"/>
      <c r="GM461" s="83"/>
      <c r="GN461" s="83"/>
      <c r="GO461" s="83"/>
      <c r="GP461" s="83"/>
      <c r="GQ461" s="83"/>
      <c r="GR461" s="83"/>
      <c r="GS461" s="83"/>
      <c r="GT461" s="83"/>
      <c r="GU461" s="83"/>
      <c r="GV461" s="83"/>
      <c r="GW461" s="83"/>
      <c r="GX461" s="83"/>
      <c r="GY461" s="83"/>
      <c r="GZ461" s="83"/>
      <c r="HA461" s="83"/>
      <c r="HB461" s="83"/>
      <c r="HC461" s="83"/>
      <c r="HD461" s="83"/>
      <c r="HE461" s="83"/>
      <c r="HF461" s="83"/>
      <c r="HG461" s="83"/>
      <c r="HH461" s="83"/>
      <c r="HI461" s="83"/>
      <c r="HJ461" s="83"/>
      <c r="HK461" s="83"/>
      <c r="HL461" s="83"/>
      <c r="HM461" s="83"/>
      <c r="HN461" s="83"/>
      <c r="HO461" s="83"/>
      <c r="HP461" s="83"/>
      <c r="HQ461" s="83"/>
      <c r="HR461" s="83"/>
      <c r="HS461" s="83"/>
      <c r="HT461" s="83"/>
      <c r="HU461" s="83"/>
      <c r="HV461" s="83"/>
      <c r="HW461" s="83"/>
      <c r="HX461" s="83"/>
      <c r="HY461" s="83"/>
      <c r="HZ461" s="83"/>
      <c r="IA461" s="83"/>
      <c r="IB461" s="83"/>
      <c r="IC461" s="83"/>
      <c r="ID461" s="83"/>
      <c r="IE461" s="83"/>
      <c r="IF461" s="83"/>
      <c r="IG461" s="83"/>
    </row>
    <row r="462" spans="1:241"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c r="DD462" s="83"/>
      <c r="DE462" s="83"/>
      <c r="DF462" s="83"/>
      <c r="DG462" s="83"/>
      <c r="DH462" s="83"/>
      <c r="DI462" s="83"/>
      <c r="DJ462" s="83"/>
      <c r="DK462" s="83"/>
      <c r="DL462" s="83"/>
      <c r="DM462" s="83"/>
      <c r="DN462" s="83"/>
      <c r="DO462" s="83"/>
      <c r="DP462" s="83"/>
      <c r="DQ462" s="83"/>
      <c r="DR462" s="83"/>
      <c r="DS462" s="83"/>
      <c r="DT462" s="83"/>
      <c r="DU462" s="83"/>
      <c r="DV462" s="83"/>
      <c r="DW462" s="83"/>
      <c r="DX462" s="83"/>
      <c r="DY462" s="83"/>
      <c r="DZ462" s="83"/>
      <c r="EA462" s="83"/>
      <c r="EB462" s="83"/>
      <c r="EC462" s="83"/>
      <c r="ED462" s="83"/>
      <c r="EE462" s="83"/>
      <c r="EF462" s="83"/>
      <c r="EG462" s="83"/>
      <c r="EH462" s="83"/>
      <c r="EI462" s="83"/>
      <c r="EJ462" s="83"/>
      <c r="EK462" s="83"/>
      <c r="EL462" s="83"/>
      <c r="EM462" s="83"/>
      <c r="EN462" s="83"/>
      <c r="EO462" s="83"/>
      <c r="EP462" s="83"/>
      <c r="EQ462" s="83"/>
      <c r="ER462" s="83"/>
      <c r="ES462" s="83"/>
      <c r="ET462" s="83"/>
      <c r="EU462" s="83"/>
      <c r="EV462" s="83"/>
      <c r="EW462" s="83"/>
      <c r="EX462" s="83"/>
      <c r="EY462" s="83"/>
      <c r="EZ462" s="83"/>
      <c r="FA462" s="83"/>
      <c r="FB462" s="83"/>
      <c r="FC462" s="83"/>
      <c r="FD462" s="83"/>
      <c r="FE462" s="83"/>
      <c r="FF462" s="83"/>
      <c r="FG462" s="83"/>
      <c r="FH462" s="83"/>
      <c r="FI462" s="83"/>
      <c r="FJ462" s="83"/>
      <c r="FK462" s="83"/>
      <c r="FL462" s="83"/>
      <c r="FM462" s="83"/>
      <c r="FN462" s="83"/>
      <c r="FO462" s="83"/>
      <c r="FP462" s="83"/>
      <c r="FQ462" s="83"/>
      <c r="FR462" s="83"/>
      <c r="FS462" s="83"/>
      <c r="FT462" s="83"/>
      <c r="FU462" s="83"/>
      <c r="FV462" s="83"/>
      <c r="FW462" s="83"/>
      <c r="FX462" s="83"/>
      <c r="FY462" s="83"/>
      <c r="FZ462" s="83"/>
      <c r="GA462" s="83"/>
      <c r="GB462" s="83"/>
      <c r="GC462" s="83"/>
      <c r="GD462" s="83"/>
      <c r="GE462" s="83"/>
      <c r="GF462" s="83"/>
      <c r="GG462" s="83"/>
      <c r="GH462" s="83"/>
      <c r="GI462" s="83"/>
      <c r="GJ462" s="83"/>
      <c r="GK462" s="83"/>
      <c r="GL462" s="83"/>
      <c r="GM462" s="83"/>
      <c r="GN462" s="83"/>
      <c r="GO462" s="83"/>
      <c r="GP462" s="83"/>
      <c r="GQ462" s="83"/>
      <c r="GR462" s="83"/>
      <c r="GS462" s="83"/>
      <c r="GT462" s="83"/>
      <c r="GU462" s="83"/>
      <c r="GV462" s="83"/>
      <c r="GW462" s="83"/>
      <c r="GX462" s="83"/>
      <c r="GY462" s="83"/>
      <c r="GZ462" s="83"/>
      <c r="HA462" s="83"/>
      <c r="HB462" s="83"/>
      <c r="HC462" s="83"/>
      <c r="HD462" s="83"/>
      <c r="HE462" s="83"/>
      <c r="HF462" s="83"/>
      <c r="HG462" s="83"/>
      <c r="HH462" s="83"/>
      <c r="HI462" s="83"/>
      <c r="HJ462" s="83"/>
      <c r="HK462" s="83"/>
      <c r="HL462" s="83"/>
      <c r="HM462" s="83"/>
      <c r="HN462" s="83"/>
      <c r="HO462" s="83"/>
      <c r="HP462" s="83"/>
      <c r="HQ462" s="83"/>
      <c r="HR462" s="83"/>
      <c r="HS462" s="83"/>
      <c r="HT462" s="83"/>
      <c r="HU462" s="83"/>
      <c r="HV462" s="83"/>
      <c r="HW462" s="83"/>
      <c r="HX462" s="83"/>
      <c r="HY462" s="83"/>
      <c r="HZ462" s="83"/>
      <c r="IA462" s="83"/>
      <c r="IB462" s="83"/>
      <c r="IC462" s="83"/>
      <c r="ID462" s="83"/>
      <c r="IE462" s="83"/>
      <c r="IF462" s="83"/>
      <c r="IG462" s="83"/>
    </row>
    <row r="463" spans="1:241"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c r="DD463" s="83"/>
      <c r="DE463" s="83"/>
      <c r="DF463" s="83"/>
      <c r="DG463" s="83"/>
      <c r="DH463" s="83"/>
      <c r="DI463" s="83"/>
      <c r="DJ463" s="83"/>
      <c r="DK463" s="83"/>
      <c r="DL463" s="83"/>
      <c r="DM463" s="83"/>
      <c r="DN463" s="83"/>
      <c r="DO463" s="83"/>
      <c r="DP463" s="83"/>
      <c r="DQ463" s="83"/>
      <c r="DR463" s="83"/>
      <c r="DS463" s="83"/>
      <c r="DT463" s="83"/>
      <c r="DU463" s="83"/>
      <c r="DV463" s="83"/>
      <c r="DW463" s="83"/>
      <c r="DX463" s="83"/>
      <c r="DY463" s="83"/>
      <c r="DZ463" s="83"/>
      <c r="EA463" s="83"/>
      <c r="EB463" s="83"/>
      <c r="EC463" s="83"/>
      <c r="ED463" s="83"/>
      <c r="EE463" s="83"/>
      <c r="EF463" s="83"/>
      <c r="EG463" s="83"/>
      <c r="EH463" s="83"/>
      <c r="EI463" s="83"/>
      <c r="EJ463" s="83"/>
      <c r="EK463" s="83"/>
      <c r="EL463" s="83"/>
      <c r="EM463" s="83"/>
      <c r="EN463" s="83"/>
      <c r="EO463" s="83"/>
      <c r="EP463" s="83"/>
      <c r="EQ463" s="83"/>
      <c r="ER463" s="83"/>
      <c r="ES463" s="83"/>
      <c r="ET463" s="83"/>
      <c r="EU463" s="83"/>
      <c r="EV463" s="83"/>
      <c r="EW463" s="83"/>
      <c r="EX463" s="83"/>
      <c r="EY463" s="83"/>
      <c r="EZ463" s="83"/>
      <c r="FA463" s="83"/>
      <c r="FB463" s="83"/>
      <c r="FC463" s="83"/>
      <c r="FD463" s="83"/>
      <c r="FE463" s="83"/>
      <c r="FF463" s="83"/>
      <c r="FG463" s="83"/>
      <c r="FH463" s="83"/>
      <c r="FI463" s="83"/>
      <c r="FJ463" s="83"/>
      <c r="FK463" s="83"/>
      <c r="FL463" s="83"/>
      <c r="FM463" s="83"/>
      <c r="FN463" s="83"/>
      <c r="FO463" s="83"/>
      <c r="FP463" s="83"/>
      <c r="FQ463" s="83"/>
      <c r="FR463" s="83"/>
      <c r="FS463" s="83"/>
      <c r="FT463" s="83"/>
      <c r="FU463" s="83"/>
      <c r="FV463" s="83"/>
      <c r="FW463" s="83"/>
      <c r="FX463" s="83"/>
      <c r="FY463" s="83"/>
      <c r="FZ463" s="83"/>
      <c r="GA463" s="83"/>
      <c r="GB463" s="83"/>
      <c r="GC463" s="83"/>
      <c r="GD463" s="83"/>
      <c r="GE463" s="83"/>
      <c r="GF463" s="83"/>
      <c r="GG463" s="83"/>
      <c r="GH463" s="83"/>
      <c r="GI463" s="83"/>
      <c r="GJ463" s="83"/>
      <c r="GK463" s="83"/>
      <c r="GL463" s="83"/>
      <c r="GM463" s="83"/>
      <c r="GN463" s="83"/>
      <c r="GO463" s="83"/>
      <c r="GP463" s="83"/>
      <c r="GQ463" s="83"/>
      <c r="GR463" s="83"/>
      <c r="GS463" s="83"/>
      <c r="GT463" s="83"/>
      <c r="GU463" s="83"/>
      <c r="GV463" s="83"/>
      <c r="GW463" s="83"/>
      <c r="GX463" s="83"/>
      <c r="GY463" s="83"/>
      <c r="GZ463" s="83"/>
      <c r="HA463" s="83"/>
      <c r="HB463" s="83"/>
      <c r="HC463" s="83"/>
      <c r="HD463" s="83"/>
      <c r="HE463" s="83"/>
      <c r="HF463" s="83"/>
      <c r="HG463" s="83"/>
      <c r="HH463" s="83"/>
      <c r="HI463" s="83"/>
      <c r="HJ463" s="83"/>
      <c r="HK463" s="83"/>
      <c r="HL463" s="83"/>
      <c r="HM463" s="83"/>
      <c r="HN463" s="83"/>
      <c r="HO463" s="83"/>
      <c r="HP463" s="83"/>
      <c r="HQ463" s="83"/>
      <c r="HR463" s="83"/>
      <c r="HS463" s="83"/>
      <c r="HT463" s="83"/>
      <c r="HU463" s="83"/>
      <c r="HV463" s="83"/>
      <c r="HW463" s="83"/>
      <c r="HX463" s="83"/>
      <c r="HY463" s="83"/>
      <c r="HZ463" s="83"/>
      <c r="IA463" s="83"/>
      <c r="IB463" s="83"/>
      <c r="IC463" s="83"/>
      <c r="ID463" s="83"/>
      <c r="IE463" s="83"/>
      <c r="IF463" s="83"/>
      <c r="IG463" s="83"/>
    </row>
    <row r="464" spans="1:241"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c r="DD464" s="83"/>
      <c r="DE464" s="83"/>
      <c r="DF464" s="83"/>
      <c r="DG464" s="83"/>
      <c r="DH464" s="83"/>
      <c r="DI464" s="83"/>
      <c r="DJ464" s="83"/>
      <c r="DK464" s="83"/>
      <c r="DL464" s="83"/>
      <c r="DM464" s="83"/>
      <c r="DN464" s="83"/>
      <c r="DO464" s="83"/>
      <c r="DP464" s="83"/>
      <c r="DQ464" s="83"/>
      <c r="DR464" s="83"/>
      <c r="DS464" s="83"/>
      <c r="DT464" s="83"/>
      <c r="DU464" s="83"/>
      <c r="DV464" s="83"/>
      <c r="DW464" s="83"/>
      <c r="DX464" s="83"/>
      <c r="DY464" s="83"/>
      <c r="DZ464" s="83"/>
      <c r="EA464" s="83"/>
      <c r="EB464" s="83"/>
      <c r="EC464" s="83"/>
      <c r="ED464" s="83"/>
      <c r="EE464" s="83"/>
      <c r="EF464" s="83"/>
      <c r="EG464" s="83"/>
      <c r="EH464" s="83"/>
      <c r="EI464" s="83"/>
      <c r="EJ464" s="83"/>
      <c r="EK464" s="83"/>
      <c r="EL464" s="83"/>
      <c r="EM464" s="83"/>
      <c r="EN464" s="83"/>
      <c r="EO464" s="83"/>
      <c r="EP464" s="83"/>
      <c r="EQ464" s="83"/>
      <c r="ER464" s="83"/>
      <c r="ES464" s="83"/>
      <c r="ET464" s="83"/>
      <c r="EU464" s="83"/>
      <c r="EV464" s="83"/>
      <c r="EW464" s="83"/>
      <c r="EX464" s="83"/>
      <c r="EY464" s="83"/>
      <c r="EZ464" s="83"/>
      <c r="FA464" s="83"/>
      <c r="FB464" s="83"/>
      <c r="FC464" s="83"/>
      <c r="FD464" s="83"/>
      <c r="FE464" s="83"/>
      <c r="FF464" s="83"/>
      <c r="FG464" s="83"/>
      <c r="FH464" s="83"/>
      <c r="FI464" s="83"/>
      <c r="FJ464" s="83"/>
      <c r="FK464" s="83"/>
      <c r="FL464" s="83"/>
      <c r="FM464" s="83"/>
      <c r="FN464" s="83"/>
      <c r="FO464" s="83"/>
      <c r="FP464" s="83"/>
      <c r="FQ464" s="83"/>
      <c r="FR464" s="83"/>
      <c r="FS464" s="83"/>
      <c r="FT464" s="83"/>
      <c r="FU464" s="83"/>
      <c r="FV464" s="83"/>
      <c r="FW464" s="83"/>
      <c r="FX464" s="83"/>
      <c r="FY464" s="83"/>
      <c r="FZ464" s="83"/>
      <c r="GA464" s="83"/>
      <c r="GB464" s="83"/>
      <c r="GC464" s="83"/>
      <c r="GD464" s="83"/>
      <c r="GE464" s="83"/>
      <c r="GF464" s="83"/>
      <c r="GG464" s="83"/>
      <c r="GH464" s="83"/>
      <c r="GI464" s="83"/>
      <c r="GJ464" s="83"/>
      <c r="GK464" s="83"/>
      <c r="GL464" s="83"/>
      <c r="GM464" s="83"/>
      <c r="GN464" s="83"/>
      <c r="GO464" s="83"/>
      <c r="GP464" s="83"/>
      <c r="GQ464" s="83"/>
      <c r="GR464" s="83"/>
      <c r="GS464" s="83"/>
      <c r="GT464" s="83"/>
      <c r="GU464" s="83"/>
      <c r="GV464" s="83"/>
      <c r="GW464" s="83"/>
      <c r="GX464" s="83"/>
      <c r="GY464" s="83"/>
      <c r="GZ464" s="83"/>
      <c r="HA464" s="83"/>
      <c r="HB464" s="83"/>
      <c r="HC464" s="83"/>
      <c r="HD464" s="83"/>
      <c r="HE464" s="83"/>
      <c r="HF464" s="83"/>
      <c r="HG464" s="83"/>
      <c r="HH464" s="83"/>
      <c r="HI464" s="83"/>
      <c r="HJ464" s="83"/>
      <c r="HK464" s="83"/>
      <c r="HL464" s="83"/>
      <c r="HM464" s="83"/>
      <c r="HN464" s="83"/>
      <c r="HO464" s="83"/>
      <c r="HP464" s="83"/>
      <c r="HQ464" s="83"/>
      <c r="HR464" s="83"/>
      <c r="HS464" s="83"/>
      <c r="HT464" s="83"/>
      <c r="HU464" s="83"/>
      <c r="HV464" s="83"/>
      <c r="HW464" s="83"/>
      <c r="HX464" s="83"/>
      <c r="HY464" s="83"/>
      <c r="HZ464" s="83"/>
      <c r="IA464" s="83"/>
      <c r="IB464" s="83"/>
      <c r="IC464" s="83"/>
      <c r="ID464" s="83"/>
      <c r="IE464" s="83"/>
      <c r="IF464" s="83"/>
      <c r="IG464" s="83"/>
    </row>
    <row r="465" spans="1:241"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c r="DD465" s="83"/>
      <c r="DE465" s="83"/>
      <c r="DF465" s="83"/>
      <c r="DG465" s="83"/>
      <c r="DH465" s="83"/>
      <c r="DI465" s="83"/>
      <c r="DJ465" s="83"/>
      <c r="DK465" s="83"/>
      <c r="DL465" s="83"/>
      <c r="DM465" s="83"/>
      <c r="DN465" s="83"/>
      <c r="DO465" s="83"/>
      <c r="DP465" s="83"/>
      <c r="DQ465" s="83"/>
      <c r="DR465" s="83"/>
      <c r="DS465" s="83"/>
      <c r="DT465" s="83"/>
      <c r="DU465" s="83"/>
      <c r="DV465" s="83"/>
      <c r="DW465" s="83"/>
      <c r="DX465" s="83"/>
      <c r="DY465" s="83"/>
      <c r="DZ465" s="83"/>
      <c r="EA465" s="83"/>
      <c r="EB465" s="83"/>
      <c r="EC465" s="83"/>
      <c r="ED465" s="83"/>
      <c r="EE465" s="83"/>
      <c r="EF465" s="83"/>
      <c r="EG465" s="83"/>
      <c r="EH465" s="83"/>
      <c r="EI465" s="83"/>
      <c r="EJ465" s="83"/>
      <c r="EK465" s="83"/>
      <c r="EL465" s="83"/>
      <c r="EM465" s="83"/>
      <c r="EN465" s="83"/>
      <c r="EO465" s="83"/>
      <c r="EP465" s="83"/>
      <c r="EQ465" s="83"/>
      <c r="ER465" s="83"/>
      <c r="ES465" s="83"/>
      <c r="ET465" s="83"/>
      <c r="EU465" s="83"/>
      <c r="EV465" s="83"/>
      <c r="EW465" s="83"/>
      <c r="EX465" s="83"/>
      <c r="EY465" s="83"/>
      <c r="EZ465" s="83"/>
      <c r="FA465" s="83"/>
      <c r="FB465" s="83"/>
      <c r="FC465" s="83"/>
      <c r="FD465" s="83"/>
      <c r="FE465" s="83"/>
      <c r="FF465" s="83"/>
      <c r="FG465" s="83"/>
      <c r="FH465" s="83"/>
      <c r="FI465" s="83"/>
      <c r="FJ465" s="83"/>
      <c r="FK465" s="83"/>
      <c r="FL465" s="83"/>
      <c r="FM465" s="83"/>
      <c r="FN465" s="83"/>
      <c r="FO465" s="83"/>
      <c r="FP465" s="83"/>
      <c r="FQ465" s="83"/>
      <c r="FR465" s="83"/>
      <c r="FS465" s="83"/>
      <c r="FT465" s="83"/>
      <c r="FU465" s="83"/>
      <c r="FV465" s="83"/>
      <c r="FW465" s="83"/>
      <c r="FX465" s="83"/>
      <c r="FY465" s="83"/>
      <c r="FZ465" s="83"/>
      <c r="GA465" s="83"/>
      <c r="GB465" s="83"/>
      <c r="GC465" s="83"/>
      <c r="GD465" s="83"/>
      <c r="GE465" s="83"/>
      <c r="GF465" s="83"/>
      <c r="GG465" s="83"/>
      <c r="GH465" s="83"/>
      <c r="GI465" s="83"/>
      <c r="GJ465" s="83"/>
      <c r="GK465" s="83"/>
      <c r="GL465" s="83"/>
      <c r="GM465" s="83"/>
      <c r="GN465" s="83"/>
      <c r="GO465" s="83"/>
      <c r="GP465" s="83"/>
      <c r="GQ465" s="83"/>
      <c r="GR465" s="83"/>
      <c r="GS465" s="83"/>
      <c r="GT465" s="83"/>
      <c r="GU465" s="83"/>
      <c r="GV465" s="83"/>
      <c r="GW465" s="83"/>
      <c r="GX465" s="83"/>
      <c r="GY465" s="83"/>
      <c r="GZ465" s="83"/>
      <c r="HA465" s="83"/>
      <c r="HB465" s="83"/>
      <c r="HC465" s="83"/>
      <c r="HD465" s="83"/>
      <c r="HE465" s="83"/>
      <c r="HF465" s="83"/>
      <c r="HG465" s="83"/>
      <c r="HH465" s="83"/>
      <c r="HI465" s="83"/>
      <c r="HJ465" s="83"/>
      <c r="HK465" s="83"/>
      <c r="HL465" s="83"/>
      <c r="HM465" s="83"/>
      <c r="HN465" s="83"/>
      <c r="HO465" s="83"/>
      <c r="HP465" s="83"/>
      <c r="HQ465" s="83"/>
      <c r="HR465" s="83"/>
      <c r="HS465" s="83"/>
      <c r="HT465" s="83"/>
      <c r="HU465" s="83"/>
      <c r="HV465" s="83"/>
      <c r="HW465" s="83"/>
      <c r="HX465" s="83"/>
      <c r="HY465" s="83"/>
      <c r="HZ465" s="83"/>
      <c r="IA465" s="83"/>
      <c r="IB465" s="83"/>
      <c r="IC465" s="83"/>
      <c r="ID465" s="83"/>
      <c r="IE465" s="83"/>
      <c r="IF465" s="83"/>
      <c r="IG465" s="83"/>
    </row>
    <row r="466" spans="1:241"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c r="DD466" s="83"/>
      <c r="DE466" s="83"/>
      <c r="DF466" s="83"/>
      <c r="DG466" s="83"/>
      <c r="DH466" s="83"/>
      <c r="DI466" s="83"/>
      <c r="DJ466" s="83"/>
      <c r="DK466" s="83"/>
      <c r="DL466" s="83"/>
      <c r="DM466" s="83"/>
      <c r="DN466" s="83"/>
      <c r="DO466" s="83"/>
      <c r="DP466" s="83"/>
      <c r="DQ466" s="83"/>
      <c r="DR466" s="83"/>
      <c r="DS466" s="83"/>
      <c r="DT466" s="83"/>
      <c r="DU466" s="83"/>
      <c r="DV466" s="83"/>
      <c r="DW466" s="83"/>
      <c r="DX466" s="83"/>
      <c r="DY466" s="83"/>
      <c r="DZ466" s="83"/>
      <c r="EA466" s="83"/>
      <c r="EB466" s="83"/>
      <c r="EC466" s="83"/>
      <c r="ED466" s="83"/>
      <c r="EE466" s="83"/>
      <c r="EF466" s="83"/>
      <c r="EG466" s="83"/>
      <c r="EH466" s="83"/>
      <c r="EI466" s="83"/>
      <c r="EJ466" s="83"/>
      <c r="EK466" s="83"/>
      <c r="EL466" s="83"/>
      <c r="EM466" s="83"/>
      <c r="EN466" s="83"/>
      <c r="EO466" s="83"/>
      <c r="EP466" s="83"/>
      <c r="EQ466" s="83"/>
      <c r="ER466" s="83"/>
      <c r="ES466" s="83"/>
      <c r="ET466" s="83"/>
      <c r="EU466" s="83"/>
      <c r="EV466" s="83"/>
      <c r="EW466" s="83"/>
      <c r="EX466" s="83"/>
      <c r="EY466" s="83"/>
      <c r="EZ466" s="83"/>
      <c r="FA466" s="83"/>
      <c r="FB466" s="83"/>
      <c r="FC466" s="83"/>
      <c r="FD466" s="83"/>
      <c r="FE466" s="83"/>
      <c r="FF466" s="83"/>
      <c r="FG466" s="83"/>
      <c r="FH466" s="83"/>
      <c r="FI466" s="83"/>
      <c r="FJ466" s="83"/>
      <c r="FK466" s="83"/>
      <c r="FL466" s="83"/>
      <c r="FM466" s="83"/>
      <c r="FN466" s="83"/>
      <c r="FO466" s="83"/>
      <c r="FP466" s="83"/>
      <c r="FQ466" s="83"/>
      <c r="FR466" s="83"/>
      <c r="FS466" s="83"/>
      <c r="FT466" s="83"/>
      <c r="FU466" s="83"/>
      <c r="FV466" s="83"/>
      <c r="FW466" s="83"/>
      <c r="FX466" s="83"/>
      <c r="FY466" s="83"/>
      <c r="FZ466" s="83"/>
      <c r="GA466" s="83"/>
      <c r="GB466" s="83"/>
      <c r="GC466" s="83"/>
      <c r="GD466" s="83"/>
      <c r="GE466" s="83"/>
      <c r="GF466" s="83"/>
      <c r="GG466" s="83"/>
      <c r="GH466" s="83"/>
      <c r="GI466" s="83"/>
      <c r="GJ466" s="83"/>
      <c r="GK466" s="83"/>
      <c r="GL466" s="83"/>
      <c r="GM466" s="83"/>
      <c r="GN466" s="83"/>
      <c r="GO466" s="83"/>
      <c r="GP466" s="83"/>
      <c r="GQ466" s="83"/>
      <c r="GR466" s="83"/>
      <c r="GS466" s="83"/>
      <c r="GT466" s="83"/>
      <c r="GU466" s="83"/>
      <c r="GV466" s="83"/>
      <c r="GW466" s="83"/>
      <c r="GX466" s="83"/>
      <c r="GY466" s="83"/>
      <c r="GZ466" s="83"/>
      <c r="HA466" s="83"/>
      <c r="HB466" s="83"/>
      <c r="HC466" s="83"/>
      <c r="HD466" s="83"/>
      <c r="HE466" s="83"/>
      <c r="HF466" s="83"/>
      <c r="HG466" s="83"/>
      <c r="HH466" s="83"/>
      <c r="HI466" s="83"/>
      <c r="HJ466" s="83"/>
      <c r="HK466" s="83"/>
      <c r="HL466" s="83"/>
      <c r="HM466" s="83"/>
      <c r="HN466" s="83"/>
      <c r="HO466" s="83"/>
      <c r="HP466" s="83"/>
      <c r="HQ466" s="83"/>
      <c r="HR466" s="83"/>
      <c r="HS466" s="83"/>
      <c r="HT466" s="83"/>
      <c r="HU466" s="83"/>
      <c r="HV466" s="83"/>
      <c r="HW466" s="83"/>
      <c r="HX466" s="83"/>
      <c r="HY466" s="83"/>
      <c r="HZ466" s="83"/>
      <c r="IA466" s="83"/>
      <c r="IB466" s="83"/>
      <c r="IC466" s="83"/>
      <c r="ID466" s="83"/>
      <c r="IE466" s="83"/>
      <c r="IF466" s="83"/>
      <c r="IG466" s="83"/>
    </row>
    <row r="467" spans="1:241"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c r="DD467" s="83"/>
      <c r="DE467" s="83"/>
      <c r="DF467" s="83"/>
      <c r="DG467" s="83"/>
      <c r="DH467" s="83"/>
      <c r="DI467" s="83"/>
      <c r="DJ467" s="83"/>
      <c r="DK467" s="83"/>
      <c r="DL467" s="83"/>
      <c r="DM467" s="83"/>
      <c r="DN467" s="83"/>
      <c r="DO467" s="83"/>
      <c r="DP467" s="83"/>
      <c r="DQ467" s="83"/>
      <c r="DR467" s="83"/>
      <c r="DS467" s="83"/>
      <c r="DT467" s="83"/>
      <c r="DU467" s="83"/>
      <c r="DV467" s="83"/>
      <c r="DW467" s="83"/>
      <c r="DX467" s="83"/>
      <c r="DY467" s="83"/>
      <c r="DZ467" s="83"/>
      <c r="EA467" s="83"/>
      <c r="EB467" s="83"/>
      <c r="EC467" s="83"/>
      <c r="ED467" s="83"/>
      <c r="EE467" s="83"/>
      <c r="EF467" s="83"/>
      <c r="EG467" s="83"/>
      <c r="EH467" s="83"/>
      <c r="EI467" s="83"/>
      <c r="EJ467" s="83"/>
      <c r="EK467" s="83"/>
      <c r="EL467" s="83"/>
      <c r="EM467" s="83"/>
      <c r="EN467" s="83"/>
      <c r="EO467" s="83"/>
      <c r="EP467" s="83"/>
      <c r="EQ467" s="83"/>
      <c r="ER467" s="83"/>
      <c r="ES467" s="83"/>
      <c r="ET467" s="83"/>
      <c r="EU467" s="83"/>
      <c r="EV467" s="83"/>
      <c r="EW467" s="83"/>
      <c r="EX467" s="83"/>
      <c r="EY467" s="83"/>
      <c r="EZ467" s="83"/>
      <c r="FA467" s="83"/>
      <c r="FB467" s="83"/>
      <c r="FC467" s="83"/>
      <c r="FD467" s="83"/>
      <c r="FE467" s="83"/>
      <c r="FF467" s="83"/>
      <c r="FG467" s="83"/>
      <c r="FH467" s="83"/>
      <c r="FI467" s="83"/>
      <c r="FJ467" s="83"/>
      <c r="FK467" s="83"/>
      <c r="FL467" s="83"/>
      <c r="FM467" s="83"/>
      <c r="FN467" s="83"/>
      <c r="FO467" s="83"/>
      <c r="FP467" s="83"/>
      <c r="FQ467" s="83"/>
      <c r="FR467" s="83"/>
      <c r="FS467" s="83"/>
      <c r="FT467" s="83"/>
      <c r="FU467" s="83"/>
      <c r="FV467" s="83"/>
      <c r="FW467" s="83"/>
      <c r="FX467" s="83"/>
      <c r="FY467" s="83"/>
      <c r="FZ467" s="83"/>
      <c r="GA467" s="83"/>
      <c r="GB467" s="83"/>
      <c r="GC467" s="83"/>
      <c r="GD467" s="83"/>
      <c r="GE467" s="83"/>
      <c r="GF467" s="83"/>
      <c r="GG467" s="83"/>
      <c r="GH467" s="83"/>
      <c r="GI467" s="83"/>
      <c r="GJ467" s="83"/>
      <c r="GK467" s="83"/>
      <c r="GL467" s="83"/>
      <c r="GM467" s="83"/>
      <c r="GN467" s="83"/>
      <c r="GO467" s="83"/>
      <c r="GP467" s="83"/>
      <c r="GQ467" s="83"/>
      <c r="GR467" s="83"/>
      <c r="GS467" s="83"/>
      <c r="GT467" s="83"/>
      <c r="GU467" s="83"/>
      <c r="GV467" s="83"/>
      <c r="GW467" s="83"/>
      <c r="GX467" s="83"/>
      <c r="GY467" s="83"/>
      <c r="GZ467" s="83"/>
      <c r="HA467" s="83"/>
      <c r="HB467" s="83"/>
      <c r="HC467" s="83"/>
      <c r="HD467" s="83"/>
      <c r="HE467" s="83"/>
      <c r="HF467" s="83"/>
      <c r="HG467" s="83"/>
      <c r="HH467" s="83"/>
      <c r="HI467" s="83"/>
      <c r="HJ467" s="83"/>
      <c r="HK467" s="83"/>
      <c r="HL467" s="83"/>
      <c r="HM467" s="83"/>
      <c r="HN467" s="83"/>
      <c r="HO467" s="83"/>
      <c r="HP467" s="83"/>
      <c r="HQ467" s="83"/>
      <c r="HR467" s="83"/>
      <c r="HS467" s="83"/>
      <c r="HT467" s="83"/>
      <c r="HU467" s="83"/>
      <c r="HV467" s="83"/>
      <c r="HW467" s="83"/>
      <c r="HX467" s="83"/>
      <c r="HY467" s="83"/>
      <c r="HZ467" s="83"/>
      <c r="IA467" s="83"/>
      <c r="IB467" s="83"/>
      <c r="IC467" s="83"/>
      <c r="ID467" s="83"/>
      <c r="IE467" s="83"/>
      <c r="IF467" s="83"/>
      <c r="IG467" s="83"/>
    </row>
    <row r="468" spans="1:241"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c r="DD468" s="83"/>
      <c r="DE468" s="83"/>
      <c r="DF468" s="83"/>
      <c r="DG468" s="83"/>
      <c r="DH468" s="83"/>
      <c r="DI468" s="83"/>
      <c r="DJ468" s="83"/>
      <c r="DK468" s="83"/>
      <c r="DL468" s="83"/>
      <c r="DM468" s="83"/>
      <c r="DN468" s="83"/>
      <c r="DO468" s="83"/>
      <c r="DP468" s="83"/>
      <c r="DQ468" s="83"/>
      <c r="DR468" s="83"/>
      <c r="DS468" s="83"/>
      <c r="DT468" s="83"/>
      <c r="DU468" s="83"/>
      <c r="DV468" s="83"/>
      <c r="DW468" s="83"/>
      <c r="DX468" s="83"/>
      <c r="DY468" s="83"/>
      <c r="DZ468" s="83"/>
      <c r="EA468" s="83"/>
      <c r="EB468" s="83"/>
      <c r="EC468" s="83"/>
      <c r="ED468" s="83"/>
      <c r="EE468" s="83"/>
      <c r="EF468" s="83"/>
      <c r="EG468" s="83"/>
      <c r="EH468" s="83"/>
      <c r="EI468" s="83"/>
      <c r="EJ468" s="83"/>
      <c r="EK468" s="83"/>
      <c r="EL468" s="83"/>
      <c r="EM468" s="83"/>
      <c r="EN468" s="83"/>
      <c r="EO468" s="83"/>
      <c r="EP468" s="83"/>
      <c r="EQ468" s="83"/>
      <c r="ER468" s="83"/>
      <c r="ES468" s="83"/>
      <c r="ET468" s="83"/>
      <c r="EU468" s="83"/>
      <c r="EV468" s="83"/>
      <c r="EW468" s="83"/>
      <c r="EX468" s="83"/>
      <c r="EY468" s="83"/>
      <c r="EZ468" s="83"/>
      <c r="FA468" s="83"/>
      <c r="FB468" s="83"/>
      <c r="FC468" s="83"/>
      <c r="FD468" s="83"/>
      <c r="FE468" s="83"/>
      <c r="FF468" s="83"/>
      <c r="FG468" s="83"/>
      <c r="FH468" s="83"/>
      <c r="FI468" s="83"/>
      <c r="FJ468" s="83"/>
      <c r="FK468" s="83"/>
      <c r="FL468" s="83"/>
      <c r="FM468" s="83"/>
      <c r="FN468" s="83"/>
      <c r="FO468" s="83"/>
      <c r="FP468" s="83"/>
      <c r="FQ468" s="83"/>
      <c r="FR468" s="83"/>
      <c r="FS468" s="83"/>
      <c r="FT468" s="83"/>
      <c r="FU468" s="83"/>
      <c r="FV468" s="83"/>
      <c r="FW468" s="83"/>
      <c r="FX468" s="83"/>
      <c r="FY468" s="83"/>
      <c r="FZ468" s="83"/>
      <c r="GA468" s="83"/>
      <c r="GB468" s="83"/>
      <c r="GC468" s="83"/>
      <c r="GD468" s="83"/>
      <c r="GE468" s="83"/>
      <c r="GF468" s="83"/>
      <c r="GG468" s="83"/>
      <c r="GH468" s="83"/>
      <c r="GI468" s="83"/>
      <c r="GJ468" s="83"/>
      <c r="GK468" s="83"/>
      <c r="GL468" s="83"/>
      <c r="GM468" s="83"/>
      <c r="GN468" s="83"/>
      <c r="GO468" s="83"/>
      <c r="GP468" s="83"/>
      <c r="GQ468" s="83"/>
      <c r="GR468" s="83"/>
      <c r="GS468" s="83"/>
      <c r="GT468" s="83"/>
      <c r="GU468" s="83"/>
      <c r="GV468" s="83"/>
      <c r="GW468" s="83"/>
      <c r="GX468" s="83"/>
      <c r="GY468" s="83"/>
      <c r="GZ468" s="83"/>
      <c r="HA468" s="83"/>
      <c r="HB468" s="83"/>
      <c r="HC468" s="83"/>
      <c r="HD468" s="83"/>
      <c r="HE468" s="83"/>
      <c r="HF468" s="83"/>
      <c r="HG468" s="83"/>
      <c r="HH468" s="83"/>
      <c r="HI468" s="83"/>
      <c r="HJ468" s="83"/>
      <c r="HK468" s="83"/>
      <c r="HL468" s="83"/>
      <c r="HM468" s="83"/>
      <c r="HN468" s="83"/>
      <c r="HO468" s="83"/>
      <c r="HP468" s="83"/>
      <c r="HQ468" s="83"/>
      <c r="HR468" s="83"/>
      <c r="HS468" s="83"/>
      <c r="HT468" s="83"/>
      <c r="HU468" s="83"/>
      <c r="HV468" s="83"/>
      <c r="HW468" s="83"/>
      <c r="HX468" s="83"/>
      <c r="HY468" s="83"/>
      <c r="HZ468" s="83"/>
      <c r="IA468" s="83"/>
      <c r="IB468" s="83"/>
      <c r="IC468" s="83"/>
      <c r="ID468" s="83"/>
      <c r="IE468" s="83"/>
      <c r="IF468" s="83"/>
      <c r="IG468" s="83"/>
    </row>
    <row r="469" spans="1:241"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c r="DD469" s="83"/>
      <c r="DE469" s="83"/>
      <c r="DF469" s="83"/>
      <c r="DG469" s="83"/>
      <c r="DH469" s="83"/>
      <c r="DI469" s="83"/>
      <c r="DJ469" s="83"/>
      <c r="DK469" s="83"/>
      <c r="DL469" s="83"/>
      <c r="DM469" s="83"/>
      <c r="DN469" s="83"/>
      <c r="DO469" s="83"/>
      <c r="DP469" s="83"/>
      <c r="DQ469" s="83"/>
      <c r="DR469" s="83"/>
      <c r="DS469" s="83"/>
      <c r="DT469" s="83"/>
      <c r="DU469" s="83"/>
      <c r="DV469" s="83"/>
      <c r="DW469" s="83"/>
      <c r="DX469" s="83"/>
      <c r="DY469" s="83"/>
      <c r="DZ469" s="83"/>
      <c r="EA469" s="83"/>
      <c r="EB469" s="83"/>
      <c r="EC469" s="83"/>
      <c r="ED469" s="83"/>
      <c r="EE469" s="83"/>
      <c r="EF469" s="83"/>
      <c r="EG469" s="83"/>
      <c r="EH469" s="83"/>
      <c r="EI469" s="83"/>
      <c r="EJ469" s="83"/>
      <c r="EK469" s="83"/>
      <c r="EL469" s="83"/>
      <c r="EM469" s="83"/>
      <c r="EN469" s="83"/>
      <c r="EO469" s="83"/>
      <c r="EP469" s="83"/>
      <c r="EQ469" s="83"/>
      <c r="ER469" s="83"/>
      <c r="ES469" s="83"/>
      <c r="ET469" s="83"/>
      <c r="EU469" s="83"/>
      <c r="EV469" s="83"/>
      <c r="EW469" s="83"/>
      <c r="EX469" s="83"/>
      <c r="EY469" s="83"/>
      <c r="EZ469" s="83"/>
      <c r="FA469" s="83"/>
      <c r="FB469" s="83"/>
      <c r="FC469" s="83"/>
      <c r="FD469" s="83"/>
      <c r="FE469" s="83"/>
      <c r="FF469" s="83"/>
      <c r="FG469" s="83"/>
      <c r="FH469" s="83"/>
      <c r="FI469" s="83"/>
      <c r="FJ469" s="83"/>
      <c r="FK469" s="83"/>
      <c r="FL469" s="83"/>
      <c r="FM469" s="83"/>
      <c r="FN469" s="83"/>
      <c r="FO469" s="83"/>
      <c r="FP469" s="83"/>
      <c r="FQ469" s="83"/>
      <c r="FR469" s="83"/>
      <c r="FS469" s="83"/>
      <c r="FT469" s="83"/>
      <c r="FU469" s="83"/>
      <c r="FV469" s="83"/>
      <c r="FW469" s="83"/>
      <c r="FX469" s="83"/>
      <c r="FY469" s="83"/>
      <c r="FZ469" s="83"/>
      <c r="GA469" s="83"/>
      <c r="GB469" s="83"/>
      <c r="GC469" s="83"/>
      <c r="GD469" s="83"/>
      <c r="GE469" s="83"/>
      <c r="GF469" s="83"/>
      <c r="GG469" s="83"/>
      <c r="GH469" s="83"/>
      <c r="GI469" s="83"/>
      <c r="GJ469" s="83"/>
      <c r="GK469" s="83"/>
      <c r="GL469" s="83"/>
      <c r="GM469" s="83"/>
      <c r="GN469" s="83"/>
      <c r="GO469" s="83"/>
      <c r="GP469" s="83"/>
      <c r="GQ469" s="83"/>
      <c r="GR469" s="83"/>
      <c r="GS469" s="83"/>
      <c r="GT469" s="83"/>
      <c r="GU469" s="83"/>
      <c r="GV469" s="83"/>
      <c r="GW469" s="83"/>
      <c r="GX469" s="83"/>
      <c r="GY469" s="83"/>
      <c r="GZ469" s="83"/>
      <c r="HA469" s="83"/>
      <c r="HB469" s="83"/>
      <c r="HC469" s="83"/>
      <c r="HD469" s="83"/>
      <c r="HE469" s="83"/>
      <c r="HF469" s="83"/>
      <c r="HG469" s="83"/>
      <c r="HH469" s="83"/>
      <c r="HI469" s="83"/>
      <c r="HJ469" s="83"/>
      <c r="HK469" s="83"/>
      <c r="HL469" s="83"/>
      <c r="HM469" s="83"/>
      <c r="HN469" s="83"/>
      <c r="HO469" s="83"/>
      <c r="HP469" s="83"/>
      <c r="HQ469" s="83"/>
      <c r="HR469" s="83"/>
      <c r="HS469" s="83"/>
      <c r="HT469" s="83"/>
      <c r="HU469" s="83"/>
      <c r="HV469" s="83"/>
      <c r="HW469" s="83"/>
      <c r="HX469" s="83"/>
      <c r="HY469" s="83"/>
      <c r="HZ469" s="83"/>
      <c r="IA469" s="83"/>
      <c r="IB469" s="83"/>
      <c r="IC469" s="83"/>
      <c r="ID469" s="83"/>
      <c r="IE469" s="83"/>
      <c r="IF469" s="83"/>
      <c r="IG469" s="83"/>
    </row>
    <row r="470" spans="1:241"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c r="DD470" s="83"/>
      <c r="DE470" s="83"/>
      <c r="DF470" s="83"/>
      <c r="DG470" s="83"/>
      <c r="DH470" s="83"/>
      <c r="DI470" s="83"/>
      <c r="DJ470" s="83"/>
      <c r="DK470" s="83"/>
      <c r="DL470" s="83"/>
      <c r="DM470" s="83"/>
      <c r="DN470" s="83"/>
      <c r="DO470" s="83"/>
      <c r="DP470" s="83"/>
      <c r="DQ470" s="83"/>
      <c r="DR470" s="83"/>
      <c r="DS470" s="83"/>
      <c r="DT470" s="83"/>
      <c r="DU470" s="83"/>
      <c r="DV470" s="83"/>
      <c r="DW470" s="83"/>
      <c r="DX470" s="83"/>
      <c r="DY470" s="83"/>
      <c r="DZ470" s="83"/>
      <c r="EA470" s="83"/>
      <c r="EB470" s="83"/>
      <c r="EC470" s="83"/>
      <c r="ED470" s="83"/>
      <c r="EE470" s="83"/>
      <c r="EF470" s="83"/>
      <c r="EG470" s="83"/>
      <c r="EH470" s="83"/>
      <c r="EI470" s="83"/>
      <c r="EJ470" s="83"/>
      <c r="EK470" s="83"/>
      <c r="EL470" s="83"/>
      <c r="EM470" s="83"/>
      <c r="EN470" s="83"/>
      <c r="EO470" s="83"/>
      <c r="EP470" s="83"/>
      <c r="EQ470" s="83"/>
      <c r="ER470" s="83"/>
      <c r="ES470" s="83"/>
      <c r="ET470" s="83"/>
      <c r="EU470" s="83"/>
      <c r="EV470" s="83"/>
      <c r="EW470" s="83"/>
      <c r="EX470" s="83"/>
      <c r="EY470" s="83"/>
      <c r="EZ470" s="83"/>
      <c r="FA470" s="83"/>
      <c r="FB470" s="83"/>
      <c r="FC470" s="83"/>
      <c r="FD470" s="83"/>
      <c r="FE470" s="83"/>
      <c r="FF470" s="83"/>
      <c r="FG470" s="83"/>
      <c r="FH470" s="83"/>
      <c r="FI470" s="83"/>
      <c r="FJ470" s="83"/>
      <c r="FK470" s="83"/>
      <c r="FL470" s="83"/>
      <c r="FM470" s="83"/>
      <c r="FN470" s="83"/>
      <c r="FO470" s="83"/>
      <c r="FP470" s="83"/>
      <c r="FQ470" s="83"/>
      <c r="FR470" s="83"/>
      <c r="FS470" s="83"/>
      <c r="FT470" s="83"/>
      <c r="FU470" s="83"/>
      <c r="FV470" s="83"/>
      <c r="FW470" s="83"/>
      <c r="FX470" s="83"/>
      <c r="FY470" s="83"/>
      <c r="FZ470" s="83"/>
      <c r="GA470" s="83"/>
      <c r="GB470" s="83"/>
      <c r="GC470" s="83"/>
      <c r="GD470" s="83"/>
      <c r="GE470" s="83"/>
      <c r="GF470" s="83"/>
      <c r="GG470" s="83"/>
      <c r="GH470" s="83"/>
      <c r="GI470" s="83"/>
      <c r="GJ470" s="83"/>
      <c r="GK470" s="83"/>
      <c r="GL470" s="83"/>
      <c r="GM470" s="83"/>
      <c r="GN470" s="83"/>
      <c r="GO470" s="83"/>
      <c r="GP470" s="83"/>
      <c r="GQ470" s="83"/>
      <c r="GR470" s="83"/>
      <c r="GS470" s="83"/>
      <c r="GT470" s="83"/>
      <c r="GU470" s="83"/>
      <c r="GV470" s="83"/>
      <c r="GW470" s="83"/>
      <c r="GX470" s="83"/>
      <c r="GY470" s="83"/>
      <c r="GZ470" s="83"/>
      <c r="HA470" s="83"/>
      <c r="HB470" s="83"/>
      <c r="HC470" s="83"/>
      <c r="HD470" s="83"/>
      <c r="HE470" s="83"/>
      <c r="HF470" s="83"/>
      <c r="HG470" s="83"/>
      <c r="HH470" s="83"/>
      <c r="HI470" s="83"/>
      <c r="HJ470" s="83"/>
      <c r="HK470" s="83"/>
      <c r="HL470" s="83"/>
      <c r="HM470" s="83"/>
      <c r="HN470" s="83"/>
      <c r="HO470" s="83"/>
      <c r="HP470" s="83"/>
      <c r="HQ470" s="83"/>
      <c r="HR470" s="83"/>
      <c r="HS470" s="83"/>
      <c r="HT470" s="83"/>
      <c r="HU470" s="83"/>
      <c r="HV470" s="83"/>
      <c r="HW470" s="83"/>
      <c r="HX470" s="83"/>
      <c r="HY470" s="83"/>
      <c r="HZ470" s="83"/>
      <c r="IA470" s="83"/>
      <c r="IB470" s="83"/>
      <c r="IC470" s="83"/>
      <c r="ID470" s="83"/>
      <c r="IE470" s="83"/>
      <c r="IF470" s="83"/>
      <c r="IG470" s="83"/>
    </row>
    <row r="471" spans="1:241"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c r="DD471" s="83"/>
      <c r="DE471" s="83"/>
      <c r="DF471" s="83"/>
      <c r="DG471" s="83"/>
      <c r="DH471" s="83"/>
      <c r="DI471" s="83"/>
      <c r="DJ471" s="83"/>
      <c r="DK471" s="83"/>
      <c r="DL471" s="83"/>
      <c r="DM471" s="83"/>
      <c r="DN471" s="83"/>
      <c r="DO471" s="83"/>
      <c r="DP471" s="83"/>
      <c r="DQ471" s="83"/>
      <c r="DR471" s="83"/>
      <c r="DS471" s="83"/>
      <c r="DT471" s="83"/>
      <c r="DU471" s="83"/>
      <c r="DV471" s="83"/>
      <c r="DW471" s="83"/>
      <c r="DX471" s="83"/>
      <c r="DY471" s="83"/>
      <c r="DZ471" s="83"/>
      <c r="EA471" s="83"/>
      <c r="EB471" s="83"/>
      <c r="EC471" s="83"/>
      <c r="ED471" s="83"/>
      <c r="EE471" s="83"/>
      <c r="EF471" s="83"/>
      <c r="EG471" s="83"/>
      <c r="EH471" s="83"/>
      <c r="EI471" s="83"/>
      <c r="EJ471" s="83"/>
      <c r="EK471" s="83"/>
      <c r="EL471" s="83"/>
      <c r="EM471" s="83"/>
      <c r="EN471" s="83"/>
      <c r="EO471" s="83"/>
      <c r="EP471" s="83"/>
      <c r="EQ471" s="83"/>
      <c r="ER471" s="83"/>
      <c r="ES471" s="83"/>
      <c r="ET471" s="83"/>
      <c r="EU471" s="83"/>
      <c r="EV471" s="83"/>
      <c r="EW471" s="83"/>
      <c r="EX471" s="83"/>
      <c r="EY471" s="83"/>
      <c r="EZ471" s="83"/>
      <c r="FA471" s="83"/>
      <c r="FB471" s="83"/>
      <c r="FC471" s="83"/>
      <c r="FD471" s="83"/>
      <c r="FE471" s="83"/>
      <c r="FF471" s="83"/>
      <c r="FG471" s="83"/>
      <c r="FH471" s="83"/>
      <c r="FI471" s="83"/>
      <c r="FJ471" s="83"/>
      <c r="FK471" s="83"/>
      <c r="FL471" s="83"/>
      <c r="FM471" s="83"/>
      <c r="FN471" s="83"/>
      <c r="FO471" s="83"/>
      <c r="FP471" s="83"/>
      <c r="FQ471" s="83"/>
      <c r="FR471" s="83"/>
      <c r="FS471" s="83"/>
      <c r="FT471" s="83"/>
      <c r="FU471" s="83"/>
      <c r="FV471" s="83"/>
      <c r="FW471" s="83"/>
      <c r="FX471" s="83"/>
      <c r="FY471" s="83"/>
      <c r="FZ471" s="83"/>
      <c r="GA471" s="83"/>
      <c r="GB471" s="83"/>
      <c r="GC471" s="83"/>
      <c r="GD471" s="83"/>
      <c r="GE471" s="83"/>
      <c r="GF471" s="83"/>
      <c r="GG471" s="83"/>
      <c r="GH471" s="83"/>
      <c r="GI471" s="83"/>
      <c r="GJ471" s="83"/>
      <c r="GK471" s="83"/>
      <c r="GL471" s="83"/>
      <c r="GM471" s="83"/>
      <c r="GN471" s="83"/>
      <c r="GO471" s="83"/>
      <c r="GP471" s="83"/>
      <c r="GQ471" s="83"/>
      <c r="GR471" s="83"/>
      <c r="GS471" s="83"/>
      <c r="GT471" s="83"/>
      <c r="GU471" s="83"/>
      <c r="GV471" s="83"/>
      <c r="GW471" s="83"/>
      <c r="GX471" s="83"/>
      <c r="GY471" s="83"/>
      <c r="GZ471" s="83"/>
      <c r="HA471" s="83"/>
      <c r="HB471" s="83"/>
      <c r="HC471" s="83"/>
      <c r="HD471" s="83"/>
      <c r="HE471" s="83"/>
      <c r="HF471" s="83"/>
      <c r="HG471" s="83"/>
      <c r="HH471" s="83"/>
      <c r="HI471" s="83"/>
      <c r="HJ471" s="83"/>
      <c r="HK471" s="83"/>
      <c r="HL471" s="83"/>
      <c r="HM471" s="83"/>
      <c r="HN471" s="83"/>
      <c r="HO471" s="83"/>
      <c r="HP471" s="83"/>
      <c r="HQ471" s="83"/>
      <c r="HR471" s="83"/>
      <c r="HS471" s="83"/>
      <c r="HT471" s="83"/>
      <c r="HU471" s="83"/>
      <c r="HV471" s="83"/>
      <c r="HW471" s="83"/>
      <c r="HX471" s="83"/>
      <c r="HY471" s="83"/>
      <c r="HZ471" s="83"/>
      <c r="IA471" s="83"/>
      <c r="IB471" s="83"/>
      <c r="IC471" s="83"/>
      <c r="ID471" s="83"/>
      <c r="IE471" s="83"/>
      <c r="IF471" s="83"/>
      <c r="IG471" s="83"/>
    </row>
    <row r="472" spans="1:241"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c r="DD472" s="83"/>
      <c r="DE472" s="83"/>
      <c r="DF472" s="83"/>
      <c r="DG472" s="83"/>
      <c r="DH472" s="83"/>
      <c r="DI472" s="83"/>
      <c r="DJ472" s="83"/>
      <c r="DK472" s="83"/>
      <c r="DL472" s="83"/>
      <c r="DM472" s="83"/>
      <c r="DN472" s="83"/>
      <c r="DO472" s="83"/>
      <c r="DP472" s="83"/>
      <c r="DQ472" s="83"/>
      <c r="DR472" s="83"/>
      <c r="DS472" s="83"/>
      <c r="DT472" s="83"/>
      <c r="DU472" s="83"/>
      <c r="DV472" s="83"/>
      <c r="DW472" s="83"/>
      <c r="DX472" s="83"/>
      <c r="DY472" s="83"/>
      <c r="DZ472" s="83"/>
      <c r="EA472" s="83"/>
      <c r="EB472" s="83"/>
      <c r="EC472" s="83"/>
      <c r="ED472" s="83"/>
      <c r="EE472" s="83"/>
      <c r="EF472" s="83"/>
      <c r="EG472" s="83"/>
      <c r="EH472" s="83"/>
      <c r="EI472" s="83"/>
      <c r="EJ472" s="83"/>
      <c r="EK472" s="83"/>
      <c r="EL472" s="83"/>
      <c r="EM472" s="83"/>
      <c r="EN472" s="83"/>
      <c r="EO472" s="83"/>
      <c r="EP472" s="83"/>
      <c r="EQ472" s="83"/>
      <c r="ER472" s="83"/>
      <c r="ES472" s="83"/>
      <c r="ET472" s="83"/>
      <c r="EU472" s="83"/>
      <c r="EV472" s="83"/>
      <c r="EW472" s="83"/>
      <c r="EX472" s="83"/>
      <c r="EY472" s="83"/>
      <c r="EZ472" s="83"/>
      <c r="FA472" s="83"/>
      <c r="FB472" s="83"/>
      <c r="FC472" s="83"/>
      <c r="FD472" s="83"/>
      <c r="FE472" s="83"/>
      <c r="FF472" s="83"/>
      <c r="FG472" s="83"/>
      <c r="FH472" s="83"/>
      <c r="FI472" s="83"/>
      <c r="FJ472" s="83"/>
      <c r="FK472" s="83"/>
      <c r="FL472" s="83"/>
      <c r="FM472" s="83"/>
      <c r="FN472" s="83"/>
      <c r="FO472" s="83"/>
      <c r="FP472" s="83"/>
      <c r="FQ472" s="83"/>
      <c r="FR472" s="83"/>
      <c r="FS472" s="83"/>
      <c r="FT472" s="83"/>
      <c r="FU472" s="83"/>
      <c r="FV472" s="83"/>
      <c r="FW472" s="83"/>
      <c r="FX472" s="83"/>
      <c r="FY472" s="83"/>
      <c r="FZ472" s="83"/>
      <c r="GA472" s="83"/>
      <c r="GB472" s="83"/>
      <c r="GC472" s="83"/>
      <c r="GD472" s="83"/>
      <c r="GE472" s="83"/>
      <c r="GF472" s="83"/>
      <c r="GG472" s="83"/>
      <c r="GH472" s="83"/>
      <c r="GI472" s="83"/>
      <c r="GJ472" s="83"/>
      <c r="GK472" s="83"/>
      <c r="GL472" s="83"/>
      <c r="GM472" s="83"/>
      <c r="GN472" s="83"/>
      <c r="GO472" s="83"/>
      <c r="GP472" s="83"/>
      <c r="GQ472" s="83"/>
      <c r="GR472" s="83"/>
      <c r="GS472" s="83"/>
      <c r="GT472" s="83"/>
      <c r="GU472" s="83"/>
      <c r="GV472" s="83"/>
      <c r="GW472" s="83"/>
      <c r="GX472" s="83"/>
      <c r="GY472" s="83"/>
      <c r="GZ472" s="83"/>
      <c r="HA472" s="83"/>
      <c r="HB472" s="83"/>
      <c r="HC472" s="83"/>
      <c r="HD472" s="83"/>
      <c r="HE472" s="83"/>
      <c r="HF472" s="83"/>
      <c r="HG472" s="83"/>
      <c r="HH472" s="83"/>
      <c r="HI472" s="83"/>
      <c r="HJ472" s="83"/>
      <c r="HK472" s="83"/>
      <c r="HL472" s="83"/>
      <c r="HM472" s="83"/>
      <c r="HN472" s="83"/>
      <c r="HO472" s="83"/>
      <c r="HP472" s="83"/>
      <c r="HQ472" s="83"/>
      <c r="HR472" s="83"/>
      <c r="HS472" s="83"/>
      <c r="HT472" s="83"/>
      <c r="HU472" s="83"/>
      <c r="HV472" s="83"/>
      <c r="HW472" s="83"/>
      <c r="HX472" s="83"/>
      <c r="HY472" s="83"/>
      <c r="HZ472" s="83"/>
      <c r="IA472" s="83"/>
      <c r="IB472" s="83"/>
      <c r="IC472" s="83"/>
      <c r="ID472" s="83"/>
      <c r="IE472" s="83"/>
      <c r="IF472" s="83"/>
      <c r="IG472" s="83"/>
    </row>
    <row r="473" spans="1:241"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c r="DD473" s="83"/>
      <c r="DE473" s="83"/>
      <c r="DF473" s="83"/>
      <c r="DG473" s="83"/>
      <c r="DH473" s="83"/>
      <c r="DI473" s="83"/>
      <c r="DJ473" s="83"/>
      <c r="DK473" s="83"/>
      <c r="DL473" s="83"/>
      <c r="DM473" s="83"/>
      <c r="DN473" s="83"/>
      <c r="DO473" s="83"/>
      <c r="DP473" s="83"/>
      <c r="DQ473" s="83"/>
      <c r="DR473" s="83"/>
      <c r="DS473" s="83"/>
      <c r="DT473" s="83"/>
      <c r="DU473" s="83"/>
      <c r="DV473" s="83"/>
      <c r="DW473" s="83"/>
      <c r="DX473" s="83"/>
      <c r="DY473" s="83"/>
      <c r="DZ473" s="83"/>
      <c r="EA473" s="83"/>
      <c r="EB473" s="83"/>
      <c r="EC473" s="83"/>
      <c r="ED473" s="83"/>
      <c r="EE473" s="83"/>
      <c r="EF473" s="83"/>
      <c r="EG473" s="83"/>
      <c r="EH473" s="83"/>
      <c r="EI473" s="83"/>
      <c r="EJ473" s="83"/>
      <c r="EK473" s="83"/>
      <c r="EL473" s="83"/>
      <c r="EM473" s="83"/>
      <c r="EN473" s="83"/>
      <c r="EO473" s="83"/>
      <c r="EP473" s="83"/>
      <c r="EQ473" s="83"/>
      <c r="ER473" s="83"/>
      <c r="ES473" s="83"/>
      <c r="ET473" s="83"/>
      <c r="EU473" s="83"/>
      <c r="EV473" s="83"/>
      <c r="EW473" s="83"/>
      <c r="EX473" s="83"/>
      <c r="EY473" s="83"/>
      <c r="EZ473" s="83"/>
      <c r="FA473" s="83"/>
      <c r="FB473" s="83"/>
      <c r="FC473" s="83"/>
      <c r="FD473" s="83"/>
      <c r="FE473" s="83"/>
      <c r="FF473" s="83"/>
      <c r="FG473" s="83"/>
      <c r="FH473" s="83"/>
      <c r="FI473" s="83"/>
      <c r="FJ473" s="83"/>
      <c r="FK473" s="83"/>
      <c r="FL473" s="83"/>
      <c r="FM473" s="83"/>
      <c r="FN473" s="83"/>
      <c r="FO473" s="83"/>
      <c r="FP473" s="83"/>
      <c r="FQ473" s="83"/>
      <c r="FR473" s="83"/>
      <c r="FS473" s="83"/>
      <c r="FT473" s="83"/>
      <c r="FU473" s="83"/>
      <c r="FV473" s="83"/>
      <c r="FW473" s="83"/>
      <c r="FX473" s="83"/>
      <c r="FY473" s="83"/>
      <c r="FZ473" s="83"/>
      <c r="GA473" s="83"/>
      <c r="GB473" s="83"/>
      <c r="GC473" s="83"/>
      <c r="GD473" s="83"/>
      <c r="GE473" s="83"/>
      <c r="GF473" s="83"/>
      <c r="GG473" s="83"/>
      <c r="GH473" s="83"/>
      <c r="GI473" s="83"/>
      <c r="GJ473" s="83"/>
      <c r="GK473" s="83"/>
      <c r="GL473" s="83"/>
      <c r="GM473" s="83"/>
      <c r="GN473" s="83"/>
      <c r="GO473" s="83"/>
      <c r="GP473" s="83"/>
      <c r="GQ473" s="83"/>
      <c r="GR473" s="83"/>
      <c r="GS473" s="83"/>
      <c r="GT473" s="83"/>
      <c r="GU473" s="83"/>
      <c r="GV473" s="83"/>
      <c r="GW473" s="83"/>
      <c r="GX473" s="83"/>
      <c r="GY473" s="83"/>
      <c r="GZ473" s="83"/>
      <c r="HA473" s="83"/>
      <c r="HB473" s="83"/>
      <c r="HC473" s="83"/>
      <c r="HD473" s="83"/>
      <c r="HE473" s="83"/>
      <c r="HF473" s="83"/>
      <c r="HG473" s="83"/>
      <c r="HH473" s="83"/>
      <c r="HI473" s="83"/>
      <c r="HJ473" s="83"/>
      <c r="HK473" s="83"/>
      <c r="HL473" s="83"/>
      <c r="HM473" s="83"/>
      <c r="HN473" s="83"/>
      <c r="HO473" s="83"/>
      <c r="HP473" s="83"/>
      <c r="HQ473" s="83"/>
      <c r="HR473" s="83"/>
      <c r="HS473" s="83"/>
      <c r="HT473" s="83"/>
      <c r="HU473" s="83"/>
      <c r="HV473" s="83"/>
      <c r="HW473" s="83"/>
      <c r="HX473" s="83"/>
      <c r="HY473" s="83"/>
      <c r="HZ473" s="83"/>
      <c r="IA473" s="83"/>
      <c r="IB473" s="83"/>
      <c r="IC473" s="83"/>
      <c r="ID473" s="83"/>
      <c r="IE473" s="83"/>
      <c r="IF473" s="83"/>
      <c r="IG473" s="83"/>
    </row>
    <row r="474" spans="1:241"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c r="DD474" s="83"/>
      <c r="DE474" s="83"/>
      <c r="DF474" s="83"/>
      <c r="DG474" s="83"/>
      <c r="DH474" s="83"/>
      <c r="DI474" s="83"/>
      <c r="DJ474" s="83"/>
      <c r="DK474" s="83"/>
      <c r="DL474" s="83"/>
      <c r="DM474" s="83"/>
      <c r="DN474" s="83"/>
      <c r="DO474" s="83"/>
      <c r="DP474" s="83"/>
      <c r="DQ474" s="83"/>
      <c r="DR474" s="83"/>
      <c r="DS474" s="83"/>
      <c r="DT474" s="83"/>
      <c r="DU474" s="83"/>
      <c r="DV474" s="83"/>
      <c r="DW474" s="83"/>
      <c r="DX474" s="83"/>
      <c r="DY474" s="83"/>
      <c r="DZ474" s="83"/>
      <c r="EA474" s="83"/>
      <c r="EB474" s="83"/>
      <c r="EC474" s="83"/>
      <c r="ED474" s="83"/>
      <c r="EE474" s="83"/>
      <c r="EF474" s="83"/>
      <c r="EG474" s="83"/>
      <c r="EH474" s="83"/>
      <c r="EI474" s="83"/>
      <c r="EJ474" s="83"/>
      <c r="EK474" s="83"/>
      <c r="EL474" s="83"/>
      <c r="EM474" s="83"/>
      <c r="EN474" s="83"/>
      <c r="EO474" s="83"/>
      <c r="EP474" s="83"/>
      <c r="EQ474" s="83"/>
      <c r="ER474" s="83"/>
      <c r="ES474" s="83"/>
      <c r="ET474" s="83"/>
      <c r="EU474" s="83"/>
      <c r="EV474" s="83"/>
      <c r="EW474" s="83"/>
      <c r="EX474" s="83"/>
      <c r="EY474" s="83"/>
      <c r="EZ474" s="83"/>
      <c r="FA474" s="83"/>
      <c r="FB474" s="83"/>
      <c r="FC474" s="83"/>
      <c r="FD474" s="83"/>
      <c r="FE474" s="83"/>
      <c r="FF474" s="83"/>
      <c r="FG474" s="83"/>
      <c r="FH474" s="83"/>
      <c r="FI474" s="83"/>
      <c r="FJ474" s="83"/>
      <c r="FK474" s="83"/>
      <c r="FL474" s="83"/>
      <c r="FM474" s="83"/>
      <c r="FN474" s="83"/>
      <c r="FO474" s="83"/>
      <c r="FP474" s="83"/>
      <c r="FQ474" s="83"/>
      <c r="FR474" s="83"/>
      <c r="FS474" s="83"/>
      <c r="FT474" s="83"/>
      <c r="FU474" s="83"/>
      <c r="FV474" s="83"/>
      <c r="FW474" s="83"/>
      <c r="FX474" s="83"/>
      <c r="FY474" s="83"/>
      <c r="FZ474" s="83"/>
      <c r="GA474" s="83"/>
      <c r="GB474" s="83"/>
      <c r="GC474" s="83"/>
      <c r="GD474" s="83"/>
      <c r="GE474" s="83"/>
      <c r="GF474" s="83"/>
      <c r="GG474" s="83"/>
      <c r="GH474" s="83"/>
      <c r="GI474" s="83"/>
      <c r="GJ474" s="83"/>
      <c r="GK474" s="83"/>
      <c r="GL474" s="83"/>
      <c r="GM474" s="83"/>
      <c r="GN474" s="83"/>
      <c r="GO474" s="83"/>
      <c r="GP474" s="83"/>
      <c r="GQ474" s="83"/>
      <c r="GR474" s="83"/>
      <c r="GS474" s="83"/>
      <c r="GT474" s="83"/>
      <c r="GU474" s="83"/>
      <c r="GV474" s="83"/>
      <c r="GW474" s="83"/>
      <c r="GX474" s="83"/>
      <c r="GY474" s="83"/>
      <c r="GZ474" s="83"/>
      <c r="HA474" s="83"/>
      <c r="HB474" s="83"/>
      <c r="HC474" s="83"/>
      <c r="HD474" s="83"/>
      <c r="HE474" s="83"/>
      <c r="HF474" s="83"/>
      <c r="HG474" s="83"/>
      <c r="HH474" s="83"/>
      <c r="HI474" s="83"/>
      <c r="HJ474" s="83"/>
      <c r="HK474" s="83"/>
      <c r="HL474" s="83"/>
      <c r="HM474" s="83"/>
      <c r="HN474" s="83"/>
      <c r="HO474" s="83"/>
      <c r="HP474" s="83"/>
      <c r="HQ474" s="83"/>
      <c r="HR474" s="83"/>
      <c r="HS474" s="83"/>
      <c r="HT474" s="83"/>
      <c r="HU474" s="83"/>
      <c r="HV474" s="83"/>
      <c r="HW474" s="83"/>
      <c r="HX474" s="83"/>
      <c r="HY474" s="83"/>
      <c r="HZ474" s="83"/>
      <c r="IA474" s="83"/>
      <c r="IB474" s="83"/>
      <c r="IC474" s="83"/>
      <c r="ID474" s="83"/>
      <c r="IE474" s="83"/>
      <c r="IF474" s="83"/>
      <c r="IG474" s="83"/>
    </row>
    <row r="475" spans="1:241"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c r="DD475" s="83"/>
      <c r="DE475" s="83"/>
      <c r="DF475" s="83"/>
      <c r="DG475" s="83"/>
      <c r="DH475" s="83"/>
      <c r="DI475" s="83"/>
      <c r="DJ475" s="83"/>
      <c r="DK475" s="83"/>
      <c r="DL475" s="83"/>
      <c r="DM475" s="83"/>
      <c r="DN475" s="83"/>
      <c r="DO475" s="83"/>
      <c r="DP475" s="83"/>
      <c r="DQ475" s="83"/>
      <c r="DR475" s="83"/>
      <c r="DS475" s="83"/>
      <c r="DT475" s="83"/>
      <c r="DU475" s="83"/>
      <c r="DV475" s="83"/>
      <c r="DW475" s="83"/>
      <c r="DX475" s="83"/>
      <c r="DY475" s="83"/>
      <c r="DZ475" s="83"/>
      <c r="EA475" s="83"/>
      <c r="EB475" s="83"/>
      <c r="EC475" s="83"/>
      <c r="ED475" s="83"/>
      <c r="EE475" s="83"/>
      <c r="EF475" s="83"/>
      <c r="EG475" s="83"/>
      <c r="EH475" s="83"/>
      <c r="EI475" s="83"/>
      <c r="EJ475" s="83"/>
      <c r="EK475" s="83"/>
      <c r="EL475" s="83"/>
      <c r="EM475" s="83"/>
      <c r="EN475" s="83"/>
      <c r="EO475" s="83"/>
      <c r="EP475" s="83"/>
      <c r="EQ475" s="83"/>
      <c r="ER475" s="83"/>
      <c r="ES475" s="83"/>
      <c r="ET475" s="83"/>
      <c r="EU475" s="83"/>
      <c r="EV475" s="83"/>
      <c r="EW475" s="83"/>
      <c r="EX475" s="83"/>
      <c r="EY475" s="83"/>
      <c r="EZ475" s="83"/>
      <c r="FA475" s="83"/>
      <c r="FB475" s="83"/>
      <c r="FC475" s="83"/>
      <c r="FD475" s="83"/>
      <c r="FE475" s="83"/>
      <c r="FF475" s="83"/>
      <c r="FG475" s="83"/>
      <c r="FH475" s="83"/>
      <c r="FI475" s="83"/>
      <c r="FJ475" s="83"/>
      <c r="FK475" s="83"/>
      <c r="FL475" s="83"/>
      <c r="FM475" s="83"/>
      <c r="FN475" s="83"/>
      <c r="FO475" s="83"/>
      <c r="FP475" s="83"/>
      <c r="FQ475" s="83"/>
      <c r="FR475" s="83"/>
      <c r="FS475" s="83"/>
      <c r="FT475" s="83"/>
      <c r="FU475" s="83"/>
      <c r="FV475" s="83"/>
      <c r="FW475" s="83"/>
      <c r="FX475" s="83"/>
      <c r="FY475" s="83"/>
      <c r="FZ475" s="83"/>
      <c r="GA475" s="83"/>
      <c r="GB475" s="83"/>
      <c r="GC475" s="83"/>
      <c r="GD475" s="83"/>
      <c r="GE475" s="83"/>
      <c r="GF475" s="83"/>
      <c r="GG475" s="83"/>
      <c r="GH475" s="83"/>
      <c r="GI475" s="83"/>
      <c r="GJ475" s="83"/>
      <c r="GK475" s="83"/>
      <c r="GL475" s="83"/>
      <c r="GM475" s="83"/>
      <c r="GN475" s="83"/>
      <c r="GO475" s="83"/>
      <c r="GP475" s="83"/>
      <c r="GQ475" s="83"/>
      <c r="GR475" s="83"/>
      <c r="GS475" s="83"/>
      <c r="GT475" s="83"/>
      <c r="GU475" s="83"/>
      <c r="GV475" s="83"/>
      <c r="GW475" s="83"/>
      <c r="GX475" s="83"/>
      <c r="GY475" s="83"/>
      <c r="GZ475" s="83"/>
      <c r="HA475" s="83"/>
      <c r="HB475" s="83"/>
      <c r="HC475" s="83"/>
      <c r="HD475" s="83"/>
      <c r="HE475" s="83"/>
      <c r="HF475" s="83"/>
      <c r="HG475" s="83"/>
      <c r="HH475" s="83"/>
      <c r="HI475" s="83"/>
      <c r="HJ475" s="83"/>
      <c r="HK475" s="83"/>
      <c r="HL475" s="83"/>
      <c r="HM475" s="83"/>
      <c r="HN475" s="83"/>
      <c r="HO475" s="83"/>
      <c r="HP475" s="83"/>
      <c r="HQ475" s="83"/>
      <c r="HR475" s="83"/>
      <c r="HS475" s="83"/>
      <c r="HT475" s="83"/>
      <c r="HU475" s="83"/>
      <c r="HV475" s="83"/>
      <c r="HW475" s="83"/>
      <c r="HX475" s="83"/>
      <c r="HY475" s="83"/>
      <c r="HZ475" s="83"/>
      <c r="IA475" s="83"/>
      <c r="IB475" s="83"/>
      <c r="IC475" s="83"/>
      <c r="ID475" s="83"/>
      <c r="IE475" s="83"/>
      <c r="IF475" s="83"/>
      <c r="IG475" s="83"/>
    </row>
    <row r="476" spans="1:241"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c r="DD476" s="83"/>
      <c r="DE476" s="83"/>
      <c r="DF476" s="83"/>
      <c r="DG476" s="83"/>
      <c r="DH476" s="83"/>
      <c r="DI476" s="83"/>
      <c r="DJ476" s="83"/>
      <c r="DK476" s="83"/>
      <c r="DL476" s="83"/>
      <c r="DM476" s="83"/>
      <c r="DN476" s="83"/>
      <c r="DO476" s="83"/>
      <c r="DP476" s="83"/>
      <c r="DQ476" s="83"/>
      <c r="DR476" s="83"/>
      <c r="DS476" s="83"/>
      <c r="DT476" s="83"/>
      <c r="DU476" s="83"/>
      <c r="DV476" s="83"/>
      <c r="DW476" s="83"/>
      <c r="DX476" s="83"/>
      <c r="DY476" s="83"/>
      <c r="DZ476" s="83"/>
      <c r="EA476" s="83"/>
      <c r="EB476" s="83"/>
      <c r="EC476" s="83"/>
      <c r="ED476" s="83"/>
      <c r="EE476" s="83"/>
      <c r="EF476" s="83"/>
      <c r="EG476" s="83"/>
      <c r="EH476" s="83"/>
      <c r="EI476" s="83"/>
      <c r="EJ476" s="83"/>
      <c r="EK476" s="83"/>
      <c r="EL476" s="83"/>
      <c r="EM476" s="83"/>
      <c r="EN476" s="83"/>
      <c r="EO476" s="83"/>
      <c r="EP476" s="83"/>
      <c r="EQ476" s="83"/>
      <c r="ER476" s="83"/>
      <c r="ES476" s="83"/>
      <c r="ET476" s="83"/>
      <c r="EU476" s="83"/>
      <c r="EV476" s="83"/>
      <c r="EW476" s="83"/>
      <c r="EX476" s="83"/>
      <c r="EY476" s="83"/>
      <c r="EZ476" s="83"/>
      <c r="FA476" s="83"/>
      <c r="FB476" s="83"/>
      <c r="FC476" s="83"/>
      <c r="FD476" s="83"/>
      <c r="FE476" s="83"/>
      <c r="FF476" s="83"/>
      <c r="FG476" s="83"/>
      <c r="FH476" s="83"/>
      <c r="FI476" s="83"/>
      <c r="FJ476" s="83"/>
      <c r="FK476" s="83"/>
      <c r="FL476" s="83"/>
      <c r="FM476" s="83"/>
      <c r="FN476" s="83"/>
      <c r="FO476" s="83"/>
      <c r="FP476" s="83"/>
      <c r="FQ476" s="83"/>
      <c r="FR476" s="83"/>
      <c r="FS476" s="83"/>
      <c r="FT476" s="83"/>
      <c r="FU476" s="83"/>
      <c r="FV476" s="83"/>
      <c r="FW476" s="83"/>
      <c r="FX476" s="83"/>
      <c r="FY476" s="83"/>
      <c r="FZ476" s="83"/>
      <c r="GA476" s="83"/>
      <c r="GB476" s="83"/>
      <c r="GC476" s="83"/>
      <c r="GD476" s="83"/>
      <c r="GE476" s="83"/>
      <c r="GF476" s="83"/>
      <c r="GG476" s="83"/>
      <c r="GH476" s="83"/>
      <c r="GI476" s="83"/>
      <c r="GJ476" s="83"/>
      <c r="GK476" s="83"/>
      <c r="GL476" s="83"/>
      <c r="GM476" s="83"/>
      <c r="GN476" s="83"/>
      <c r="GO476" s="83"/>
      <c r="GP476" s="83"/>
      <c r="GQ476" s="83"/>
      <c r="GR476" s="83"/>
      <c r="GS476" s="83"/>
      <c r="GT476" s="83"/>
      <c r="GU476" s="83"/>
      <c r="GV476" s="83"/>
      <c r="GW476" s="83"/>
      <c r="GX476" s="83"/>
      <c r="GY476" s="83"/>
      <c r="GZ476" s="83"/>
      <c r="HA476" s="83"/>
      <c r="HB476" s="83"/>
      <c r="HC476" s="83"/>
      <c r="HD476" s="83"/>
      <c r="HE476" s="83"/>
      <c r="HF476" s="83"/>
      <c r="HG476" s="83"/>
      <c r="HH476" s="83"/>
      <c r="HI476" s="83"/>
      <c r="HJ476" s="83"/>
      <c r="HK476" s="83"/>
      <c r="HL476" s="83"/>
      <c r="HM476" s="83"/>
      <c r="HN476" s="83"/>
      <c r="HO476" s="83"/>
      <c r="HP476" s="83"/>
      <c r="HQ476" s="83"/>
      <c r="HR476" s="83"/>
      <c r="HS476" s="83"/>
      <c r="HT476" s="83"/>
      <c r="HU476" s="83"/>
      <c r="HV476" s="83"/>
      <c r="HW476" s="83"/>
      <c r="HX476" s="83"/>
      <c r="HY476" s="83"/>
      <c r="HZ476" s="83"/>
      <c r="IA476" s="83"/>
      <c r="IB476" s="83"/>
      <c r="IC476" s="83"/>
      <c r="ID476" s="83"/>
      <c r="IE476" s="83"/>
      <c r="IF476" s="83"/>
      <c r="IG476" s="83"/>
    </row>
    <row r="477" spans="1:241"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c r="DD477" s="83"/>
      <c r="DE477" s="83"/>
      <c r="DF477" s="83"/>
      <c r="DG477" s="83"/>
      <c r="DH477" s="83"/>
      <c r="DI477" s="83"/>
      <c r="DJ477" s="83"/>
      <c r="DK477" s="83"/>
      <c r="DL477" s="83"/>
      <c r="DM477" s="83"/>
      <c r="DN477" s="83"/>
      <c r="DO477" s="83"/>
      <c r="DP477" s="83"/>
      <c r="DQ477" s="83"/>
      <c r="DR477" s="83"/>
      <c r="DS477" s="83"/>
      <c r="DT477" s="83"/>
      <c r="DU477" s="83"/>
      <c r="DV477" s="83"/>
      <c r="DW477" s="83"/>
      <c r="DX477" s="83"/>
      <c r="DY477" s="83"/>
      <c r="DZ477" s="83"/>
      <c r="EA477" s="83"/>
      <c r="EB477" s="83"/>
      <c r="EC477" s="83"/>
      <c r="ED477" s="83"/>
      <c r="EE477" s="83"/>
      <c r="EF477" s="83"/>
      <c r="EG477" s="83"/>
      <c r="EH477" s="83"/>
      <c r="EI477" s="83"/>
      <c r="EJ477" s="83"/>
      <c r="EK477" s="83"/>
      <c r="EL477" s="83"/>
      <c r="EM477" s="83"/>
      <c r="EN477" s="83"/>
      <c r="EO477" s="83"/>
      <c r="EP477" s="83"/>
      <c r="EQ477" s="83"/>
      <c r="ER477" s="83"/>
      <c r="ES477" s="83"/>
      <c r="ET477" s="83"/>
      <c r="EU477" s="83"/>
      <c r="EV477" s="83"/>
      <c r="EW477" s="83"/>
      <c r="EX477" s="83"/>
      <c r="EY477" s="83"/>
      <c r="EZ477" s="83"/>
      <c r="FA477" s="83"/>
      <c r="FB477" s="83"/>
      <c r="FC477" s="83"/>
      <c r="FD477" s="83"/>
      <c r="FE477" s="83"/>
      <c r="FF477" s="83"/>
      <c r="FG477" s="83"/>
      <c r="FH477" s="83"/>
      <c r="FI477" s="83"/>
      <c r="FJ477" s="83"/>
      <c r="FK477" s="83"/>
      <c r="FL477" s="83"/>
      <c r="FM477" s="83"/>
      <c r="FN477" s="83"/>
      <c r="FO477" s="83"/>
      <c r="FP477" s="83"/>
      <c r="FQ477" s="83"/>
      <c r="FR477" s="83"/>
      <c r="FS477" s="83"/>
      <c r="FT477" s="83"/>
      <c r="FU477" s="83"/>
      <c r="FV477" s="83"/>
      <c r="FW477" s="83"/>
      <c r="FX477" s="83"/>
      <c r="FY477" s="83"/>
      <c r="FZ477" s="83"/>
      <c r="GA477" s="83"/>
      <c r="GB477" s="83"/>
      <c r="GC477" s="83"/>
      <c r="GD477" s="83"/>
      <c r="GE477" s="83"/>
      <c r="GF477" s="83"/>
      <c r="GG477" s="83"/>
      <c r="GH477" s="83"/>
      <c r="GI477" s="83"/>
      <c r="GJ477" s="83"/>
      <c r="GK477" s="83"/>
      <c r="GL477" s="83"/>
      <c r="GM477" s="83"/>
      <c r="GN477" s="83"/>
      <c r="GO477" s="83"/>
      <c r="GP477" s="83"/>
      <c r="GQ477" s="83"/>
      <c r="GR477" s="83"/>
      <c r="GS477" s="83"/>
      <c r="GT477" s="83"/>
      <c r="GU477" s="83"/>
      <c r="GV477" s="83"/>
      <c r="GW477" s="83"/>
      <c r="GX477" s="83"/>
      <c r="GY477" s="83"/>
      <c r="GZ477" s="83"/>
      <c r="HA477" s="83"/>
      <c r="HB477" s="83"/>
      <c r="HC477" s="83"/>
      <c r="HD477" s="83"/>
      <c r="HE477" s="83"/>
      <c r="HF477" s="83"/>
      <c r="HG477" s="83"/>
      <c r="HH477" s="83"/>
      <c r="HI477" s="83"/>
      <c r="HJ477" s="83"/>
      <c r="HK477" s="83"/>
      <c r="HL477" s="83"/>
      <c r="HM477" s="83"/>
      <c r="HN477" s="83"/>
      <c r="HO477" s="83"/>
      <c r="HP477" s="83"/>
      <c r="HQ477" s="83"/>
      <c r="HR477" s="83"/>
      <c r="HS477" s="83"/>
      <c r="HT477" s="83"/>
      <c r="HU477" s="83"/>
      <c r="HV477" s="83"/>
      <c r="HW477" s="83"/>
      <c r="HX477" s="83"/>
      <c r="HY477" s="83"/>
      <c r="HZ477" s="83"/>
      <c r="IA477" s="83"/>
      <c r="IB477" s="83"/>
      <c r="IC477" s="83"/>
      <c r="ID477" s="83"/>
      <c r="IE477" s="83"/>
      <c r="IF477" s="83"/>
      <c r="IG477" s="83"/>
    </row>
    <row r="478" spans="1:241"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c r="DD478" s="83"/>
      <c r="DE478" s="83"/>
      <c r="DF478" s="83"/>
      <c r="DG478" s="83"/>
      <c r="DH478" s="83"/>
      <c r="DI478" s="83"/>
      <c r="DJ478" s="83"/>
      <c r="DK478" s="83"/>
      <c r="DL478" s="83"/>
      <c r="DM478" s="83"/>
      <c r="DN478" s="83"/>
      <c r="DO478" s="83"/>
      <c r="DP478" s="83"/>
      <c r="DQ478" s="83"/>
      <c r="DR478" s="83"/>
      <c r="DS478" s="83"/>
      <c r="DT478" s="83"/>
      <c r="DU478" s="83"/>
      <c r="DV478" s="83"/>
      <c r="DW478" s="83"/>
      <c r="DX478" s="83"/>
      <c r="DY478" s="83"/>
      <c r="DZ478" s="83"/>
      <c r="EA478" s="83"/>
      <c r="EB478" s="83"/>
      <c r="EC478" s="83"/>
      <c r="ED478" s="83"/>
      <c r="EE478" s="83"/>
      <c r="EF478" s="83"/>
      <c r="EG478" s="83"/>
      <c r="EH478" s="83"/>
      <c r="EI478" s="83"/>
      <c r="EJ478" s="83"/>
      <c r="EK478" s="83"/>
      <c r="EL478" s="83"/>
      <c r="EM478" s="83"/>
      <c r="EN478" s="83"/>
      <c r="EO478" s="83"/>
      <c r="EP478" s="83"/>
      <c r="EQ478" s="83"/>
      <c r="ER478" s="83"/>
      <c r="ES478" s="83"/>
      <c r="ET478" s="83"/>
      <c r="EU478" s="83"/>
      <c r="EV478" s="83"/>
      <c r="EW478" s="83"/>
      <c r="EX478" s="83"/>
      <c r="EY478" s="83"/>
      <c r="EZ478" s="83"/>
      <c r="FA478" s="83"/>
      <c r="FB478" s="83"/>
      <c r="FC478" s="83"/>
      <c r="FD478" s="83"/>
      <c r="FE478" s="83"/>
      <c r="FF478" s="83"/>
      <c r="FG478" s="83"/>
      <c r="FH478" s="83"/>
      <c r="FI478" s="83"/>
      <c r="FJ478" s="83"/>
      <c r="FK478" s="83"/>
      <c r="FL478" s="83"/>
      <c r="FM478" s="83"/>
      <c r="FN478" s="83"/>
      <c r="FO478" s="83"/>
      <c r="FP478" s="83"/>
      <c r="FQ478" s="83"/>
      <c r="FR478" s="83"/>
      <c r="FS478" s="83"/>
      <c r="FT478" s="83"/>
      <c r="FU478" s="83"/>
      <c r="FV478" s="83"/>
      <c r="FW478" s="83"/>
      <c r="FX478" s="83"/>
      <c r="FY478" s="83"/>
      <c r="FZ478" s="83"/>
      <c r="GA478" s="83"/>
      <c r="GB478" s="83"/>
      <c r="GC478" s="83"/>
      <c r="GD478" s="83"/>
      <c r="GE478" s="83"/>
      <c r="GF478" s="83"/>
      <c r="GG478" s="83"/>
      <c r="GH478" s="83"/>
      <c r="GI478" s="83"/>
      <c r="GJ478" s="83"/>
      <c r="GK478" s="83"/>
      <c r="GL478" s="83"/>
      <c r="GM478" s="83"/>
      <c r="GN478" s="83"/>
      <c r="GO478" s="83"/>
      <c r="GP478" s="83"/>
      <c r="GQ478" s="83"/>
      <c r="GR478" s="83"/>
      <c r="GS478" s="83"/>
      <c r="GT478" s="83"/>
      <c r="GU478" s="83"/>
      <c r="GV478" s="83"/>
      <c r="GW478" s="83"/>
      <c r="GX478" s="83"/>
      <c r="GY478" s="83"/>
      <c r="GZ478" s="83"/>
      <c r="HA478" s="83"/>
      <c r="HB478" s="83"/>
      <c r="HC478" s="83"/>
      <c r="HD478" s="83"/>
      <c r="HE478" s="83"/>
      <c r="HF478" s="83"/>
      <c r="HG478" s="83"/>
      <c r="HH478" s="83"/>
      <c r="HI478" s="83"/>
      <c r="HJ478" s="83"/>
      <c r="HK478" s="83"/>
      <c r="HL478" s="83"/>
      <c r="HM478" s="83"/>
      <c r="HN478" s="83"/>
      <c r="HO478" s="83"/>
      <c r="HP478" s="83"/>
      <c r="HQ478" s="83"/>
      <c r="HR478" s="83"/>
      <c r="HS478" s="83"/>
      <c r="HT478" s="83"/>
      <c r="HU478" s="83"/>
      <c r="HV478" s="83"/>
      <c r="HW478" s="83"/>
      <c r="HX478" s="83"/>
      <c r="HY478" s="83"/>
      <c r="HZ478" s="83"/>
      <c r="IA478" s="83"/>
      <c r="IB478" s="83"/>
      <c r="IC478" s="83"/>
      <c r="ID478" s="83"/>
      <c r="IE478" s="83"/>
      <c r="IF478" s="83"/>
      <c r="IG478" s="83"/>
    </row>
    <row r="479" spans="1:241"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c r="DD479" s="83"/>
      <c r="DE479" s="83"/>
      <c r="DF479" s="83"/>
      <c r="DG479" s="83"/>
      <c r="DH479" s="83"/>
      <c r="DI479" s="83"/>
      <c r="DJ479" s="83"/>
      <c r="DK479" s="83"/>
      <c r="DL479" s="83"/>
      <c r="DM479" s="83"/>
      <c r="DN479" s="83"/>
      <c r="DO479" s="83"/>
      <c r="DP479" s="83"/>
      <c r="DQ479" s="83"/>
      <c r="DR479" s="83"/>
      <c r="DS479" s="83"/>
      <c r="DT479" s="83"/>
      <c r="DU479" s="83"/>
      <c r="DV479" s="83"/>
      <c r="DW479" s="83"/>
      <c r="DX479" s="83"/>
      <c r="DY479" s="83"/>
      <c r="DZ479" s="83"/>
      <c r="EA479" s="83"/>
      <c r="EB479" s="83"/>
      <c r="EC479" s="83"/>
      <c r="ED479" s="83"/>
      <c r="EE479" s="83"/>
      <c r="EF479" s="83"/>
      <c r="EG479" s="83"/>
      <c r="EH479" s="83"/>
      <c r="EI479" s="83"/>
      <c r="EJ479" s="83"/>
      <c r="EK479" s="83"/>
      <c r="EL479" s="83"/>
      <c r="EM479" s="83"/>
      <c r="EN479" s="83"/>
      <c r="EO479" s="83"/>
      <c r="EP479" s="83"/>
      <c r="EQ479" s="83"/>
      <c r="ER479" s="83"/>
      <c r="ES479" s="83"/>
      <c r="ET479" s="83"/>
      <c r="EU479" s="83"/>
      <c r="EV479" s="83"/>
      <c r="EW479" s="83"/>
      <c r="EX479" s="83"/>
      <c r="EY479" s="83"/>
      <c r="EZ479" s="83"/>
      <c r="FA479" s="83"/>
      <c r="FB479" s="83"/>
      <c r="FC479" s="83"/>
      <c r="FD479" s="83"/>
      <c r="FE479" s="83"/>
      <c r="FF479" s="83"/>
      <c r="FG479" s="83"/>
      <c r="FH479" s="83"/>
      <c r="FI479" s="83"/>
      <c r="FJ479" s="83"/>
      <c r="FK479" s="83"/>
      <c r="FL479" s="83"/>
      <c r="FM479" s="83"/>
      <c r="FN479" s="83"/>
      <c r="FO479" s="83"/>
      <c r="FP479" s="83"/>
      <c r="FQ479" s="83"/>
      <c r="FR479" s="83"/>
      <c r="FS479" s="83"/>
      <c r="FT479" s="83"/>
      <c r="FU479" s="83"/>
      <c r="FV479" s="83"/>
      <c r="FW479" s="83"/>
      <c r="FX479" s="83"/>
      <c r="FY479" s="83"/>
      <c r="FZ479" s="83"/>
      <c r="GA479" s="83"/>
      <c r="GB479" s="83"/>
      <c r="GC479" s="83"/>
      <c r="GD479" s="83"/>
      <c r="GE479" s="83"/>
      <c r="GF479" s="83"/>
      <c r="GG479" s="83"/>
      <c r="GH479" s="83"/>
      <c r="GI479" s="83"/>
      <c r="GJ479" s="83"/>
      <c r="GK479" s="83"/>
      <c r="GL479" s="83"/>
      <c r="GM479" s="83"/>
      <c r="GN479" s="83"/>
      <c r="GO479" s="83"/>
      <c r="GP479" s="83"/>
      <c r="GQ479" s="83"/>
      <c r="GR479" s="83"/>
      <c r="GS479" s="83"/>
      <c r="GT479" s="83"/>
      <c r="GU479" s="83"/>
      <c r="GV479" s="83"/>
      <c r="GW479" s="83"/>
      <c r="GX479" s="83"/>
      <c r="GY479" s="83"/>
      <c r="GZ479" s="83"/>
      <c r="HA479" s="83"/>
      <c r="HB479" s="83"/>
      <c r="HC479" s="83"/>
      <c r="HD479" s="83"/>
      <c r="HE479" s="83"/>
      <c r="HF479" s="83"/>
      <c r="HG479" s="83"/>
      <c r="HH479" s="83"/>
      <c r="HI479" s="83"/>
      <c r="HJ479" s="83"/>
      <c r="HK479" s="83"/>
      <c r="HL479" s="83"/>
      <c r="HM479" s="83"/>
      <c r="HN479" s="83"/>
      <c r="HO479" s="83"/>
      <c r="HP479" s="83"/>
      <c r="HQ479" s="83"/>
      <c r="HR479" s="83"/>
      <c r="HS479" s="83"/>
      <c r="HT479" s="83"/>
      <c r="HU479" s="83"/>
      <c r="HV479" s="83"/>
      <c r="HW479" s="83"/>
      <c r="HX479" s="83"/>
      <c r="HY479" s="83"/>
      <c r="HZ479" s="83"/>
      <c r="IA479" s="83"/>
      <c r="IB479" s="83"/>
      <c r="IC479" s="83"/>
      <c r="ID479" s="83"/>
      <c r="IE479" s="83"/>
      <c r="IF479" s="83"/>
      <c r="IG479" s="83"/>
    </row>
    <row r="480" spans="1:241"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c r="DD480" s="83"/>
      <c r="DE480" s="83"/>
      <c r="DF480" s="83"/>
      <c r="DG480" s="83"/>
      <c r="DH480" s="83"/>
      <c r="DI480" s="83"/>
      <c r="DJ480" s="83"/>
      <c r="DK480" s="83"/>
      <c r="DL480" s="83"/>
      <c r="DM480" s="83"/>
      <c r="DN480" s="83"/>
      <c r="DO480" s="83"/>
      <c r="DP480" s="83"/>
      <c r="DQ480" s="83"/>
      <c r="DR480" s="83"/>
      <c r="DS480" s="83"/>
      <c r="DT480" s="83"/>
      <c r="DU480" s="83"/>
      <c r="DV480" s="83"/>
      <c r="DW480" s="83"/>
      <c r="DX480" s="83"/>
      <c r="DY480" s="83"/>
      <c r="DZ480" s="83"/>
      <c r="EA480" s="83"/>
      <c r="EB480" s="83"/>
      <c r="EC480" s="83"/>
      <c r="ED480" s="83"/>
      <c r="EE480" s="83"/>
      <c r="EF480" s="83"/>
      <c r="EG480" s="83"/>
      <c r="EH480" s="83"/>
      <c r="EI480" s="83"/>
      <c r="EJ480" s="83"/>
      <c r="EK480" s="83"/>
      <c r="EL480" s="83"/>
      <c r="EM480" s="83"/>
      <c r="EN480" s="83"/>
      <c r="EO480" s="83"/>
      <c r="EP480" s="83"/>
      <c r="EQ480" s="83"/>
      <c r="ER480" s="83"/>
      <c r="ES480" s="83"/>
      <c r="ET480" s="83"/>
      <c r="EU480" s="83"/>
      <c r="EV480" s="83"/>
      <c r="EW480" s="83"/>
      <c r="EX480" s="83"/>
      <c r="EY480" s="83"/>
      <c r="EZ480" s="83"/>
      <c r="FA480" s="83"/>
      <c r="FB480" s="83"/>
      <c r="FC480" s="83"/>
      <c r="FD480" s="83"/>
      <c r="FE480" s="83"/>
      <c r="FF480" s="83"/>
      <c r="FG480" s="83"/>
      <c r="FH480" s="83"/>
      <c r="FI480" s="83"/>
      <c r="FJ480" s="83"/>
      <c r="FK480" s="83"/>
      <c r="FL480" s="83"/>
      <c r="FM480" s="83"/>
      <c r="FN480" s="83"/>
      <c r="FO480" s="83"/>
      <c r="FP480" s="83"/>
      <c r="FQ480" s="83"/>
      <c r="FR480" s="83"/>
      <c r="FS480" s="83"/>
      <c r="FT480" s="83"/>
      <c r="FU480" s="83"/>
      <c r="FV480" s="83"/>
      <c r="FW480" s="83"/>
      <c r="FX480" s="83"/>
      <c r="FY480" s="83"/>
      <c r="FZ480" s="83"/>
      <c r="GA480" s="83"/>
      <c r="GB480" s="83"/>
      <c r="GC480" s="83"/>
      <c r="GD480" s="83"/>
      <c r="GE480" s="83"/>
      <c r="GF480" s="83"/>
      <c r="GG480" s="83"/>
      <c r="GH480" s="83"/>
      <c r="GI480" s="83"/>
      <c r="GJ480" s="83"/>
      <c r="GK480" s="83"/>
      <c r="GL480" s="83"/>
      <c r="GM480" s="83"/>
      <c r="GN480" s="83"/>
      <c r="GO480" s="83"/>
      <c r="GP480" s="83"/>
      <c r="GQ480" s="83"/>
      <c r="GR480" s="83"/>
      <c r="GS480" s="83"/>
      <c r="GT480" s="83"/>
      <c r="GU480" s="83"/>
      <c r="GV480" s="83"/>
      <c r="GW480" s="83"/>
      <c r="GX480" s="83"/>
      <c r="GY480" s="83"/>
      <c r="GZ480" s="83"/>
      <c r="HA480" s="83"/>
      <c r="HB480" s="83"/>
      <c r="HC480" s="83"/>
      <c r="HD480" s="83"/>
      <c r="HE480" s="83"/>
      <c r="HF480" s="83"/>
      <c r="HG480" s="83"/>
      <c r="HH480" s="83"/>
      <c r="HI480" s="83"/>
      <c r="HJ480" s="83"/>
      <c r="HK480" s="83"/>
      <c r="HL480" s="83"/>
      <c r="HM480" s="83"/>
      <c r="HN480" s="83"/>
      <c r="HO480" s="83"/>
      <c r="HP480" s="83"/>
      <c r="HQ480" s="83"/>
      <c r="HR480" s="83"/>
      <c r="HS480" s="83"/>
      <c r="HT480" s="83"/>
      <c r="HU480" s="83"/>
      <c r="HV480" s="83"/>
      <c r="HW480" s="83"/>
      <c r="HX480" s="83"/>
      <c r="HY480" s="83"/>
      <c r="HZ480" s="83"/>
      <c r="IA480" s="83"/>
      <c r="IB480" s="83"/>
      <c r="IC480" s="83"/>
      <c r="ID480" s="83"/>
      <c r="IE480" s="83"/>
      <c r="IF480" s="83"/>
      <c r="IG480" s="83"/>
    </row>
    <row r="481" spans="1:241"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c r="DD481" s="83"/>
      <c r="DE481" s="83"/>
      <c r="DF481" s="83"/>
      <c r="DG481" s="83"/>
      <c r="DH481" s="83"/>
      <c r="DI481" s="83"/>
      <c r="DJ481" s="83"/>
      <c r="DK481" s="83"/>
      <c r="DL481" s="83"/>
      <c r="DM481" s="83"/>
      <c r="DN481" s="83"/>
      <c r="DO481" s="83"/>
      <c r="DP481" s="83"/>
      <c r="DQ481" s="83"/>
      <c r="DR481" s="83"/>
      <c r="DS481" s="83"/>
      <c r="DT481" s="83"/>
      <c r="DU481" s="83"/>
      <c r="DV481" s="83"/>
      <c r="DW481" s="83"/>
      <c r="DX481" s="83"/>
      <c r="DY481" s="83"/>
      <c r="DZ481" s="83"/>
      <c r="EA481" s="83"/>
      <c r="EB481" s="83"/>
      <c r="EC481" s="83"/>
      <c r="ED481" s="83"/>
      <c r="EE481" s="83"/>
      <c r="EF481" s="83"/>
      <c r="EG481" s="83"/>
      <c r="EH481" s="83"/>
      <c r="EI481" s="83"/>
      <c r="EJ481" s="83"/>
      <c r="EK481" s="83"/>
      <c r="EL481" s="83"/>
      <c r="EM481" s="83"/>
      <c r="EN481" s="83"/>
      <c r="EO481" s="83"/>
      <c r="EP481" s="83"/>
      <c r="EQ481" s="83"/>
      <c r="ER481" s="83"/>
      <c r="ES481" s="83"/>
      <c r="ET481" s="83"/>
      <c r="EU481" s="83"/>
      <c r="EV481" s="83"/>
      <c r="EW481" s="83"/>
      <c r="EX481" s="83"/>
      <c r="EY481" s="83"/>
      <c r="EZ481" s="83"/>
      <c r="FA481" s="83"/>
      <c r="FB481" s="83"/>
      <c r="FC481" s="83"/>
      <c r="FD481" s="83"/>
      <c r="FE481" s="83"/>
      <c r="FF481" s="83"/>
      <c r="FG481" s="83"/>
      <c r="FH481" s="83"/>
      <c r="FI481" s="83"/>
      <c r="FJ481" s="83"/>
      <c r="FK481" s="83"/>
      <c r="FL481" s="83"/>
      <c r="FM481" s="83"/>
      <c r="FN481" s="83"/>
      <c r="FO481" s="83"/>
      <c r="FP481" s="83"/>
      <c r="FQ481" s="83"/>
      <c r="FR481" s="83"/>
      <c r="FS481" s="83"/>
      <c r="FT481" s="83"/>
      <c r="FU481" s="83"/>
      <c r="FV481" s="83"/>
      <c r="FW481" s="83"/>
      <c r="FX481" s="83"/>
      <c r="FY481" s="83"/>
      <c r="FZ481" s="83"/>
      <c r="GA481" s="83"/>
      <c r="GB481" s="83"/>
      <c r="GC481" s="83"/>
      <c r="GD481" s="83"/>
      <c r="GE481" s="83"/>
      <c r="GF481" s="83"/>
      <c r="GG481" s="83"/>
      <c r="GH481" s="83"/>
      <c r="GI481" s="83"/>
      <c r="GJ481" s="83"/>
      <c r="GK481" s="83"/>
      <c r="GL481" s="83"/>
      <c r="GM481" s="83"/>
      <c r="GN481" s="83"/>
      <c r="GO481" s="83"/>
      <c r="GP481" s="83"/>
      <c r="GQ481" s="83"/>
      <c r="GR481" s="83"/>
      <c r="GS481" s="83"/>
      <c r="GT481" s="83"/>
      <c r="GU481" s="83"/>
      <c r="GV481" s="83"/>
      <c r="GW481" s="83"/>
      <c r="GX481" s="83"/>
      <c r="GY481" s="83"/>
      <c r="GZ481" s="83"/>
      <c r="HA481" s="83"/>
      <c r="HB481" s="83"/>
      <c r="HC481" s="83"/>
      <c r="HD481" s="83"/>
      <c r="HE481" s="83"/>
      <c r="HF481" s="83"/>
      <c r="HG481" s="83"/>
      <c r="HH481" s="83"/>
      <c r="HI481" s="83"/>
      <c r="HJ481" s="83"/>
      <c r="HK481" s="83"/>
      <c r="HL481" s="83"/>
      <c r="HM481" s="83"/>
      <c r="HN481" s="83"/>
      <c r="HO481" s="83"/>
      <c r="HP481" s="83"/>
      <c r="HQ481" s="83"/>
      <c r="HR481" s="83"/>
      <c r="HS481" s="83"/>
      <c r="HT481" s="83"/>
      <c r="HU481" s="83"/>
      <c r="HV481" s="83"/>
      <c r="HW481" s="83"/>
      <c r="HX481" s="83"/>
      <c r="HY481" s="83"/>
      <c r="HZ481" s="83"/>
      <c r="IA481" s="83"/>
      <c r="IB481" s="83"/>
      <c r="IC481" s="83"/>
      <c r="ID481" s="83"/>
      <c r="IE481" s="83"/>
      <c r="IF481" s="83"/>
      <c r="IG481" s="83"/>
    </row>
    <row r="482" spans="1:241"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c r="DD482" s="83"/>
      <c r="DE482" s="83"/>
      <c r="DF482" s="83"/>
      <c r="DG482" s="83"/>
      <c r="DH482" s="83"/>
      <c r="DI482" s="83"/>
      <c r="DJ482" s="83"/>
      <c r="DK482" s="83"/>
      <c r="DL482" s="83"/>
      <c r="DM482" s="83"/>
      <c r="DN482" s="83"/>
      <c r="DO482" s="83"/>
      <c r="DP482" s="83"/>
      <c r="DQ482" s="83"/>
      <c r="DR482" s="83"/>
      <c r="DS482" s="83"/>
      <c r="DT482" s="83"/>
      <c r="DU482" s="83"/>
      <c r="DV482" s="83"/>
      <c r="DW482" s="83"/>
      <c r="DX482" s="83"/>
      <c r="DY482" s="83"/>
      <c r="DZ482" s="83"/>
      <c r="EA482" s="83"/>
      <c r="EB482" s="83"/>
      <c r="EC482" s="83"/>
      <c r="ED482" s="83"/>
      <c r="EE482" s="83"/>
      <c r="EF482" s="83"/>
      <c r="EG482" s="83"/>
      <c r="EH482" s="83"/>
      <c r="EI482" s="83"/>
      <c r="EJ482" s="83"/>
      <c r="EK482" s="83"/>
      <c r="EL482" s="83"/>
      <c r="EM482" s="83"/>
      <c r="EN482" s="83"/>
      <c r="EO482" s="83"/>
      <c r="EP482" s="83"/>
      <c r="EQ482" s="83"/>
      <c r="ER482" s="83"/>
      <c r="ES482" s="83"/>
      <c r="ET482" s="83"/>
      <c r="EU482" s="83"/>
      <c r="EV482" s="83"/>
      <c r="EW482" s="83"/>
      <c r="EX482" s="83"/>
      <c r="EY482" s="83"/>
      <c r="EZ482" s="83"/>
      <c r="FA482" s="83"/>
      <c r="FB482" s="83"/>
      <c r="FC482" s="83"/>
      <c r="FD482" s="83"/>
      <c r="FE482" s="83"/>
      <c r="FF482" s="83"/>
      <c r="FG482" s="83"/>
      <c r="FH482" s="83"/>
      <c r="FI482" s="83"/>
      <c r="FJ482" s="83"/>
      <c r="FK482" s="83"/>
      <c r="FL482" s="83"/>
      <c r="FM482" s="83"/>
      <c r="FN482" s="83"/>
      <c r="FO482" s="83"/>
      <c r="FP482" s="83"/>
      <c r="FQ482" s="83"/>
      <c r="FR482" s="83"/>
      <c r="FS482" s="83"/>
      <c r="FT482" s="83"/>
      <c r="FU482" s="83"/>
      <c r="FV482" s="83"/>
      <c r="FW482" s="83"/>
      <c r="FX482" s="83"/>
      <c r="FY482" s="83"/>
      <c r="FZ482" s="83"/>
      <c r="GA482" s="83"/>
      <c r="GB482" s="83"/>
      <c r="GC482" s="83"/>
      <c r="GD482" s="83"/>
      <c r="GE482" s="83"/>
      <c r="GF482" s="83"/>
      <c r="GG482" s="83"/>
      <c r="GH482" s="83"/>
      <c r="GI482" s="83"/>
      <c r="GJ482" s="83"/>
      <c r="GK482" s="83"/>
      <c r="GL482" s="83"/>
      <c r="GM482" s="83"/>
      <c r="GN482" s="83"/>
      <c r="GO482" s="83"/>
      <c r="GP482" s="83"/>
      <c r="GQ482" s="83"/>
      <c r="GR482" s="83"/>
      <c r="GS482" s="83"/>
      <c r="GT482" s="83"/>
      <c r="GU482" s="83"/>
      <c r="GV482" s="83"/>
      <c r="GW482" s="83"/>
      <c r="GX482" s="83"/>
      <c r="GY482" s="83"/>
      <c r="GZ482" s="83"/>
      <c r="HA482" s="83"/>
      <c r="HB482" s="83"/>
      <c r="HC482" s="83"/>
      <c r="HD482" s="83"/>
      <c r="HE482" s="83"/>
      <c r="HF482" s="83"/>
      <c r="HG482" s="83"/>
      <c r="HH482" s="83"/>
      <c r="HI482" s="83"/>
      <c r="HJ482" s="83"/>
      <c r="HK482" s="83"/>
      <c r="HL482" s="83"/>
      <c r="HM482" s="83"/>
      <c r="HN482" s="83"/>
      <c r="HO482" s="83"/>
      <c r="HP482" s="83"/>
      <c r="HQ482" s="83"/>
      <c r="HR482" s="83"/>
      <c r="HS482" s="83"/>
      <c r="HT482" s="83"/>
      <c r="HU482" s="83"/>
      <c r="HV482" s="83"/>
      <c r="HW482" s="83"/>
      <c r="HX482" s="83"/>
      <c r="HY482" s="83"/>
      <c r="HZ482" s="83"/>
      <c r="IA482" s="83"/>
      <c r="IB482" s="83"/>
      <c r="IC482" s="83"/>
      <c r="ID482" s="83"/>
      <c r="IE482" s="83"/>
      <c r="IF482" s="83"/>
      <c r="IG482" s="83"/>
    </row>
    <row r="483" spans="1:241"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c r="DD483" s="83"/>
      <c r="DE483" s="83"/>
      <c r="DF483" s="83"/>
      <c r="DG483" s="83"/>
      <c r="DH483" s="83"/>
      <c r="DI483" s="83"/>
      <c r="DJ483" s="83"/>
      <c r="DK483" s="83"/>
      <c r="DL483" s="83"/>
      <c r="DM483" s="83"/>
      <c r="DN483" s="83"/>
      <c r="DO483" s="83"/>
      <c r="DP483" s="83"/>
      <c r="DQ483" s="83"/>
      <c r="DR483" s="83"/>
      <c r="DS483" s="83"/>
      <c r="DT483" s="83"/>
      <c r="DU483" s="83"/>
      <c r="DV483" s="83"/>
      <c r="DW483" s="83"/>
      <c r="DX483" s="83"/>
      <c r="DY483" s="83"/>
      <c r="DZ483" s="83"/>
      <c r="EA483" s="83"/>
      <c r="EB483" s="83"/>
      <c r="EC483" s="83"/>
      <c r="ED483" s="83"/>
      <c r="EE483" s="83"/>
      <c r="EF483" s="83"/>
      <c r="EG483" s="83"/>
      <c r="EH483" s="83"/>
      <c r="EI483" s="83"/>
      <c r="EJ483" s="83"/>
      <c r="EK483" s="83"/>
      <c r="EL483" s="83"/>
      <c r="EM483" s="83"/>
      <c r="EN483" s="83"/>
      <c r="EO483" s="83"/>
      <c r="EP483" s="83"/>
      <c r="EQ483" s="83"/>
      <c r="ER483" s="83"/>
      <c r="ES483" s="83"/>
      <c r="ET483" s="83"/>
      <c r="EU483" s="83"/>
      <c r="EV483" s="83"/>
      <c r="EW483" s="83"/>
      <c r="EX483" s="83"/>
      <c r="EY483" s="83"/>
      <c r="EZ483" s="83"/>
      <c r="FA483" s="83"/>
      <c r="FB483" s="83"/>
      <c r="FC483" s="83"/>
      <c r="FD483" s="83"/>
      <c r="FE483" s="83"/>
      <c r="FF483" s="83"/>
      <c r="FG483" s="83"/>
      <c r="FH483" s="83"/>
      <c r="FI483" s="83"/>
      <c r="FJ483" s="83"/>
      <c r="FK483" s="83"/>
      <c r="FL483" s="83"/>
      <c r="FM483" s="83"/>
      <c r="FN483" s="83"/>
      <c r="FO483" s="83"/>
      <c r="FP483" s="83"/>
      <c r="FQ483" s="83"/>
      <c r="FR483" s="83"/>
      <c r="FS483" s="83"/>
      <c r="FT483" s="83"/>
      <c r="FU483" s="83"/>
      <c r="FV483" s="83"/>
      <c r="FW483" s="83"/>
      <c r="FX483" s="83"/>
      <c r="FY483" s="83"/>
      <c r="FZ483" s="83"/>
      <c r="GA483" s="83"/>
      <c r="GB483" s="83"/>
      <c r="GC483" s="83"/>
      <c r="GD483" s="83"/>
      <c r="GE483" s="83"/>
      <c r="GF483" s="83"/>
      <c r="GG483" s="83"/>
      <c r="GH483" s="83"/>
      <c r="GI483" s="83"/>
      <c r="GJ483" s="83"/>
      <c r="GK483" s="83"/>
      <c r="GL483" s="83"/>
      <c r="GM483" s="83"/>
      <c r="GN483" s="83"/>
      <c r="GO483" s="83"/>
      <c r="GP483" s="83"/>
      <c r="GQ483" s="83"/>
      <c r="GR483" s="83"/>
      <c r="GS483" s="83"/>
      <c r="GT483" s="83"/>
      <c r="GU483" s="83"/>
      <c r="GV483" s="83"/>
      <c r="GW483" s="83"/>
      <c r="GX483" s="83"/>
      <c r="GY483" s="83"/>
      <c r="GZ483" s="83"/>
      <c r="HA483" s="83"/>
      <c r="HB483" s="83"/>
      <c r="HC483" s="83"/>
      <c r="HD483" s="83"/>
      <c r="HE483" s="83"/>
      <c r="HF483" s="83"/>
      <c r="HG483" s="83"/>
      <c r="HH483" s="83"/>
      <c r="HI483" s="83"/>
      <c r="HJ483" s="83"/>
      <c r="HK483" s="83"/>
      <c r="HL483" s="83"/>
      <c r="HM483" s="83"/>
      <c r="HN483" s="83"/>
      <c r="HO483" s="83"/>
      <c r="HP483" s="83"/>
      <c r="HQ483" s="83"/>
      <c r="HR483" s="83"/>
      <c r="HS483" s="83"/>
      <c r="HT483" s="83"/>
      <c r="HU483" s="83"/>
      <c r="HV483" s="83"/>
      <c r="HW483" s="83"/>
      <c r="HX483" s="83"/>
      <c r="HY483" s="83"/>
      <c r="HZ483" s="83"/>
      <c r="IA483" s="83"/>
      <c r="IB483" s="83"/>
      <c r="IC483" s="83"/>
      <c r="ID483" s="83"/>
      <c r="IE483" s="83"/>
      <c r="IF483" s="83"/>
      <c r="IG483" s="83"/>
    </row>
    <row r="484" spans="1:241"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c r="DD484" s="83"/>
      <c r="DE484" s="83"/>
      <c r="DF484" s="83"/>
      <c r="DG484" s="83"/>
      <c r="DH484" s="83"/>
      <c r="DI484" s="83"/>
      <c r="DJ484" s="83"/>
      <c r="DK484" s="83"/>
      <c r="DL484" s="83"/>
      <c r="DM484" s="83"/>
      <c r="DN484" s="83"/>
      <c r="DO484" s="83"/>
      <c r="DP484" s="83"/>
      <c r="DQ484" s="83"/>
      <c r="DR484" s="83"/>
      <c r="DS484" s="83"/>
      <c r="DT484" s="83"/>
      <c r="DU484" s="83"/>
      <c r="DV484" s="83"/>
      <c r="DW484" s="83"/>
      <c r="DX484" s="83"/>
      <c r="DY484" s="83"/>
      <c r="DZ484" s="83"/>
      <c r="EA484" s="83"/>
      <c r="EB484" s="83"/>
      <c r="EC484" s="83"/>
      <c r="ED484" s="83"/>
      <c r="EE484" s="83"/>
      <c r="EF484" s="83"/>
      <c r="EG484" s="83"/>
      <c r="EH484" s="83"/>
      <c r="EI484" s="83"/>
      <c r="EJ484" s="83"/>
      <c r="EK484" s="83"/>
      <c r="EL484" s="83"/>
      <c r="EM484" s="83"/>
      <c r="EN484" s="83"/>
      <c r="EO484" s="83"/>
      <c r="EP484" s="83"/>
      <c r="EQ484" s="83"/>
      <c r="ER484" s="83"/>
      <c r="ES484" s="83"/>
      <c r="ET484" s="83"/>
      <c r="EU484" s="83"/>
      <c r="EV484" s="83"/>
      <c r="EW484" s="83"/>
      <c r="EX484" s="83"/>
      <c r="EY484" s="83"/>
      <c r="EZ484" s="83"/>
      <c r="FA484" s="83"/>
      <c r="FB484" s="83"/>
      <c r="FC484" s="83"/>
      <c r="FD484" s="83"/>
      <c r="FE484" s="83"/>
      <c r="FF484" s="83"/>
      <c r="FG484" s="83"/>
      <c r="FH484" s="83"/>
      <c r="FI484" s="83"/>
      <c r="FJ484" s="83"/>
      <c r="FK484" s="83"/>
      <c r="FL484" s="83"/>
      <c r="FM484" s="83"/>
      <c r="FN484" s="83"/>
      <c r="FO484" s="83"/>
      <c r="FP484" s="83"/>
      <c r="FQ484" s="83"/>
      <c r="FR484" s="83"/>
      <c r="FS484" s="83"/>
      <c r="FT484" s="83"/>
      <c r="FU484" s="83"/>
      <c r="FV484" s="83"/>
      <c r="FW484" s="83"/>
      <c r="FX484" s="83"/>
      <c r="FY484" s="83"/>
      <c r="FZ484" s="83"/>
      <c r="GA484" s="83"/>
      <c r="GB484" s="83"/>
      <c r="GC484" s="83"/>
      <c r="GD484" s="83"/>
      <c r="GE484" s="83"/>
      <c r="GF484" s="83"/>
      <c r="GG484" s="83"/>
      <c r="GH484" s="83"/>
      <c r="GI484" s="83"/>
      <c r="GJ484" s="83"/>
      <c r="GK484" s="83"/>
      <c r="GL484" s="83"/>
      <c r="GM484" s="83"/>
      <c r="GN484" s="83"/>
      <c r="GO484" s="83"/>
      <c r="GP484" s="83"/>
      <c r="GQ484" s="83"/>
      <c r="GR484" s="83"/>
      <c r="GS484" s="83"/>
      <c r="GT484" s="83"/>
      <c r="GU484" s="83"/>
      <c r="GV484" s="83"/>
      <c r="GW484" s="83"/>
      <c r="GX484" s="83"/>
      <c r="GY484" s="83"/>
      <c r="GZ484" s="83"/>
      <c r="HA484" s="83"/>
      <c r="HB484" s="83"/>
      <c r="HC484" s="83"/>
      <c r="HD484" s="83"/>
      <c r="HE484" s="83"/>
      <c r="HF484" s="83"/>
      <c r="HG484" s="83"/>
      <c r="HH484" s="83"/>
      <c r="HI484" s="83"/>
      <c r="HJ484" s="83"/>
      <c r="HK484" s="83"/>
      <c r="HL484" s="83"/>
      <c r="HM484" s="83"/>
      <c r="HN484" s="83"/>
      <c r="HO484" s="83"/>
      <c r="HP484" s="83"/>
      <c r="HQ484" s="83"/>
      <c r="HR484" s="83"/>
      <c r="HS484" s="83"/>
      <c r="HT484" s="83"/>
      <c r="HU484" s="83"/>
      <c r="HV484" s="83"/>
      <c r="HW484" s="83"/>
      <c r="HX484" s="83"/>
      <c r="HY484" s="83"/>
      <c r="HZ484" s="83"/>
      <c r="IA484" s="83"/>
      <c r="IB484" s="83"/>
      <c r="IC484" s="83"/>
      <c r="ID484" s="83"/>
      <c r="IE484" s="83"/>
      <c r="IF484" s="83"/>
      <c r="IG484" s="83"/>
    </row>
    <row r="485" spans="1:241"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c r="DD485" s="83"/>
      <c r="DE485" s="83"/>
      <c r="DF485" s="83"/>
      <c r="DG485" s="83"/>
      <c r="DH485" s="83"/>
      <c r="DI485" s="83"/>
      <c r="DJ485" s="83"/>
      <c r="DK485" s="83"/>
      <c r="DL485" s="83"/>
      <c r="DM485" s="83"/>
      <c r="DN485" s="83"/>
      <c r="DO485" s="83"/>
      <c r="DP485" s="83"/>
      <c r="DQ485" s="83"/>
      <c r="DR485" s="83"/>
      <c r="DS485" s="83"/>
      <c r="DT485" s="83"/>
      <c r="DU485" s="83"/>
      <c r="DV485" s="83"/>
      <c r="DW485" s="83"/>
      <c r="DX485" s="83"/>
      <c r="DY485" s="83"/>
      <c r="DZ485" s="83"/>
      <c r="EA485" s="83"/>
      <c r="EB485" s="83"/>
      <c r="EC485" s="83"/>
      <c r="ED485" s="83"/>
      <c r="EE485" s="83"/>
      <c r="EF485" s="83"/>
      <c r="EG485" s="83"/>
      <c r="EH485" s="83"/>
      <c r="EI485" s="83"/>
      <c r="EJ485" s="83"/>
      <c r="EK485" s="83"/>
      <c r="EL485" s="83"/>
      <c r="EM485" s="83"/>
      <c r="EN485" s="83"/>
      <c r="EO485" s="83"/>
      <c r="EP485" s="83"/>
      <c r="EQ485" s="83"/>
      <c r="ER485" s="83"/>
      <c r="ES485" s="83"/>
      <c r="ET485" s="83"/>
      <c r="EU485" s="83"/>
      <c r="EV485" s="83"/>
      <c r="EW485" s="83"/>
      <c r="EX485" s="83"/>
      <c r="EY485" s="83"/>
      <c r="EZ485" s="83"/>
      <c r="FA485" s="83"/>
      <c r="FB485" s="83"/>
      <c r="FC485" s="83"/>
      <c r="FD485" s="83"/>
      <c r="FE485" s="83"/>
      <c r="FF485" s="83"/>
      <c r="FG485" s="83"/>
      <c r="FH485" s="83"/>
      <c r="FI485" s="83"/>
      <c r="FJ485" s="83"/>
      <c r="FK485" s="83"/>
      <c r="FL485" s="83"/>
      <c r="FM485" s="83"/>
      <c r="FN485" s="83"/>
      <c r="FO485" s="83"/>
      <c r="FP485" s="83"/>
      <c r="FQ485" s="83"/>
      <c r="FR485" s="83"/>
      <c r="FS485" s="83"/>
      <c r="FT485" s="83"/>
      <c r="FU485" s="83"/>
      <c r="FV485" s="83"/>
      <c r="FW485" s="83"/>
      <c r="FX485" s="83"/>
      <c r="FY485" s="83"/>
      <c r="FZ485" s="83"/>
      <c r="GA485" s="83"/>
      <c r="GB485" s="83"/>
      <c r="GC485" s="83"/>
      <c r="GD485" s="83"/>
      <c r="GE485" s="83"/>
      <c r="GF485" s="83"/>
      <c r="GG485" s="83"/>
      <c r="GH485" s="83"/>
      <c r="GI485" s="83"/>
      <c r="GJ485" s="83"/>
      <c r="GK485" s="83"/>
      <c r="GL485" s="83"/>
      <c r="GM485" s="83"/>
      <c r="GN485" s="83"/>
      <c r="GO485" s="83"/>
      <c r="GP485" s="83"/>
      <c r="GQ485" s="83"/>
      <c r="GR485" s="83"/>
      <c r="GS485" s="83"/>
      <c r="GT485" s="83"/>
      <c r="GU485" s="83"/>
      <c r="GV485" s="83"/>
      <c r="GW485" s="83"/>
      <c r="GX485" s="83"/>
      <c r="GY485" s="83"/>
      <c r="GZ485" s="83"/>
      <c r="HA485" s="83"/>
      <c r="HB485" s="83"/>
      <c r="HC485" s="83"/>
      <c r="HD485" s="83"/>
      <c r="HE485" s="83"/>
      <c r="HF485" s="83"/>
      <c r="HG485" s="83"/>
      <c r="HH485" s="83"/>
      <c r="HI485" s="83"/>
      <c r="HJ485" s="83"/>
      <c r="HK485" s="83"/>
      <c r="HL485" s="83"/>
      <c r="HM485" s="83"/>
      <c r="HN485" s="83"/>
      <c r="HO485" s="83"/>
      <c r="HP485" s="83"/>
      <c r="HQ485" s="83"/>
      <c r="HR485" s="83"/>
      <c r="HS485" s="83"/>
      <c r="HT485" s="83"/>
      <c r="HU485" s="83"/>
      <c r="HV485" s="83"/>
      <c r="HW485" s="83"/>
      <c r="HX485" s="83"/>
      <c r="HY485" s="83"/>
      <c r="HZ485" s="83"/>
      <c r="IA485" s="83"/>
      <c r="IB485" s="83"/>
      <c r="IC485" s="83"/>
      <c r="ID485" s="83"/>
      <c r="IE485" s="83"/>
      <c r="IF485" s="83"/>
      <c r="IG485" s="83"/>
    </row>
    <row r="486" spans="1:241"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c r="DD486" s="83"/>
      <c r="DE486" s="83"/>
      <c r="DF486" s="83"/>
      <c r="DG486" s="83"/>
      <c r="DH486" s="83"/>
      <c r="DI486" s="83"/>
      <c r="DJ486" s="83"/>
      <c r="DK486" s="83"/>
      <c r="DL486" s="83"/>
      <c r="DM486" s="83"/>
      <c r="DN486" s="83"/>
      <c r="DO486" s="83"/>
      <c r="DP486" s="83"/>
      <c r="DQ486" s="83"/>
      <c r="DR486" s="83"/>
      <c r="DS486" s="83"/>
      <c r="DT486" s="83"/>
      <c r="DU486" s="83"/>
      <c r="DV486" s="83"/>
      <c r="DW486" s="83"/>
      <c r="DX486" s="83"/>
      <c r="DY486" s="83"/>
      <c r="DZ486" s="83"/>
      <c r="EA486" s="83"/>
      <c r="EB486" s="83"/>
      <c r="EC486" s="83"/>
      <c r="ED486" s="83"/>
      <c r="EE486" s="83"/>
      <c r="EF486" s="83"/>
      <c r="EG486" s="83"/>
      <c r="EH486" s="83"/>
      <c r="EI486" s="83"/>
      <c r="EJ486" s="83"/>
      <c r="EK486" s="83"/>
      <c r="EL486" s="83"/>
      <c r="EM486" s="83"/>
      <c r="EN486" s="83"/>
      <c r="EO486" s="83"/>
      <c r="EP486" s="83"/>
      <c r="EQ486" s="83"/>
      <c r="ER486" s="83"/>
      <c r="ES486" s="83"/>
      <c r="ET486" s="83"/>
      <c r="EU486" s="83"/>
      <c r="EV486" s="83"/>
      <c r="EW486" s="83"/>
      <c r="EX486" s="83"/>
      <c r="EY486" s="83"/>
      <c r="EZ486" s="83"/>
      <c r="FA486" s="83"/>
      <c r="FB486" s="83"/>
      <c r="FC486" s="83"/>
      <c r="FD486" s="83"/>
      <c r="FE486" s="83"/>
      <c r="FF486" s="83"/>
      <c r="FG486" s="83"/>
      <c r="FH486" s="83"/>
      <c r="FI486" s="83"/>
      <c r="FJ486" s="83"/>
      <c r="FK486" s="83"/>
      <c r="FL486" s="83"/>
      <c r="FM486" s="83"/>
      <c r="FN486" s="83"/>
      <c r="FO486" s="83"/>
      <c r="FP486" s="83"/>
      <c r="FQ486" s="83"/>
      <c r="FR486" s="83"/>
      <c r="FS486" s="83"/>
      <c r="FT486" s="83"/>
      <c r="FU486" s="83"/>
      <c r="FV486" s="83"/>
      <c r="FW486" s="83"/>
      <c r="FX486" s="83"/>
      <c r="FY486" s="83"/>
      <c r="FZ486" s="83"/>
      <c r="GA486" s="83"/>
      <c r="GB486" s="83"/>
      <c r="GC486" s="83"/>
      <c r="GD486" s="83"/>
      <c r="GE486" s="83"/>
      <c r="GF486" s="83"/>
      <c r="GG486" s="83"/>
      <c r="GH486" s="83"/>
      <c r="GI486" s="83"/>
      <c r="GJ486" s="83"/>
      <c r="GK486" s="83"/>
      <c r="GL486" s="83"/>
      <c r="GM486" s="83"/>
      <c r="GN486" s="83"/>
      <c r="GO486" s="83"/>
      <c r="GP486" s="83"/>
      <c r="GQ486" s="83"/>
      <c r="GR486" s="83"/>
      <c r="GS486" s="83"/>
      <c r="GT486" s="83"/>
      <c r="GU486" s="83"/>
      <c r="GV486" s="83"/>
      <c r="GW486" s="83"/>
      <c r="GX486" s="83"/>
      <c r="GY486" s="83"/>
      <c r="GZ486" s="83"/>
      <c r="HA486" s="83"/>
      <c r="HB486" s="83"/>
      <c r="HC486" s="83"/>
      <c r="HD486" s="83"/>
      <c r="HE486" s="83"/>
      <c r="HF486" s="83"/>
      <c r="HG486" s="83"/>
      <c r="HH486" s="83"/>
      <c r="HI486" s="83"/>
      <c r="HJ486" s="83"/>
      <c r="HK486" s="83"/>
      <c r="HL486" s="83"/>
      <c r="HM486" s="83"/>
      <c r="HN486" s="83"/>
      <c r="HO486" s="83"/>
      <c r="HP486" s="83"/>
      <c r="HQ486" s="83"/>
      <c r="HR486" s="83"/>
      <c r="HS486" s="83"/>
      <c r="HT486" s="83"/>
      <c r="HU486" s="83"/>
      <c r="HV486" s="83"/>
      <c r="HW486" s="83"/>
      <c r="HX486" s="83"/>
      <c r="HY486" s="83"/>
      <c r="HZ486" s="83"/>
      <c r="IA486" s="83"/>
      <c r="IB486" s="83"/>
      <c r="IC486" s="83"/>
      <c r="ID486" s="83"/>
      <c r="IE486" s="83"/>
      <c r="IF486" s="83"/>
      <c r="IG486" s="83"/>
    </row>
    <row r="487" spans="1:241"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c r="DD487" s="83"/>
      <c r="DE487" s="83"/>
      <c r="DF487" s="83"/>
      <c r="DG487" s="83"/>
      <c r="DH487" s="83"/>
      <c r="DI487" s="83"/>
      <c r="DJ487" s="83"/>
      <c r="DK487" s="83"/>
      <c r="DL487" s="83"/>
      <c r="DM487" s="83"/>
      <c r="DN487" s="83"/>
      <c r="DO487" s="83"/>
      <c r="DP487" s="83"/>
      <c r="DQ487" s="83"/>
      <c r="DR487" s="83"/>
      <c r="DS487" s="83"/>
      <c r="DT487" s="83"/>
      <c r="DU487" s="83"/>
      <c r="DV487" s="83"/>
      <c r="DW487" s="83"/>
      <c r="DX487" s="83"/>
      <c r="DY487" s="83"/>
      <c r="DZ487" s="83"/>
      <c r="EA487" s="83"/>
      <c r="EB487" s="83"/>
      <c r="EC487" s="83"/>
      <c r="ED487" s="83"/>
      <c r="EE487" s="83"/>
      <c r="EF487" s="83"/>
      <c r="EG487" s="83"/>
      <c r="EH487" s="83"/>
      <c r="EI487" s="83"/>
      <c r="EJ487" s="83"/>
      <c r="EK487" s="83"/>
      <c r="EL487" s="83"/>
      <c r="EM487" s="83"/>
      <c r="EN487" s="83"/>
      <c r="EO487" s="83"/>
      <c r="EP487" s="83"/>
      <c r="EQ487" s="83"/>
      <c r="ER487" s="83"/>
      <c r="ES487" s="83"/>
      <c r="ET487" s="83"/>
      <c r="EU487" s="83"/>
      <c r="EV487" s="83"/>
      <c r="EW487" s="83"/>
      <c r="EX487" s="83"/>
      <c r="EY487" s="83"/>
      <c r="EZ487" s="83"/>
      <c r="FA487" s="83"/>
      <c r="FB487" s="83"/>
      <c r="FC487" s="83"/>
      <c r="FD487" s="83"/>
      <c r="FE487" s="83"/>
      <c r="FF487" s="83"/>
      <c r="FG487" s="83"/>
      <c r="FH487" s="83"/>
      <c r="FI487" s="83"/>
      <c r="FJ487" s="83"/>
      <c r="FK487" s="83"/>
      <c r="FL487" s="83"/>
      <c r="FM487" s="83"/>
      <c r="FN487" s="83"/>
      <c r="FO487" s="83"/>
      <c r="FP487" s="83"/>
      <c r="FQ487" s="83"/>
      <c r="FR487" s="83"/>
      <c r="FS487" s="83"/>
      <c r="FT487" s="83"/>
      <c r="FU487" s="83"/>
      <c r="FV487" s="83"/>
      <c r="FW487" s="83"/>
      <c r="FX487" s="83"/>
      <c r="FY487" s="83"/>
      <c r="FZ487" s="83"/>
      <c r="GA487" s="83"/>
      <c r="GB487" s="83"/>
      <c r="GC487" s="83"/>
      <c r="GD487" s="83"/>
      <c r="GE487" s="83"/>
      <c r="GF487" s="83"/>
      <c r="GG487" s="83"/>
      <c r="GH487" s="83"/>
      <c r="GI487" s="83"/>
      <c r="GJ487" s="83"/>
      <c r="GK487" s="83"/>
      <c r="GL487" s="83"/>
      <c r="GM487" s="83"/>
      <c r="GN487" s="83"/>
      <c r="GO487" s="83"/>
      <c r="GP487" s="83"/>
      <c r="GQ487" s="83"/>
      <c r="GR487" s="83"/>
      <c r="GS487" s="83"/>
      <c r="GT487" s="83"/>
      <c r="GU487" s="83"/>
      <c r="GV487" s="83"/>
      <c r="GW487" s="83"/>
      <c r="GX487" s="83"/>
      <c r="GY487" s="83"/>
      <c r="GZ487" s="83"/>
      <c r="HA487" s="83"/>
      <c r="HB487" s="83"/>
      <c r="HC487" s="83"/>
      <c r="HD487" s="83"/>
      <c r="HE487" s="83"/>
      <c r="HF487" s="83"/>
      <c r="HG487" s="83"/>
      <c r="HH487" s="83"/>
      <c r="HI487" s="83"/>
      <c r="HJ487" s="83"/>
      <c r="HK487" s="83"/>
      <c r="HL487" s="83"/>
      <c r="HM487" s="83"/>
      <c r="HN487" s="83"/>
      <c r="HO487" s="83"/>
      <c r="HP487" s="83"/>
      <c r="HQ487" s="83"/>
      <c r="HR487" s="83"/>
      <c r="HS487" s="83"/>
      <c r="HT487" s="83"/>
      <c r="HU487" s="83"/>
      <c r="HV487" s="83"/>
      <c r="HW487" s="83"/>
      <c r="HX487" s="83"/>
      <c r="HY487" s="83"/>
      <c r="HZ487" s="83"/>
      <c r="IA487" s="83"/>
      <c r="IB487" s="83"/>
      <c r="IC487" s="83"/>
      <c r="ID487" s="83"/>
      <c r="IE487" s="83"/>
      <c r="IF487" s="83"/>
      <c r="IG487" s="83"/>
    </row>
    <row r="488" spans="1:241"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c r="DD488" s="83"/>
      <c r="DE488" s="83"/>
      <c r="DF488" s="83"/>
      <c r="DG488" s="83"/>
      <c r="DH488" s="83"/>
      <c r="DI488" s="83"/>
      <c r="DJ488" s="83"/>
      <c r="DK488" s="83"/>
      <c r="DL488" s="83"/>
      <c r="DM488" s="83"/>
      <c r="DN488" s="83"/>
      <c r="DO488" s="83"/>
      <c r="DP488" s="83"/>
      <c r="DQ488" s="83"/>
      <c r="DR488" s="83"/>
      <c r="DS488" s="83"/>
      <c r="DT488" s="83"/>
      <c r="DU488" s="83"/>
      <c r="DV488" s="83"/>
      <c r="DW488" s="83"/>
      <c r="DX488" s="83"/>
      <c r="DY488" s="83"/>
      <c r="DZ488" s="83"/>
      <c r="EA488" s="83"/>
      <c r="EB488" s="83"/>
      <c r="EC488" s="83"/>
      <c r="ED488" s="83"/>
      <c r="EE488" s="83"/>
      <c r="EF488" s="83"/>
      <c r="EG488" s="83"/>
      <c r="EH488" s="83"/>
      <c r="EI488" s="83"/>
      <c r="EJ488" s="83"/>
      <c r="EK488" s="83"/>
      <c r="EL488" s="83"/>
      <c r="EM488" s="83"/>
      <c r="EN488" s="83"/>
      <c r="EO488" s="83"/>
      <c r="EP488" s="83"/>
      <c r="EQ488" s="83"/>
      <c r="ER488" s="83"/>
      <c r="ES488" s="83"/>
      <c r="ET488" s="83"/>
      <c r="EU488" s="83"/>
      <c r="EV488" s="83"/>
      <c r="EW488" s="83"/>
      <c r="EX488" s="83"/>
      <c r="EY488" s="83"/>
      <c r="EZ488" s="83"/>
      <c r="FA488" s="83"/>
      <c r="FB488" s="83"/>
      <c r="FC488" s="83"/>
      <c r="FD488" s="83"/>
      <c r="FE488" s="83"/>
      <c r="FF488" s="83"/>
      <c r="FG488" s="83"/>
      <c r="FH488" s="83"/>
      <c r="FI488" s="83"/>
      <c r="FJ488" s="83"/>
      <c r="FK488" s="83"/>
      <c r="FL488" s="83"/>
      <c r="FM488" s="83"/>
      <c r="FN488" s="83"/>
      <c r="FO488" s="83"/>
      <c r="FP488" s="83"/>
      <c r="FQ488" s="83"/>
      <c r="FR488" s="83"/>
      <c r="FS488" s="83"/>
      <c r="FT488" s="83"/>
      <c r="FU488" s="83"/>
      <c r="FV488" s="83"/>
      <c r="FW488" s="83"/>
      <c r="FX488" s="83"/>
      <c r="FY488" s="83"/>
      <c r="FZ488" s="83"/>
      <c r="GA488" s="83"/>
      <c r="GB488" s="83"/>
      <c r="GC488" s="83"/>
      <c r="GD488" s="83"/>
      <c r="GE488" s="83"/>
      <c r="GF488" s="83"/>
      <c r="GG488" s="83"/>
      <c r="GH488" s="83"/>
      <c r="GI488" s="83"/>
      <c r="GJ488" s="83"/>
      <c r="GK488" s="83"/>
      <c r="GL488" s="83"/>
      <c r="GM488" s="83"/>
      <c r="GN488" s="83"/>
      <c r="GO488" s="83"/>
      <c r="GP488" s="83"/>
      <c r="GQ488" s="83"/>
      <c r="GR488" s="83"/>
      <c r="GS488" s="83"/>
      <c r="GT488" s="83"/>
      <c r="GU488" s="83"/>
      <c r="GV488" s="83"/>
      <c r="GW488" s="83"/>
      <c r="GX488" s="83"/>
      <c r="GY488" s="83"/>
      <c r="GZ488" s="83"/>
      <c r="HA488" s="83"/>
      <c r="HB488" s="83"/>
      <c r="HC488" s="83"/>
      <c r="HD488" s="83"/>
      <c r="HE488" s="83"/>
      <c r="HF488" s="83"/>
      <c r="HG488" s="83"/>
      <c r="HH488" s="83"/>
      <c r="HI488" s="83"/>
      <c r="HJ488" s="83"/>
      <c r="HK488" s="83"/>
      <c r="HL488" s="83"/>
      <c r="HM488" s="83"/>
      <c r="HN488" s="83"/>
      <c r="HO488" s="83"/>
      <c r="HP488" s="83"/>
      <c r="HQ488" s="83"/>
      <c r="HR488" s="83"/>
      <c r="HS488" s="83"/>
      <c r="HT488" s="83"/>
      <c r="HU488" s="83"/>
      <c r="HV488" s="83"/>
      <c r="HW488" s="83"/>
      <c r="HX488" s="83"/>
      <c r="HY488" s="83"/>
      <c r="HZ488" s="83"/>
      <c r="IA488" s="83"/>
      <c r="IB488" s="83"/>
      <c r="IC488" s="83"/>
      <c r="ID488" s="83"/>
      <c r="IE488" s="83"/>
      <c r="IF488" s="83"/>
      <c r="IG488" s="83"/>
    </row>
    <row r="489" spans="1:241"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c r="DD489" s="83"/>
      <c r="DE489" s="83"/>
      <c r="DF489" s="83"/>
      <c r="DG489" s="83"/>
      <c r="DH489" s="83"/>
      <c r="DI489" s="83"/>
      <c r="DJ489" s="83"/>
      <c r="DK489" s="83"/>
      <c r="DL489" s="83"/>
      <c r="DM489" s="83"/>
      <c r="DN489" s="83"/>
      <c r="DO489" s="83"/>
      <c r="DP489" s="83"/>
      <c r="DQ489" s="83"/>
      <c r="DR489" s="83"/>
      <c r="DS489" s="83"/>
      <c r="DT489" s="83"/>
      <c r="DU489" s="83"/>
      <c r="DV489" s="83"/>
      <c r="DW489" s="83"/>
      <c r="DX489" s="83"/>
      <c r="DY489" s="83"/>
      <c r="DZ489" s="83"/>
      <c r="EA489" s="83"/>
      <c r="EB489" s="83"/>
      <c r="EC489" s="83"/>
      <c r="ED489" s="83"/>
      <c r="EE489" s="83"/>
      <c r="EF489" s="83"/>
      <c r="EG489" s="83"/>
      <c r="EH489" s="83"/>
      <c r="EI489" s="83"/>
      <c r="EJ489" s="83"/>
      <c r="EK489" s="83"/>
      <c r="EL489" s="83"/>
      <c r="EM489" s="83"/>
      <c r="EN489" s="83"/>
      <c r="EO489" s="83"/>
      <c r="EP489" s="83"/>
      <c r="EQ489" s="83"/>
      <c r="ER489" s="83"/>
      <c r="ES489" s="83"/>
      <c r="ET489" s="83"/>
      <c r="EU489" s="83"/>
      <c r="EV489" s="83"/>
      <c r="EW489" s="83"/>
      <c r="EX489" s="83"/>
      <c r="EY489" s="83"/>
      <c r="EZ489" s="83"/>
      <c r="FA489" s="83"/>
      <c r="FB489" s="83"/>
      <c r="FC489" s="83"/>
      <c r="FD489" s="83"/>
      <c r="FE489" s="83"/>
      <c r="FF489" s="83"/>
      <c r="FG489" s="83"/>
      <c r="FH489" s="83"/>
      <c r="FI489" s="83"/>
      <c r="FJ489" s="83"/>
      <c r="FK489" s="83"/>
      <c r="FL489" s="83"/>
      <c r="FM489" s="83"/>
      <c r="FN489" s="83"/>
      <c r="FO489" s="83"/>
      <c r="FP489" s="83"/>
      <c r="FQ489" s="83"/>
      <c r="FR489" s="83"/>
      <c r="FS489" s="83"/>
      <c r="FT489" s="83"/>
      <c r="FU489" s="83"/>
      <c r="FV489" s="83"/>
      <c r="FW489" s="83"/>
      <c r="FX489" s="83"/>
      <c r="FY489" s="83"/>
      <c r="FZ489" s="83"/>
      <c r="GA489" s="83"/>
      <c r="GB489" s="83"/>
      <c r="GC489" s="83"/>
      <c r="GD489" s="83"/>
      <c r="GE489" s="83"/>
      <c r="GF489" s="83"/>
      <c r="GG489" s="83"/>
      <c r="GH489" s="83"/>
      <c r="GI489" s="83"/>
      <c r="GJ489" s="83"/>
      <c r="GK489" s="83"/>
      <c r="GL489" s="83"/>
      <c r="GM489" s="83"/>
      <c r="GN489" s="83"/>
      <c r="GO489" s="83"/>
      <c r="GP489" s="83"/>
      <c r="GQ489" s="83"/>
      <c r="GR489" s="83"/>
      <c r="GS489" s="83"/>
      <c r="GT489" s="83"/>
      <c r="GU489" s="83"/>
      <c r="GV489" s="83"/>
      <c r="GW489" s="83"/>
      <c r="GX489" s="83"/>
      <c r="GY489" s="83"/>
      <c r="GZ489" s="83"/>
      <c r="HA489" s="83"/>
      <c r="HB489" s="83"/>
      <c r="HC489" s="83"/>
      <c r="HD489" s="83"/>
      <c r="HE489" s="83"/>
      <c r="HF489" s="83"/>
      <c r="HG489" s="83"/>
      <c r="HH489" s="83"/>
      <c r="HI489" s="83"/>
      <c r="HJ489" s="83"/>
      <c r="HK489" s="83"/>
      <c r="HL489" s="83"/>
      <c r="HM489" s="83"/>
      <c r="HN489" s="83"/>
      <c r="HO489" s="83"/>
      <c r="HP489" s="83"/>
      <c r="HQ489" s="83"/>
      <c r="HR489" s="83"/>
      <c r="HS489" s="83"/>
      <c r="HT489" s="83"/>
      <c r="HU489" s="83"/>
      <c r="HV489" s="83"/>
      <c r="HW489" s="83"/>
      <c r="HX489" s="83"/>
      <c r="HY489" s="83"/>
      <c r="HZ489" s="83"/>
      <c r="IA489" s="83"/>
      <c r="IB489" s="83"/>
      <c r="IC489" s="83"/>
      <c r="ID489" s="83"/>
      <c r="IE489" s="83"/>
      <c r="IF489" s="83"/>
      <c r="IG489" s="83"/>
    </row>
    <row r="490" spans="1:241"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c r="DD490" s="83"/>
      <c r="DE490" s="83"/>
      <c r="DF490" s="83"/>
      <c r="DG490" s="83"/>
      <c r="DH490" s="83"/>
      <c r="DI490" s="83"/>
      <c r="DJ490" s="83"/>
      <c r="DK490" s="83"/>
      <c r="DL490" s="83"/>
      <c r="DM490" s="83"/>
      <c r="DN490" s="83"/>
      <c r="DO490" s="83"/>
      <c r="DP490" s="83"/>
      <c r="DQ490" s="83"/>
      <c r="DR490" s="83"/>
      <c r="DS490" s="83"/>
      <c r="DT490" s="83"/>
      <c r="DU490" s="83"/>
      <c r="DV490" s="83"/>
      <c r="DW490" s="83"/>
      <c r="DX490" s="83"/>
      <c r="DY490" s="83"/>
      <c r="DZ490" s="83"/>
      <c r="EA490" s="83"/>
      <c r="EB490" s="83"/>
      <c r="EC490" s="83"/>
      <c r="ED490" s="83"/>
      <c r="EE490" s="83"/>
      <c r="EF490" s="83"/>
      <c r="EG490" s="83"/>
      <c r="EH490" s="83"/>
      <c r="EI490" s="83"/>
      <c r="EJ490" s="83"/>
      <c r="EK490" s="83"/>
      <c r="EL490" s="83"/>
      <c r="EM490" s="83"/>
      <c r="EN490" s="83"/>
      <c r="EO490" s="83"/>
      <c r="EP490" s="83"/>
      <c r="EQ490" s="83"/>
      <c r="ER490" s="83"/>
      <c r="ES490" s="83"/>
      <c r="ET490" s="83"/>
      <c r="EU490" s="83"/>
      <c r="EV490" s="83"/>
      <c r="EW490" s="83"/>
      <c r="EX490" s="83"/>
      <c r="EY490" s="83"/>
      <c r="EZ490" s="83"/>
      <c r="FA490" s="83"/>
      <c r="FB490" s="83"/>
      <c r="FC490" s="83"/>
      <c r="FD490" s="83"/>
      <c r="FE490" s="83"/>
      <c r="FF490" s="83"/>
      <c r="FG490" s="83"/>
      <c r="FH490" s="83"/>
      <c r="FI490" s="83"/>
      <c r="FJ490" s="83"/>
      <c r="FK490" s="83"/>
      <c r="FL490" s="83"/>
      <c r="FM490" s="83"/>
      <c r="FN490" s="83"/>
      <c r="FO490" s="83"/>
      <c r="FP490" s="83"/>
      <c r="FQ490" s="83"/>
      <c r="FR490" s="83"/>
      <c r="FS490" s="83"/>
      <c r="FT490" s="83"/>
      <c r="FU490" s="83"/>
      <c r="FV490" s="83"/>
      <c r="FW490" s="83"/>
      <c r="FX490" s="83"/>
      <c r="FY490" s="83"/>
      <c r="FZ490" s="83"/>
      <c r="GA490" s="83"/>
      <c r="GB490" s="83"/>
      <c r="GC490" s="83"/>
      <c r="GD490" s="83"/>
      <c r="GE490" s="83"/>
      <c r="GF490" s="83"/>
      <c r="GG490" s="83"/>
      <c r="GH490" s="83"/>
      <c r="GI490" s="83"/>
      <c r="GJ490" s="83"/>
      <c r="GK490" s="83"/>
      <c r="GL490" s="83"/>
      <c r="GM490" s="83"/>
      <c r="GN490" s="83"/>
      <c r="GO490" s="83"/>
      <c r="GP490" s="83"/>
      <c r="GQ490" s="83"/>
      <c r="GR490" s="83"/>
      <c r="GS490" s="83"/>
      <c r="GT490" s="83"/>
      <c r="GU490" s="83"/>
      <c r="GV490" s="83"/>
      <c r="GW490" s="83"/>
      <c r="GX490" s="83"/>
      <c r="GY490" s="83"/>
      <c r="GZ490" s="83"/>
      <c r="HA490" s="83"/>
      <c r="HB490" s="83"/>
      <c r="HC490" s="83"/>
      <c r="HD490" s="83"/>
      <c r="HE490" s="83"/>
      <c r="HF490" s="83"/>
      <c r="HG490" s="83"/>
      <c r="HH490" s="83"/>
      <c r="HI490" s="83"/>
      <c r="HJ490" s="83"/>
      <c r="HK490" s="83"/>
      <c r="HL490" s="83"/>
      <c r="HM490" s="83"/>
      <c r="HN490" s="83"/>
      <c r="HO490" s="83"/>
      <c r="HP490" s="83"/>
      <c r="HQ490" s="83"/>
      <c r="HR490" s="83"/>
      <c r="HS490" s="83"/>
      <c r="HT490" s="83"/>
      <c r="HU490" s="83"/>
      <c r="HV490" s="83"/>
      <c r="HW490" s="83"/>
      <c r="HX490" s="83"/>
      <c r="HY490" s="83"/>
      <c r="HZ490" s="83"/>
      <c r="IA490" s="83"/>
      <c r="IB490" s="83"/>
      <c r="IC490" s="83"/>
      <c r="ID490" s="83"/>
      <c r="IE490" s="83"/>
      <c r="IF490" s="83"/>
      <c r="IG490" s="83"/>
    </row>
    <row r="491" spans="1:241"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c r="DD491" s="83"/>
      <c r="DE491" s="83"/>
      <c r="DF491" s="83"/>
      <c r="DG491" s="83"/>
      <c r="DH491" s="83"/>
      <c r="DI491" s="83"/>
      <c r="DJ491" s="83"/>
      <c r="DK491" s="83"/>
      <c r="DL491" s="83"/>
      <c r="DM491" s="83"/>
      <c r="DN491" s="83"/>
      <c r="DO491" s="83"/>
      <c r="DP491" s="83"/>
      <c r="DQ491" s="83"/>
      <c r="DR491" s="83"/>
      <c r="DS491" s="83"/>
      <c r="DT491" s="83"/>
      <c r="DU491" s="83"/>
      <c r="DV491" s="83"/>
      <c r="DW491" s="83"/>
      <c r="DX491" s="83"/>
      <c r="DY491" s="83"/>
      <c r="DZ491" s="83"/>
      <c r="EA491" s="83"/>
      <c r="EB491" s="83"/>
      <c r="EC491" s="83"/>
      <c r="ED491" s="83"/>
      <c r="EE491" s="83"/>
      <c r="EF491" s="83"/>
      <c r="EG491" s="83"/>
      <c r="EH491" s="83"/>
      <c r="EI491" s="83"/>
      <c r="EJ491" s="83"/>
      <c r="EK491" s="83"/>
      <c r="EL491" s="83"/>
      <c r="EM491" s="83"/>
      <c r="EN491" s="83"/>
      <c r="EO491" s="83"/>
      <c r="EP491" s="83"/>
      <c r="EQ491" s="83"/>
      <c r="ER491" s="83"/>
      <c r="ES491" s="83"/>
      <c r="ET491" s="83"/>
      <c r="EU491" s="83"/>
      <c r="EV491" s="83"/>
      <c r="EW491" s="83"/>
      <c r="EX491" s="83"/>
      <c r="EY491" s="83"/>
      <c r="EZ491" s="83"/>
      <c r="FA491" s="83"/>
      <c r="FB491" s="83"/>
      <c r="FC491" s="83"/>
      <c r="FD491" s="83"/>
      <c r="FE491" s="83"/>
      <c r="FF491" s="83"/>
      <c r="FG491" s="83"/>
      <c r="FH491" s="83"/>
      <c r="FI491" s="83"/>
      <c r="FJ491" s="83"/>
      <c r="FK491" s="83"/>
      <c r="FL491" s="83"/>
      <c r="FM491" s="83"/>
      <c r="FN491" s="83"/>
      <c r="FO491" s="83"/>
      <c r="FP491" s="83"/>
      <c r="FQ491" s="83"/>
      <c r="FR491" s="83"/>
      <c r="FS491" s="83"/>
      <c r="FT491" s="83"/>
      <c r="FU491" s="83"/>
      <c r="FV491" s="83"/>
      <c r="FW491" s="83"/>
      <c r="FX491" s="83"/>
      <c r="FY491" s="83"/>
      <c r="FZ491" s="83"/>
      <c r="GA491" s="83"/>
      <c r="GB491" s="83"/>
      <c r="GC491" s="83"/>
      <c r="GD491" s="83"/>
      <c r="GE491" s="83"/>
      <c r="GF491" s="83"/>
      <c r="GG491" s="83"/>
      <c r="GH491" s="83"/>
      <c r="GI491" s="83"/>
      <c r="GJ491" s="83"/>
      <c r="GK491" s="83"/>
      <c r="GL491" s="83"/>
      <c r="GM491" s="83"/>
      <c r="GN491" s="83"/>
      <c r="GO491" s="83"/>
      <c r="GP491" s="83"/>
      <c r="GQ491" s="83"/>
      <c r="GR491" s="83"/>
      <c r="GS491" s="83"/>
      <c r="GT491" s="83"/>
      <c r="GU491" s="83"/>
      <c r="GV491" s="83"/>
      <c r="GW491" s="83"/>
      <c r="GX491" s="83"/>
      <c r="GY491" s="83"/>
      <c r="GZ491" s="83"/>
      <c r="HA491" s="83"/>
      <c r="HB491" s="83"/>
      <c r="HC491" s="83"/>
      <c r="HD491" s="83"/>
      <c r="HE491" s="83"/>
      <c r="HF491" s="83"/>
      <c r="HG491" s="83"/>
      <c r="HH491" s="83"/>
      <c r="HI491" s="83"/>
      <c r="HJ491" s="83"/>
      <c r="HK491" s="83"/>
      <c r="HL491" s="83"/>
      <c r="HM491" s="83"/>
      <c r="HN491" s="83"/>
      <c r="HO491" s="83"/>
      <c r="HP491" s="83"/>
      <c r="HQ491" s="83"/>
      <c r="HR491" s="83"/>
      <c r="HS491" s="83"/>
      <c r="HT491" s="83"/>
      <c r="HU491" s="83"/>
      <c r="HV491" s="83"/>
      <c r="HW491" s="83"/>
      <c r="HX491" s="83"/>
      <c r="HY491" s="83"/>
      <c r="HZ491" s="83"/>
      <c r="IA491" s="83"/>
      <c r="IB491" s="83"/>
      <c r="IC491" s="83"/>
      <c r="ID491" s="83"/>
      <c r="IE491" s="83"/>
      <c r="IF491" s="83"/>
      <c r="IG491" s="83"/>
    </row>
    <row r="492" spans="1:241"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c r="DD492" s="83"/>
      <c r="DE492" s="83"/>
      <c r="DF492" s="83"/>
      <c r="DG492" s="83"/>
      <c r="DH492" s="83"/>
      <c r="DI492" s="83"/>
      <c r="DJ492" s="83"/>
      <c r="DK492" s="83"/>
      <c r="DL492" s="83"/>
      <c r="DM492" s="83"/>
      <c r="DN492" s="83"/>
      <c r="DO492" s="83"/>
      <c r="DP492" s="83"/>
      <c r="DQ492" s="83"/>
      <c r="DR492" s="83"/>
      <c r="DS492" s="83"/>
      <c r="DT492" s="83"/>
      <c r="DU492" s="83"/>
      <c r="DV492" s="83"/>
      <c r="DW492" s="83"/>
      <c r="DX492" s="83"/>
      <c r="DY492" s="83"/>
      <c r="DZ492" s="83"/>
      <c r="EA492" s="83"/>
      <c r="EB492" s="83"/>
      <c r="EC492" s="83"/>
      <c r="ED492" s="83"/>
      <c r="EE492" s="83"/>
      <c r="EF492" s="83"/>
      <c r="EG492" s="83"/>
      <c r="EH492" s="83"/>
      <c r="EI492" s="83"/>
      <c r="EJ492" s="83"/>
      <c r="EK492" s="83"/>
      <c r="EL492" s="83"/>
      <c r="EM492" s="83"/>
      <c r="EN492" s="83"/>
      <c r="EO492" s="83"/>
      <c r="EP492" s="83"/>
      <c r="EQ492" s="83"/>
      <c r="ER492" s="83"/>
      <c r="ES492" s="83"/>
      <c r="ET492" s="83"/>
      <c r="EU492" s="83"/>
      <c r="EV492" s="83"/>
      <c r="EW492" s="83"/>
      <c r="EX492" s="83"/>
      <c r="EY492" s="83"/>
      <c r="EZ492" s="83"/>
      <c r="FA492" s="83"/>
      <c r="FB492" s="83"/>
      <c r="FC492" s="83"/>
      <c r="FD492" s="83"/>
      <c r="FE492" s="83"/>
      <c r="FF492" s="83"/>
      <c r="FG492" s="83"/>
      <c r="FH492" s="83"/>
      <c r="FI492" s="83"/>
      <c r="FJ492" s="83"/>
      <c r="FK492" s="83"/>
      <c r="FL492" s="83"/>
      <c r="FM492" s="83"/>
      <c r="FN492" s="83"/>
      <c r="FO492" s="83"/>
      <c r="FP492" s="83"/>
      <c r="FQ492" s="83"/>
      <c r="FR492" s="83"/>
      <c r="FS492" s="83"/>
      <c r="FT492" s="83"/>
      <c r="FU492" s="83"/>
      <c r="FV492" s="83"/>
      <c r="FW492" s="83"/>
      <c r="FX492" s="83"/>
      <c r="FY492" s="83"/>
      <c r="FZ492" s="83"/>
      <c r="GA492" s="83"/>
      <c r="GB492" s="83"/>
      <c r="GC492" s="83"/>
      <c r="GD492" s="83"/>
      <c r="GE492" s="83"/>
      <c r="GF492" s="83"/>
      <c r="GG492" s="83"/>
      <c r="GH492" s="83"/>
      <c r="GI492" s="83"/>
      <c r="GJ492" s="83"/>
      <c r="GK492" s="83"/>
      <c r="GL492" s="83"/>
      <c r="GM492" s="83"/>
      <c r="GN492" s="83"/>
      <c r="GO492" s="83"/>
      <c r="GP492" s="83"/>
      <c r="GQ492" s="83"/>
      <c r="GR492" s="83"/>
      <c r="GS492" s="83"/>
      <c r="GT492" s="83"/>
      <c r="GU492" s="83"/>
      <c r="GV492" s="83"/>
      <c r="GW492" s="83"/>
      <c r="GX492" s="83"/>
      <c r="GY492" s="83"/>
      <c r="GZ492" s="83"/>
      <c r="HA492" s="83"/>
      <c r="HB492" s="83"/>
      <c r="HC492" s="83"/>
      <c r="HD492" s="83"/>
      <c r="HE492" s="83"/>
      <c r="HF492" s="83"/>
      <c r="HG492" s="83"/>
      <c r="HH492" s="83"/>
      <c r="HI492" s="83"/>
      <c r="HJ492" s="83"/>
      <c r="HK492" s="83"/>
      <c r="HL492" s="83"/>
      <c r="HM492" s="83"/>
      <c r="HN492" s="83"/>
      <c r="HO492" s="83"/>
      <c r="HP492" s="83"/>
      <c r="HQ492" s="83"/>
      <c r="HR492" s="83"/>
      <c r="HS492" s="83"/>
      <c r="HT492" s="83"/>
      <c r="HU492" s="83"/>
      <c r="HV492" s="83"/>
      <c r="HW492" s="83"/>
      <c r="HX492" s="83"/>
      <c r="HY492" s="83"/>
      <c r="HZ492" s="83"/>
      <c r="IA492" s="83"/>
      <c r="IB492" s="83"/>
      <c r="IC492" s="83"/>
      <c r="ID492" s="83"/>
      <c r="IE492" s="83"/>
      <c r="IF492" s="83"/>
      <c r="IG492" s="83"/>
    </row>
    <row r="493" spans="1:241"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c r="DD493" s="83"/>
      <c r="DE493" s="83"/>
      <c r="DF493" s="83"/>
      <c r="DG493" s="83"/>
      <c r="DH493" s="83"/>
      <c r="DI493" s="83"/>
      <c r="DJ493" s="83"/>
      <c r="DK493" s="83"/>
      <c r="DL493" s="83"/>
      <c r="DM493" s="83"/>
      <c r="DN493" s="83"/>
      <c r="DO493" s="83"/>
      <c r="DP493" s="83"/>
      <c r="DQ493" s="83"/>
      <c r="DR493" s="83"/>
      <c r="DS493" s="83"/>
      <c r="DT493" s="83"/>
      <c r="DU493" s="83"/>
      <c r="DV493" s="83"/>
      <c r="DW493" s="83"/>
      <c r="DX493" s="83"/>
      <c r="DY493" s="83"/>
      <c r="DZ493" s="83"/>
      <c r="EA493" s="83"/>
      <c r="EB493" s="83"/>
      <c r="EC493" s="83"/>
      <c r="ED493" s="83"/>
      <c r="EE493" s="83"/>
      <c r="EF493" s="83"/>
      <c r="EG493" s="83"/>
      <c r="EH493" s="83"/>
      <c r="EI493" s="83"/>
      <c r="EJ493" s="83"/>
      <c r="EK493" s="83"/>
      <c r="EL493" s="83"/>
      <c r="EM493" s="83"/>
      <c r="EN493" s="83"/>
      <c r="EO493" s="83"/>
      <c r="EP493" s="83"/>
      <c r="EQ493" s="83"/>
      <c r="ER493" s="83"/>
      <c r="ES493" s="83"/>
      <c r="ET493" s="83"/>
      <c r="EU493" s="83"/>
      <c r="EV493" s="83"/>
      <c r="EW493" s="83"/>
      <c r="EX493" s="83"/>
      <c r="EY493" s="83"/>
      <c r="EZ493" s="83"/>
      <c r="FA493" s="83"/>
      <c r="FB493" s="83"/>
      <c r="FC493" s="83"/>
      <c r="FD493" s="83"/>
      <c r="FE493" s="83"/>
      <c r="FF493" s="83"/>
      <c r="FG493" s="83"/>
      <c r="FH493" s="83"/>
      <c r="FI493" s="83"/>
      <c r="FJ493" s="83"/>
      <c r="FK493" s="83"/>
      <c r="FL493" s="83"/>
      <c r="FM493" s="83"/>
      <c r="FN493" s="83"/>
      <c r="FO493" s="83"/>
      <c r="FP493" s="83"/>
      <c r="FQ493" s="83"/>
      <c r="FR493" s="83"/>
      <c r="FS493" s="83"/>
      <c r="FT493" s="83"/>
      <c r="FU493" s="83"/>
      <c r="FV493" s="83"/>
      <c r="FW493" s="83"/>
      <c r="FX493" s="83"/>
      <c r="FY493" s="83"/>
      <c r="FZ493" s="83"/>
      <c r="GA493" s="83"/>
      <c r="GB493" s="83"/>
      <c r="GC493" s="83"/>
      <c r="GD493" s="83"/>
      <c r="GE493" s="83"/>
      <c r="GF493" s="83"/>
      <c r="GG493" s="83"/>
      <c r="GH493" s="83"/>
      <c r="GI493" s="83"/>
      <c r="GJ493" s="83"/>
      <c r="GK493" s="83"/>
      <c r="GL493" s="83"/>
      <c r="GM493" s="83"/>
      <c r="GN493" s="83"/>
      <c r="GO493" s="83"/>
      <c r="GP493" s="83"/>
      <c r="GQ493" s="83"/>
      <c r="GR493" s="83"/>
      <c r="GS493" s="83"/>
      <c r="GT493" s="83"/>
      <c r="GU493" s="83"/>
      <c r="GV493" s="83"/>
      <c r="GW493" s="83"/>
      <c r="GX493" s="83"/>
      <c r="GY493" s="83"/>
      <c r="GZ493" s="83"/>
      <c r="HA493" s="83"/>
      <c r="HB493" s="83"/>
      <c r="HC493" s="83"/>
      <c r="HD493" s="83"/>
      <c r="HE493" s="83"/>
      <c r="HF493" s="83"/>
      <c r="HG493" s="83"/>
      <c r="HH493" s="83"/>
      <c r="HI493" s="83"/>
      <c r="HJ493" s="83"/>
      <c r="HK493" s="83"/>
      <c r="HL493" s="83"/>
      <c r="HM493" s="83"/>
      <c r="HN493" s="83"/>
      <c r="HO493" s="83"/>
      <c r="HP493" s="83"/>
      <c r="HQ493" s="83"/>
      <c r="HR493" s="83"/>
      <c r="HS493" s="83"/>
      <c r="HT493" s="83"/>
      <c r="HU493" s="83"/>
      <c r="HV493" s="83"/>
      <c r="HW493" s="83"/>
      <c r="HX493" s="83"/>
      <c r="HY493" s="83"/>
      <c r="HZ493" s="83"/>
      <c r="IA493" s="83"/>
      <c r="IB493" s="83"/>
      <c r="IC493" s="83"/>
      <c r="ID493" s="83"/>
      <c r="IE493" s="83"/>
      <c r="IF493" s="83"/>
      <c r="IG493" s="83"/>
    </row>
    <row r="494" spans="1:241"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c r="DD494" s="83"/>
      <c r="DE494" s="83"/>
      <c r="DF494" s="83"/>
      <c r="DG494" s="83"/>
      <c r="DH494" s="83"/>
      <c r="DI494" s="83"/>
      <c r="DJ494" s="83"/>
      <c r="DK494" s="83"/>
      <c r="DL494" s="83"/>
      <c r="DM494" s="83"/>
      <c r="DN494" s="83"/>
      <c r="DO494" s="83"/>
      <c r="DP494" s="83"/>
      <c r="DQ494" s="83"/>
      <c r="DR494" s="83"/>
      <c r="DS494" s="83"/>
      <c r="DT494" s="83"/>
      <c r="DU494" s="83"/>
      <c r="DV494" s="83"/>
      <c r="DW494" s="83"/>
      <c r="DX494" s="83"/>
      <c r="DY494" s="83"/>
      <c r="DZ494" s="83"/>
      <c r="EA494" s="83"/>
      <c r="EB494" s="83"/>
      <c r="EC494" s="83"/>
      <c r="ED494" s="83"/>
      <c r="EE494" s="83"/>
      <c r="EF494" s="83"/>
      <c r="EG494" s="83"/>
      <c r="EH494" s="83"/>
      <c r="EI494" s="83"/>
      <c r="EJ494" s="83"/>
      <c r="EK494" s="83"/>
      <c r="EL494" s="83"/>
      <c r="EM494" s="83"/>
      <c r="EN494" s="83"/>
      <c r="EO494" s="83"/>
      <c r="EP494" s="83"/>
      <c r="EQ494" s="83"/>
      <c r="ER494" s="83"/>
      <c r="ES494" s="83"/>
      <c r="ET494" s="83"/>
      <c r="EU494" s="83"/>
      <c r="EV494" s="83"/>
      <c r="EW494" s="83"/>
      <c r="EX494" s="83"/>
      <c r="EY494" s="83"/>
      <c r="EZ494" s="83"/>
      <c r="FA494" s="83"/>
      <c r="FB494" s="83"/>
      <c r="FC494" s="83"/>
      <c r="FD494" s="83"/>
      <c r="FE494" s="83"/>
      <c r="FF494" s="83"/>
      <c r="FG494" s="83"/>
      <c r="FH494" s="83"/>
      <c r="FI494" s="83"/>
      <c r="FJ494" s="83"/>
      <c r="FK494" s="83"/>
      <c r="FL494" s="83"/>
      <c r="FM494" s="83"/>
      <c r="FN494" s="83"/>
      <c r="FO494" s="83"/>
      <c r="FP494" s="83"/>
      <c r="FQ494" s="83"/>
      <c r="FR494" s="83"/>
      <c r="FS494" s="83"/>
      <c r="FT494" s="83"/>
      <c r="FU494" s="83"/>
      <c r="FV494" s="83"/>
      <c r="FW494" s="83"/>
      <c r="FX494" s="83"/>
      <c r="FY494" s="83"/>
      <c r="FZ494" s="83"/>
      <c r="GA494" s="83"/>
      <c r="GB494" s="83"/>
      <c r="GC494" s="83"/>
      <c r="GD494" s="83"/>
      <c r="GE494" s="83"/>
      <c r="GF494" s="83"/>
      <c r="GG494" s="83"/>
      <c r="GH494" s="83"/>
      <c r="GI494" s="83"/>
      <c r="GJ494" s="83"/>
      <c r="GK494" s="83"/>
      <c r="GL494" s="83"/>
      <c r="GM494" s="83"/>
      <c r="GN494" s="83"/>
      <c r="GO494" s="83"/>
      <c r="GP494" s="83"/>
      <c r="GQ494" s="83"/>
      <c r="GR494" s="83"/>
      <c r="GS494" s="83"/>
      <c r="GT494" s="83"/>
      <c r="GU494" s="83"/>
      <c r="GV494" s="83"/>
      <c r="GW494" s="83"/>
      <c r="GX494" s="83"/>
      <c r="GY494" s="83"/>
      <c r="GZ494" s="83"/>
      <c r="HA494" s="83"/>
      <c r="HB494" s="83"/>
      <c r="HC494" s="83"/>
      <c r="HD494" s="83"/>
      <c r="HE494" s="83"/>
      <c r="HF494" s="83"/>
      <c r="HG494" s="83"/>
      <c r="HH494" s="83"/>
      <c r="HI494" s="83"/>
      <c r="HJ494" s="83"/>
      <c r="HK494" s="83"/>
      <c r="HL494" s="83"/>
      <c r="HM494" s="83"/>
      <c r="HN494" s="83"/>
      <c r="HO494" s="83"/>
      <c r="HP494" s="83"/>
      <c r="HQ494" s="83"/>
      <c r="HR494" s="83"/>
      <c r="HS494" s="83"/>
      <c r="HT494" s="83"/>
      <c r="HU494" s="83"/>
      <c r="HV494" s="83"/>
      <c r="HW494" s="83"/>
      <c r="HX494" s="83"/>
      <c r="HY494" s="83"/>
      <c r="HZ494" s="83"/>
      <c r="IA494" s="83"/>
      <c r="IB494" s="83"/>
      <c r="IC494" s="83"/>
      <c r="ID494" s="83"/>
      <c r="IE494" s="83"/>
      <c r="IF494" s="83"/>
      <c r="IG494" s="83"/>
    </row>
    <row r="495" spans="1:241"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c r="DD495" s="83"/>
      <c r="DE495" s="83"/>
      <c r="DF495" s="83"/>
      <c r="DG495" s="83"/>
      <c r="DH495" s="83"/>
      <c r="DI495" s="83"/>
      <c r="DJ495" s="83"/>
      <c r="DK495" s="83"/>
      <c r="DL495" s="83"/>
      <c r="DM495" s="83"/>
      <c r="DN495" s="83"/>
      <c r="DO495" s="83"/>
      <c r="DP495" s="83"/>
      <c r="DQ495" s="83"/>
      <c r="DR495" s="83"/>
      <c r="DS495" s="83"/>
      <c r="DT495" s="83"/>
      <c r="DU495" s="83"/>
      <c r="DV495" s="83"/>
      <c r="DW495" s="83"/>
      <c r="DX495" s="83"/>
      <c r="DY495" s="83"/>
      <c r="DZ495" s="83"/>
      <c r="EA495" s="83"/>
      <c r="EB495" s="83"/>
      <c r="EC495" s="83"/>
      <c r="ED495" s="83"/>
      <c r="EE495" s="83"/>
      <c r="EF495" s="83"/>
      <c r="EG495" s="83"/>
      <c r="EH495" s="83"/>
      <c r="EI495" s="83"/>
      <c r="EJ495" s="83"/>
      <c r="EK495" s="83"/>
      <c r="EL495" s="83"/>
      <c r="EM495" s="83"/>
      <c r="EN495" s="83"/>
      <c r="EO495" s="83"/>
      <c r="EP495" s="83"/>
      <c r="EQ495" s="83"/>
      <c r="ER495" s="83"/>
      <c r="ES495" s="83"/>
      <c r="ET495" s="83"/>
      <c r="EU495" s="83"/>
      <c r="EV495" s="83"/>
      <c r="EW495" s="83"/>
      <c r="EX495" s="83"/>
      <c r="EY495" s="83"/>
      <c r="EZ495" s="83"/>
      <c r="FA495" s="83"/>
      <c r="FB495" s="83"/>
      <c r="FC495" s="83"/>
      <c r="FD495" s="83"/>
      <c r="FE495" s="83"/>
      <c r="FF495" s="83"/>
      <c r="FG495" s="83"/>
      <c r="FH495" s="83"/>
      <c r="FI495" s="83"/>
      <c r="FJ495" s="83"/>
      <c r="FK495" s="83"/>
      <c r="FL495" s="83"/>
      <c r="FM495" s="83"/>
      <c r="FN495" s="83"/>
      <c r="FO495" s="83"/>
      <c r="FP495" s="83"/>
      <c r="FQ495" s="83"/>
      <c r="FR495" s="83"/>
      <c r="FS495" s="83"/>
      <c r="FT495" s="83"/>
      <c r="FU495" s="83"/>
      <c r="FV495" s="83"/>
      <c r="FW495" s="83"/>
      <c r="FX495" s="83"/>
      <c r="FY495" s="83"/>
      <c r="FZ495" s="83"/>
      <c r="GA495" s="83"/>
      <c r="GB495" s="83"/>
      <c r="GC495" s="83"/>
      <c r="GD495" s="83"/>
      <c r="GE495" s="83"/>
      <c r="GF495" s="83"/>
      <c r="GG495" s="83"/>
      <c r="GH495" s="83"/>
      <c r="GI495" s="83"/>
      <c r="GJ495" s="83"/>
      <c r="GK495" s="83"/>
      <c r="GL495" s="83"/>
      <c r="GM495" s="83"/>
      <c r="GN495" s="83"/>
      <c r="GO495" s="83"/>
      <c r="GP495" s="83"/>
      <c r="GQ495" s="83"/>
      <c r="GR495" s="83"/>
      <c r="GS495" s="83"/>
      <c r="GT495" s="83"/>
      <c r="GU495" s="83"/>
      <c r="GV495" s="83"/>
      <c r="GW495" s="83"/>
      <c r="GX495" s="83"/>
      <c r="GY495" s="83"/>
      <c r="GZ495" s="83"/>
      <c r="HA495" s="83"/>
      <c r="HB495" s="83"/>
      <c r="HC495" s="83"/>
      <c r="HD495" s="83"/>
      <c r="HE495" s="83"/>
      <c r="HF495" s="83"/>
      <c r="HG495" s="83"/>
      <c r="HH495" s="83"/>
      <c r="HI495" s="83"/>
      <c r="HJ495" s="83"/>
      <c r="HK495" s="83"/>
      <c r="HL495" s="83"/>
      <c r="HM495" s="83"/>
      <c r="HN495" s="83"/>
      <c r="HO495" s="83"/>
      <c r="HP495" s="83"/>
      <c r="HQ495" s="83"/>
      <c r="HR495" s="83"/>
      <c r="HS495" s="83"/>
      <c r="HT495" s="83"/>
      <c r="HU495" s="83"/>
      <c r="HV495" s="83"/>
      <c r="HW495" s="83"/>
      <c r="HX495" s="83"/>
      <c r="HY495" s="83"/>
      <c r="HZ495" s="83"/>
      <c r="IA495" s="83"/>
      <c r="IB495" s="83"/>
      <c r="IC495" s="83"/>
      <c r="ID495" s="83"/>
      <c r="IE495" s="83"/>
      <c r="IF495" s="83"/>
      <c r="IG495" s="83"/>
    </row>
    <row r="496" spans="1:241"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c r="DD496" s="83"/>
      <c r="DE496" s="83"/>
      <c r="DF496" s="83"/>
      <c r="DG496" s="83"/>
      <c r="DH496" s="83"/>
      <c r="DI496" s="83"/>
      <c r="DJ496" s="83"/>
      <c r="DK496" s="83"/>
      <c r="DL496" s="83"/>
      <c r="DM496" s="83"/>
      <c r="DN496" s="83"/>
      <c r="DO496" s="83"/>
      <c r="DP496" s="83"/>
      <c r="DQ496" s="83"/>
      <c r="DR496" s="83"/>
      <c r="DS496" s="83"/>
      <c r="DT496" s="83"/>
      <c r="DU496" s="83"/>
      <c r="DV496" s="83"/>
      <c r="DW496" s="83"/>
      <c r="DX496" s="83"/>
      <c r="DY496" s="83"/>
      <c r="DZ496" s="83"/>
      <c r="EA496" s="83"/>
      <c r="EB496" s="83"/>
      <c r="EC496" s="83"/>
      <c r="ED496" s="83"/>
      <c r="EE496" s="83"/>
      <c r="EF496" s="83"/>
      <c r="EG496" s="83"/>
      <c r="EH496" s="83"/>
      <c r="EI496" s="83"/>
      <c r="EJ496" s="83"/>
      <c r="EK496" s="83"/>
      <c r="EL496" s="83"/>
      <c r="EM496" s="83"/>
      <c r="EN496" s="83"/>
      <c r="EO496" s="83"/>
      <c r="EP496" s="83"/>
      <c r="EQ496" s="83"/>
      <c r="ER496" s="83"/>
      <c r="ES496" s="83"/>
      <c r="ET496" s="83"/>
      <c r="EU496" s="83"/>
      <c r="EV496" s="83"/>
      <c r="EW496" s="83"/>
      <c r="EX496" s="83"/>
      <c r="EY496" s="83"/>
      <c r="EZ496" s="83"/>
      <c r="FA496" s="83"/>
      <c r="FB496" s="83"/>
      <c r="FC496" s="83"/>
      <c r="FD496" s="83"/>
      <c r="FE496" s="83"/>
      <c r="FF496" s="83"/>
      <c r="FG496" s="83"/>
      <c r="FH496" s="83"/>
      <c r="FI496" s="83"/>
      <c r="FJ496" s="83"/>
      <c r="FK496" s="83"/>
      <c r="FL496" s="83"/>
      <c r="FM496" s="83"/>
      <c r="FN496" s="83"/>
      <c r="FO496" s="83"/>
      <c r="FP496" s="83"/>
      <c r="FQ496" s="83"/>
      <c r="FR496" s="83"/>
      <c r="FS496" s="83"/>
      <c r="FT496" s="83"/>
      <c r="FU496" s="83"/>
      <c r="FV496" s="83"/>
      <c r="FW496" s="83"/>
      <c r="FX496" s="83"/>
      <c r="FY496" s="83"/>
      <c r="FZ496" s="83"/>
      <c r="GA496" s="83"/>
      <c r="GB496" s="83"/>
      <c r="GC496" s="83"/>
      <c r="GD496" s="83"/>
      <c r="GE496" s="83"/>
      <c r="GF496" s="83"/>
      <c r="GG496" s="83"/>
      <c r="GH496" s="83"/>
      <c r="GI496" s="83"/>
      <c r="GJ496" s="83"/>
      <c r="GK496" s="83"/>
      <c r="GL496" s="83"/>
      <c r="GM496" s="83"/>
      <c r="GN496" s="83"/>
      <c r="GO496" s="83"/>
      <c r="GP496" s="83"/>
      <c r="GQ496" s="83"/>
      <c r="GR496" s="83"/>
      <c r="GS496" s="83"/>
      <c r="GT496" s="83"/>
      <c r="GU496" s="83"/>
      <c r="GV496" s="83"/>
      <c r="GW496" s="83"/>
      <c r="GX496" s="83"/>
      <c r="GY496" s="83"/>
      <c r="GZ496" s="83"/>
      <c r="HA496" s="83"/>
      <c r="HB496" s="83"/>
      <c r="HC496" s="83"/>
      <c r="HD496" s="83"/>
      <c r="HE496" s="83"/>
      <c r="HF496" s="83"/>
      <c r="HG496" s="83"/>
      <c r="HH496" s="83"/>
      <c r="HI496" s="83"/>
      <c r="HJ496" s="83"/>
      <c r="HK496" s="83"/>
      <c r="HL496" s="83"/>
      <c r="HM496" s="83"/>
      <c r="HN496" s="83"/>
      <c r="HO496" s="83"/>
      <c r="HP496" s="83"/>
      <c r="HQ496" s="83"/>
      <c r="HR496" s="83"/>
      <c r="HS496" s="83"/>
      <c r="HT496" s="83"/>
      <c r="HU496" s="83"/>
      <c r="HV496" s="83"/>
      <c r="HW496" s="83"/>
      <c r="HX496" s="83"/>
      <c r="HY496" s="83"/>
      <c r="HZ496" s="83"/>
      <c r="IA496" s="83"/>
      <c r="IB496" s="83"/>
      <c r="IC496" s="83"/>
      <c r="ID496" s="83"/>
      <c r="IE496" s="83"/>
      <c r="IF496" s="83"/>
      <c r="IG496" s="83"/>
    </row>
    <row r="497" spans="1:241"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c r="DD497" s="83"/>
      <c r="DE497" s="83"/>
      <c r="DF497" s="83"/>
      <c r="DG497" s="83"/>
      <c r="DH497" s="83"/>
      <c r="DI497" s="83"/>
      <c r="DJ497" s="83"/>
      <c r="DK497" s="83"/>
      <c r="DL497" s="83"/>
      <c r="DM497" s="83"/>
      <c r="DN497" s="83"/>
      <c r="DO497" s="83"/>
      <c r="DP497" s="83"/>
      <c r="DQ497" s="83"/>
      <c r="DR497" s="83"/>
      <c r="DS497" s="83"/>
      <c r="DT497" s="83"/>
      <c r="DU497" s="83"/>
      <c r="DV497" s="83"/>
      <c r="DW497" s="83"/>
      <c r="DX497" s="83"/>
      <c r="DY497" s="83"/>
      <c r="DZ497" s="83"/>
      <c r="EA497" s="83"/>
      <c r="EB497" s="83"/>
      <c r="EC497" s="83"/>
      <c r="ED497" s="83"/>
      <c r="EE497" s="83"/>
      <c r="EF497" s="83"/>
      <c r="EG497" s="83"/>
      <c r="EH497" s="83"/>
      <c r="EI497" s="83"/>
      <c r="EJ497" s="83"/>
      <c r="EK497" s="83"/>
      <c r="EL497" s="83"/>
      <c r="EM497" s="83"/>
      <c r="EN497" s="83"/>
      <c r="EO497" s="83"/>
      <c r="EP497" s="83"/>
      <c r="EQ497" s="83"/>
      <c r="ER497" s="83"/>
      <c r="ES497" s="83"/>
      <c r="ET497" s="83"/>
      <c r="EU497" s="83"/>
      <c r="EV497" s="83"/>
      <c r="EW497" s="83"/>
      <c r="EX497" s="83"/>
      <c r="EY497" s="83"/>
      <c r="EZ497" s="83"/>
      <c r="FA497" s="83"/>
      <c r="FB497" s="83"/>
      <c r="FC497" s="83"/>
      <c r="FD497" s="83"/>
      <c r="FE497" s="83"/>
      <c r="FF497" s="83"/>
      <c r="FG497" s="83"/>
      <c r="FH497" s="83"/>
      <c r="FI497" s="83"/>
      <c r="FJ497" s="83"/>
      <c r="FK497" s="83"/>
      <c r="FL497" s="83"/>
      <c r="FM497" s="83"/>
      <c r="FN497" s="83"/>
      <c r="FO497" s="83"/>
      <c r="FP497" s="83"/>
      <c r="FQ497" s="83"/>
      <c r="FR497" s="83"/>
      <c r="FS497" s="83"/>
      <c r="FT497" s="83"/>
      <c r="FU497" s="83"/>
      <c r="FV497" s="83"/>
      <c r="FW497" s="83"/>
      <c r="FX497" s="83"/>
      <c r="FY497" s="83"/>
      <c r="FZ497" s="83"/>
      <c r="GA497" s="83"/>
      <c r="GB497" s="83"/>
      <c r="GC497" s="83"/>
      <c r="GD497" s="83"/>
      <c r="GE497" s="83"/>
      <c r="GF497" s="83"/>
      <c r="GG497" s="83"/>
      <c r="GH497" s="83"/>
      <c r="GI497" s="83"/>
      <c r="GJ497" s="83"/>
      <c r="GK497" s="83"/>
      <c r="GL497" s="83"/>
      <c r="GM497" s="83"/>
      <c r="GN497" s="83"/>
      <c r="GO497" s="83"/>
      <c r="GP497" s="83"/>
      <c r="GQ497" s="83"/>
      <c r="GR497" s="83"/>
      <c r="GS497" s="83"/>
      <c r="GT497" s="83"/>
      <c r="GU497" s="83"/>
      <c r="GV497" s="83"/>
      <c r="GW497" s="83"/>
      <c r="GX497" s="83"/>
      <c r="GY497" s="83"/>
      <c r="GZ497" s="83"/>
      <c r="HA497" s="83"/>
      <c r="HB497" s="83"/>
      <c r="HC497" s="83"/>
      <c r="HD497" s="83"/>
      <c r="HE497" s="83"/>
      <c r="HF497" s="83"/>
      <c r="HG497" s="83"/>
      <c r="HH497" s="83"/>
      <c r="HI497" s="83"/>
      <c r="HJ497" s="83"/>
      <c r="HK497" s="83"/>
      <c r="HL497" s="83"/>
      <c r="HM497" s="83"/>
      <c r="HN497" s="83"/>
      <c r="HO497" s="83"/>
      <c r="HP497" s="83"/>
      <c r="HQ497" s="83"/>
      <c r="HR497" s="83"/>
      <c r="HS497" s="83"/>
      <c r="HT497" s="83"/>
      <c r="HU497" s="83"/>
      <c r="HV497" s="83"/>
      <c r="HW497" s="83"/>
      <c r="HX497" s="83"/>
      <c r="HY497" s="83"/>
      <c r="HZ497" s="83"/>
      <c r="IA497" s="83"/>
      <c r="IB497" s="83"/>
      <c r="IC497" s="83"/>
      <c r="ID497" s="83"/>
      <c r="IE497" s="83"/>
      <c r="IF497" s="83"/>
      <c r="IG497" s="83"/>
    </row>
    <row r="498" spans="1:241"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c r="DD498" s="83"/>
      <c r="DE498" s="83"/>
      <c r="DF498" s="83"/>
      <c r="DG498" s="83"/>
      <c r="DH498" s="83"/>
      <c r="DI498" s="83"/>
      <c r="DJ498" s="83"/>
      <c r="DK498" s="83"/>
      <c r="DL498" s="83"/>
      <c r="DM498" s="83"/>
      <c r="DN498" s="83"/>
      <c r="DO498" s="83"/>
      <c r="DP498" s="83"/>
      <c r="DQ498" s="83"/>
      <c r="DR498" s="83"/>
      <c r="DS498" s="83"/>
      <c r="DT498" s="83"/>
      <c r="DU498" s="83"/>
      <c r="DV498" s="83"/>
      <c r="DW498" s="83"/>
      <c r="DX498" s="83"/>
      <c r="DY498" s="83"/>
      <c r="DZ498" s="83"/>
      <c r="EA498" s="83"/>
      <c r="EB498" s="83"/>
      <c r="EC498" s="83"/>
      <c r="ED498" s="83"/>
      <c r="EE498" s="83"/>
      <c r="EF498" s="83"/>
      <c r="EG498" s="83"/>
      <c r="EH498" s="83"/>
      <c r="EI498" s="83"/>
      <c r="EJ498" s="83"/>
      <c r="EK498" s="83"/>
      <c r="EL498" s="83"/>
      <c r="EM498" s="83"/>
      <c r="EN498" s="83"/>
      <c r="EO498" s="83"/>
      <c r="EP498" s="83"/>
      <c r="EQ498" s="83"/>
      <c r="ER498" s="83"/>
      <c r="ES498" s="83"/>
      <c r="ET498" s="83"/>
      <c r="EU498" s="83"/>
      <c r="EV498" s="83"/>
      <c r="EW498" s="83"/>
      <c r="EX498" s="83"/>
      <c r="EY498" s="83"/>
      <c r="EZ498" s="83"/>
      <c r="FA498" s="83"/>
      <c r="FB498" s="83"/>
      <c r="FC498" s="83"/>
      <c r="FD498" s="83"/>
      <c r="FE498" s="83"/>
      <c r="FF498" s="83"/>
      <c r="FG498" s="83"/>
      <c r="FH498" s="83"/>
      <c r="FI498" s="83"/>
      <c r="FJ498" s="83"/>
      <c r="FK498" s="83"/>
      <c r="FL498" s="83"/>
      <c r="FM498" s="83"/>
      <c r="FN498" s="83"/>
      <c r="FO498" s="83"/>
      <c r="FP498" s="83"/>
      <c r="FQ498" s="83"/>
      <c r="FR498" s="83"/>
      <c r="FS498" s="83"/>
      <c r="FT498" s="83"/>
      <c r="FU498" s="83"/>
      <c r="FV498" s="83"/>
      <c r="FW498" s="83"/>
      <c r="FX498" s="83"/>
      <c r="FY498" s="83"/>
      <c r="FZ498" s="83"/>
      <c r="GA498" s="83"/>
      <c r="GB498" s="83"/>
      <c r="GC498" s="83"/>
      <c r="GD498" s="83"/>
      <c r="GE498" s="83"/>
      <c r="GF498" s="83"/>
      <c r="GG498" s="83"/>
      <c r="GH498" s="83"/>
      <c r="GI498" s="83"/>
      <c r="GJ498" s="83"/>
      <c r="GK498" s="83"/>
      <c r="GL498" s="83"/>
      <c r="GM498" s="83"/>
      <c r="GN498" s="83"/>
      <c r="GO498" s="83"/>
      <c r="GP498" s="83"/>
      <c r="GQ498" s="83"/>
      <c r="GR498" s="83"/>
      <c r="GS498" s="83"/>
      <c r="GT498" s="83"/>
      <c r="GU498" s="83"/>
      <c r="GV498" s="83"/>
      <c r="GW498" s="83"/>
      <c r="GX498" s="83"/>
      <c r="GY498" s="83"/>
      <c r="GZ498" s="83"/>
      <c r="HA498" s="83"/>
      <c r="HB498" s="83"/>
      <c r="HC498" s="83"/>
      <c r="HD498" s="83"/>
      <c r="HE498" s="83"/>
      <c r="HF498" s="83"/>
      <c r="HG498" s="83"/>
      <c r="HH498" s="83"/>
      <c r="HI498" s="83"/>
      <c r="HJ498" s="83"/>
      <c r="HK498" s="83"/>
      <c r="HL498" s="83"/>
      <c r="HM498" s="83"/>
      <c r="HN498" s="83"/>
      <c r="HO498" s="83"/>
      <c r="HP498" s="83"/>
      <c r="HQ498" s="83"/>
      <c r="HR498" s="83"/>
      <c r="HS498" s="83"/>
      <c r="HT498" s="83"/>
      <c r="HU498" s="83"/>
      <c r="HV498" s="83"/>
      <c r="HW498" s="83"/>
      <c r="HX498" s="83"/>
      <c r="HY498" s="83"/>
      <c r="HZ498" s="83"/>
      <c r="IA498" s="83"/>
      <c r="IB498" s="83"/>
      <c r="IC498" s="83"/>
      <c r="ID498" s="83"/>
      <c r="IE498" s="83"/>
      <c r="IF498" s="83"/>
      <c r="IG498" s="83"/>
    </row>
    <row r="499" spans="1:241"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c r="DD499" s="83"/>
      <c r="DE499" s="83"/>
      <c r="DF499" s="83"/>
      <c r="DG499" s="83"/>
      <c r="DH499" s="83"/>
      <c r="DI499" s="83"/>
      <c r="DJ499" s="83"/>
      <c r="DK499" s="83"/>
      <c r="DL499" s="83"/>
      <c r="DM499" s="83"/>
      <c r="DN499" s="83"/>
      <c r="DO499" s="83"/>
      <c r="DP499" s="83"/>
      <c r="DQ499" s="83"/>
      <c r="DR499" s="83"/>
      <c r="DS499" s="83"/>
      <c r="DT499" s="83"/>
      <c r="DU499" s="83"/>
      <c r="DV499" s="83"/>
      <c r="DW499" s="83"/>
      <c r="DX499" s="83"/>
      <c r="DY499" s="83"/>
      <c r="DZ499" s="83"/>
      <c r="EA499" s="83"/>
      <c r="EB499" s="83"/>
      <c r="EC499" s="83"/>
      <c r="ED499" s="83"/>
      <c r="EE499" s="83"/>
      <c r="EF499" s="83"/>
      <c r="EG499" s="83"/>
      <c r="EH499" s="83"/>
      <c r="EI499" s="83"/>
      <c r="EJ499" s="83"/>
      <c r="EK499" s="83"/>
      <c r="EL499" s="83"/>
      <c r="EM499" s="83"/>
      <c r="EN499" s="83"/>
      <c r="EO499" s="83"/>
      <c r="EP499" s="83"/>
      <c r="EQ499" s="83"/>
      <c r="ER499" s="83"/>
      <c r="ES499" s="83"/>
      <c r="ET499" s="83"/>
      <c r="EU499" s="83"/>
      <c r="EV499" s="83"/>
      <c r="EW499" s="83"/>
      <c r="EX499" s="83"/>
      <c r="EY499" s="83"/>
      <c r="EZ499" s="83"/>
      <c r="FA499" s="83"/>
      <c r="FB499" s="83"/>
      <c r="FC499" s="83"/>
      <c r="FD499" s="83"/>
      <c r="FE499" s="83"/>
      <c r="FF499" s="83"/>
      <c r="FG499" s="83"/>
      <c r="FH499" s="83"/>
      <c r="FI499" s="83"/>
      <c r="FJ499" s="83"/>
      <c r="FK499" s="83"/>
      <c r="FL499" s="83"/>
      <c r="FM499" s="83"/>
      <c r="FN499" s="83"/>
      <c r="FO499" s="83"/>
      <c r="FP499" s="83"/>
      <c r="FQ499" s="83"/>
      <c r="FR499" s="83"/>
      <c r="FS499" s="83"/>
      <c r="FT499" s="83"/>
      <c r="FU499" s="83"/>
      <c r="FV499" s="83"/>
      <c r="FW499" s="83"/>
      <c r="FX499" s="83"/>
      <c r="FY499" s="83"/>
      <c r="FZ499" s="83"/>
      <c r="GA499" s="83"/>
      <c r="GB499" s="83"/>
      <c r="GC499" s="83"/>
      <c r="GD499" s="83"/>
      <c r="GE499" s="83"/>
      <c r="GF499" s="83"/>
      <c r="GG499" s="83"/>
      <c r="GH499" s="83"/>
      <c r="GI499" s="83"/>
      <c r="GJ499" s="83"/>
      <c r="GK499" s="83"/>
      <c r="GL499" s="83"/>
      <c r="GM499" s="83"/>
      <c r="GN499" s="83"/>
      <c r="GO499" s="83"/>
      <c r="GP499" s="83"/>
      <c r="GQ499" s="83"/>
      <c r="GR499" s="83"/>
      <c r="GS499" s="83"/>
      <c r="GT499" s="83"/>
      <c r="GU499" s="83"/>
      <c r="GV499" s="83"/>
      <c r="GW499" s="83"/>
      <c r="GX499" s="83"/>
      <c r="GY499" s="83"/>
      <c r="GZ499" s="83"/>
      <c r="HA499" s="83"/>
      <c r="HB499" s="83"/>
      <c r="HC499" s="83"/>
      <c r="HD499" s="83"/>
      <c r="HE499" s="83"/>
      <c r="HF499" s="83"/>
      <c r="HG499" s="83"/>
      <c r="HH499" s="83"/>
      <c r="HI499" s="83"/>
      <c r="HJ499" s="83"/>
      <c r="HK499" s="83"/>
      <c r="HL499" s="83"/>
      <c r="HM499" s="83"/>
      <c r="HN499" s="83"/>
      <c r="HO499" s="83"/>
      <c r="HP499" s="83"/>
      <c r="HQ499" s="83"/>
      <c r="HR499" s="83"/>
      <c r="HS499" s="83"/>
      <c r="HT499" s="83"/>
      <c r="HU499" s="83"/>
      <c r="HV499" s="83"/>
      <c r="HW499" s="83"/>
      <c r="HX499" s="83"/>
      <c r="HY499" s="83"/>
      <c r="HZ499" s="83"/>
      <c r="IA499" s="83"/>
      <c r="IB499" s="83"/>
      <c r="IC499" s="83"/>
      <c r="ID499" s="83"/>
      <c r="IE499" s="83"/>
      <c r="IF499" s="83"/>
      <c r="IG499" s="83"/>
    </row>
    <row r="500" spans="1:241"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c r="DD500" s="83"/>
      <c r="DE500" s="83"/>
      <c r="DF500" s="83"/>
      <c r="DG500" s="83"/>
      <c r="DH500" s="83"/>
      <c r="DI500" s="83"/>
      <c r="DJ500" s="83"/>
      <c r="DK500" s="83"/>
      <c r="DL500" s="83"/>
      <c r="DM500" s="83"/>
      <c r="DN500" s="83"/>
      <c r="DO500" s="83"/>
      <c r="DP500" s="83"/>
      <c r="DQ500" s="83"/>
      <c r="DR500" s="83"/>
      <c r="DS500" s="83"/>
      <c r="DT500" s="83"/>
      <c r="DU500" s="83"/>
      <c r="DV500" s="83"/>
      <c r="DW500" s="83"/>
      <c r="DX500" s="83"/>
      <c r="DY500" s="83"/>
      <c r="DZ500" s="83"/>
      <c r="EA500" s="83"/>
      <c r="EB500" s="83"/>
      <c r="EC500" s="83"/>
      <c r="ED500" s="83"/>
      <c r="EE500" s="83"/>
      <c r="EF500" s="83"/>
      <c r="EG500" s="83"/>
      <c r="EH500" s="83"/>
      <c r="EI500" s="83"/>
      <c r="EJ500" s="83"/>
      <c r="EK500" s="83"/>
      <c r="EL500" s="83"/>
      <c r="EM500" s="83"/>
      <c r="EN500" s="83"/>
      <c r="EO500" s="83"/>
      <c r="EP500" s="83"/>
      <c r="EQ500" s="83"/>
      <c r="ER500" s="83"/>
      <c r="ES500" s="83"/>
      <c r="ET500" s="83"/>
      <c r="EU500" s="83"/>
      <c r="EV500" s="83"/>
      <c r="EW500" s="83"/>
      <c r="EX500" s="83"/>
      <c r="EY500" s="83"/>
      <c r="EZ500" s="83"/>
      <c r="FA500" s="83"/>
      <c r="FB500" s="83"/>
      <c r="FC500" s="83"/>
      <c r="FD500" s="83"/>
      <c r="FE500" s="83"/>
      <c r="FF500" s="83"/>
      <c r="FG500" s="83"/>
      <c r="FH500" s="83"/>
      <c r="FI500" s="83"/>
      <c r="FJ500" s="83"/>
      <c r="FK500" s="83"/>
      <c r="FL500" s="83"/>
      <c r="FM500" s="83"/>
      <c r="FN500" s="83"/>
      <c r="FO500" s="83"/>
      <c r="FP500" s="83"/>
      <c r="FQ500" s="83"/>
      <c r="FR500" s="83"/>
      <c r="FS500" s="83"/>
      <c r="FT500" s="83"/>
      <c r="FU500" s="83"/>
      <c r="FV500" s="83"/>
      <c r="FW500" s="83"/>
      <c r="FX500" s="83"/>
      <c r="FY500" s="83"/>
      <c r="FZ500" s="83"/>
      <c r="GA500" s="83"/>
      <c r="GB500" s="83"/>
      <c r="GC500" s="83"/>
      <c r="GD500" s="83"/>
      <c r="GE500" s="83"/>
      <c r="GF500" s="83"/>
      <c r="GG500" s="83"/>
      <c r="GH500" s="83"/>
      <c r="GI500" s="83"/>
      <c r="GJ500" s="83"/>
      <c r="GK500" s="83"/>
      <c r="GL500" s="83"/>
      <c r="GM500" s="83"/>
      <c r="GN500" s="83"/>
      <c r="GO500" s="83"/>
      <c r="GP500" s="83"/>
      <c r="GQ500" s="83"/>
      <c r="GR500" s="83"/>
      <c r="GS500" s="83"/>
      <c r="GT500" s="83"/>
      <c r="GU500" s="83"/>
      <c r="GV500" s="83"/>
      <c r="GW500" s="83"/>
      <c r="GX500" s="83"/>
      <c r="GY500" s="83"/>
      <c r="GZ500" s="83"/>
      <c r="HA500" s="83"/>
      <c r="HB500" s="83"/>
      <c r="HC500" s="83"/>
      <c r="HD500" s="83"/>
      <c r="HE500" s="83"/>
      <c r="HF500" s="83"/>
      <c r="HG500" s="83"/>
      <c r="HH500" s="83"/>
      <c r="HI500" s="83"/>
      <c r="HJ500" s="83"/>
      <c r="HK500" s="83"/>
      <c r="HL500" s="83"/>
      <c r="HM500" s="83"/>
      <c r="HN500" s="83"/>
      <c r="HO500" s="83"/>
      <c r="HP500" s="83"/>
      <c r="HQ500" s="83"/>
      <c r="HR500" s="83"/>
      <c r="HS500" s="83"/>
      <c r="HT500" s="83"/>
      <c r="HU500" s="83"/>
      <c r="HV500" s="83"/>
      <c r="HW500" s="83"/>
      <c r="HX500" s="83"/>
      <c r="HY500" s="83"/>
      <c r="HZ500" s="83"/>
      <c r="IA500" s="83"/>
      <c r="IB500" s="83"/>
      <c r="IC500" s="83"/>
      <c r="ID500" s="83"/>
      <c r="IE500" s="83"/>
      <c r="IF500" s="83"/>
      <c r="IG500" s="83"/>
    </row>
    <row r="501" spans="1:241"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c r="DD501" s="83"/>
      <c r="DE501" s="83"/>
      <c r="DF501" s="83"/>
      <c r="DG501" s="83"/>
      <c r="DH501" s="83"/>
      <c r="DI501" s="83"/>
      <c r="DJ501" s="83"/>
      <c r="DK501" s="83"/>
      <c r="DL501" s="83"/>
      <c r="DM501" s="83"/>
      <c r="DN501" s="83"/>
      <c r="DO501" s="83"/>
      <c r="DP501" s="83"/>
      <c r="DQ501" s="83"/>
      <c r="DR501" s="83"/>
      <c r="DS501" s="83"/>
      <c r="DT501" s="83"/>
      <c r="DU501" s="83"/>
      <c r="DV501" s="83"/>
      <c r="DW501" s="83"/>
      <c r="DX501" s="83"/>
      <c r="DY501" s="83"/>
      <c r="DZ501" s="83"/>
      <c r="EA501" s="83"/>
      <c r="EB501" s="83"/>
      <c r="EC501" s="83"/>
      <c r="ED501" s="83"/>
      <c r="EE501" s="83"/>
      <c r="EF501" s="83"/>
      <c r="EG501" s="83"/>
      <c r="EH501" s="83"/>
      <c r="EI501" s="83"/>
      <c r="EJ501" s="83"/>
      <c r="EK501" s="83"/>
      <c r="EL501" s="83"/>
      <c r="EM501" s="83"/>
      <c r="EN501" s="83"/>
      <c r="EO501" s="83"/>
      <c r="EP501" s="83"/>
      <c r="EQ501" s="83"/>
      <c r="ER501" s="83"/>
      <c r="ES501" s="83"/>
      <c r="ET501" s="83"/>
      <c r="EU501" s="83"/>
      <c r="EV501" s="83"/>
      <c r="EW501" s="83"/>
      <c r="EX501" s="83"/>
      <c r="EY501" s="83"/>
      <c r="EZ501" s="83"/>
      <c r="FA501" s="83"/>
      <c r="FB501" s="83"/>
      <c r="FC501" s="83"/>
      <c r="FD501" s="83"/>
      <c r="FE501" s="83"/>
      <c r="FF501" s="83"/>
      <c r="FG501" s="83"/>
      <c r="FH501" s="83"/>
      <c r="FI501" s="83"/>
      <c r="FJ501" s="83"/>
      <c r="FK501" s="83"/>
      <c r="FL501" s="83"/>
      <c r="FM501" s="83"/>
      <c r="FN501" s="83"/>
      <c r="FO501" s="83"/>
      <c r="FP501" s="83"/>
      <c r="FQ501" s="83"/>
      <c r="FR501" s="83"/>
      <c r="FS501" s="83"/>
      <c r="FT501" s="83"/>
      <c r="FU501" s="83"/>
      <c r="FV501" s="83"/>
      <c r="FW501" s="83"/>
      <c r="FX501" s="83"/>
      <c r="FY501" s="83"/>
      <c r="FZ501" s="83"/>
      <c r="GA501" s="83"/>
      <c r="GB501" s="83"/>
      <c r="GC501" s="83"/>
      <c r="GD501" s="83"/>
      <c r="GE501" s="83"/>
      <c r="GF501" s="83"/>
      <c r="GG501" s="83"/>
      <c r="GH501" s="83"/>
      <c r="GI501" s="83"/>
      <c r="GJ501" s="83"/>
      <c r="GK501" s="83"/>
      <c r="GL501" s="83"/>
      <c r="GM501" s="83"/>
      <c r="GN501" s="83"/>
      <c r="GO501" s="83"/>
      <c r="GP501" s="83"/>
      <c r="GQ501" s="83"/>
      <c r="GR501" s="83"/>
      <c r="GS501" s="83"/>
      <c r="GT501" s="83"/>
      <c r="GU501" s="83"/>
      <c r="GV501" s="83"/>
      <c r="GW501" s="83"/>
      <c r="GX501" s="83"/>
      <c r="GY501" s="83"/>
      <c r="GZ501" s="83"/>
      <c r="HA501" s="83"/>
      <c r="HB501" s="83"/>
      <c r="HC501" s="83"/>
      <c r="HD501" s="83"/>
      <c r="HE501" s="83"/>
      <c r="HF501" s="83"/>
      <c r="HG501" s="83"/>
      <c r="HH501" s="83"/>
      <c r="HI501" s="83"/>
      <c r="HJ501" s="83"/>
      <c r="HK501" s="83"/>
      <c r="HL501" s="83"/>
      <c r="HM501" s="83"/>
      <c r="HN501" s="83"/>
      <c r="HO501" s="83"/>
      <c r="HP501" s="83"/>
      <c r="HQ501" s="83"/>
      <c r="HR501" s="83"/>
      <c r="HS501" s="83"/>
      <c r="HT501" s="83"/>
      <c r="HU501" s="83"/>
      <c r="HV501" s="83"/>
      <c r="HW501" s="83"/>
      <c r="HX501" s="83"/>
      <c r="HY501" s="83"/>
      <c r="HZ501" s="83"/>
      <c r="IA501" s="83"/>
      <c r="IB501" s="83"/>
      <c r="IC501" s="83"/>
      <c r="ID501" s="83"/>
      <c r="IE501" s="83"/>
      <c r="IF501" s="83"/>
      <c r="IG501" s="83"/>
    </row>
    <row r="502" spans="1:241"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c r="DD502" s="83"/>
      <c r="DE502" s="83"/>
      <c r="DF502" s="83"/>
      <c r="DG502" s="83"/>
      <c r="DH502" s="83"/>
      <c r="DI502" s="83"/>
      <c r="DJ502" s="83"/>
      <c r="DK502" s="83"/>
      <c r="DL502" s="83"/>
      <c r="DM502" s="83"/>
      <c r="DN502" s="83"/>
      <c r="DO502" s="83"/>
      <c r="DP502" s="83"/>
      <c r="DQ502" s="83"/>
      <c r="DR502" s="83"/>
      <c r="DS502" s="83"/>
      <c r="DT502" s="83"/>
      <c r="DU502" s="83"/>
      <c r="DV502" s="83"/>
      <c r="DW502" s="83"/>
      <c r="DX502" s="83"/>
      <c r="DY502" s="83"/>
      <c r="DZ502" s="83"/>
      <c r="EA502" s="83"/>
      <c r="EB502" s="83"/>
      <c r="EC502" s="83"/>
      <c r="ED502" s="83"/>
      <c r="EE502" s="83"/>
      <c r="EF502" s="83"/>
      <c r="EG502" s="83"/>
      <c r="EH502" s="83"/>
      <c r="EI502" s="83"/>
      <c r="EJ502" s="83"/>
      <c r="EK502" s="83"/>
      <c r="EL502" s="83"/>
      <c r="EM502" s="83"/>
      <c r="EN502" s="83"/>
      <c r="EO502" s="83"/>
      <c r="EP502" s="83"/>
      <c r="EQ502" s="83"/>
      <c r="ER502" s="83"/>
      <c r="ES502" s="83"/>
      <c r="ET502" s="83"/>
      <c r="EU502" s="83"/>
      <c r="EV502" s="83"/>
      <c r="EW502" s="83"/>
      <c r="EX502" s="83"/>
      <c r="EY502" s="83"/>
      <c r="EZ502" s="83"/>
      <c r="FA502" s="83"/>
      <c r="FB502" s="83"/>
      <c r="FC502" s="83"/>
      <c r="FD502" s="83"/>
      <c r="FE502" s="83"/>
      <c r="FF502" s="83"/>
      <c r="FG502" s="83"/>
      <c r="FH502" s="83"/>
      <c r="FI502" s="83"/>
      <c r="FJ502" s="83"/>
      <c r="FK502" s="83"/>
      <c r="FL502" s="83"/>
      <c r="FM502" s="83"/>
      <c r="FN502" s="83"/>
      <c r="FO502" s="83"/>
      <c r="FP502" s="83"/>
      <c r="FQ502" s="83"/>
      <c r="FR502" s="83"/>
      <c r="FS502" s="83"/>
      <c r="FT502" s="83"/>
      <c r="FU502" s="83"/>
      <c r="FV502" s="83"/>
      <c r="FW502" s="83"/>
      <c r="FX502" s="83"/>
      <c r="FY502" s="83"/>
      <c r="FZ502" s="83"/>
      <c r="GA502" s="83"/>
      <c r="GB502" s="83"/>
      <c r="GC502" s="83"/>
      <c r="GD502" s="83"/>
      <c r="GE502" s="83"/>
      <c r="GF502" s="83"/>
      <c r="GG502" s="83"/>
      <c r="GH502" s="83"/>
      <c r="GI502" s="83"/>
      <c r="GJ502" s="83"/>
      <c r="GK502" s="83"/>
      <c r="GL502" s="83"/>
      <c r="GM502" s="83"/>
      <c r="GN502" s="83"/>
      <c r="GO502" s="83"/>
      <c r="GP502" s="83"/>
      <c r="GQ502" s="83"/>
      <c r="GR502" s="83"/>
      <c r="GS502" s="83"/>
      <c r="GT502" s="83"/>
      <c r="GU502" s="83"/>
      <c r="GV502" s="83"/>
      <c r="GW502" s="83"/>
      <c r="GX502" s="83"/>
      <c r="GY502" s="83"/>
      <c r="GZ502" s="83"/>
      <c r="HA502" s="83"/>
      <c r="HB502" s="83"/>
      <c r="HC502" s="83"/>
      <c r="HD502" s="83"/>
      <c r="HE502" s="83"/>
      <c r="HF502" s="83"/>
      <c r="HG502" s="83"/>
      <c r="HH502" s="83"/>
      <c r="HI502" s="83"/>
      <c r="HJ502" s="83"/>
      <c r="HK502" s="83"/>
      <c r="HL502" s="83"/>
      <c r="HM502" s="83"/>
      <c r="HN502" s="83"/>
      <c r="HO502" s="83"/>
      <c r="HP502" s="83"/>
      <c r="HQ502" s="83"/>
      <c r="HR502" s="83"/>
      <c r="HS502" s="83"/>
      <c r="HT502" s="83"/>
      <c r="HU502" s="83"/>
      <c r="HV502" s="83"/>
      <c r="HW502" s="83"/>
      <c r="HX502" s="83"/>
      <c r="HY502" s="83"/>
      <c r="HZ502" s="83"/>
      <c r="IA502" s="83"/>
      <c r="IB502" s="83"/>
      <c r="IC502" s="83"/>
      <c r="ID502" s="83"/>
      <c r="IE502" s="83"/>
      <c r="IF502" s="83"/>
      <c r="IG502" s="83"/>
    </row>
    <row r="503" spans="1:241"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c r="DD503" s="83"/>
      <c r="DE503" s="83"/>
      <c r="DF503" s="83"/>
      <c r="DG503" s="83"/>
      <c r="DH503" s="83"/>
      <c r="DI503" s="83"/>
      <c r="DJ503" s="83"/>
      <c r="DK503" s="83"/>
      <c r="DL503" s="83"/>
      <c r="DM503" s="83"/>
      <c r="DN503" s="83"/>
      <c r="DO503" s="83"/>
      <c r="DP503" s="83"/>
      <c r="DQ503" s="83"/>
      <c r="DR503" s="83"/>
      <c r="DS503" s="83"/>
      <c r="DT503" s="83"/>
      <c r="DU503" s="83"/>
      <c r="DV503" s="83"/>
      <c r="DW503" s="83"/>
      <c r="DX503" s="83"/>
      <c r="DY503" s="83"/>
      <c r="DZ503" s="83"/>
      <c r="EA503" s="83"/>
      <c r="EB503" s="83"/>
      <c r="EC503" s="83"/>
      <c r="ED503" s="83"/>
      <c r="EE503" s="83"/>
      <c r="EF503" s="83"/>
      <c r="EG503" s="83"/>
      <c r="EH503" s="83"/>
      <c r="EI503" s="83"/>
      <c r="EJ503" s="83"/>
      <c r="EK503" s="83"/>
      <c r="EL503" s="83"/>
      <c r="EM503" s="83"/>
      <c r="EN503" s="83"/>
      <c r="EO503" s="83"/>
      <c r="EP503" s="83"/>
      <c r="EQ503" s="83"/>
      <c r="ER503" s="83"/>
      <c r="ES503" s="83"/>
      <c r="ET503" s="83"/>
      <c r="EU503" s="83"/>
      <c r="EV503" s="83"/>
      <c r="EW503" s="83"/>
      <c r="EX503" s="83"/>
      <c r="EY503" s="83"/>
      <c r="EZ503" s="83"/>
      <c r="FA503" s="83"/>
      <c r="FB503" s="83"/>
      <c r="FC503" s="83"/>
      <c r="FD503" s="83"/>
      <c r="FE503" s="83"/>
      <c r="FF503" s="83"/>
      <c r="FG503" s="83"/>
      <c r="FH503" s="83"/>
      <c r="FI503" s="83"/>
      <c r="FJ503" s="83"/>
      <c r="FK503" s="83"/>
      <c r="FL503" s="83"/>
      <c r="FM503" s="83"/>
      <c r="FN503" s="83"/>
      <c r="FO503" s="83"/>
      <c r="FP503" s="83"/>
      <c r="FQ503" s="83"/>
      <c r="FR503" s="83"/>
      <c r="FS503" s="83"/>
      <c r="FT503" s="83"/>
      <c r="FU503" s="83"/>
      <c r="FV503" s="83"/>
      <c r="FW503" s="83"/>
      <c r="FX503" s="83"/>
      <c r="FY503" s="83"/>
      <c r="FZ503" s="83"/>
      <c r="GA503" s="83"/>
      <c r="GB503" s="83"/>
      <c r="GC503" s="83"/>
      <c r="GD503" s="83"/>
      <c r="GE503" s="83"/>
      <c r="GF503" s="83"/>
      <c r="GG503" s="83"/>
      <c r="GH503" s="83"/>
      <c r="GI503" s="83"/>
      <c r="GJ503" s="83"/>
      <c r="GK503" s="83"/>
      <c r="GL503" s="83"/>
      <c r="GM503" s="83"/>
      <c r="GN503" s="83"/>
      <c r="GO503" s="83"/>
      <c r="GP503" s="83"/>
      <c r="GQ503" s="83"/>
      <c r="GR503" s="83"/>
      <c r="GS503" s="83"/>
      <c r="GT503" s="83"/>
      <c r="GU503" s="83"/>
      <c r="GV503" s="83"/>
      <c r="GW503" s="83"/>
      <c r="GX503" s="83"/>
      <c r="GY503" s="83"/>
      <c r="GZ503" s="83"/>
      <c r="HA503" s="83"/>
      <c r="HB503" s="83"/>
      <c r="HC503" s="83"/>
      <c r="HD503" s="83"/>
      <c r="HE503" s="83"/>
      <c r="HF503" s="83"/>
      <c r="HG503" s="83"/>
      <c r="HH503" s="83"/>
      <c r="HI503" s="83"/>
      <c r="HJ503" s="83"/>
      <c r="HK503" s="83"/>
      <c r="HL503" s="83"/>
      <c r="HM503" s="83"/>
      <c r="HN503" s="83"/>
      <c r="HO503" s="83"/>
      <c r="HP503" s="83"/>
      <c r="HQ503" s="83"/>
      <c r="HR503" s="83"/>
      <c r="HS503" s="83"/>
      <c r="HT503" s="83"/>
      <c r="HU503" s="83"/>
      <c r="HV503" s="83"/>
      <c r="HW503" s="83"/>
      <c r="HX503" s="83"/>
      <c r="HY503" s="83"/>
      <c r="HZ503" s="83"/>
      <c r="IA503" s="83"/>
      <c r="IB503" s="83"/>
      <c r="IC503" s="83"/>
      <c r="ID503" s="83"/>
      <c r="IE503" s="83"/>
      <c r="IF503" s="83"/>
      <c r="IG503" s="83"/>
    </row>
    <row r="504" spans="1:241"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c r="DD504" s="83"/>
      <c r="DE504" s="83"/>
      <c r="DF504" s="83"/>
      <c r="DG504" s="83"/>
      <c r="DH504" s="83"/>
      <c r="DI504" s="83"/>
      <c r="DJ504" s="83"/>
      <c r="DK504" s="83"/>
      <c r="DL504" s="83"/>
      <c r="DM504" s="83"/>
      <c r="DN504" s="83"/>
      <c r="DO504" s="83"/>
      <c r="DP504" s="83"/>
      <c r="DQ504" s="83"/>
      <c r="DR504" s="83"/>
      <c r="DS504" s="83"/>
      <c r="DT504" s="83"/>
      <c r="DU504" s="83"/>
      <c r="DV504" s="83"/>
      <c r="DW504" s="83"/>
      <c r="DX504" s="83"/>
      <c r="DY504" s="83"/>
      <c r="DZ504" s="83"/>
      <c r="EA504" s="83"/>
      <c r="EB504" s="83"/>
      <c r="EC504" s="83"/>
      <c r="ED504" s="83"/>
      <c r="EE504" s="83"/>
      <c r="EF504" s="83"/>
      <c r="EG504" s="83"/>
      <c r="EH504" s="83"/>
      <c r="EI504" s="83"/>
      <c r="EJ504" s="83"/>
      <c r="EK504" s="83"/>
      <c r="EL504" s="83"/>
      <c r="EM504" s="83"/>
      <c r="EN504" s="83"/>
      <c r="EO504" s="83"/>
      <c r="EP504" s="83"/>
      <c r="EQ504" s="83"/>
      <c r="ER504" s="83"/>
      <c r="ES504" s="83"/>
      <c r="ET504" s="83"/>
      <c r="EU504" s="83"/>
      <c r="EV504" s="83"/>
      <c r="EW504" s="83"/>
      <c r="EX504" s="83"/>
      <c r="EY504" s="83"/>
      <c r="EZ504" s="83"/>
      <c r="FA504" s="83"/>
      <c r="FB504" s="83"/>
      <c r="FC504" s="83"/>
      <c r="FD504" s="83"/>
      <c r="FE504" s="83"/>
      <c r="FF504" s="83"/>
      <c r="FG504" s="83"/>
      <c r="FH504" s="83"/>
      <c r="FI504" s="83"/>
      <c r="FJ504" s="83"/>
      <c r="FK504" s="83"/>
      <c r="FL504" s="83"/>
      <c r="FM504" s="83"/>
      <c r="FN504" s="83"/>
      <c r="FO504" s="83"/>
      <c r="FP504" s="83"/>
      <c r="FQ504" s="83"/>
      <c r="FR504" s="83"/>
      <c r="FS504" s="83"/>
      <c r="FT504" s="83"/>
      <c r="FU504" s="83"/>
      <c r="FV504" s="83"/>
      <c r="FW504" s="83"/>
      <c r="FX504" s="83"/>
      <c r="FY504" s="83"/>
      <c r="FZ504" s="83"/>
      <c r="GA504" s="83"/>
      <c r="GB504" s="83"/>
      <c r="GC504" s="83"/>
      <c r="GD504" s="83"/>
      <c r="GE504" s="83"/>
      <c r="GF504" s="83"/>
      <c r="GG504" s="83"/>
      <c r="GH504" s="83"/>
      <c r="GI504" s="83"/>
      <c r="GJ504" s="83"/>
      <c r="GK504" s="83"/>
      <c r="GL504" s="83"/>
      <c r="GM504" s="83"/>
      <c r="GN504" s="83"/>
      <c r="GO504" s="83"/>
      <c r="GP504" s="83"/>
      <c r="GQ504" s="83"/>
      <c r="GR504" s="83"/>
      <c r="GS504" s="83"/>
      <c r="GT504" s="83"/>
      <c r="GU504" s="83"/>
      <c r="GV504" s="83"/>
      <c r="GW504" s="83"/>
      <c r="GX504" s="83"/>
      <c r="GY504" s="83"/>
      <c r="GZ504" s="83"/>
      <c r="HA504" s="83"/>
      <c r="HB504" s="83"/>
      <c r="HC504" s="83"/>
      <c r="HD504" s="83"/>
      <c r="HE504" s="83"/>
      <c r="HF504" s="83"/>
      <c r="HG504" s="83"/>
      <c r="HH504" s="83"/>
      <c r="HI504" s="83"/>
      <c r="HJ504" s="83"/>
      <c r="HK504" s="83"/>
      <c r="HL504" s="83"/>
      <c r="HM504" s="83"/>
      <c r="HN504" s="83"/>
      <c r="HO504" s="83"/>
      <c r="HP504" s="83"/>
      <c r="HQ504" s="83"/>
      <c r="HR504" s="83"/>
      <c r="HS504" s="83"/>
      <c r="HT504" s="83"/>
      <c r="HU504" s="83"/>
      <c r="HV504" s="83"/>
      <c r="HW504" s="83"/>
      <c r="HX504" s="83"/>
      <c r="HY504" s="83"/>
      <c r="HZ504" s="83"/>
      <c r="IA504" s="83"/>
      <c r="IB504" s="83"/>
      <c r="IC504" s="83"/>
      <c r="ID504" s="83"/>
      <c r="IE504" s="83"/>
      <c r="IF504" s="83"/>
      <c r="IG504" s="83"/>
    </row>
    <row r="505" spans="1:241"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c r="DD505" s="83"/>
      <c r="DE505" s="83"/>
      <c r="DF505" s="83"/>
      <c r="DG505" s="83"/>
      <c r="DH505" s="83"/>
      <c r="DI505" s="83"/>
      <c r="DJ505" s="83"/>
      <c r="DK505" s="83"/>
      <c r="DL505" s="83"/>
      <c r="DM505" s="83"/>
      <c r="DN505" s="83"/>
      <c r="DO505" s="83"/>
      <c r="DP505" s="83"/>
      <c r="DQ505" s="83"/>
      <c r="DR505" s="83"/>
      <c r="DS505" s="83"/>
      <c r="DT505" s="83"/>
      <c r="DU505" s="83"/>
      <c r="DV505" s="83"/>
      <c r="DW505" s="83"/>
      <c r="DX505" s="83"/>
      <c r="DY505" s="83"/>
      <c r="DZ505" s="83"/>
      <c r="EA505" s="83"/>
      <c r="EB505" s="83"/>
      <c r="EC505" s="83"/>
      <c r="ED505" s="83"/>
      <c r="EE505" s="83"/>
      <c r="EF505" s="83"/>
      <c r="EG505" s="83"/>
      <c r="EH505" s="83"/>
      <c r="EI505" s="83"/>
      <c r="EJ505" s="83"/>
      <c r="EK505" s="83"/>
      <c r="EL505" s="83"/>
      <c r="EM505" s="83"/>
      <c r="EN505" s="83"/>
      <c r="EO505" s="83"/>
      <c r="EP505" s="83"/>
      <c r="EQ505" s="83"/>
      <c r="ER505" s="83"/>
      <c r="ES505" s="83"/>
      <c r="ET505" s="83"/>
      <c r="EU505" s="83"/>
      <c r="EV505" s="83"/>
      <c r="EW505" s="83"/>
      <c r="EX505" s="83"/>
      <c r="EY505" s="83"/>
      <c r="EZ505" s="83"/>
      <c r="FA505" s="83"/>
      <c r="FB505" s="83"/>
      <c r="FC505" s="83"/>
      <c r="FD505" s="83"/>
      <c r="FE505" s="83"/>
      <c r="FF505" s="83"/>
      <c r="FG505" s="83"/>
      <c r="FH505" s="83"/>
      <c r="FI505" s="83"/>
      <c r="FJ505" s="83"/>
      <c r="FK505" s="83"/>
      <c r="FL505" s="83"/>
      <c r="FM505" s="83"/>
      <c r="FN505" s="83"/>
      <c r="FO505" s="83"/>
      <c r="FP505" s="83"/>
      <c r="FQ505" s="83"/>
      <c r="FR505" s="83"/>
      <c r="FS505" s="83"/>
      <c r="FT505" s="83"/>
      <c r="FU505" s="83"/>
      <c r="FV505" s="83"/>
      <c r="FW505" s="83"/>
      <c r="FX505" s="83"/>
      <c r="FY505" s="83"/>
      <c r="FZ505" s="83"/>
      <c r="GA505" s="83"/>
      <c r="GB505" s="83"/>
      <c r="GC505" s="83"/>
      <c r="GD505" s="83"/>
      <c r="GE505" s="83"/>
      <c r="GF505" s="83"/>
      <c r="GG505" s="83"/>
      <c r="GH505" s="83"/>
      <c r="GI505" s="83"/>
      <c r="GJ505" s="83"/>
      <c r="GK505" s="83"/>
      <c r="GL505" s="83"/>
      <c r="GM505" s="83"/>
      <c r="GN505" s="83"/>
      <c r="GO505" s="83"/>
      <c r="GP505" s="83"/>
      <c r="GQ505" s="83"/>
      <c r="GR505" s="83"/>
      <c r="GS505" s="83"/>
      <c r="GT505" s="83"/>
      <c r="GU505" s="83"/>
      <c r="GV505" s="83"/>
      <c r="GW505" s="83"/>
      <c r="GX505" s="83"/>
      <c r="GY505" s="83"/>
      <c r="GZ505" s="83"/>
      <c r="HA505" s="83"/>
      <c r="HB505" s="83"/>
      <c r="HC505" s="83"/>
      <c r="HD505" s="83"/>
      <c r="HE505" s="83"/>
      <c r="HF505" s="83"/>
      <c r="HG505" s="83"/>
      <c r="HH505" s="83"/>
      <c r="HI505" s="83"/>
      <c r="HJ505" s="83"/>
      <c r="HK505" s="83"/>
      <c r="HL505" s="83"/>
      <c r="HM505" s="83"/>
      <c r="HN505" s="83"/>
      <c r="HO505" s="83"/>
      <c r="HP505" s="83"/>
      <c r="HQ505" s="83"/>
      <c r="HR505" s="83"/>
      <c r="HS505" s="83"/>
      <c r="HT505" s="83"/>
      <c r="HU505" s="83"/>
      <c r="HV505" s="83"/>
      <c r="HW505" s="83"/>
      <c r="HX505" s="83"/>
      <c r="HY505" s="83"/>
      <c r="HZ505" s="83"/>
      <c r="IA505" s="83"/>
      <c r="IB505" s="83"/>
      <c r="IC505" s="83"/>
      <c r="ID505" s="83"/>
      <c r="IE505" s="83"/>
      <c r="IF505" s="83"/>
      <c r="IG505" s="83"/>
    </row>
    <row r="506" spans="1:241"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c r="DD506" s="83"/>
      <c r="DE506" s="83"/>
      <c r="DF506" s="83"/>
      <c r="DG506" s="83"/>
      <c r="DH506" s="83"/>
      <c r="DI506" s="83"/>
      <c r="DJ506" s="83"/>
      <c r="DK506" s="83"/>
      <c r="DL506" s="83"/>
      <c r="DM506" s="83"/>
      <c r="DN506" s="83"/>
      <c r="DO506" s="83"/>
      <c r="DP506" s="83"/>
      <c r="DQ506" s="83"/>
      <c r="DR506" s="83"/>
      <c r="DS506" s="83"/>
      <c r="DT506" s="83"/>
      <c r="DU506" s="83"/>
      <c r="DV506" s="83"/>
      <c r="DW506" s="83"/>
      <c r="DX506" s="83"/>
      <c r="DY506" s="83"/>
      <c r="DZ506" s="83"/>
      <c r="EA506" s="83"/>
      <c r="EB506" s="83"/>
      <c r="EC506" s="83"/>
      <c r="ED506" s="83"/>
      <c r="EE506" s="83"/>
      <c r="EF506" s="83"/>
      <c r="EG506" s="83"/>
      <c r="EH506" s="83"/>
      <c r="EI506" s="83"/>
      <c r="EJ506" s="83"/>
      <c r="EK506" s="83"/>
      <c r="EL506" s="83"/>
      <c r="EM506" s="83"/>
      <c r="EN506" s="83"/>
      <c r="EO506" s="83"/>
      <c r="EP506" s="83"/>
      <c r="EQ506" s="83"/>
      <c r="ER506" s="83"/>
      <c r="ES506" s="83"/>
      <c r="ET506" s="83"/>
      <c r="EU506" s="83"/>
      <c r="EV506" s="83"/>
      <c r="EW506" s="83"/>
      <c r="EX506" s="83"/>
      <c r="EY506" s="83"/>
      <c r="EZ506" s="83"/>
      <c r="FA506" s="83"/>
      <c r="FB506" s="83"/>
      <c r="FC506" s="83"/>
      <c r="FD506" s="83"/>
      <c r="FE506" s="83"/>
      <c r="FF506" s="83"/>
      <c r="FG506" s="83"/>
      <c r="FH506" s="83"/>
      <c r="FI506" s="83"/>
      <c r="FJ506" s="83"/>
      <c r="FK506" s="83"/>
      <c r="FL506" s="83"/>
      <c r="FM506" s="83"/>
      <c r="FN506" s="83"/>
      <c r="FO506" s="83"/>
      <c r="FP506" s="83"/>
      <c r="FQ506" s="83"/>
      <c r="FR506" s="83"/>
      <c r="FS506" s="83"/>
      <c r="FT506" s="83"/>
      <c r="FU506" s="83"/>
      <c r="FV506" s="83"/>
      <c r="FW506" s="83"/>
      <c r="FX506" s="83"/>
      <c r="FY506" s="83"/>
      <c r="FZ506" s="83"/>
      <c r="GA506" s="83"/>
      <c r="GB506" s="83"/>
      <c r="GC506" s="83"/>
      <c r="GD506" s="83"/>
      <c r="GE506" s="83"/>
      <c r="GF506" s="83"/>
      <c r="GG506" s="83"/>
      <c r="GH506" s="83"/>
      <c r="GI506" s="83"/>
      <c r="GJ506" s="83"/>
      <c r="GK506" s="83"/>
      <c r="GL506" s="83"/>
      <c r="GM506" s="83"/>
      <c r="GN506" s="83"/>
      <c r="GO506" s="83"/>
      <c r="GP506" s="83"/>
      <c r="GQ506" s="83"/>
      <c r="GR506" s="83"/>
      <c r="GS506" s="83"/>
      <c r="GT506" s="83"/>
      <c r="GU506" s="83"/>
      <c r="GV506" s="83"/>
      <c r="GW506" s="83"/>
      <c r="GX506" s="83"/>
      <c r="GY506" s="83"/>
      <c r="GZ506" s="83"/>
      <c r="HA506" s="83"/>
      <c r="HB506" s="83"/>
      <c r="HC506" s="83"/>
      <c r="HD506" s="83"/>
      <c r="HE506" s="83"/>
      <c r="HF506" s="83"/>
      <c r="HG506" s="83"/>
      <c r="HH506" s="83"/>
      <c r="HI506" s="83"/>
      <c r="HJ506" s="83"/>
      <c r="HK506" s="83"/>
      <c r="HL506" s="83"/>
      <c r="HM506" s="83"/>
      <c r="HN506" s="83"/>
      <c r="HO506" s="83"/>
      <c r="HP506" s="83"/>
      <c r="HQ506" s="83"/>
      <c r="HR506" s="83"/>
      <c r="HS506" s="83"/>
      <c r="HT506" s="83"/>
      <c r="HU506" s="83"/>
      <c r="HV506" s="83"/>
      <c r="HW506" s="83"/>
      <c r="HX506" s="83"/>
      <c r="HY506" s="83"/>
      <c r="HZ506" s="83"/>
      <c r="IA506" s="83"/>
      <c r="IB506" s="83"/>
      <c r="IC506" s="83"/>
      <c r="ID506" s="83"/>
      <c r="IE506" s="83"/>
      <c r="IF506" s="83"/>
      <c r="IG506" s="83"/>
    </row>
    <row r="507" spans="1:241"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c r="DD507" s="83"/>
      <c r="DE507" s="83"/>
      <c r="DF507" s="83"/>
      <c r="DG507" s="83"/>
      <c r="DH507" s="83"/>
      <c r="DI507" s="83"/>
      <c r="DJ507" s="83"/>
      <c r="DK507" s="83"/>
      <c r="DL507" s="83"/>
      <c r="DM507" s="83"/>
      <c r="DN507" s="83"/>
      <c r="DO507" s="83"/>
      <c r="DP507" s="83"/>
      <c r="DQ507" s="83"/>
      <c r="DR507" s="83"/>
      <c r="DS507" s="83"/>
      <c r="DT507" s="83"/>
      <c r="DU507" s="83"/>
      <c r="DV507" s="83"/>
      <c r="DW507" s="83"/>
      <c r="DX507" s="83"/>
      <c r="DY507" s="83"/>
      <c r="DZ507" s="83"/>
      <c r="EA507" s="83"/>
      <c r="EB507" s="83"/>
      <c r="EC507" s="83"/>
      <c r="ED507" s="83"/>
      <c r="EE507" s="83"/>
      <c r="EF507" s="83"/>
      <c r="EG507" s="83"/>
      <c r="EH507" s="83"/>
      <c r="EI507" s="83"/>
      <c r="EJ507" s="83"/>
      <c r="EK507" s="83"/>
      <c r="EL507" s="83"/>
      <c r="EM507" s="83"/>
      <c r="EN507" s="83"/>
      <c r="EO507" s="83"/>
      <c r="EP507" s="83"/>
      <c r="EQ507" s="83"/>
      <c r="ER507" s="83"/>
      <c r="ES507" s="83"/>
      <c r="ET507" s="83"/>
      <c r="EU507" s="83"/>
      <c r="EV507" s="83"/>
      <c r="EW507" s="83"/>
      <c r="EX507" s="83"/>
      <c r="EY507" s="83"/>
      <c r="EZ507" s="83"/>
      <c r="FA507" s="83"/>
      <c r="FB507" s="83"/>
      <c r="FC507" s="83"/>
      <c r="FD507" s="83"/>
      <c r="FE507" s="83"/>
      <c r="FF507" s="83"/>
      <c r="FG507" s="83"/>
      <c r="FH507" s="83"/>
      <c r="FI507" s="83"/>
      <c r="FJ507" s="83"/>
      <c r="FK507" s="83"/>
      <c r="FL507" s="83"/>
      <c r="FM507" s="83"/>
      <c r="FN507" s="83"/>
      <c r="FO507" s="83"/>
      <c r="FP507" s="83"/>
      <c r="FQ507" s="83"/>
      <c r="FR507" s="83"/>
      <c r="FS507" s="83"/>
      <c r="FT507" s="83"/>
      <c r="FU507" s="83"/>
      <c r="FV507" s="83"/>
      <c r="FW507" s="83"/>
      <c r="FX507" s="83"/>
      <c r="FY507" s="83"/>
      <c r="FZ507" s="83"/>
      <c r="GA507" s="83"/>
      <c r="GB507" s="83"/>
      <c r="GC507" s="83"/>
      <c r="GD507" s="83"/>
      <c r="GE507" s="83"/>
      <c r="GF507" s="83"/>
      <c r="GG507" s="83"/>
      <c r="GH507" s="83"/>
      <c r="GI507" s="83"/>
      <c r="GJ507" s="83"/>
      <c r="GK507" s="83"/>
      <c r="GL507" s="83"/>
      <c r="GM507" s="83"/>
      <c r="GN507" s="83"/>
      <c r="GO507" s="83"/>
      <c r="GP507" s="83"/>
      <c r="GQ507" s="83"/>
      <c r="GR507" s="83"/>
      <c r="GS507" s="83"/>
      <c r="GT507" s="83"/>
      <c r="GU507" s="83"/>
      <c r="GV507" s="83"/>
      <c r="GW507" s="83"/>
      <c r="GX507" s="83"/>
      <c r="GY507" s="83"/>
      <c r="GZ507" s="83"/>
      <c r="HA507" s="83"/>
      <c r="HB507" s="83"/>
      <c r="HC507" s="83"/>
      <c r="HD507" s="83"/>
      <c r="HE507" s="83"/>
      <c r="HF507" s="83"/>
      <c r="HG507" s="83"/>
      <c r="HH507" s="83"/>
      <c r="HI507" s="83"/>
      <c r="HJ507" s="83"/>
      <c r="HK507" s="83"/>
      <c r="HL507" s="83"/>
      <c r="HM507" s="83"/>
      <c r="HN507" s="83"/>
      <c r="HO507" s="83"/>
      <c r="HP507" s="83"/>
      <c r="HQ507" s="83"/>
      <c r="HR507" s="83"/>
      <c r="HS507" s="83"/>
      <c r="HT507" s="83"/>
      <c r="HU507" s="83"/>
      <c r="HV507" s="83"/>
      <c r="HW507" s="83"/>
      <c r="HX507" s="83"/>
      <c r="HY507" s="83"/>
      <c r="HZ507" s="83"/>
      <c r="IA507" s="83"/>
      <c r="IB507" s="83"/>
      <c r="IC507" s="83"/>
      <c r="ID507" s="83"/>
      <c r="IE507" s="83"/>
      <c r="IF507" s="83"/>
      <c r="IG507" s="83"/>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D4C70-F9FE-45C4-AD9A-CF5425E2BA87}">
  <sheetPr codeName="Hoja26"/>
  <dimension ref="B2:U37"/>
  <sheetViews>
    <sheetView showGridLines="0" zoomScale="55" zoomScaleNormal="55" workbookViewId="0">
      <selection activeCell="Q47" sqref="Q47"/>
    </sheetView>
  </sheetViews>
  <sheetFormatPr defaultColWidth="11.5546875" defaultRowHeight="14.4" x14ac:dyDescent="0.3"/>
  <cols>
    <col min="2" max="2" width="24" customWidth="1"/>
    <col min="3" max="8" width="24.88671875" customWidth="1"/>
    <col min="9" max="9" width="17.21875" customWidth="1"/>
    <col min="10" max="10" width="13.77734375" bestFit="1" customWidth="1"/>
    <col min="18" max="18" width="14.44140625" bestFit="1" customWidth="1"/>
  </cols>
  <sheetData>
    <row r="2" spans="2:21" ht="18" x14ac:dyDescent="0.3">
      <c r="B2" s="188" t="s">
        <v>653</v>
      </c>
      <c r="C2" s="1001"/>
      <c r="D2" s="1002"/>
      <c r="E2" s="1002"/>
      <c r="F2" s="1002"/>
      <c r="G2" s="1002"/>
      <c r="H2" s="1002"/>
      <c r="I2" s="1002"/>
      <c r="J2" s="1002"/>
      <c r="K2" s="1002"/>
      <c r="L2" s="1002"/>
      <c r="M2" s="1002"/>
      <c r="N2" s="1002"/>
      <c r="O2" s="1002"/>
      <c r="P2" s="1002"/>
      <c r="Q2" s="1002"/>
      <c r="R2" s="1002"/>
      <c r="S2" s="1002"/>
      <c r="T2" s="1002"/>
      <c r="U2" s="1003"/>
    </row>
    <row r="3" spans="2:21" ht="18" x14ac:dyDescent="0.3">
      <c r="B3" s="879" t="s">
        <v>642</v>
      </c>
      <c r="C3" s="880"/>
      <c r="D3" s="880"/>
      <c r="E3" s="880"/>
      <c r="F3" s="880"/>
      <c r="G3" s="880"/>
      <c r="H3" s="880"/>
      <c r="I3" s="881"/>
      <c r="J3" s="879" t="s">
        <v>643</v>
      </c>
      <c r="K3" s="880"/>
      <c r="L3" s="880"/>
      <c r="M3" s="880"/>
      <c r="N3" s="880"/>
      <c r="O3" s="880"/>
      <c r="P3" s="880"/>
      <c r="Q3" s="880"/>
      <c r="R3" s="881"/>
      <c r="S3" s="879" t="s">
        <v>644</v>
      </c>
      <c r="T3" s="880"/>
      <c r="U3" s="881"/>
    </row>
    <row r="4" spans="2:21" ht="18" x14ac:dyDescent="0.3">
      <c r="B4" s="88" t="s">
        <v>356</v>
      </c>
      <c r="C4" s="88" t="s">
        <v>646</v>
      </c>
      <c r="D4" s="88" t="s">
        <v>498</v>
      </c>
      <c r="E4" s="89" t="s">
        <v>464</v>
      </c>
      <c r="F4" s="89" t="s">
        <v>315</v>
      </c>
      <c r="G4" s="89" t="s">
        <v>509</v>
      </c>
      <c r="H4" s="88" t="s">
        <v>506</v>
      </c>
      <c r="I4" s="386" t="s">
        <v>235</v>
      </c>
      <c r="J4" s="263" t="s">
        <v>466</v>
      </c>
      <c r="K4" s="263" t="s">
        <v>467</v>
      </c>
      <c r="L4" s="262" t="s">
        <v>586</v>
      </c>
      <c r="M4" s="264" t="s">
        <v>469</v>
      </c>
      <c r="N4" s="265" t="s">
        <v>468</v>
      </c>
      <c r="O4" s="264" t="s">
        <v>650</v>
      </c>
      <c r="P4" s="264" t="s">
        <v>651</v>
      </c>
      <c r="Q4" s="264" t="s">
        <v>465</v>
      </c>
      <c r="R4" s="90" t="s">
        <v>639</v>
      </c>
      <c r="S4" s="392" t="s">
        <v>647</v>
      </c>
      <c r="T4" s="1049" t="s">
        <v>645</v>
      </c>
      <c r="U4" s="1050"/>
    </row>
    <row r="5" spans="2:21" x14ac:dyDescent="0.3">
      <c r="B5" s="375"/>
      <c r="C5" s="376"/>
      <c r="D5" s="376"/>
      <c r="E5" s="376"/>
      <c r="F5" s="376"/>
      <c r="G5" s="376"/>
      <c r="H5" s="376"/>
      <c r="I5" s="376"/>
      <c r="J5" s="375"/>
      <c r="K5" s="376"/>
      <c r="L5" s="376"/>
      <c r="M5" s="219"/>
      <c r="N5" s="219"/>
      <c r="O5" s="219"/>
      <c r="P5" s="219"/>
      <c r="Q5" s="376"/>
      <c r="R5" s="195" t="str" cm="1">
        <f t="array" aca="1" ref="R5" ca="1">+IF(N5&gt;0,N5*INDIRECT(ADDRESS(MATCH(F5,'Cost Conversion'!$B$3:$B$48,0)+2,4,1,1,"Cost conversion"))*INDIRECT(ADDRESS(MATCH(G5,'Cost Conversion'!$F$3:$F$22,0)+2,8,1,1,"Cost conversion"))/IF(E5="$",'Cost Conversion'!$L$2,1),"")</f>
        <v/>
      </c>
      <c r="S5" s="410"/>
      <c r="T5" s="329"/>
      <c r="U5" s="124"/>
    </row>
    <row r="6" spans="2:21" x14ac:dyDescent="0.3">
      <c r="B6" s="435"/>
      <c r="C6" s="436"/>
      <c r="D6" s="436"/>
      <c r="E6" s="436"/>
      <c r="F6" s="436"/>
      <c r="G6" s="436"/>
      <c r="H6" s="436"/>
      <c r="I6" s="436"/>
      <c r="J6" s="435"/>
      <c r="K6" s="436"/>
      <c r="L6" s="436"/>
      <c r="M6" s="390"/>
      <c r="N6" s="390"/>
      <c r="O6" s="436"/>
      <c r="P6" s="436"/>
      <c r="Q6" s="436"/>
      <c r="R6" s="195" t="str" cm="1">
        <f t="array" aca="1" ref="R6" ca="1">+IF(N6&gt;0,N6*INDIRECT(ADDRESS(MATCH(F6,'Cost Conversion'!$B$3:$B$48,0)+2,4,1,1,"Cost conversion"))*INDIRECT(ADDRESS(MATCH(G6,'Cost Conversion'!$F$3:$F$22,0)+2,8,1,1,"Cost conversion"))/IF(E6="$",'Cost Conversion'!$L$2,1),"")</f>
        <v/>
      </c>
      <c r="S6" s="435"/>
      <c r="T6" s="92"/>
      <c r="U6" s="84"/>
    </row>
    <row r="7" spans="2:21" x14ac:dyDescent="0.3">
      <c r="B7" s="435"/>
      <c r="C7" s="436"/>
      <c r="D7" s="436"/>
      <c r="E7" s="436"/>
      <c r="F7" s="436"/>
      <c r="G7" s="436"/>
      <c r="H7" s="436"/>
      <c r="I7" s="436"/>
      <c r="J7" s="435"/>
      <c r="K7" s="436"/>
      <c r="L7" s="436"/>
      <c r="M7" s="390"/>
      <c r="N7" s="390"/>
      <c r="O7" s="390"/>
      <c r="P7" s="390"/>
      <c r="Q7" s="436"/>
      <c r="R7" s="195" t="str" cm="1">
        <f t="array" aca="1" ref="R7" ca="1">+IF(N7&gt;0,N7*INDIRECT(ADDRESS(MATCH(F7,'Cost Conversion'!$B$3:$B$48,0)+2,4,1,1,"Cost conversion"))*INDIRECT(ADDRESS(MATCH(G7,'Cost Conversion'!$F$3:$F$22,0)+2,8,1,1,"Cost conversion"))/IF(E7="$",'Cost Conversion'!$L$2,1),"")</f>
        <v/>
      </c>
      <c r="S7" s="435"/>
      <c r="T7" s="92"/>
      <c r="U7" s="84"/>
    </row>
    <row r="8" spans="2:21" x14ac:dyDescent="0.3">
      <c r="B8" s="435"/>
      <c r="C8" s="436"/>
      <c r="D8" s="436"/>
      <c r="E8" s="436"/>
      <c r="F8" s="436"/>
      <c r="G8" s="436"/>
      <c r="H8" s="436"/>
      <c r="I8" s="414"/>
      <c r="J8" s="435"/>
      <c r="K8" s="436"/>
      <c r="L8" s="436"/>
      <c r="M8" s="390"/>
      <c r="N8" s="436"/>
      <c r="O8" s="436"/>
      <c r="P8" s="436"/>
      <c r="Q8" s="436"/>
      <c r="R8" s="195" t="str" cm="1">
        <f t="array" aca="1" ref="R8" ca="1">+IF(N8&gt;0,N8*INDIRECT(ADDRESS(MATCH(F8,'Cost Conversion'!$B$3:$B$48,0)+2,4,1,1,"Cost conversion"))*INDIRECT(ADDRESS(MATCH(G8,'Cost Conversion'!$F$3:$F$22,0)+2,8,1,1,"Cost conversion"))/IF(E8="$",'Cost Conversion'!$L$2,1),"")</f>
        <v/>
      </c>
      <c r="S8" s="435"/>
      <c r="T8" s="92"/>
      <c r="U8" s="84"/>
    </row>
    <row r="9" spans="2:21" x14ac:dyDescent="0.3">
      <c r="B9" s="435"/>
      <c r="C9" s="436"/>
      <c r="D9" s="436"/>
      <c r="E9" s="436"/>
      <c r="F9" s="436"/>
      <c r="G9" s="436"/>
      <c r="H9" s="436"/>
      <c r="I9" s="436"/>
      <c r="J9" s="435"/>
      <c r="K9" s="436"/>
      <c r="L9" s="436"/>
      <c r="M9" s="436"/>
      <c r="N9" s="436"/>
      <c r="O9" s="436"/>
      <c r="P9" s="436"/>
      <c r="Q9" s="436"/>
      <c r="R9" s="195" t="str" cm="1">
        <f t="array" aca="1" ref="R9" ca="1">+IF(N9&gt;0,N9*INDIRECT(ADDRESS(MATCH(F9,'Cost Conversion'!$B$3:$B$48,0)+2,4,1,1,"Cost conversion"))*INDIRECT(ADDRESS(MATCH(G9,'Cost Conversion'!$F$3:$F$22,0)+2,8,1,1,"Cost conversion"))/IF(E9="$",'Cost Conversion'!$L$2,1),"")</f>
        <v/>
      </c>
      <c r="S9" s="435"/>
      <c r="T9" s="92"/>
      <c r="U9" s="84"/>
    </row>
    <row r="10" spans="2:21" x14ac:dyDescent="0.3">
      <c r="B10" s="387"/>
      <c r="C10" s="388"/>
      <c r="D10" s="388"/>
      <c r="E10" s="388"/>
      <c r="F10" s="388"/>
      <c r="G10" s="388"/>
      <c r="H10" s="388"/>
      <c r="I10" s="388"/>
      <c r="J10" s="387"/>
      <c r="K10" s="388"/>
      <c r="L10" s="388"/>
      <c r="M10" s="388"/>
      <c r="N10" s="388"/>
      <c r="O10" s="388"/>
      <c r="P10" s="388"/>
      <c r="Q10" s="388"/>
      <c r="R10" s="195" t="str" cm="1">
        <f t="array" aca="1" ref="R10" ca="1">+IF(N10&gt;0,N10*INDIRECT(ADDRESS(MATCH(F10,'Cost Conversion'!$B$3:$B$48,0)+2,4,1,1,"Cost conversion"))*INDIRECT(ADDRESS(MATCH(G10,'Cost Conversion'!$F$3:$F$22,0)+2,8,1,1,"Cost conversion"))/IF(E10="$",'Cost Conversion'!$L$2,1),"")</f>
        <v/>
      </c>
      <c r="S10" s="387"/>
      <c r="T10" s="395"/>
      <c r="U10" s="397"/>
    </row>
    <row r="11" spans="2:21" x14ac:dyDescent="0.3">
      <c r="B11" s="375"/>
      <c r="C11" s="376"/>
      <c r="D11" s="376"/>
      <c r="E11" s="376"/>
      <c r="F11" s="376"/>
      <c r="G11" s="376"/>
      <c r="H11" s="376"/>
      <c r="I11" s="376"/>
      <c r="J11" s="376"/>
      <c r="K11" s="376"/>
      <c r="L11" s="376"/>
      <c r="M11" s="376"/>
      <c r="N11" s="376"/>
      <c r="O11" s="376"/>
      <c r="P11" s="376"/>
      <c r="Q11" s="376"/>
      <c r="R11" s="376"/>
      <c r="S11" s="376"/>
      <c r="T11" s="329"/>
      <c r="U11" s="124"/>
    </row>
    <row r="12" spans="2:21" x14ac:dyDescent="0.3">
      <c r="B12" s="435"/>
      <c r="C12" s="436"/>
      <c r="D12" s="436"/>
      <c r="E12" s="436"/>
      <c r="F12" s="436"/>
      <c r="G12" s="436"/>
      <c r="H12" s="436"/>
      <c r="I12" s="436"/>
      <c r="J12" s="436"/>
      <c r="K12" s="436"/>
      <c r="L12" s="436"/>
      <c r="M12" s="436"/>
      <c r="N12" s="436"/>
      <c r="O12" s="436"/>
      <c r="P12" s="436"/>
      <c r="Q12" s="436"/>
      <c r="R12" s="436"/>
      <c r="S12" s="436"/>
      <c r="T12" s="92"/>
      <c r="U12" s="84"/>
    </row>
    <row r="13" spans="2:21" x14ac:dyDescent="0.3">
      <c r="B13" s="435"/>
      <c r="C13" s="436"/>
      <c r="D13" s="436"/>
      <c r="E13" s="436"/>
      <c r="F13" s="436"/>
      <c r="G13" s="436"/>
      <c r="H13" s="436"/>
      <c r="I13" s="436"/>
      <c r="J13" s="436"/>
      <c r="K13" s="436"/>
      <c r="L13" s="436"/>
      <c r="M13" s="436"/>
      <c r="N13" s="436"/>
      <c r="O13" s="436"/>
      <c r="P13" s="436"/>
      <c r="Q13" s="436"/>
      <c r="R13" s="436"/>
      <c r="S13" s="436"/>
      <c r="T13" s="92"/>
      <c r="U13" s="84"/>
    </row>
    <row r="14" spans="2:21" x14ac:dyDescent="0.3">
      <c r="B14" s="435"/>
      <c r="C14" s="436"/>
      <c r="D14" s="436"/>
      <c r="E14" s="436"/>
      <c r="F14" s="436"/>
      <c r="G14" s="436"/>
      <c r="H14" s="436"/>
      <c r="I14" s="436"/>
      <c r="J14" s="971" t="str">
        <f>TEXT(C2,0)</f>
        <v>0</v>
      </c>
      <c r="K14" s="972"/>
      <c r="L14" s="972"/>
      <c r="M14" s="972"/>
      <c r="N14" s="972"/>
      <c r="O14" s="972"/>
      <c r="P14" s="972"/>
      <c r="Q14" s="972"/>
      <c r="R14" s="972"/>
      <c r="S14" s="972"/>
      <c r="T14" s="973"/>
      <c r="U14" s="84"/>
    </row>
    <row r="15" spans="2:21" x14ac:dyDescent="0.3">
      <c r="B15" s="435"/>
      <c r="C15" s="436"/>
      <c r="D15" s="436"/>
      <c r="E15" s="436"/>
      <c r="F15" s="436"/>
      <c r="G15" s="436"/>
      <c r="H15" s="436"/>
      <c r="I15" s="436"/>
      <c r="J15" s="417" t="s">
        <v>648</v>
      </c>
      <c r="K15" s="418">
        <v>1</v>
      </c>
      <c r="L15" s="418">
        <v>2</v>
      </c>
      <c r="M15" s="418">
        <v>3</v>
      </c>
      <c r="N15" s="418">
        <v>4</v>
      </c>
      <c r="O15" s="418">
        <v>5</v>
      </c>
      <c r="P15" s="418">
        <v>6</v>
      </c>
      <c r="Q15" s="418">
        <v>7</v>
      </c>
      <c r="R15" s="418">
        <v>8</v>
      </c>
      <c r="S15" s="418">
        <v>9</v>
      </c>
      <c r="T15" s="419">
        <v>10</v>
      </c>
      <c r="U15" s="84"/>
    </row>
    <row r="16" spans="2:21" x14ac:dyDescent="0.3">
      <c r="B16" s="435"/>
      <c r="C16" s="436"/>
      <c r="D16" s="436"/>
      <c r="E16" s="436"/>
      <c r="F16" s="436"/>
      <c r="G16" s="436"/>
      <c r="H16" s="436"/>
      <c r="I16" s="436"/>
      <c r="J16" s="86" t="str">
        <f>+TEXT(H5,0)&amp;" "&amp;"("&amp;TEXT(I5,0)&amp;")"</f>
        <v>0 (0)</v>
      </c>
      <c r="K16" s="448">
        <f>+P5</f>
        <v>0</v>
      </c>
      <c r="L16" s="420">
        <f>+K16+(O5-P5)/(T15-1)</f>
        <v>0</v>
      </c>
      <c r="M16" s="420">
        <f>+L16+(O5-P5)/(T15-1)</f>
        <v>0</v>
      </c>
      <c r="N16" s="420">
        <f>+M16+(O5-P5)/(T15-1)</f>
        <v>0</v>
      </c>
      <c r="O16" s="420">
        <f>+N16+(O5-P5)/(T15-1)</f>
        <v>0</v>
      </c>
      <c r="P16" s="420">
        <f>+O16+(O5-P5)/(T15-1)</f>
        <v>0</v>
      </c>
      <c r="Q16" s="420">
        <f>+P16+(O5-P5)/(T15-1)</f>
        <v>0</v>
      </c>
      <c r="R16" s="420">
        <f>+Q16+(O5-P5)/(T15-1)</f>
        <v>0</v>
      </c>
      <c r="S16" s="420">
        <f>+R16+(O5-P5)/(T15-1)</f>
        <v>0</v>
      </c>
      <c r="T16" s="421">
        <f>+S16+(O5-P5)/(T15-1)</f>
        <v>0</v>
      </c>
      <c r="U16" s="84"/>
    </row>
    <row r="17" spans="2:21" x14ac:dyDescent="0.3">
      <c r="B17" s="435"/>
      <c r="C17" s="436"/>
      <c r="D17" s="436"/>
      <c r="E17" s="436"/>
      <c r="F17" s="436"/>
      <c r="G17" s="436"/>
      <c r="H17" s="436"/>
      <c r="I17" s="436"/>
      <c r="J17" s="100" t="str">
        <f>+TEXT(B5,0)&amp;" - Scaling"</f>
        <v>0 - Scaling</v>
      </c>
      <c r="K17" s="357" t="e">
        <f ca="1">+(Q5/L5)^J5*R5*((K16/Q5)/(M5/L5))^K5</f>
        <v>#DIV/0!</v>
      </c>
      <c r="L17" s="219" t="e">
        <f ca="1">+(Q5/L5)^J5*R5*((L16/Q5)/(M5/L5))^K5</f>
        <v>#DIV/0!</v>
      </c>
      <c r="M17" s="219" t="e">
        <f ca="1">+(Q5/L5)^J5*R5*((M16/Q5)/(M5/L5))^K5</f>
        <v>#DIV/0!</v>
      </c>
      <c r="N17" s="219" t="e">
        <f ca="1">+(Q5/L5)^J5*R5*((N16/Q5)/(M5/L5))^K5</f>
        <v>#DIV/0!</v>
      </c>
      <c r="O17" s="219" t="e">
        <f ca="1">+(Q5/L5)^J5*R5*((O16/Q5)/(M5/L5))^K5</f>
        <v>#DIV/0!</v>
      </c>
      <c r="P17" s="219" t="e">
        <f ca="1">+(Q5/L5)^J5*R5*((P16/Q5)/(M5/L5))^K5</f>
        <v>#DIV/0!</v>
      </c>
      <c r="Q17" s="219" t="e">
        <f ca="1">+(Q5/L5)^J5*R5*((Q16/Q5)/(M5/L5))^K5</f>
        <v>#DIV/0!</v>
      </c>
      <c r="R17" s="219" t="e">
        <f ca="1">+(Q5/L5)^J5*R5*((R16/Q5)/(M5/L5))^K5</f>
        <v>#DIV/0!</v>
      </c>
      <c r="S17" s="219" t="e">
        <f ca="1">+(Q5/L5)^J5*R5*((S16/Q5)/(M5/L5))^K5</f>
        <v>#DIV/0!</v>
      </c>
      <c r="T17" s="278" t="e">
        <f ca="1">+(Q5/L5)^J5*R5*((T16/Q5)/(M5/L5))^K5</f>
        <v>#DIV/0!</v>
      </c>
      <c r="U17" s="84"/>
    </row>
    <row r="18" spans="2:21" x14ac:dyDescent="0.3">
      <c r="B18" s="435"/>
      <c r="C18" s="436"/>
      <c r="D18" s="436"/>
      <c r="E18" s="436"/>
      <c r="F18" s="436"/>
      <c r="G18" s="436"/>
      <c r="H18" s="436"/>
      <c r="I18" s="436"/>
      <c r="J18" s="100" t="str">
        <f>+TEXT(B6,0)&amp;" - Scaling"</f>
        <v>0 - Scaling</v>
      </c>
      <c r="K18" s="269" t="e">
        <f ca="1">+(Q6/L6)^J6*R6*((K16/Q6)/(M6/L6))^K6</f>
        <v>#DIV/0!</v>
      </c>
      <c r="L18" s="390" t="e">
        <f ca="1">+(Q6/L6)^J6*R6*((L16/Q6)/(M6/L6))^K6</f>
        <v>#DIV/0!</v>
      </c>
      <c r="M18" s="390" t="e">
        <f ca="1">+(Q6/L6)^J6*R6*((M16/Q6)/(M6/L6))^K6</f>
        <v>#DIV/0!</v>
      </c>
      <c r="N18" s="390" t="e">
        <f ca="1">+(Q6/L6)^J6*R6*((N16/Q6)/(M6/L6))^K6</f>
        <v>#DIV/0!</v>
      </c>
      <c r="O18" s="390" t="e">
        <f ca="1">+(Q6/L6)^J6*R6*((O16/Q6)/(M6/L6))^K6</f>
        <v>#DIV/0!</v>
      </c>
      <c r="P18" s="390" t="e">
        <f ca="1">+(Q6/L6)^J6*R6*((P16/Q6)/(M6/L6))^K6</f>
        <v>#DIV/0!</v>
      </c>
      <c r="Q18" s="390" t="e">
        <f ca="1">+(Q6/L6)^J6*R6*((Q16/Q6)/(M6/L6))^K6</f>
        <v>#DIV/0!</v>
      </c>
      <c r="R18" s="390" t="e">
        <f ca="1">+(Q6/L6)^J6*R6*((R16/Q6)/(M6/L6))^K6</f>
        <v>#DIV/0!</v>
      </c>
      <c r="S18" s="390" t="e">
        <f ca="1">+(Q6/L6)^J6*R6*((S16/Q6)/(M6/L6))^K6</f>
        <v>#DIV/0!</v>
      </c>
      <c r="T18" s="266" t="e">
        <f ca="1">+(Q6/L6)^J6*R6*((T16/Q6)/(M6/L6))^K6</f>
        <v>#DIV/0!</v>
      </c>
      <c r="U18" s="84"/>
    </row>
    <row r="19" spans="2:21" x14ac:dyDescent="0.3">
      <c r="B19" s="435"/>
      <c r="C19" s="436"/>
      <c r="D19" s="436"/>
      <c r="E19" s="436"/>
      <c r="F19" s="436"/>
      <c r="G19" s="436"/>
      <c r="H19" s="436"/>
      <c r="I19" s="436"/>
      <c r="J19" s="100" t="str">
        <f>+TEXT(B7,0)&amp;" - Scaling"</f>
        <v>0 - Scaling</v>
      </c>
      <c r="K19" s="269" t="e">
        <f ca="1">+(Q7/L7)^J7*R7*((K16/Q7)/(M7/L7))^K7</f>
        <v>#DIV/0!</v>
      </c>
      <c r="L19" s="390" t="e">
        <f ca="1">+(Q7/L7)^J7*R7*((L16/Q7)/(M7/L7))^K7</f>
        <v>#DIV/0!</v>
      </c>
      <c r="M19" s="390" t="e">
        <f ca="1">+(Q7/L7)^J7*R7*((M16/Q7)/(M7/L7))^K7</f>
        <v>#DIV/0!</v>
      </c>
      <c r="N19" s="390" t="e">
        <f ca="1">+(Q7/L7)^J7*R7*((N16/Q7)/(M7/L7))^K7</f>
        <v>#DIV/0!</v>
      </c>
      <c r="O19" s="390" t="e">
        <f ca="1">+(Q7/L7)^J7*R7*((O16/Q7)/(M7/L7))^K7</f>
        <v>#DIV/0!</v>
      </c>
      <c r="P19" s="390" t="e">
        <f ca="1">+(Q7/L7)^J7*R7*((P16/Q7)/(M7/L7))^K7</f>
        <v>#DIV/0!</v>
      </c>
      <c r="Q19" s="390" t="e">
        <f ca="1">+(Q7/L7)^J7*R7*((Q16/Q7)/(M7/L7))^K7</f>
        <v>#DIV/0!</v>
      </c>
      <c r="R19" s="390" t="e">
        <f ca="1">+(Q7/L7)^J7*R7*((R16/Q7)/(M7/L7))^K7</f>
        <v>#DIV/0!</v>
      </c>
      <c r="S19" s="390" t="e">
        <f ca="1">+(Q7/L7)^J7*R7*((S16/Q7)/(M7/L7))^K7</f>
        <v>#DIV/0!</v>
      </c>
      <c r="T19" s="266" t="e">
        <f ca="1">+(Q7/L7)^J7*R7*((T16/Q7)/(M7/L7))^K7</f>
        <v>#DIV/0!</v>
      </c>
      <c r="U19" s="84"/>
    </row>
    <row r="20" spans="2:21" x14ac:dyDescent="0.3">
      <c r="B20" s="435"/>
      <c r="C20" s="436"/>
      <c r="D20" s="436"/>
      <c r="E20" s="436"/>
      <c r="F20" s="436"/>
      <c r="G20" s="436"/>
      <c r="H20" s="436"/>
      <c r="I20" s="436"/>
      <c r="J20" s="100" t="str">
        <f>+TEXT(B8,0)&amp;" - Scaling"</f>
        <v>0 - Scaling</v>
      </c>
      <c r="K20" s="269" t="e">
        <f ca="1">+(Q8/L8)^J8*R8*((K16/Q8)/(M8/L8))^K8</f>
        <v>#DIV/0!</v>
      </c>
      <c r="L20" s="390" t="e">
        <f ca="1">+(Q8/L8)^J8*R8*((L16/Q8)/(M8/L8))^K8</f>
        <v>#DIV/0!</v>
      </c>
      <c r="M20" s="390" t="e">
        <f ca="1">+(Q8/L8)^J8*R8*((M16/Q8)/(M8/L8))^K8</f>
        <v>#DIV/0!</v>
      </c>
      <c r="N20" s="390" t="e">
        <f ca="1">+(Q8/L8)^J8*R8*((N16/Q8)/(M8/L8))^K8</f>
        <v>#DIV/0!</v>
      </c>
      <c r="O20" s="390" t="e">
        <f ca="1">+(Q8/L8)^J8*R8*((O16/Q8)/(M8/L8))^K8</f>
        <v>#DIV/0!</v>
      </c>
      <c r="P20" s="390" t="e">
        <f ca="1">+(Q8/L8)^J8*R8*((P16/Q8)/(M8/L8))^K8</f>
        <v>#DIV/0!</v>
      </c>
      <c r="Q20" s="390" t="e">
        <f ca="1">+(Q8/L8)^J8*R8*((Q16/Q8)/(M8/L8))^K8</f>
        <v>#DIV/0!</v>
      </c>
      <c r="R20" s="390" t="e">
        <f ca="1">+(Q8/L8)^J8*R8*((R16/Q8)/(M8/L8))^K8</f>
        <v>#DIV/0!</v>
      </c>
      <c r="S20" s="390" t="e">
        <f ca="1">+(Q8/L8)^J8*R8*((S16/Q8)/(M8/L8))^K8</f>
        <v>#DIV/0!</v>
      </c>
      <c r="T20" s="266" t="e">
        <f ca="1">+(Q8/L8)^J8*R8*((T16/Q8)/(M8/L8))^K8</f>
        <v>#DIV/0!</v>
      </c>
      <c r="U20" s="84"/>
    </row>
    <row r="21" spans="2:21" x14ac:dyDescent="0.3">
      <c r="B21" s="435"/>
      <c r="C21" s="436"/>
      <c r="D21" s="436"/>
      <c r="E21" s="436"/>
      <c r="F21" s="436"/>
      <c r="G21" s="436"/>
      <c r="H21" s="436"/>
      <c r="I21" s="436"/>
      <c r="J21" s="100" t="str">
        <f t="shared" ref="J21:J22" si="0">+TEXT(B9,0)&amp;" - Scaling"</f>
        <v>0 - Scaling</v>
      </c>
      <c r="K21" s="435" t="e">
        <f ca="1">+(Q9/L9)^J9*R9*((K17/Q9)/(M9/L9))^K9</f>
        <v>#DIV/0!</v>
      </c>
      <c r="L21" s="390" t="e">
        <f ca="1">+(Q9/L9)^J9*R9*((L16/Q9)/(M9/L9))^K9</f>
        <v>#DIV/0!</v>
      </c>
      <c r="M21" s="390" t="e">
        <f ca="1">+(Q9/L9)^J9*R9*((M16/Q9)/(M9/L9))^K9</f>
        <v>#DIV/0!</v>
      </c>
      <c r="N21" s="390" t="e">
        <f ca="1">+(Q9/L9)^J9*R9*((N16/Q9)/(M9/L9))^K9</f>
        <v>#DIV/0!</v>
      </c>
      <c r="O21" s="390" t="e">
        <f ca="1">+(Q9/L9)^J9*R9*((O16/Q9)/(M9/L9))^K9</f>
        <v>#DIV/0!</v>
      </c>
      <c r="P21" s="390" t="e">
        <f ca="1">+(Q9/L9)^J9*R9*((P16/Q9)/(M9/L9))^K9</f>
        <v>#DIV/0!</v>
      </c>
      <c r="Q21" s="390" t="e">
        <f ca="1">+(Q9/L9)^J9*R9*((Q16/Q9)/(M9/L9))^K9</f>
        <v>#DIV/0!</v>
      </c>
      <c r="R21" s="390" t="e">
        <f ca="1">+(Q9/L9)^J9*R9*((R16/Q9)/(M9/L9))^K9</f>
        <v>#DIV/0!</v>
      </c>
      <c r="S21" s="390" t="e">
        <f ca="1">+(Q9/L9)^J9*R9*((S16/Q9)/(M9/L9))^K9</f>
        <v>#DIV/0!</v>
      </c>
      <c r="T21" s="266" t="e">
        <f ca="1">+(Q9/L9)^J9*R9*((T16/Q9)/(M9/L9))^K9</f>
        <v>#DIV/0!</v>
      </c>
      <c r="U21" s="84"/>
    </row>
    <row r="22" spans="2:21" x14ac:dyDescent="0.3">
      <c r="B22" s="435"/>
      <c r="C22" s="436"/>
      <c r="D22" s="436"/>
      <c r="E22" s="436"/>
      <c r="F22" s="436"/>
      <c r="G22" s="436"/>
      <c r="H22" s="436"/>
      <c r="I22" s="436"/>
      <c r="J22" s="100" t="str">
        <f t="shared" si="0"/>
        <v>0 - Scaling</v>
      </c>
      <c r="K22" s="387" t="e">
        <f ca="1">+(Q10/L10)^J10*R10*((K16/Q10)/(M10/L10))^K10</f>
        <v>#DIV/0!</v>
      </c>
      <c r="L22" s="450" t="e">
        <f ca="1">+(Q10/L10)^J10*R10*((L16/Q10)/(M10/L10))^K10</f>
        <v>#DIV/0!</v>
      </c>
      <c r="M22" s="450" t="e">
        <f ca="1">+(Q10/L10)^J10*R10*((M16/Q10)/(M10/L10))^K10</f>
        <v>#DIV/0!</v>
      </c>
      <c r="N22" s="450" t="e">
        <f ca="1">+(Q10/L10)^J10*R10*((N16/Q10)/(M10/L10))^K10</f>
        <v>#DIV/0!</v>
      </c>
      <c r="O22" s="450" t="e">
        <f ca="1">+(Q10/L10)^J10*R10*((O16/Q10)/(M10/L10))^K10</f>
        <v>#DIV/0!</v>
      </c>
      <c r="P22" s="450" t="e" cm="1">
        <f t="array" aca="1" ref="P22" ca="1">+(Q10/L10)^J10*R10*((P16/Q10)/(M10/P26L17))^K10</f>
        <v>#DIV/0!</v>
      </c>
      <c r="Q22" s="450" t="e">
        <f ca="1">+(Q10/L10)^J10*R10*((Q16/Q10)/(M10/L10))^K10</f>
        <v>#DIV/0!</v>
      </c>
      <c r="R22" s="450" t="e">
        <f ca="1">+(Q10/L10)^J10*R10*((R16/Q10)/(M10/L10))^K10</f>
        <v>#DIV/0!</v>
      </c>
      <c r="S22" s="450" t="e">
        <f ca="1">+(Q10/L10)^J10*R10*((S16/Q10)/(M10/L10))^K10</f>
        <v>#DIV/0!</v>
      </c>
      <c r="T22" s="385" t="e">
        <f ca="1">+(Q10/L10)^J10*R10*((T16/Q10)/(M10/L10))^K10</f>
        <v>#DIV/0!</v>
      </c>
      <c r="U22" s="84"/>
    </row>
    <row r="23" spans="2:21" x14ac:dyDescent="0.3">
      <c r="B23" s="435"/>
      <c r="C23" s="436"/>
      <c r="D23" s="436"/>
      <c r="E23" s="436"/>
      <c r="F23" s="436"/>
      <c r="G23" s="436"/>
      <c r="H23" s="436"/>
      <c r="I23" s="436"/>
      <c r="J23" s="86" t="s">
        <v>576</v>
      </c>
      <c r="K23" s="86" t="s">
        <v>652</v>
      </c>
      <c r="L23" s="436"/>
      <c r="M23" s="436"/>
      <c r="N23" s="436"/>
      <c r="O23" s="436"/>
      <c r="P23" s="436"/>
      <c r="Q23" s="436"/>
      <c r="R23" s="436"/>
      <c r="S23" s="436"/>
      <c r="T23" s="92"/>
      <c r="U23" s="84"/>
    </row>
    <row r="24" spans="2:21" x14ac:dyDescent="0.3">
      <c r="B24" s="435"/>
      <c r="C24" s="436"/>
      <c r="D24" s="436"/>
      <c r="E24" s="436"/>
      <c r="F24" s="436"/>
      <c r="G24" s="436"/>
      <c r="H24" s="436"/>
      <c r="I24" s="436"/>
      <c r="J24" s="442">
        <f>+B5</f>
        <v>0</v>
      </c>
      <c r="K24" s="401" t="e">
        <f ca="1">+R5/(M5/Q5)</f>
        <v>#VALUE!</v>
      </c>
      <c r="L24" s="436"/>
      <c r="M24" s="436"/>
      <c r="N24" s="436"/>
      <c r="O24" s="436"/>
      <c r="P24" s="436"/>
      <c r="Q24" s="436"/>
      <c r="R24" s="436"/>
      <c r="S24" s="436"/>
      <c r="T24" s="92"/>
      <c r="U24" s="84"/>
    </row>
    <row r="25" spans="2:21" x14ac:dyDescent="0.3">
      <c r="B25" s="435"/>
      <c r="C25" s="436"/>
      <c r="D25" s="436"/>
      <c r="E25" s="436"/>
      <c r="F25" s="436"/>
      <c r="G25" s="436"/>
      <c r="H25" s="436"/>
      <c r="I25" s="436"/>
      <c r="J25" s="100">
        <f>+B6</f>
        <v>0</v>
      </c>
      <c r="K25" s="415" t="e">
        <f ca="1">+R6/(M6/Q6)</f>
        <v>#VALUE!</v>
      </c>
      <c r="L25" s="436"/>
      <c r="M25" s="436"/>
      <c r="N25" s="436"/>
      <c r="O25" s="436"/>
      <c r="P25" s="436"/>
      <c r="Q25" s="436"/>
      <c r="R25" s="436"/>
      <c r="S25" s="436"/>
      <c r="T25" s="92"/>
      <c r="U25" s="84"/>
    </row>
    <row r="26" spans="2:21" x14ac:dyDescent="0.3">
      <c r="B26" s="91"/>
      <c r="C26" s="92"/>
      <c r="D26" s="92"/>
      <c r="E26" s="92"/>
      <c r="F26" s="436"/>
      <c r="G26" s="436"/>
      <c r="H26" s="92"/>
      <c r="I26" s="92"/>
      <c r="J26" s="100">
        <f>+B7</f>
        <v>0</v>
      </c>
      <c r="K26" s="415" t="e">
        <f ca="1">+R7/(M7/Q7)</f>
        <v>#VALUE!</v>
      </c>
      <c r="L26" s="92"/>
      <c r="M26" s="92"/>
      <c r="N26" s="92"/>
      <c r="O26" s="92"/>
      <c r="P26" s="92"/>
      <c r="Q26" s="92"/>
      <c r="R26" s="92"/>
      <c r="S26" s="92"/>
      <c r="T26" s="92"/>
      <c r="U26" s="84"/>
    </row>
    <row r="27" spans="2:21" x14ac:dyDescent="0.3">
      <c r="B27" s="91"/>
      <c r="C27" s="92"/>
      <c r="D27" s="92"/>
      <c r="E27" s="92"/>
      <c r="F27" s="436"/>
      <c r="G27" s="436"/>
      <c r="H27" s="92"/>
      <c r="I27" s="92"/>
      <c r="J27" s="443">
        <f>+B8</f>
        <v>0</v>
      </c>
      <c r="K27" s="422" t="e">
        <f ca="1">+R8/(M8/Q8)</f>
        <v>#VALUE!</v>
      </c>
      <c r="L27" s="92"/>
      <c r="M27" s="92"/>
      <c r="N27" s="92"/>
      <c r="O27" s="92"/>
      <c r="P27" s="92"/>
      <c r="Q27" s="92"/>
      <c r="R27" s="92"/>
      <c r="S27" s="92"/>
      <c r="T27" s="92"/>
      <c r="U27" s="84"/>
    </row>
    <row r="28" spans="2:21" x14ac:dyDescent="0.3">
      <c r="B28" s="91"/>
      <c r="C28" s="92"/>
      <c r="D28" s="92"/>
      <c r="E28" s="92"/>
      <c r="F28" s="436"/>
      <c r="G28" s="436"/>
      <c r="H28" s="92"/>
      <c r="I28" s="92"/>
      <c r="J28" s="436"/>
      <c r="K28" s="92"/>
      <c r="L28" s="92"/>
      <c r="M28" s="92"/>
      <c r="N28" s="92"/>
      <c r="O28" s="92"/>
      <c r="P28" s="92"/>
      <c r="Q28" s="92"/>
      <c r="R28" s="92"/>
      <c r="S28" s="92"/>
      <c r="T28" s="92"/>
      <c r="U28" s="84"/>
    </row>
    <row r="29" spans="2:21" x14ac:dyDescent="0.3">
      <c r="B29" s="91"/>
      <c r="C29" s="92"/>
      <c r="D29" s="92"/>
      <c r="E29" s="92"/>
      <c r="F29" s="436"/>
      <c r="G29" s="436"/>
      <c r="H29" s="92"/>
      <c r="I29" s="92"/>
      <c r="J29" s="92"/>
      <c r="K29" s="92"/>
      <c r="L29" s="92"/>
      <c r="M29" s="92"/>
      <c r="N29" s="92"/>
      <c r="O29" s="92"/>
      <c r="P29" s="92"/>
      <c r="Q29" s="92"/>
      <c r="R29" s="92"/>
      <c r="S29" s="92"/>
      <c r="T29" s="92"/>
      <c r="U29" s="84"/>
    </row>
    <row r="30" spans="2:21" x14ac:dyDescent="0.3">
      <c r="B30" s="91"/>
      <c r="C30" s="92"/>
      <c r="D30" s="92"/>
      <c r="E30" s="92"/>
      <c r="F30" s="436"/>
      <c r="G30" s="436"/>
      <c r="H30" s="92"/>
      <c r="I30" s="92"/>
      <c r="J30" s="92"/>
      <c r="K30" s="92"/>
      <c r="L30" s="92"/>
      <c r="M30" s="92"/>
      <c r="N30" s="92"/>
      <c r="O30" s="92"/>
      <c r="P30" s="92"/>
      <c r="Q30" s="92"/>
      <c r="R30" s="92"/>
      <c r="S30" s="92"/>
      <c r="T30" s="92"/>
      <c r="U30" s="84"/>
    </row>
    <row r="31" spans="2:21" x14ac:dyDescent="0.3">
      <c r="B31" s="91"/>
      <c r="C31" s="92"/>
      <c r="D31" s="92"/>
      <c r="E31" s="92"/>
      <c r="F31" s="436"/>
      <c r="G31" s="436"/>
      <c r="H31" s="92"/>
      <c r="I31" s="92"/>
      <c r="J31" s="92"/>
      <c r="K31" s="92"/>
      <c r="L31" s="92"/>
      <c r="M31" s="92"/>
      <c r="N31" s="92"/>
      <c r="O31" s="92"/>
      <c r="P31" s="92"/>
      <c r="Q31" s="92"/>
      <c r="R31" s="92"/>
      <c r="S31" s="92"/>
      <c r="T31" s="92"/>
      <c r="U31" s="84"/>
    </row>
    <row r="32" spans="2:21" x14ac:dyDescent="0.3">
      <c r="B32" s="91"/>
      <c r="C32" s="92"/>
      <c r="D32" s="92"/>
      <c r="E32" s="92"/>
      <c r="F32" s="436"/>
      <c r="G32" s="436"/>
      <c r="H32" s="92"/>
      <c r="I32" s="92"/>
      <c r="J32" s="92"/>
      <c r="K32" s="92"/>
      <c r="L32" s="92"/>
      <c r="M32" s="92"/>
      <c r="N32" s="92"/>
      <c r="O32" s="92"/>
      <c r="P32" s="92"/>
      <c r="Q32" s="92"/>
      <c r="R32" s="92"/>
      <c r="S32" s="92"/>
      <c r="T32" s="92"/>
      <c r="U32" s="84"/>
    </row>
    <row r="33" spans="2:21" x14ac:dyDescent="0.3">
      <c r="B33" s="91"/>
      <c r="C33" s="92"/>
      <c r="D33" s="92"/>
      <c r="E33" s="92"/>
      <c r="F33" s="436"/>
      <c r="G33" s="436"/>
      <c r="H33" s="92"/>
      <c r="I33" s="92"/>
      <c r="J33" s="92"/>
      <c r="K33" s="92"/>
      <c r="L33" s="92"/>
      <c r="M33" s="92"/>
      <c r="N33" s="92"/>
      <c r="O33" s="92"/>
      <c r="P33" s="92"/>
      <c r="Q33" s="92"/>
      <c r="R33" s="92"/>
      <c r="S33" s="92"/>
      <c r="T33" s="92"/>
      <c r="U33" s="84"/>
    </row>
    <row r="34" spans="2:21" x14ac:dyDescent="0.3">
      <c r="B34" s="91"/>
      <c r="C34" s="92"/>
      <c r="D34" s="92"/>
      <c r="E34" s="92"/>
      <c r="F34" s="436"/>
      <c r="G34" s="436"/>
      <c r="H34" s="92"/>
      <c r="I34" s="92"/>
      <c r="J34" s="92"/>
      <c r="K34" s="92"/>
      <c r="L34" s="92"/>
      <c r="M34" s="92"/>
      <c r="N34" s="92"/>
      <c r="O34" s="92"/>
      <c r="P34" s="92"/>
      <c r="Q34" s="92"/>
      <c r="R34" s="92"/>
      <c r="S34" s="92"/>
      <c r="T34" s="92"/>
      <c r="U34" s="84"/>
    </row>
    <row r="35" spans="2:21" x14ac:dyDescent="0.3">
      <c r="B35" s="91"/>
      <c r="C35" s="92"/>
      <c r="D35" s="92"/>
      <c r="E35" s="92"/>
      <c r="F35" s="436"/>
      <c r="G35" s="436"/>
      <c r="H35" s="92"/>
      <c r="I35" s="92"/>
      <c r="J35" s="92"/>
      <c r="K35" s="92"/>
      <c r="L35" s="92"/>
      <c r="M35" s="92"/>
      <c r="N35" s="92"/>
      <c r="O35" s="92"/>
      <c r="P35" s="92"/>
      <c r="Q35" s="92"/>
      <c r="R35" s="92"/>
      <c r="S35" s="92"/>
      <c r="T35" s="92"/>
      <c r="U35" s="84"/>
    </row>
    <row r="36" spans="2:21" x14ac:dyDescent="0.3">
      <c r="B36" s="394"/>
      <c r="C36" s="395"/>
      <c r="D36" s="395"/>
      <c r="E36" s="395"/>
      <c r="F36" s="388"/>
      <c r="G36" s="388"/>
      <c r="H36" s="395"/>
      <c r="I36" s="395"/>
      <c r="J36" s="395"/>
      <c r="K36" s="395"/>
      <c r="L36" s="395"/>
      <c r="M36" s="395"/>
      <c r="N36" s="395"/>
      <c r="O36" s="395"/>
      <c r="P36" s="395"/>
      <c r="Q36" s="395"/>
      <c r="R36" s="395"/>
      <c r="S36" s="395"/>
      <c r="T36" s="395"/>
      <c r="U36" s="397"/>
    </row>
    <row r="37" spans="2:21" x14ac:dyDescent="0.3">
      <c r="B37" s="194">
        <v>1</v>
      </c>
    </row>
  </sheetData>
  <mergeCells count="6">
    <mergeCell ref="J14:T14"/>
    <mergeCell ref="T4:U4"/>
    <mergeCell ref="C2:U2"/>
    <mergeCell ref="B3:I3"/>
    <mergeCell ref="J3:R3"/>
    <mergeCell ref="S3:U3"/>
  </mergeCells>
  <dataValidations count="3">
    <dataValidation type="list" allowBlank="1" showInputMessage="1" showErrorMessage="1" sqref="G5:G10" xr:uid="{163E17A5-63DA-426A-B994-C4B487C4CAB2}">
      <formula1>Location</formula1>
    </dataValidation>
    <dataValidation type="list" allowBlank="1" showInputMessage="1" showErrorMessage="1" sqref="F5:F10" xr:uid="{512C16F8-6099-464C-8959-F62624818DD9}">
      <formula1>Year</formula1>
    </dataValidation>
    <dataValidation type="list" allowBlank="1" showInputMessage="1" showErrorMessage="1" sqref="E5:E10" xr:uid="{B75886AB-8B90-4D41-B8EC-272246B01D0F}">
      <formula1>Currency</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Generic document" ma:contentTypeID="0x01010031B82B69D2361148B4D8F7EC15680213080064A8C3CD78C859468EAC224A42287968" ma:contentTypeVersion="40" ma:contentTypeDescription="Create a new document." ma:contentTypeScope="" ma:versionID="1ef2345c7eada4a4d807fb40255003e0">
  <xsd:schema xmlns:xsd="http://www.w3.org/2001/XMLSchema" xmlns:xs="http://www.w3.org/2001/XMLSchema" xmlns:p="http://schemas.microsoft.com/office/2006/metadata/properties" xmlns:ns2="8bbd4995-53b7-43e2-b62f-10947586ac31" xmlns:ns3="35c35788-dca2-4064-b918-caad7388341a" targetNamespace="http://schemas.microsoft.com/office/2006/metadata/properties" ma:root="true" ma:fieldsID="9b0299c415f7670b0378db64c8739185" ns2:_="" ns3:_="">
    <xsd:import namespace="8bbd4995-53b7-43e2-b62f-10947586ac31"/>
    <xsd:import namespace="35c35788-dca2-4064-b918-caad7388341a"/>
    <xsd:element name="properties">
      <xsd:complexType>
        <xsd:sequence>
          <xsd:element name="documentManagement">
            <xsd:complexType>
              <xsd:all>
                <xsd:element ref="ns2:ArchiveStatus" minOccurs="0"/>
                <xsd:element ref="ns2:CorpWorkflowApproval" minOccurs="0"/>
                <xsd:element ref="ns2:CorpWorkflowFeedback" minOccurs="0"/>
                <xsd:element ref="ns2:CorpWorkflowStatus" minOccurs="0"/>
                <xsd:element ref="ns2:CorpSiteProjectNumber" minOccurs="0"/>
                <xsd:element ref="ns2:CorpSiteProjectName" minOccurs="0"/>
                <xsd:element ref="ns2:CorpSiteSubTitle" minOccurs="0"/>
                <xsd:element ref="ns2:CorpSiteAccess" minOccurs="0"/>
                <xsd:element ref="ns2:CorpSiteClassification" minOccurs="0"/>
                <xsd:element ref="ns2:CorpSiteTags" minOccurs="0"/>
                <xsd:element ref="ns2:CorpSiteProjectQA" minOccurs="0"/>
                <xsd:element ref="ns2:CorpSiteProjectOwner" minOccurs="0"/>
                <xsd:element ref="ns2:CorpSiteProjectLeader" minOccurs="0"/>
                <xsd:element ref="ns2:CorpSiteReportNumber" minOccurs="0"/>
                <xsd:element ref="ns2:CorpSiteISBN" minOccurs="0"/>
                <xsd:element ref="ns2:CorpSiteCoAuthors" minOccurs="0"/>
                <xsd:element ref="ns2:CorpSiteRecipientCompany" minOccurs="0"/>
                <xsd:element ref="ns2:CorpSiteRecipientPerson" minOccurs="0"/>
                <xsd:element ref="ns2:CorpSiteOurRef" minOccurs="0"/>
                <xsd:element ref="ns2:CorpSiteDocumentAuthor" minOccurs="0"/>
                <xsd:element ref="ns2:CorpSiteZipAddress" minOccurs="0"/>
                <xsd:element ref="ns2:CorpSiteZipContact" minOccurs="0"/>
                <xsd:element ref="ns2:CorpSiteVATNumber" minOccurs="0"/>
                <xsd:element ref="ns2:CorpSiteInstituteEmail" minOccurs="0"/>
                <xsd:element ref="ns2:CorpDocPageClassificationNbNo" minOccurs="0"/>
                <xsd:element ref="ns2:CorpDocClassificationEnUs" minOccurs="0"/>
                <xsd:element ref="ns2:CorpDocPageClassificationEnUs" minOccurs="0"/>
                <xsd:element ref="ns2:CorpDocClassificationNbNo" minOccurs="0"/>
                <xsd:element ref="ns2:CorpSiteInstituteEnUs" minOccurs="0"/>
                <xsd:element ref="ns2:CorpSiteInstitutePhone" minOccurs="0"/>
                <xsd:element ref="ns2:CorpSiteDocLanguage" minOccurs="0"/>
                <xsd:element ref="ns2:CorpDocInstitute" minOccurs="0"/>
                <xsd:element ref="ns2:CorpDocVersion" minOccurs="0"/>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bbd4995-53b7-43e2-b62f-10947586ac31" elementFormDefault="qualified">
    <xsd:import namespace="http://schemas.microsoft.com/office/2006/documentManagement/types"/>
    <xsd:import namespace="http://schemas.microsoft.com/office/infopath/2007/PartnerControls"/>
    <xsd:element name="ArchiveStatus" ma:index="8" nillable="true" ma:displayName="Archive Status" ma:internalName="ArchiveStatus">
      <xsd:simpleType>
        <xsd:restriction base="dms:Text">
          <xsd:maxLength value="255"/>
        </xsd:restriction>
      </xsd:simpleType>
    </xsd:element>
    <xsd:element name="CorpWorkflowApproval" ma:index="9" nillable="true" ma:displayName="Approval Status" ma:internalName="CorpWorkflowApproval">
      <xsd:simpleType>
        <xsd:restriction base="dms:Text">
          <xsd:maxLength value="255"/>
        </xsd:restriction>
      </xsd:simpleType>
    </xsd:element>
    <xsd:element name="CorpWorkflowFeedback" ma:index="10" nillable="true" ma:displayName="Reviewal Status" ma:internalName="CorpWorkflowFeedback">
      <xsd:simpleType>
        <xsd:restriction base="dms:Text">
          <xsd:maxLength value="255"/>
        </xsd:restriction>
      </xsd:simpleType>
    </xsd:element>
    <xsd:element name="CorpWorkflowStatus" ma:index="11" nillable="true" ma:displayName="Workflow Status" ma:internalName="CorpWorkflowStatus">
      <xsd:simpleType>
        <xsd:restriction base="dms:Text">
          <xsd:maxLength value="255"/>
        </xsd:restriction>
      </xsd:simpleType>
    </xsd:element>
    <xsd:element name="CorpSiteProjectNumber" ma:index="12" nillable="true" ma:displayName="Project Number" ma:default="" ma:internalName="CorpSiteProjectNumber">
      <xsd:simpleType>
        <xsd:restriction base="dms:Text">
          <xsd:maxLength value="255"/>
        </xsd:restriction>
      </xsd:simpleType>
    </xsd:element>
    <xsd:element name="CorpSiteProjectName" ma:index="13" nillable="true" ma:displayName="Project Name" ma:internalName="CorpSiteProjectName">
      <xsd:simpleType>
        <xsd:restriction base="dms:Text">
          <xsd:maxLength value="255"/>
        </xsd:restriction>
      </xsd:simpleType>
    </xsd:element>
    <xsd:element name="CorpSiteSubTitle" ma:index="14" nillable="true" ma:displayName="Sub Title" ma:internalName="CorpSiteSubTitle">
      <xsd:simpleType>
        <xsd:restriction base="dms:Text">
          <xsd:maxLength value="255"/>
        </xsd:restriction>
      </xsd:simpleType>
    </xsd:element>
    <xsd:element name="CorpSiteAccess" ma:index="15" nillable="true" ma:displayName="Access level" ma:default="Kun navngitte medlemmer" ma:format="Dropdown" ma:internalName="CorpSiteAccess">
      <xsd:simpleType>
        <xsd:restriction base="dms:Choice">
          <xsd:enumeration value="Kun navngitte medlemmer"/>
          <xsd:enumeration value="SINTEF"/>
          <xsd:enumeration value="Institutt"/>
          <xsd:enumeration value="Avdeling"/>
          <xsd:maxLength value="255"/>
        </xsd:restriction>
      </xsd:simpleType>
    </xsd:element>
    <xsd:element name="CorpSiteClassification" ma:index="16" nillable="true" ma:displayName="Classification" ma:default="Åpen" ma:internalName="CorpSiteClassification">
      <xsd:simpleType>
        <xsd:restriction base="dms:Choice">
          <xsd:enumeration value="Åpen"/>
          <xsd:enumeration value="Fortrolig"/>
          <xsd:enumeration value="Strengt fortrolig"/>
          <xsd:maxLength value="255"/>
        </xsd:restriction>
      </xsd:simpleType>
    </xsd:element>
    <xsd:element name="CorpSiteTags" ma:index="17" nillable="true" ma:displayName="Tags" ma:internalName="CorpSiteTags">
      <xsd:simpleType>
        <xsd:restriction base="dms:Text">
          <xsd:maxLength value="255"/>
        </xsd:restriction>
      </xsd:simpleType>
    </xsd:element>
    <xsd:element name="CorpSiteProjectQA" ma:index="18" nillable="true" ma:displayName="QA" ma:list="UserInfo" ma:SharePointGroup="0" ma:internalName="CorpSiteProjectQA"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Owner" ma:index="19" nillable="true" ma:displayName="Project Owner" ma:list="UserInfo" ma:SharePointGroup="0" ma:internalName="CorpSiteProject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Leader" ma:index="20" nillable="true" ma:displayName="Project Leader" ma:list="UserInfo" ma:SharePointGroup="0" ma:internalName="CorpSiteProjectLead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ReportNumber" ma:index="21" nillable="true" ma:displayName="Report Number" ma:internalName="CorpSiteReportNumber">
      <xsd:simpleType>
        <xsd:restriction base="dms:Text">
          <xsd:maxLength value="255"/>
        </xsd:restriction>
      </xsd:simpleType>
    </xsd:element>
    <xsd:element name="CorpSiteISBN" ma:index="22" nillable="true" ma:displayName="ISBN" ma:internalName="CorpSiteISBN">
      <xsd:simpleType>
        <xsd:restriction base="dms:Text">
          <xsd:maxLength value="255"/>
        </xsd:restriction>
      </xsd:simpleType>
    </xsd:element>
    <xsd:element name="CorpSiteCoAuthors" ma:index="23" nillable="true" ma:displayName="Co Authors" ma:internalName="CorpSiteCoAuthors">
      <xsd:simpleType>
        <xsd:restriction base="dms:Text">
          <xsd:maxLength value="255"/>
        </xsd:restriction>
      </xsd:simpleType>
    </xsd:element>
    <xsd:element name="CorpSiteRecipientCompany" ma:index="24" nillable="true" ma:displayName="Recipient Company" ma:internalName="CorpSiteRecipientCompany">
      <xsd:simpleType>
        <xsd:restriction base="dms:Text">
          <xsd:maxLength value="255"/>
        </xsd:restriction>
      </xsd:simpleType>
    </xsd:element>
    <xsd:element name="CorpSiteRecipientPerson" ma:index="25" nillable="true" ma:displayName="Recipient Person" ma:internalName="CorpSiteRecipientPerson">
      <xsd:simpleType>
        <xsd:restriction base="dms:Text">
          <xsd:maxLength value="255"/>
        </xsd:restriction>
      </xsd:simpleType>
    </xsd:element>
    <xsd:element name="CorpSiteOurRef" ma:index="26" nillable="true" ma:displayName="Our Ref" ma:internalName="CorpSiteOurRef">
      <xsd:simpleType>
        <xsd:restriction base="dms:Text">
          <xsd:maxLength value="255"/>
        </xsd:restriction>
      </xsd:simpleType>
    </xsd:element>
    <xsd:element name="CorpSiteDocumentAuthor" ma:index="27" nillable="true" ma:displayName="Document Author" ma:internalName="CorpSiteDocumentAutho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ZipAddress" ma:index="28" nillable="true" ma:displayName="Address" ma:internalName="CorpSiteZipAddress">
      <xsd:simpleType>
        <xsd:restriction base="dms:Note">
          <xsd:maxLength value="255"/>
        </xsd:restriction>
      </xsd:simpleType>
    </xsd:element>
    <xsd:element name="CorpSiteZipContact" ma:index="29" nillable="true" ma:displayName="Contact" ma:internalName="CorpSiteZipContact">
      <xsd:simpleType>
        <xsd:restriction base="dms:Note">
          <xsd:maxLength value="255"/>
        </xsd:restriction>
      </xsd:simpleType>
    </xsd:element>
    <xsd:element name="CorpSiteVATNumber" ma:index="30" nillable="true" ma:displayName="VAT Number" ma:internalName="CorpSiteVATNumber">
      <xsd:simpleType>
        <xsd:restriction base="dms:Text">
          <xsd:maxLength value="255"/>
        </xsd:restriction>
      </xsd:simpleType>
    </xsd:element>
    <xsd:element name="CorpSiteInstituteEmail" ma:index="31" nillable="true" ma:displayName="Email Institute" ma:internalName="CorpSiteInstituteEmail">
      <xsd:simpleType>
        <xsd:restriction base="dms:Text">
          <xsd:maxLength value="255"/>
        </xsd:restriction>
      </xsd:simpleType>
    </xsd:element>
    <xsd:element name="CorpDocPageClassificationNbNo" ma:index="32" nillable="true" ma:displayName="Gradering Denne Siden" ma:default="Åpen" ma:internalName="CorpDocPageClassificationNbNo">
      <xsd:simpleType>
        <xsd:restriction base="dms:Choice">
          <xsd:enumeration value="Åpen"/>
          <xsd:enumeration value="Intern"/>
          <xsd:enumeration value="Fortrolig"/>
          <xsd:enumeration value="Strengt fortrolig"/>
          <xsd:maxLength value="255"/>
        </xsd:restriction>
      </xsd:simpleType>
    </xsd:element>
    <xsd:element name="CorpDocClassificationEnUs" ma:index="33" nillable="true" ma:displayName="Classification" ma:default="Unrestricted" ma:internalName="CorpDocClassificationEnUs">
      <xsd:simpleType>
        <xsd:restriction base="dms:Choice">
          <xsd:enumeration value="Unrestricted"/>
          <xsd:enumeration value="Internal"/>
          <xsd:enumeration value="Restricted"/>
          <xsd:enumeration value="Confidential"/>
          <xsd:maxLength value="255"/>
        </xsd:restriction>
      </xsd:simpleType>
    </xsd:element>
    <xsd:element name="CorpDocPageClassificationEnUs" ma:index="34" nillable="true" ma:displayName="Classification This Page" ma:default="Unrestricted" ma:internalName="CorpDocPageClassificationEnUs">
      <xsd:simpleType>
        <xsd:restriction base="dms:Choice">
          <xsd:enumeration value="Unrestricted"/>
          <xsd:enumeration value="Internal"/>
          <xsd:enumeration value="Restricted"/>
          <xsd:enumeration value="Confidential"/>
          <xsd:maxLength value="255"/>
        </xsd:restriction>
      </xsd:simpleType>
    </xsd:element>
    <xsd:element name="CorpDocClassificationNbNo" ma:index="35" nillable="true" ma:displayName="Gradering" ma:default="Åpen" ma:internalName="CorpDocClassificationNbNo">
      <xsd:simpleType>
        <xsd:restriction base="dms:Choice">
          <xsd:enumeration value="Åpen"/>
          <xsd:enumeration value="Intern"/>
          <xsd:enumeration value="Fortrolig"/>
          <xsd:enumeration value="Strengt fortrolig"/>
          <xsd:maxLength value="255"/>
        </xsd:restriction>
      </xsd:simpleType>
    </xsd:element>
    <xsd:element name="CorpSiteInstituteEnUs" ma:index="36" nillable="true" ma:displayName="InstituteEng" ma:internalName="CorpSiteInstituteEnUs">
      <xsd:simpleType>
        <xsd:restriction base="dms:Text">
          <xsd:maxLength value="255"/>
        </xsd:restriction>
      </xsd:simpleType>
    </xsd:element>
    <xsd:element name="CorpSiteInstitutePhone" ma:index="37" nillable="true" ma:displayName="Phone Instutute" ma:internalName="CorpSiteInstitutePhone">
      <xsd:simpleType>
        <xsd:restriction base="dms:Text">
          <xsd:maxLength value="255"/>
        </xsd:restriction>
      </xsd:simpleType>
    </xsd:element>
    <xsd:element name="CorpSiteDocLanguage" ma:index="38" nillable="true" ma:displayName="Language" ma:internalName="CorpSiteDocLanguage">
      <xsd:simpleType>
        <xsd:restriction base="dms:Text">
          <xsd:maxLength value="255"/>
        </xsd:restriction>
      </xsd:simpleType>
    </xsd:element>
    <xsd:element name="CorpDocInstitute" ma:index="39" nillable="true" ma:displayName="Institute" ma:internalName="CorpDocInstitute">
      <xsd:simpleType>
        <xsd:restriction base="dms:Text">
          <xsd:maxLength value="255"/>
        </xsd:restriction>
      </xsd:simpleType>
    </xsd:element>
    <xsd:element name="CorpDocVersion" ma:index="40" nillable="true" ma:displayName="Version" ma:internalName="CorpDocVersion">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5c35788-dca2-4064-b918-caad7388341a" elementFormDefault="qualified">
    <xsd:import namespace="http://schemas.microsoft.com/office/2006/documentManagement/types"/>
    <xsd:import namespace="http://schemas.microsoft.com/office/infopath/2007/PartnerControls"/>
    <xsd:element name="MediaServiceMetadata" ma:index="41" nillable="true" ma:displayName="MediaServiceMetadata" ma:hidden="true" ma:internalName="MediaServiceMetadata" ma:readOnly="true">
      <xsd:simpleType>
        <xsd:restriction base="dms:Note"/>
      </xsd:simpleType>
    </xsd:element>
    <xsd:element name="MediaServiceFastMetadata" ma:index="42" nillable="true" ma:displayName="MediaServiceFastMetadata" ma:hidden="true" ma:internalName="MediaServiceFastMetadata" ma:readOnly="true">
      <xsd:simpleType>
        <xsd:restriction base="dms:Note"/>
      </xsd:simpleType>
    </xsd:element>
    <xsd:element name="MediaServiceAutoKeyPoints" ma:index="43" nillable="true" ma:displayName="MediaServiceAutoKeyPoints" ma:hidden="true" ma:internalName="MediaServiceAutoKeyPoints" ma:readOnly="true">
      <xsd:simpleType>
        <xsd:restriction base="dms:Note"/>
      </xsd:simpleType>
    </xsd:element>
    <xsd:element name="MediaServiceKeyPoints" ma:index="4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CorpSiteZipContact xmlns="8bbd4995-53b7-43e2-b62f-10947586ac31" xsi:nil="true"/>
    <CorpSiteProjectLeader xmlns="8bbd4995-53b7-43e2-b62f-10947586ac31">
      <UserInfo>
        <DisplayName/>
        <AccountId xsi:nil="true"/>
        <AccountType/>
      </UserInfo>
    </CorpSiteProjectLeader>
    <CorpSiteSubTitle xmlns="8bbd4995-53b7-43e2-b62f-10947586ac31" xsi:nil="true"/>
    <CorpSiteTags xmlns="8bbd4995-53b7-43e2-b62f-10947586ac31" xsi:nil="true"/>
    <CorpSiteISBN xmlns="8bbd4995-53b7-43e2-b62f-10947586ac31" xsi:nil="true"/>
    <CorpWorkflowFeedback xmlns="8bbd4995-53b7-43e2-b62f-10947586ac31" xsi:nil="true"/>
    <CorpSiteAccess xmlns="8bbd4995-53b7-43e2-b62f-10947586ac31">Kun navngitte medlemmer</CorpSiteAccess>
    <CorpSiteRecipientPerson xmlns="8bbd4995-53b7-43e2-b62f-10947586ac31" xsi:nil="true"/>
    <CorpSiteProjectNumber xmlns="8bbd4995-53b7-43e2-b62f-10947586ac31" xsi:nil="true"/>
    <CorpSiteProjectName xmlns="8bbd4995-53b7-43e2-b62f-10947586ac31" xsi:nil="true"/>
    <CorpDocInstitute xmlns="8bbd4995-53b7-43e2-b62f-10947586ac31" xsi:nil="true"/>
    <CorpSiteInstitutePhone xmlns="8bbd4995-53b7-43e2-b62f-10947586ac31" xsi:nil="true"/>
    <CorpWorkflowStatus xmlns="8bbd4995-53b7-43e2-b62f-10947586ac31" xsi:nil="true"/>
    <CorpSiteProjectOwner xmlns="8bbd4995-53b7-43e2-b62f-10947586ac31">
      <UserInfo>
        <DisplayName/>
        <AccountId xsi:nil="true"/>
        <AccountType/>
      </UserInfo>
    </CorpSiteProjectOwner>
    <CorpDocPageClassificationNbNo xmlns="8bbd4995-53b7-43e2-b62f-10947586ac31">Åpen</CorpDocPageClassificationNbNo>
    <CorpDocClassificationEnUs xmlns="8bbd4995-53b7-43e2-b62f-10947586ac31">Unrestricted</CorpDocClassificationEnUs>
    <CorpDocClassificationNbNo xmlns="8bbd4995-53b7-43e2-b62f-10947586ac31">Åpen</CorpDocClassificationNbNo>
    <CorpSiteClassification xmlns="8bbd4995-53b7-43e2-b62f-10947586ac31">Åpen</CorpSiteClassification>
    <CorpSiteInstituteEmail xmlns="8bbd4995-53b7-43e2-b62f-10947586ac31" xsi:nil="true"/>
    <CorpSiteCoAuthors xmlns="8bbd4995-53b7-43e2-b62f-10947586ac31" xsi:nil="true"/>
    <CorpSiteDocumentAuthor xmlns="8bbd4995-53b7-43e2-b62f-10947586ac31">
      <UserInfo>
        <DisplayName/>
        <AccountId xsi:nil="true"/>
        <AccountType/>
      </UserInfo>
    </CorpSiteDocumentAuthor>
    <CorpSiteInstituteEnUs xmlns="8bbd4995-53b7-43e2-b62f-10947586ac31" xsi:nil="true"/>
    <CorpSiteRecipientCompany xmlns="8bbd4995-53b7-43e2-b62f-10947586ac31" xsi:nil="true"/>
    <CorpSiteDocLanguage xmlns="8bbd4995-53b7-43e2-b62f-10947586ac31" xsi:nil="true"/>
    <CorpDocVersion xmlns="8bbd4995-53b7-43e2-b62f-10947586ac31" xsi:nil="true"/>
    <CorpWorkflowApproval xmlns="8bbd4995-53b7-43e2-b62f-10947586ac31" xsi:nil="true"/>
    <ArchiveStatus xmlns="8bbd4995-53b7-43e2-b62f-10947586ac31" xsi:nil="true"/>
    <CorpSiteProjectQA xmlns="8bbd4995-53b7-43e2-b62f-10947586ac31">
      <UserInfo>
        <DisplayName/>
        <AccountId xsi:nil="true"/>
        <AccountType/>
      </UserInfo>
    </CorpSiteProjectQA>
    <CorpSiteZipAddress xmlns="8bbd4995-53b7-43e2-b62f-10947586ac31" xsi:nil="true"/>
    <CorpSiteVATNumber xmlns="8bbd4995-53b7-43e2-b62f-10947586ac31" xsi:nil="true"/>
    <CorpSiteReportNumber xmlns="8bbd4995-53b7-43e2-b62f-10947586ac31" xsi:nil="true"/>
    <CorpSiteOurRef xmlns="8bbd4995-53b7-43e2-b62f-10947586ac31" xsi:nil="true"/>
    <CorpDocPageClassificationEnUs xmlns="8bbd4995-53b7-43e2-b62f-10947586ac31">Unrestricted</CorpDocPageClassificationEnUs>
  </documentManagement>
</p:properties>
</file>

<file path=customXml/itemProps1.xml><?xml version="1.0" encoding="utf-8"?>
<ds:datastoreItem xmlns:ds="http://schemas.openxmlformats.org/officeDocument/2006/customXml" ds:itemID="{03218219-2A84-47A6-9FAA-ABB369901E25}">
  <ds:schemaRefs>
    <ds:schemaRef ds:uri="http://schemas.microsoft.com/sharepoint/v3/contenttype/forms"/>
  </ds:schemaRefs>
</ds:datastoreItem>
</file>

<file path=customXml/itemProps2.xml><?xml version="1.0" encoding="utf-8"?>
<ds:datastoreItem xmlns:ds="http://schemas.openxmlformats.org/officeDocument/2006/customXml" ds:itemID="{F65D2B6E-87E3-4A6C-B1BD-6E81A7A683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bbd4995-53b7-43e2-b62f-10947586ac31"/>
    <ds:schemaRef ds:uri="35c35788-dca2-4064-b918-caad738834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5CF7AD8-694B-44AC-8776-7C928E0A8AE3}">
  <ds:schemaRefs>
    <ds:schemaRef ds:uri="http://schemas.microsoft.com/DataMashup"/>
  </ds:schemaRefs>
</ds:datastoreItem>
</file>

<file path=customXml/itemProps4.xml><?xml version="1.0" encoding="utf-8"?>
<ds:datastoreItem xmlns:ds="http://schemas.openxmlformats.org/officeDocument/2006/customXml" ds:itemID="{2F656670-244E-483F-B5CB-BC345A6ACC84}">
  <ds:schemaRefs>
    <ds:schemaRef ds:uri="http://purl.org/dc/elements/1.1/"/>
    <ds:schemaRef ds:uri="http://schemas.microsoft.com/office/2006/metadata/properties"/>
    <ds:schemaRef ds:uri="8bbd4995-53b7-43e2-b62f-10947586ac31"/>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35c35788-dca2-4064-b918-caad7388341a"/>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265</vt:i4>
      </vt:variant>
    </vt:vector>
  </HeadingPairs>
  <TitlesOfParts>
    <vt:vector size="282" baseType="lpstr">
      <vt:lpstr>SEA Tool</vt:lpstr>
      <vt:lpstr>Plant Overview</vt:lpstr>
      <vt:lpstr>Unit-100</vt:lpstr>
      <vt:lpstr>Unit-200</vt:lpstr>
      <vt:lpstr>Unit-300</vt:lpstr>
      <vt:lpstr>Unit-400</vt:lpstr>
      <vt:lpstr>Plant CAPEX</vt:lpstr>
      <vt:lpstr>Plant OPEX</vt:lpstr>
      <vt:lpstr>Cash Flow Analysis</vt:lpstr>
      <vt:lpstr>Input to SSM</vt:lpstr>
      <vt:lpstr>Estimate Benchmark</vt:lpstr>
      <vt:lpstr>Unit-X00 Equipment</vt:lpstr>
      <vt:lpstr>Bibliography</vt:lpstr>
      <vt:lpstr>Cost Conversion</vt:lpstr>
      <vt:lpstr>Technology Block Data</vt:lpstr>
      <vt:lpstr>Equipment Data</vt:lpstr>
      <vt:lpstr>Unit X00 - Benchmark</vt:lpstr>
      <vt:lpstr>'Unit-100'!Axial</vt:lpstr>
      <vt:lpstr>'Unit-200'!Axial</vt:lpstr>
      <vt:lpstr>'Unit-300'!Axial</vt:lpstr>
      <vt:lpstr>'Unit-400'!Axial</vt:lpstr>
      <vt:lpstr>'Unit-100'!Blender</vt:lpstr>
      <vt:lpstr>'Unit-200'!Blender</vt:lpstr>
      <vt:lpstr>'Unit-300'!Blender</vt:lpstr>
      <vt:lpstr>'Unit-400'!Blender</vt:lpstr>
      <vt:lpstr>'Unit-100'!Blender_Material</vt:lpstr>
      <vt:lpstr>'Unit-200'!Blender_Material</vt:lpstr>
      <vt:lpstr>'Unit-300'!Blender_Material</vt:lpstr>
      <vt:lpstr>'Unit-400'!Blender_Material</vt:lpstr>
      <vt:lpstr>'Cash Flow Analysis'!Case</vt:lpstr>
      <vt:lpstr>'Estimate Benchmark'!Case</vt:lpstr>
      <vt:lpstr>'Plant Overview'!Case</vt:lpstr>
      <vt:lpstr>'Unit-100'!Case</vt:lpstr>
      <vt:lpstr>'Unit-200'!Case</vt:lpstr>
      <vt:lpstr>'Unit-300'!Case</vt:lpstr>
      <vt:lpstr>'Unit-400'!Case</vt:lpstr>
      <vt:lpstr>'Unit-100'!Centrifuge</vt:lpstr>
      <vt:lpstr>'Unit-200'!Centrifuge</vt:lpstr>
      <vt:lpstr>'Unit-300'!Centrifuge</vt:lpstr>
      <vt:lpstr>'Unit-400'!Centrifuge</vt:lpstr>
      <vt:lpstr>'Unit-100'!Centrifuge_Material</vt:lpstr>
      <vt:lpstr>'Unit-200'!Centrifuge_Material</vt:lpstr>
      <vt:lpstr>'Unit-300'!Centrifuge_Material</vt:lpstr>
      <vt:lpstr>'Unit-400'!Centrifuge_Material</vt:lpstr>
      <vt:lpstr>'Unit-100'!Compressor</vt:lpstr>
      <vt:lpstr>'Unit-200'!Compressor</vt:lpstr>
      <vt:lpstr>'Unit-300'!Compressor</vt:lpstr>
      <vt:lpstr>'Unit-400'!Compressor</vt:lpstr>
      <vt:lpstr>'Unit-100'!Compressor_Material</vt:lpstr>
      <vt:lpstr>'Unit-200'!Compressor_Material</vt:lpstr>
      <vt:lpstr>'Unit-300'!Compressor_Material</vt:lpstr>
      <vt:lpstr>'Unit-400'!Compressor_Material</vt:lpstr>
      <vt:lpstr>'Cash Flow Analysis'!Construction</vt:lpstr>
      <vt:lpstr>'Estimate Benchmark'!Construction</vt:lpstr>
      <vt:lpstr>'Plant Overview'!Construction</vt:lpstr>
      <vt:lpstr>'Unit-100'!Construction</vt:lpstr>
      <vt:lpstr>'Unit-200'!Construction</vt:lpstr>
      <vt:lpstr>'Unit-300'!Construction</vt:lpstr>
      <vt:lpstr>'Unit-400'!Construction</vt:lpstr>
      <vt:lpstr>'Unit-100'!Conveyor</vt:lpstr>
      <vt:lpstr>'Unit-200'!Conveyor</vt:lpstr>
      <vt:lpstr>'Unit-300'!Conveyor</vt:lpstr>
      <vt:lpstr>'Unit-400'!Conveyor</vt:lpstr>
      <vt:lpstr>'Unit-100'!Conveyor_Material</vt:lpstr>
      <vt:lpstr>'Unit-200'!Conveyor_Material</vt:lpstr>
      <vt:lpstr>'Unit-300'!Conveyor_Material</vt:lpstr>
      <vt:lpstr>'Unit-400'!Conveyor_Material</vt:lpstr>
      <vt:lpstr>'Unit-100'!Crystallizer</vt:lpstr>
      <vt:lpstr>'Unit-200'!Crystallizer</vt:lpstr>
      <vt:lpstr>'Unit-300'!Crystallizer</vt:lpstr>
      <vt:lpstr>'Unit-400'!Crystallizer</vt:lpstr>
      <vt:lpstr>'Unit-100'!Crystallizer_Material</vt:lpstr>
      <vt:lpstr>'Unit-200'!Crystallizer_Material</vt:lpstr>
      <vt:lpstr>'Unit-300'!Crystallizer_Material</vt:lpstr>
      <vt:lpstr>'Unit-400'!Crystallizer_Material</vt:lpstr>
      <vt:lpstr>'Cash Flow Analysis'!Currency</vt:lpstr>
      <vt:lpstr>'Estimate Benchmark'!Currency</vt:lpstr>
      <vt:lpstr>'Plant Overview'!Currency</vt:lpstr>
      <vt:lpstr>'Unit-100'!Currency</vt:lpstr>
      <vt:lpstr>'Unit-200'!Currency</vt:lpstr>
      <vt:lpstr>'Unit-300'!Currency</vt:lpstr>
      <vt:lpstr>'Unit-400'!Currency</vt:lpstr>
      <vt:lpstr>'Unit-100'!Dirve_Material</vt:lpstr>
      <vt:lpstr>'Unit-200'!Dirve_Material</vt:lpstr>
      <vt:lpstr>'Unit-300'!Dirve_Material</vt:lpstr>
      <vt:lpstr>'Unit-400'!Dirve_Material</vt:lpstr>
      <vt:lpstr>'Unit-100'!Drive</vt:lpstr>
      <vt:lpstr>'Unit-200'!Drive</vt:lpstr>
      <vt:lpstr>'Unit-300'!Drive</vt:lpstr>
      <vt:lpstr>'Unit-400'!Drive</vt:lpstr>
      <vt:lpstr>'Unit-100'!Drive_Material</vt:lpstr>
      <vt:lpstr>'Unit-200'!Drive_Material</vt:lpstr>
      <vt:lpstr>'Unit-300'!Drive_Material</vt:lpstr>
      <vt:lpstr>'Unit-400'!Drive_Material</vt:lpstr>
      <vt:lpstr>'Unit-100'!Dryer</vt:lpstr>
      <vt:lpstr>'Unit-200'!Dryer</vt:lpstr>
      <vt:lpstr>'Unit-300'!Dryer</vt:lpstr>
      <vt:lpstr>'Unit-400'!Dryer</vt:lpstr>
      <vt:lpstr>'Unit-100'!Dryer_Material</vt:lpstr>
      <vt:lpstr>'Unit-200'!Dryer_Material</vt:lpstr>
      <vt:lpstr>'Unit-300'!Dryer_Material</vt:lpstr>
      <vt:lpstr>'Unit-400'!Dryer_Material</vt:lpstr>
      <vt:lpstr>'Unit-100'!DustCollectors</vt:lpstr>
      <vt:lpstr>'Unit-200'!DustCollectors</vt:lpstr>
      <vt:lpstr>'Unit-300'!DustCollectors</vt:lpstr>
      <vt:lpstr>'Unit-400'!DustCollectors</vt:lpstr>
      <vt:lpstr>'Unit-100'!DustCollectors_Material</vt:lpstr>
      <vt:lpstr>'Unit-200'!DustCollectors_Material</vt:lpstr>
      <vt:lpstr>'Unit-300'!DustCollectors_Material</vt:lpstr>
      <vt:lpstr>'Unit-400'!DustCollectors_Material</vt:lpstr>
      <vt:lpstr>'Unit-100'!Equipment</vt:lpstr>
      <vt:lpstr>'Unit-200'!Equipment</vt:lpstr>
      <vt:lpstr>'Unit-300'!Equipment</vt:lpstr>
      <vt:lpstr>'Unit-400'!Equipment</vt:lpstr>
      <vt:lpstr>'Unit-100'!Evaporator</vt:lpstr>
      <vt:lpstr>'Unit-200'!Evaporator</vt:lpstr>
      <vt:lpstr>'Unit-300'!Evaporator</vt:lpstr>
      <vt:lpstr>'Unit-400'!Evaporator</vt:lpstr>
      <vt:lpstr>'Unit-100'!Evaporator_Material</vt:lpstr>
      <vt:lpstr>'Unit-200'!Evaporator_Material</vt:lpstr>
      <vt:lpstr>'Unit-300'!Evaporator_Material</vt:lpstr>
      <vt:lpstr>'Unit-400'!Evaporator_Material</vt:lpstr>
      <vt:lpstr>'Unit-100'!Fan</vt:lpstr>
      <vt:lpstr>'Unit-200'!Fan</vt:lpstr>
      <vt:lpstr>'Unit-300'!Fan</vt:lpstr>
      <vt:lpstr>'Unit-400'!Fan</vt:lpstr>
      <vt:lpstr>'Unit-100'!Fan_Material</vt:lpstr>
      <vt:lpstr>'Unit-200'!Fan_Material</vt:lpstr>
      <vt:lpstr>'Unit-300'!Fan_Material</vt:lpstr>
      <vt:lpstr>'Unit-400'!Fan_Material</vt:lpstr>
      <vt:lpstr>'Unit-100'!Filter</vt:lpstr>
      <vt:lpstr>'Unit-200'!Filter</vt:lpstr>
      <vt:lpstr>'Unit-300'!Filter</vt:lpstr>
      <vt:lpstr>'Unit-400'!Filter</vt:lpstr>
      <vt:lpstr>'Unit-100'!Filter_Material</vt:lpstr>
      <vt:lpstr>'Unit-200'!Filter_Material</vt:lpstr>
      <vt:lpstr>'Unit-300'!Filter_Material</vt:lpstr>
      <vt:lpstr>'Unit-400'!Filter_Material</vt:lpstr>
      <vt:lpstr>'Unit-100'!FiredHeater</vt:lpstr>
      <vt:lpstr>'Unit-200'!FiredHeater</vt:lpstr>
      <vt:lpstr>'Unit-300'!FiredHeater</vt:lpstr>
      <vt:lpstr>'Unit-400'!FiredHeater</vt:lpstr>
      <vt:lpstr>'Unit-100'!FiredHeater_Material</vt:lpstr>
      <vt:lpstr>'Unit-200'!FiredHeater_Material</vt:lpstr>
      <vt:lpstr>'Unit-300'!FiredHeater_Material</vt:lpstr>
      <vt:lpstr>'Unit-400'!FiredHeater_Material</vt:lpstr>
      <vt:lpstr>'Unit-100'!HeatExchanger</vt:lpstr>
      <vt:lpstr>'Unit-200'!HeatExchanger</vt:lpstr>
      <vt:lpstr>'Unit-300'!HeatExchanger</vt:lpstr>
      <vt:lpstr>'Unit-400'!HeatExchanger</vt:lpstr>
      <vt:lpstr>'Unit-100'!HeatExchanger_AirCooler_Material</vt:lpstr>
      <vt:lpstr>'Unit-200'!HeatExchanger_AirCooler_Material</vt:lpstr>
      <vt:lpstr>'Unit-100'!HeatExchanger_Bayonet_Material</vt:lpstr>
      <vt:lpstr>'Unit-200'!HeatExchanger_Bayonet_Material</vt:lpstr>
      <vt:lpstr>'Unit-100'!HeatExchanger_DoublePipe_Material</vt:lpstr>
      <vt:lpstr>'Unit-200'!HeatExchanger_DoublePipe_Material</vt:lpstr>
      <vt:lpstr>'Unit-100'!HeatExchanger_FixedtubesheetorUtube_Material</vt:lpstr>
      <vt:lpstr>'Unit-200'!HeatExchanger_FixedtubesheetorUtube_Material</vt:lpstr>
      <vt:lpstr>'Unit-100'!HeatExchanger_FlatPlate_Material</vt:lpstr>
      <vt:lpstr>'Unit-200'!HeatExchanger_FlatPlate_Material</vt:lpstr>
      <vt:lpstr>'Unit-100'!HeatExchanger_FloatingHead_Material</vt:lpstr>
      <vt:lpstr>'Unit-200'!HeatExchanger_FloatingHead_Material</vt:lpstr>
      <vt:lpstr>'Unit-100'!HeatExchanger_KettleReboiler_Material</vt:lpstr>
      <vt:lpstr>'Unit-200'!HeatExchanger_KettleReboiler_Material</vt:lpstr>
      <vt:lpstr>'Unit-100'!HeatExchanger_Material</vt:lpstr>
      <vt:lpstr>'Unit-200'!HeatExchanger_Material</vt:lpstr>
      <vt:lpstr>'Unit-300'!HeatExchanger_Material</vt:lpstr>
      <vt:lpstr>'Unit-400'!HeatExchanger_Material</vt:lpstr>
      <vt:lpstr>'Unit-100'!HeatExchanger_MultiplePipe_Material</vt:lpstr>
      <vt:lpstr>'Unit-200'!HeatExchanger_MultiplePipe_Material</vt:lpstr>
      <vt:lpstr>'Unit-100'!HeatExchanger_ScrapedWall_Material</vt:lpstr>
      <vt:lpstr>'Unit-200'!HeatExchanger_ScrapedWall_Material</vt:lpstr>
      <vt:lpstr>'Unit-100'!HeatExchanger_SpiralPlate_Material</vt:lpstr>
      <vt:lpstr>'Unit-200'!HeatExchanger_SpiralPlate_Material</vt:lpstr>
      <vt:lpstr>'Unit-100'!HeatExchanger_SpiralTube_Material</vt:lpstr>
      <vt:lpstr>'Unit-200'!HeatExchanger_SpiralTube_Material</vt:lpstr>
      <vt:lpstr>'Unit-100'!HeatExchanger_TeflonTubeExchanger_Material</vt:lpstr>
      <vt:lpstr>'Unit-200'!HeatExchanger_TeflonTubeExchanger_Material</vt:lpstr>
      <vt:lpstr>'Cash Flow Analysis'!Indicator</vt:lpstr>
      <vt:lpstr>'Cash Flow Analysis'!Lifetime</vt:lpstr>
      <vt:lpstr>'Estimate Benchmark'!Lifetime</vt:lpstr>
      <vt:lpstr>'Plant Overview'!Lifetime</vt:lpstr>
      <vt:lpstr>'Unit-100'!Lifetime</vt:lpstr>
      <vt:lpstr>'Unit-200'!Lifetime</vt:lpstr>
      <vt:lpstr>'Unit-300'!Lifetime</vt:lpstr>
      <vt:lpstr>'Unit-400'!Lifetime</vt:lpstr>
      <vt:lpstr>'Cash Flow Analysis'!Location</vt:lpstr>
      <vt:lpstr>'Estimate Benchmark'!Location</vt:lpstr>
      <vt:lpstr>'Plant Overview'!Location</vt:lpstr>
      <vt:lpstr>'Unit-100'!Location</vt:lpstr>
      <vt:lpstr>'Unit-200'!Location</vt:lpstr>
      <vt:lpstr>'Unit-300'!Location</vt:lpstr>
      <vt:lpstr>'Unit-400'!Location</vt:lpstr>
      <vt:lpstr>'Unit-100'!Mixer</vt:lpstr>
      <vt:lpstr>'Unit-200'!Mixer</vt:lpstr>
      <vt:lpstr>'Unit-300'!Mixer</vt:lpstr>
      <vt:lpstr>'Unit-400'!Mixer</vt:lpstr>
      <vt:lpstr>'Unit-100'!Mixer_Material</vt:lpstr>
      <vt:lpstr>'Unit-200'!Mixer_Material</vt:lpstr>
      <vt:lpstr>'Unit-300'!Mixer_Material</vt:lpstr>
      <vt:lpstr>'Unit-400'!Mixer_Material</vt:lpstr>
      <vt:lpstr>'Unit-100'!Pump</vt:lpstr>
      <vt:lpstr>'Unit-200'!Pump</vt:lpstr>
      <vt:lpstr>'Unit-300'!Pump</vt:lpstr>
      <vt:lpstr>'Unit-400'!Pump</vt:lpstr>
      <vt:lpstr>'Unit-100'!Pump_Material</vt:lpstr>
      <vt:lpstr>'Unit-200'!Pump_Material</vt:lpstr>
      <vt:lpstr>'Unit-300'!Pump_Material</vt:lpstr>
      <vt:lpstr>'Unit-400'!Pump_Material</vt:lpstr>
      <vt:lpstr>'Unit-100'!Reactor</vt:lpstr>
      <vt:lpstr>'Unit-200'!Reactor</vt:lpstr>
      <vt:lpstr>'Unit-300'!Reactor</vt:lpstr>
      <vt:lpstr>'Unit-400'!Reactor</vt:lpstr>
      <vt:lpstr>'Unit-100'!Reactor_Material</vt:lpstr>
      <vt:lpstr>'Unit-200'!Reactor_Material</vt:lpstr>
      <vt:lpstr>'Unit-300'!Reactor_Material</vt:lpstr>
      <vt:lpstr>'Unit-400'!Reactor_Material</vt:lpstr>
      <vt:lpstr>'Unit-100'!Screen</vt:lpstr>
      <vt:lpstr>'Unit-200'!Screen</vt:lpstr>
      <vt:lpstr>'Unit-300'!Screen</vt:lpstr>
      <vt:lpstr>'Unit-400'!Screen</vt:lpstr>
      <vt:lpstr>'Unit-100'!Screen_Material</vt:lpstr>
      <vt:lpstr>'Unit-200'!Screen_Material</vt:lpstr>
      <vt:lpstr>'Unit-300'!Screen_Material</vt:lpstr>
      <vt:lpstr>'Unit-400'!Screen_Material</vt:lpstr>
      <vt:lpstr>'Unit-100'!Tank</vt:lpstr>
      <vt:lpstr>'Unit-200'!Tank</vt:lpstr>
      <vt:lpstr>'Unit-300'!Tank</vt:lpstr>
      <vt:lpstr>'Unit-400'!Tank</vt:lpstr>
      <vt:lpstr>'Unit-100'!Tank_Material</vt:lpstr>
      <vt:lpstr>'Unit-200'!Tank_Material</vt:lpstr>
      <vt:lpstr>'Unit-300'!Tank_Material</vt:lpstr>
      <vt:lpstr>'Unit-400'!Tank_Material</vt:lpstr>
      <vt:lpstr>'Unit-100'!test</vt:lpstr>
      <vt:lpstr>'Unit-200'!test</vt:lpstr>
      <vt:lpstr>'Unit-100'!TowerPacking</vt:lpstr>
      <vt:lpstr>'Unit-200'!TowerPacking</vt:lpstr>
      <vt:lpstr>'Unit-300'!TowerPacking</vt:lpstr>
      <vt:lpstr>'Unit-400'!TowerPacking</vt:lpstr>
      <vt:lpstr>'Unit-100'!TowerPacking_Material</vt:lpstr>
      <vt:lpstr>'Unit-200'!TowerPacking_Material</vt:lpstr>
      <vt:lpstr>'Unit-300'!TowerPacking_Material</vt:lpstr>
      <vt:lpstr>'Unit-400'!TowerPacking_Material</vt:lpstr>
      <vt:lpstr>'Unit-100'!TowerTrays</vt:lpstr>
      <vt:lpstr>'Unit-200'!TowerTrays</vt:lpstr>
      <vt:lpstr>'Unit-300'!TowerTrays</vt:lpstr>
      <vt:lpstr>'Unit-400'!TowerTrays</vt:lpstr>
      <vt:lpstr>'Unit-100'!TowerTrays_Material</vt:lpstr>
      <vt:lpstr>'Unit-200'!TowerTrays_Material</vt:lpstr>
      <vt:lpstr>'Unit-300'!TowerTrays_Material</vt:lpstr>
      <vt:lpstr>'Unit-400'!TowerTrays_Material</vt:lpstr>
      <vt:lpstr>'Unit-100'!Turbine</vt:lpstr>
      <vt:lpstr>'Unit-200'!Turbine</vt:lpstr>
      <vt:lpstr>'Unit-300'!Turbine</vt:lpstr>
      <vt:lpstr>'Unit-400'!Turbine</vt:lpstr>
      <vt:lpstr>'Unit-100'!Turbine_Material</vt:lpstr>
      <vt:lpstr>'Unit-200'!Turbine_Material</vt:lpstr>
      <vt:lpstr>'Unit-300'!Turbine_Material</vt:lpstr>
      <vt:lpstr>'Unit-400'!Turbine_Material</vt:lpstr>
      <vt:lpstr>'Unit-100'!Vaporizer</vt:lpstr>
      <vt:lpstr>'Unit-200'!Vaporizer</vt:lpstr>
      <vt:lpstr>'Unit-300'!Vaporizer</vt:lpstr>
      <vt:lpstr>'Unit-400'!Vaporizer</vt:lpstr>
      <vt:lpstr>'Unit-100'!Vaporizer_Material</vt:lpstr>
      <vt:lpstr>'Unit-200'!Vaporizer_Material</vt:lpstr>
      <vt:lpstr>'Unit-300'!Vaporizer_Material</vt:lpstr>
      <vt:lpstr>'Unit-400'!Vaporizer_Material</vt:lpstr>
      <vt:lpstr>'Unit-100'!Vessel</vt:lpstr>
      <vt:lpstr>'Unit-200'!Vessel</vt:lpstr>
      <vt:lpstr>'Unit-300'!Vessel</vt:lpstr>
      <vt:lpstr>'Unit-400'!Vessel</vt:lpstr>
      <vt:lpstr>'Unit-100'!Vessel_Material</vt:lpstr>
      <vt:lpstr>'Unit-200'!Vessel_Material</vt:lpstr>
      <vt:lpstr>'Unit-300'!Vessel_Material</vt:lpstr>
      <vt:lpstr>'Unit-400'!Vessel_Material</vt:lpstr>
      <vt:lpstr>'Cash Flow Analysis'!Year</vt:lpstr>
      <vt:lpstr>'Estimate Benchmark'!Year</vt:lpstr>
      <vt:lpstr>'Plant Overview'!Year</vt:lpstr>
      <vt:lpstr>'Unit-100'!Year</vt:lpstr>
      <vt:lpstr>'Unit-200'!Year</vt:lpstr>
      <vt:lpstr>'Unit-300'!Year</vt:lpstr>
      <vt:lpstr>'Unit-400'!Year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Carlos Arnaiz del Pozo</dc:creator>
  <cp:lastModifiedBy>Carlos Arnaiz del Pozo</cp:lastModifiedBy>
  <dcterms:created xsi:type="dcterms:W3CDTF">2021-03-10T08:50:08Z</dcterms:created>
  <dcterms:modified xsi:type="dcterms:W3CDTF">2021-07-09T07:15:07Z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0x01010031B82B69D2361148B4D8F7EC15680213080064A8C3CD78C859468EAC224A42287968</vt:lpwstr>
  </property>
</Properties>
</file>